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codeName="ThisWorkbook"/>
  <mc:AlternateContent xmlns:mc="http://schemas.openxmlformats.org/markup-compatibility/2006">
    <mc:Choice Requires="x15">
      <x15ac:absPath xmlns:x15ac="http://schemas.microsoft.com/office/spreadsheetml/2010/11/ac" url="/Users/richa/Downloads/"/>
    </mc:Choice>
  </mc:AlternateContent>
  <xr:revisionPtr revIDLastSave="0" documentId="8_{DE006E5A-E28F-8E4E-90F3-F4AF960D722B}" xr6:coauthVersionLast="47" xr6:coauthVersionMax="47" xr10:uidLastSave="{00000000-0000-0000-0000-000000000000}"/>
  <bookViews>
    <workbookView xWindow="0" yWindow="480" windowWidth="38400" windowHeight="21120" activeTab="7" xr2:uid="{00000000-000D-0000-FFFF-FFFF00000000}"/>
  </bookViews>
  <sheets>
    <sheet name="Data1" sheetId="9" state="hidden" r:id="rId1"/>
    <sheet name="Funda" sheetId="2" r:id="rId2"/>
    <sheet name="Annual_test" sheetId="26" state="hidden" r:id="rId3"/>
    <sheet name="Annual" sheetId="6" r:id="rId4"/>
    <sheet name="Revenue Step" sheetId="16" r:id="rId5"/>
    <sheet name="Quarterly" sheetId="11" r:id="rId6"/>
    <sheet name="Ticker" sheetId="12" state="hidden" r:id="rId7"/>
    <sheet name="Quarterly Rev Step" sheetId="34" r:id="rId8"/>
    <sheet name="DCF" sheetId="14" r:id="rId9"/>
    <sheet name="WACC" sheetId="15" r:id="rId10"/>
    <sheet name="Portfolio" sheetId="20" r:id="rId11"/>
    <sheet name="Stocks" sheetId="21" r:id="rId12"/>
    <sheet name="VAR_inputs" sheetId="22" r:id="rId13"/>
    <sheet name="Port_Optimization" sheetId="29" r:id="rId14"/>
    <sheet name="Five_Factors" sheetId="28" r:id="rId15"/>
    <sheet name="MC_Stock_returns" sheetId="27" r:id="rId16"/>
    <sheet name="New_Opt" sheetId="30" r:id="rId17"/>
    <sheet name="MarketSnapshot" sheetId="33" r:id="rId18"/>
    <sheet name="Opt_strat" sheetId="31" r:id="rId19"/>
    <sheet name="Option_tws" sheetId="32" r:id="rId20"/>
    <sheet name="BSM" sheetId="18" r:id="rId21"/>
    <sheet name="BSM data" sheetId="19" state="hidden" r:id="rId22"/>
    <sheet name="Placing_Option" sheetId="24" state="hidden" r:id="rId23"/>
    <sheet name="Placing_Stock" sheetId="25" r:id="rId24"/>
    <sheet name="Annual1" sheetId="5" state="hidden" r:id="rId25"/>
  </sheets>
  <definedNames>
    <definedName name="tgr">DCF!$E$21</definedName>
    <definedName name="wacc">DCF!$E$20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4" l="1" a="1"/>
  <c r="B4" i="34" s="1"/>
  <c r="B5" i="16" a="1"/>
  <c r="B5" i="16" s="1"/>
  <c r="B2" i="34" a="1"/>
  <c r="B2" i="34" s="1"/>
  <c r="B4" i="16" a="1"/>
  <c r="B4" i="16" s="1"/>
  <c r="S69" i="33"/>
  <c r="K69" i="33"/>
  <c r="D192" i="33"/>
  <c r="F147" i="33"/>
  <c r="G100" i="33"/>
  <c r="H49" i="33"/>
  <c r="H39" i="33"/>
  <c r="Q2" i="33"/>
  <c r="B5" i="28"/>
  <c r="B3" i="29"/>
  <c r="B16" i="18"/>
  <c r="Y6" i="2"/>
  <c r="Y5" i="2" s="1"/>
  <c r="C35" i="21" a="1"/>
  <c r="C35" i="21" s="1"/>
  <c r="C23" i="21" a="1"/>
  <c r="C23" i="21" s="1"/>
  <c r="F34" i="2"/>
  <c r="G34" i="2"/>
  <c r="H34" i="2"/>
  <c r="F33" i="2"/>
  <c r="G33" i="2"/>
  <c r="H33" i="2"/>
  <c r="F8" i="2"/>
  <c r="G8" i="2"/>
  <c r="H8" i="2"/>
  <c r="F20" i="2"/>
  <c r="G20" i="2"/>
  <c r="H20" i="2"/>
  <c r="F42" i="2"/>
  <c r="G42" i="2"/>
  <c r="H42" i="2"/>
  <c r="F41" i="2"/>
  <c r="G41" i="2"/>
  <c r="H41" i="2"/>
  <c r="F40" i="2"/>
  <c r="G40" i="2"/>
  <c r="H40" i="2"/>
  <c r="F39" i="2"/>
  <c r="G39" i="2"/>
  <c r="H39" i="2"/>
  <c r="F37" i="2"/>
  <c r="G37" i="2"/>
  <c r="H37" i="2"/>
  <c r="F31" i="2"/>
  <c r="G31" i="2"/>
  <c r="H31" i="2"/>
  <c r="F30" i="2"/>
  <c r="G30" i="2"/>
  <c r="H30" i="2"/>
  <c r="F29" i="2"/>
  <c r="G29" i="2"/>
  <c r="H29" i="2"/>
  <c r="F28" i="2"/>
  <c r="G28" i="2"/>
  <c r="H28" i="2"/>
  <c r="F27" i="2"/>
  <c r="G27" i="2"/>
  <c r="H27" i="2"/>
  <c r="F24" i="2"/>
  <c r="G24" i="2"/>
  <c r="G36" i="2" s="1"/>
  <c r="H24" i="2"/>
  <c r="F23" i="2"/>
  <c r="G23" i="2"/>
  <c r="H23" i="2"/>
  <c r="F16" i="2"/>
  <c r="G16" i="2"/>
  <c r="H16" i="2"/>
  <c r="F15" i="2"/>
  <c r="G15" i="2"/>
  <c r="H15" i="2"/>
  <c r="F14" i="2"/>
  <c r="G14" i="2"/>
  <c r="H14" i="2"/>
  <c r="F13" i="2"/>
  <c r="G13" i="2"/>
  <c r="H13" i="2"/>
  <c r="H17" i="2" s="1"/>
  <c r="F12" i="2"/>
  <c r="G12" i="2"/>
  <c r="H12" i="2"/>
  <c r="F11" i="2"/>
  <c r="G11" i="2"/>
  <c r="H11" i="2"/>
  <c r="F10" i="2"/>
  <c r="G10" i="2"/>
  <c r="H10" i="2"/>
  <c r="F9" i="2"/>
  <c r="G9" i="2"/>
  <c r="H9" i="2"/>
  <c r="F6" i="2"/>
  <c r="G6" i="2"/>
  <c r="H6" i="2"/>
  <c r="F35" i="2"/>
  <c r="G35" i="2"/>
  <c r="H35" i="2"/>
  <c r="F32" i="2"/>
  <c r="G32" i="2"/>
  <c r="H32" i="2"/>
  <c r="I42" i="2"/>
  <c r="J42" i="2"/>
  <c r="K42" i="2"/>
  <c r="L42" i="2"/>
  <c r="M42" i="2"/>
  <c r="N42" i="2"/>
  <c r="O42" i="2"/>
  <c r="P42" i="2"/>
  <c r="Q42" i="2"/>
  <c r="R42" i="2"/>
  <c r="I41" i="2"/>
  <c r="J41" i="2"/>
  <c r="K41" i="2"/>
  <c r="L41" i="2"/>
  <c r="M41" i="2"/>
  <c r="N41" i="2"/>
  <c r="O41" i="2"/>
  <c r="P41" i="2"/>
  <c r="Q41" i="2"/>
  <c r="R41" i="2"/>
  <c r="I39" i="2"/>
  <c r="J39" i="2"/>
  <c r="K39" i="2"/>
  <c r="L39" i="2"/>
  <c r="M39" i="2"/>
  <c r="N39" i="2"/>
  <c r="O39" i="2"/>
  <c r="P39" i="2"/>
  <c r="Q39" i="2"/>
  <c r="R39" i="2"/>
  <c r="R37" i="2"/>
  <c r="I34" i="2"/>
  <c r="J34" i="2"/>
  <c r="K34" i="2"/>
  <c r="L34" i="2"/>
  <c r="M34" i="2"/>
  <c r="N34" i="2"/>
  <c r="O34" i="2"/>
  <c r="P34" i="2"/>
  <c r="Q34" i="2"/>
  <c r="R34" i="2"/>
  <c r="I24" i="2"/>
  <c r="J24" i="2"/>
  <c r="K24" i="2"/>
  <c r="L24" i="2"/>
  <c r="M24" i="2"/>
  <c r="N24" i="2"/>
  <c r="O24" i="2"/>
  <c r="P24" i="2"/>
  <c r="Q24" i="2"/>
  <c r="R24" i="2"/>
  <c r="R29" i="2"/>
  <c r="I23" i="2"/>
  <c r="J23" i="2"/>
  <c r="K23" i="2"/>
  <c r="L23" i="2"/>
  <c r="M23" i="2"/>
  <c r="N23" i="2"/>
  <c r="O23" i="2"/>
  <c r="P23" i="2"/>
  <c r="Q23" i="2"/>
  <c r="R23" i="2"/>
  <c r="I37" i="2"/>
  <c r="J37" i="2"/>
  <c r="K37" i="2"/>
  <c r="L37" i="2"/>
  <c r="M37" i="2"/>
  <c r="N37" i="2"/>
  <c r="O37" i="2"/>
  <c r="P37" i="2"/>
  <c r="Q37" i="2"/>
  <c r="R6" i="2"/>
  <c r="I6" i="2"/>
  <c r="J6" i="2"/>
  <c r="K6" i="2"/>
  <c r="L6" i="2"/>
  <c r="M6" i="2"/>
  <c r="N6" i="2"/>
  <c r="O6" i="2"/>
  <c r="P6" i="2"/>
  <c r="Q6" i="2"/>
  <c r="R27" i="2"/>
  <c r="I40" i="2"/>
  <c r="J40" i="2"/>
  <c r="K40" i="2"/>
  <c r="L40" i="2"/>
  <c r="M40" i="2"/>
  <c r="N40" i="2"/>
  <c r="O40" i="2"/>
  <c r="P40" i="2"/>
  <c r="Q40" i="2"/>
  <c r="R40" i="2"/>
  <c r="I35" i="2"/>
  <c r="J35" i="2"/>
  <c r="K35" i="2"/>
  <c r="L35" i="2"/>
  <c r="M35" i="2"/>
  <c r="N35" i="2"/>
  <c r="O35" i="2"/>
  <c r="P35" i="2"/>
  <c r="Q35" i="2"/>
  <c r="R35" i="2"/>
  <c r="I33" i="2"/>
  <c r="J33" i="2"/>
  <c r="K33" i="2"/>
  <c r="L33" i="2"/>
  <c r="M33" i="2"/>
  <c r="N33" i="2"/>
  <c r="O33" i="2"/>
  <c r="P33" i="2"/>
  <c r="Q33" i="2"/>
  <c r="R33" i="2"/>
  <c r="I32" i="2"/>
  <c r="J32" i="2"/>
  <c r="K32" i="2"/>
  <c r="L32" i="2"/>
  <c r="M32" i="2"/>
  <c r="N32" i="2"/>
  <c r="O32" i="2"/>
  <c r="P32" i="2"/>
  <c r="Q32" i="2"/>
  <c r="R32" i="2"/>
  <c r="I31" i="2"/>
  <c r="J31" i="2"/>
  <c r="K31" i="2"/>
  <c r="L31" i="2"/>
  <c r="M31" i="2"/>
  <c r="N31" i="2"/>
  <c r="O31" i="2"/>
  <c r="P31" i="2"/>
  <c r="Q31" i="2"/>
  <c r="R31" i="2"/>
  <c r="I30" i="2"/>
  <c r="J30" i="2"/>
  <c r="K30" i="2"/>
  <c r="L30" i="2"/>
  <c r="M30" i="2"/>
  <c r="N30" i="2"/>
  <c r="O30" i="2"/>
  <c r="P30" i="2"/>
  <c r="Q30" i="2"/>
  <c r="R30" i="2"/>
  <c r="I29" i="2"/>
  <c r="J29" i="2"/>
  <c r="K29" i="2"/>
  <c r="L29" i="2"/>
  <c r="M29" i="2"/>
  <c r="N29" i="2"/>
  <c r="O29" i="2"/>
  <c r="P29" i="2"/>
  <c r="Q29" i="2"/>
  <c r="I28" i="2"/>
  <c r="J28" i="2"/>
  <c r="K28" i="2"/>
  <c r="L28" i="2"/>
  <c r="M28" i="2"/>
  <c r="N28" i="2"/>
  <c r="O28" i="2"/>
  <c r="P28" i="2"/>
  <c r="Q28" i="2"/>
  <c r="R28" i="2"/>
  <c r="I27" i="2"/>
  <c r="J27" i="2"/>
  <c r="K27" i="2"/>
  <c r="L27" i="2"/>
  <c r="M27" i="2"/>
  <c r="N27" i="2"/>
  <c r="O27" i="2"/>
  <c r="P27" i="2"/>
  <c r="Q27" i="2"/>
  <c r="I20" i="2"/>
  <c r="J20" i="2"/>
  <c r="K20" i="2"/>
  <c r="L20" i="2"/>
  <c r="M20" i="2"/>
  <c r="N20" i="2"/>
  <c r="O20" i="2"/>
  <c r="P20" i="2"/>
  <c r="Q20" i="2"/>
  <c r="R20" i="2"/>
  <c r="I16" i="2"/>
  <c r="J16" i="2"/>
  <c r="K16" i="2"/>
  <c r="L16" i="2"/>
  <c r="M16" i="2"/>
  <c r="N16" i="2"/>
  <c r="O16" i="2"/>
  <c r="P16" i="2"/>
  <c r="Q16" i="2"/>
  <c r="R16" i="2"/>
  <c r="I15" i="2"/>
  <c r="J15" i="2"/>
  <c r="K15" i="2"/>
  <c r="L15" i="2"/>
  <c r="M15" i="2"/>
  <c r="N15" i="2"/>
  <c r="O15" i="2"/>
  <c r="P15" i="2"/>
  <c r="Q15" i="2"/>
  <c r="R15" i="2"/>
  <c r="I14" i="2"/>
  <c r="J14" i="2"/>
  <c r="K14" i="2"/>
  <c r="L14" i="2"/>
  <c r="M14" i="2"/>
  <c r="N14" i="2"/>
  <c r="O14" i="2"/>
  <c r="P14" i="2"/>
  <c r="Q14" i="2"/>
  <c r="R14" i="2"/>
  <c r="I13" i="2"/>
  <c r="I17" i="2" s="1"/>
  <c r="J13" i="2"/>
  <c r="K13" i="2"/>
  <c r="L13" i="2"/>
  <c r="M13" i="2"/>
  <c r="N13" i="2"/>
  <c r="O13" i="2"/>
  <c r="P13" i="2"/>
  <c r="Q13" i="2"/>
  <c r="R13" i="2"/>
  <c r="I10" i="2"/>
  <c r="J10" i="2"/>
  <c r="K10" i="2"/>
  <c r="L10" i="2"/>
  <c r="M10" i="2"/>
  <c r="N10" i="2"/>
  <c r="O10" i="2"/>
  <c r="P10" i="2"/>
  <c r="Q10" i="2"/>
  <c r="R10" i="2"/>
  <c r="I9" i="2"/>
  <c r="J9" i="2"/>
  <c r="K9" i="2"/>
  <c r="L9" i="2"/>
  <c r="M9" i="2"/>
  <c r="N9" i="2"/>
  <c r="O9" i="2"/>
  <c r="P9" i="2"/>
  <c r="Q9" i="2"/>
  <c r="R9" i="2"/>
  <c r="R8" i="2"/>
  <c r="P8" i="2"/>
  <c r="Q8" i="2"/>
  <c r="R5" i="2"/>
  <c r="Q5" i="2"/>
  <c r="P5" i="2"/>
  <c r="O5" i="2"/>
  <c r="N5" i="2"/>
  <c r="M5" i="2"/>
  <c r="L5" i="2"/>
  <c r="K5" i="2"/>
  <c r="J5" i="2"/>
  <c r="I5" i="2"/>
  <c r="I12" i="2"/>
  <c r="J12" i="2"/>
  <c r="K12" i="2"/>
  <c r="L12" i="2"/>
  <c r="M12" i="2"/>
  <c r="N12" i="2"/>
  <c r="O12" i="2"/>
  <c r="P12" i="2"/>
  <c r="Q12" i="2"/>
  <c r="R12" i="2"/>
  <c r="I11" i="2"/>
  <c r="J11" i="2"/>
  <c r="K11" i="2"/>
  <c r="L11" i="2"/>
  <c r="M11" i="2"/>
  <c r="N11" i="2"/>
  <c r="O11" i="2"/>
  <c r="P11" i="2"/>
  <c r="Q11" i="2"/>
  <c r="R11" i="2"/>
  <c r="I8" i="2"/>
  <c r="J8" i="2"/>
  <c r="K8" i="2"/>
  <c r="L8" i="2"/>
  <c r="M8" i="2"/>
  <c r="N8" i="2"/>
  <c r="O8" i="2"/>
  <c r="H36" i="2" l="1"/>
  <c r="G17" i="2"/>
  <c r="F36" i="2"/>
  <c r="K64" i="2"/>
  <c r="I62" i="2"/>
  <c r="K60" i="2"/>
  <c r="I66" i="2"/>
  <c r="F17" i="2"/>
  <c r="B2" i="2" l="1" a="1"/>
  <c r="B2" i="2" s="1"/>
  <c r="A27" i="2" s="1"/>
  <c r="B6" i="2" a="1"/>
  <c r="B6" i="2" s="1"/>
  <c r="I2" i="2"/>
  <c r="H3" i="24"/>
  <c r="B4" i="27"/>
  <c r="B2" i="19"/>
  <c r="E9" i="18"/>
  <c r="B17" i="18"/>
  <c r="B15" i="18"/>
  <c r="K10" i="18" s="1"/>
  <c r="H13" i="18"/>
  <c r="H12" i="18"/>
  <c r="H11" i="18"/>
  <c r="H10" i="18"/>
  <c r="H9" i="18"/>
  <c r="K11" i="18" s="1"/>
  <c r="B5" i="19"/>
  <c r="B4" i="19"/>
  <c r="B3" i="19"/>
  <c r="B19" i="25"/>
  <c r="B8" i="22"/>
  <c r="B6" i="22" s="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23" i="21"/>
  <c r="G24" i="21"/>
  <c r="G25" i="21"/>
  <c r="G26" i="21"/>
  <c r="G27" i="21"/>
  <c r="G28" i="21"/>
  <c r="G29" i="21"/>
  <c r="G30" i="21"/>
  <c r="G31" i="21"/>
  <c r="G32" i="21"/>
  <c r="L103" i="20"/>
  <c r="L102" i="20"/>
  <c r="L101" i="20"/>
  <c r="L100" i="20"/>
  <c r="L99" i="20"/>
  <c r="L98" i="20"/>
  <c r="L97" i="20"/>
  <c r="L96" i="20"/>
  <c r="L95" i="20"/>
  <c r="L94" i="20"/>
  <c r="L93" i="20"/>
  <c r="L92" i="20"/>
  <c r="L91" i="20"/>
  <c r="L90" i="20"/>
  <c r="L89" i="20"/>
  <c r="L88" i="20"/>
  <c r="L87" i="20"/>
  <c r="K120" i="21" a="1"/>
  <c r="K120" i="21" s="1"/>
  <c r="F120" i="21" a="1"/>
  <c r="F120" i="21" s="1"/>
  <c r="K119" i="21" a="1"/>
  <c r="K119" i="21" s="1"/>
  <c r="F119" i="21" a="1"/>
  <c r="F119" i="21" s="1"/>
  <c r="K118" i="21" a="1"/>
  <c r="K118" i="21" s="1"/>
  <c r="F118" i="21" a="1"/>
  <c r="F118" i="21" s="1"/>
  <c r="K117" i="21" a="1"/>
  <c r="K117" i="21" s="1"/>
  <c r="F117" i="21" a="1"/>
  <c r="F117" i="21" s="1"/>
  <c r="K116" i="21" a="1"/>
  <c r="K116" i="21" s="1"/>
  <c r="F116" i="21" a="1"/>
  <c r="F116" i="21" s="1"/>
  <c r="K115" i="21" a="1"/>
  <c r="K115" i="21" s="1"/>
  <c r="F115" i="21" a="1"/>
  <c r="F115" i="21" s="1"/>
  <c r="K114" i="21" a="1"/>
  <c r="K114" i="21" s="1"/>
  <c r="F114" i="21" a="1"/>
  <c r="F114" i="21" s="1"/>
  <c r="K113" i="21" a="1"/>
  <c r="K113" i="21" s="1"/>
  <c r="F113" i="21" a="1"/>
  <c r="F113" i="21" s="1"/>
  <c r="K112" i="21" a="1"/>
  <c r="K112" i="21" s="1"/>
  <c r="F112" i="21" a="1"/>
  <c r="F112" i="21" s="1"/>
  <c r="K111" i="21" a="1"/>
  <c r="K111" i="21" s="1"/>
  <c r="F111" i="21" a="1"/>
  <c r="F111" i="21" s="1"/>
  <c r="K110" i="21" a="1"/>
  <c r="K110" i="21" s="1"/>
  <c r="F110" i="21" a="1"/>
  <c r="F110" i="21" s="1"/>
  <c r="K109" i="21" a="1"/>
  <c r="K109" i="21" s="1"/>
  <c r="F109" i="21" a="1"/>
  <c r="F109" i="21" s="1"/>
  <c r="K108" i="21" a="1"/>
  <c r="K108" i="21" s="1"/>
  <c r="F108" i="21" a="1"/>
  <c r="F108" i="21" s="1"/>
  <c r="K107" i="21" a="1"/>
  <c r="K107" i="21" s="1"/>
  <c r="F107" i="21" a="1"/>
  <c r="F107" i="21" s="1"/>
  <c r="K106" i="21" a="1"/>
  <c r="K106" i="21" s="1"/>
  <c r="F106" i="21" a="1"/>
  <c r="F106" i="21" s="1"/>
  <c r="K105" i="21" a="1"/>
  <c r="K105" i="21" s="1"/>
  <c r="F105" i="21" a="1"/>
  <c r="F105" i="21" s="1"/>
  <c r="K104" i="21" a="1"/>
  <c r="K104" i="21" s="1"/>
  <c r="F104" i="21" a="1"/>
  <c r="F104" i="21" s="1"/>
  <c r="C104" i="21" a="1"/>
  <c r="C104" i="21" s="1"/>
  <c r="K103" i="21" a="1"/>
  <c r="K103" i="21" s="1"/>
  <c r="F103" i="21" a="1"/>
  <c r="F103" i="21" s="1"/>
  <c r="C103" i="21" a="1"/>
  <c r="C103" i="21" s="1"/>
  <c r="K102" i="21" a="1"/>
  <c r="K102" i="21" s="1"/>
  <c r="F102" i="21" a="1"/>
  <c r="F102" i="21" s="1"/>
  <c r="C102" i="21" a="1"/>
  <c r="C102" i="21" s="1"/>
  <c r="K101" i="21" a="1"/>
  <c r="K101" i="21" s="1"/>
  <c r="F101" i="21" a="1"/>
  <c r="F101" i="21" s="1"/>
  <c r="C101" i="21" a="1"/>
  <c r="C101" i="21" s="1"/>
  <c r="K100" i="21" a="1"/>
  <c r="K100" i="21" s="1"/>
  <c r="F100" i="21" a="1"/>
  <c r="F100" i="21" s="1"/>
  <c r="C100" i="21" a="1"/>
  <c r="C100" i="21" s="1"/>
  <c r="K99" i="21" a="1"/>
  <c r="K99" i="21" s="1"/>
  <c r="F99" i="21" a="1"/>
  <c r="F99" i="21" s="1"/>
  <c r="C99" i="21" a="1"/>
  <c r="C99" i="21" s="1"/>
  <c r="K98" i="21" a="1"/>
  <c r="K98" i="21" s="1"/>
  <c r="F98" i="21" a="1"/>
  <c r="F98" i="21" s="1"/>
  <c r="C98" i="21" a="1"/>
  <c r="C98" i="21" s="1"/>
  <c r="K97" i="21" a="1"/>
  <c r="K97" i="21" s="1"/>
  <c r="F97" i="21" a="1"/>
  <c r="F97" i="21" s="1"/>
  <c r="C97" i="21" a="1"/>
  <c r="C97" i="21" s="1"/>
  <c r="K96" i="21" a="1"/>
  <c r="K96" i="21" s="1"/>
  <c r="F96" i="21" a="1"/>
  <c r="F96" i="21" s="1"/>
  <c r="C96" i="21" a="1"/>
  <c r="C96" i="21" s="1"/>
  <c r="K95" i="21" a="1"/>
  <c r="K95" i="21" s="1"/>
  <c r="F95" i="21" a="1"/>
  <c r="F95" i="21" s="1"/>
  <c r="C95" i="21" a="1"/>
  <c r="C95" i="21" s="1"/>
  <c r="K94" i="21" a="1"/>
  <c r="K94" i="21" s="1"/>
  <c r="F94" i="21" a="1"/>
  <c r="F94" i="21" s="1"/>
  <c r="C94" i="21" a="1"/>
  <c r="C94" i="21" s="1"/>
  <c r="K93" i="21" a="1"/>
  <c r="K93" i="21" s="1"/>
  <c r="F93" i="21" a="1"/>
  <c r="F93" i="21" s="1"/>
  <c r="C93" i="21" a="1"/>
  <c r="C93" i="21" s="1"/>
  <c r="K92" i="21" a="1"/>
  <c r="K92" i="21" s="1"/>
  <c r="F92" i="21" a="1"/>
  <c r="F92" i="21" s="1"/>
  <c r="C92" i="21" a="1"/>
  <c r="C92" i="21" s="1"/>
  <c r="K91" i="21" a="1"/>
  <c r="K91" i="21" s="1"/>
  <c r="F91" i="21" a="1"/>
  <c r="F91" i="21" s="1"/>
  <c r="C91" i="21" a="1"/>
  <c r="C91" i="21" s="1"/>
  <c r="K90" i="21" a="1"/>
  <c r="K90" i="21" s="1"/>
  <c r="F90" i="21" a="1"/>
  <c r="F90" i="21" s="1"/>
  <c r="C90" i="21" a="1"/>
  <c r="C90" i="21" s="1"/>
  <c r="K89" i="21" a="1"/>
  <c r="K89" i="21" s="1"/>
  <c r="F89" i="21" a="1"/>
  <c r="F89" i="21" s="1"/>
  <c r="C89" i="21" a="1"/>
  <c r="C89" i="21" s="1"/>
  <c r="K88" i="21" a="1"/>
  <c r="K88" i="21" s="1"/>
  <c r="F88" i="21" a="1"/>
  <c r="F88" i="21" s="1"/>
  <c r="C88" i="21" a="1"/>
  <c r="C88" i="21" s="1"/>
  <c r="K87" i="21" a="1"/>
  <c r="K87" i="21" s="1"/>
  <c r="F87" i="21" a="1"/>
  <c r="F87" i="21" s="1"/>
  <c r="C87" i="21" a="1"/>
  <c r="C87" i="21" s="1"/>
  <c r="K86" i="21" a="1"/>
  <c r="K86" i="21" s="1"/>
  <c r="F86" i="21" a="1"/>
  <c r="F86" i="21" s="1"/>
  <c r="C86" i="21" a="1"/>
  <c r="C86" i="21" s="1"/>
  <c r="K85" i="21" a="1"/>
  <c r="K85" i="21" s="1"/>
  <c r="F85" i="21" a="1"/>
  <c r="F85" i="21" s="1"/>
  <c r="C85" i="21" a="1"/>
  <c r="C85" i="21" s="1"/>
  <c r="K84" i="21" a="1"/>
  <c r="K84" i="21" s="1"/>
  <c r="F84" i="21" a="1"/>
  <c r="F84" i="21" s="1"/>
  <c r="C84" i="21" a="1"/>
  <c r="C84" i="21" s="1"/>
  <c r="K83" i="21" a="1"/>
  <c r="K83" i="21" s="1"/>
  <c r="F83" i="21" a="1"/>
  <c r="F83" i="21" s="1"/>
  <c r="C83" i="21" a="1"/>
  <c r="C83" i="21" s="1"/>
  <c r="K82" i="21" a="1"/>
  <c r="K82" i="21" s="1"/>
  <c r="F82" i="21" a="1"/>
  <c r="F82" i="21" s="1"/>
  <c r="C82" i="21" a="1"/>
  <c r="C82" i="21" s="1"/>
  <c r="K81" i="21" a="1"/>
  <c r="K81" i="21" s="1"/>
  <c r="F81" i="21" a="1"/>
  <c r="F81" i="21" s="1"/>
  <c r="C81" i="21" a="1"/>
  <c r="C81" i="21" s="1"/>
  <c r="K80" i="21" a="1"/>
  <c r="K80" i="21" s="1"/>
  <c r="F80" i="21" a="1"/>
  <c r="F80" i="21" s="1"/>
  <c r="C80" i="21" a="1"/>
  <c r="C80" i="21" s="1"/>
  <c r="K79" i="21" a="1"/>
  <c r="K79" i="21" s="1"/>
  <c r="F79" i="21" a="1"/>
  <c r="F79" i="21" s="1"/>
  <c r="C79" i="21" a="1"/>
  <c r="C79" i="21" s="1"/>
  <c r="K78" i="21" a="1"/>
  <c r="K78" i="21" s="1"/>
  <c r="F78" i="21" a="1"/>
  <c r="F78" i="21" s="1"/>
  <c r="C78" i="21" a="1"/>
  <c r="C78" i="21" s="1"/>
  <c r="K77" i="21" a="1"/>
  <c r="K77" i="21" s="1"/>
  <c r="F77" i="21" a="1"/>
  <c r="F77" i="21" s="1"/>
  <c r="C77" i="21" a="1"/>
  <c r="C77" i="21" s="1"/>
  <c r="K76" i="21" a="1"/>
  <c r="K76" i="21" s="1"/>
  <c r="F76" i="21" a="1"/>
  <c r="F76" i="21" s="1"/>
  <c r="C76" i="21" a="1"/>
  <c r="C76" i="21" s="1"/>
  <c r="K75" i="21" a="1"/>
  <c r="K75" i="21" s="1"/>
  <c r="F75" i="21" a="1"/>
  <c r="F75" i="21" s="1"/>
  <c r="C75" i="21" a="1"/>
  <c r="C75" i="21" s="1"/>
  <c r="K74" i="21" a="1"/>
  <c r="K74" i="21" s="1"/>
  <c r="F74" i="21" a="1"/>
  <c r="F74" i="21" s="1"/>
  <c r="C74" i="21" a="1"/>
  <c r="C74" i="21" s="1"/>
  <c r="K73" i="21" a="1"/>
  <c r="K73" i="21" s="1"/>
  <c r="F73" i="21" a="1"/>
  <c r="F73" i="21" s="1"/>
  <c r="C73" i="21" a="1"/>
  <c r="C73" i="21" s="1"/>
  <c r="K72" i="21" a="1"/>
  <c r="K72" i="21" s="1"/>
  <c r="F72" i="21" a="1"/>
  <c r="F72" i="21" s="1"/>
  <c r="C72" i="21" a="1"/>
  <c r="C72" i="21" s="1"/>
  <c r="K71" i="21" a="1"/>
  <c r="K71" i="21" s="1"/>
  <c r="F71" i="21" a="1"/>
  <c r="F71" i="21" s="1"/>
  <c r="C71" i="21" a="1"/>
  <c r="C71" i="21" s="1"/>
  <c r="K70" i="21" a="1"/>
  <c r="K70" i="21" s="1"/>
  <c r="F70" i="21" a="1"/>
  <c r="F70" i="21" s="1"/>
  <c r="C70" i="21" a="1"/>
  <c r="C70" i="21" s="1"/>
  <c r="K69" i="21" a="1"/>
  <c r="K69" i="21" s="1"/>
  <c r="F69" i="21" a="1"/>
  <c r="F69" i="21" s="1"/>
  <c r="C69" i="21" a="1"/>
  <c r="C69" i="21" s="1"/>
  <c r="K68" i="21" a="1"/>
  <c r="K68" i="21" s="1"/>
  <c r="F68" i="21" a="1"/>
  <c r="F68" i="21" s="1"/>
  <c r="C68" i="21" a="1"/>
  <c r="C68" i="21" s="1"/>
  <c r="K67" i="21"/>
  <c r="K67" i="21" a="1"/>
  <c r="J67" i="21"/>
  <c r="F67" i="21"/>
  <c r="H67" i="21" s="1"/>
  <c r="F67" i="21" a="1"/>
  <c r="C67" i="21"/>
  <c r="C67" i="21" a="1"/>
  <c r="K66" i="21" a="1"/>
  <c r="K66" i="21" s="1"/>
  <c r="F66" i="21" a="1"/>
  <c r="F66" i="21" s="1"/>
  <c r="C66" i="21" a="1"/>
  <c r="C66" i="21" s="1"/>
  <c r="K65" i="21"/>
  <c r="K65" i="21" a="1"/>
  <c r="F65" i="21" a="1"/>
  <c r="F65" i="21" s="1"/>
  <c r="C65" i="21"/>
  <c r="C65" i="21" a="1"/>
  <c r="K64" i="21" a="1"/>
  <c r="K64" i="21" s="1"/>
  <c r="F64" i="21" a="1"/>
  <c r="F64" i="21" s="1"/>
  <c r="C64" i="21" a="1"/>
  <c r="C64" i="21" s="1"/>
  <c r="K63" i="21" a="1"/>
  <c r="K63" i="21" s="1"/>
  <c r="F63" i="21" a="1"/>
  <c r="F63" i="21" s="1"/>
  <c r="C63" i="21"/>
  <c r="C63" i="21" a="1"/>
  <c r="K62" i="21" a="1"/>
  <c r="K62" i="21" s="1"/>
  <c r="F62" i="21" a="1"/>
  <c r="F62" i="21" s="1"/>
  <c r="C62" i="21" a="1"/>
  <c r="C62" i="21" s="1"/>
  <c r="K61" i="21" a="1"/>
  <c r="K61" i="21" s="1"/>
  <c r="F61" i="21" a="1"/>
  <c r="F61" i="21" s="1"/>
  <c r="C61" i="21"/>
  <c r="C61" i="21" a="1"/>
  <c r="K60" i="21" a="1"/>
  <c r="K60" i="21" s="1"/>
  <c r="F60" i="21" a="1"/>
  <c r="F60" i="21" s="1"/>
  <c r="C60" i="21" a="1"/>
  <c r="C60" i="21" s="1"/>
  <c r="K59" i="21" a="1"/>
  <c r="K59" i="21" s="1"/>
  <c r="F59" i="21" a="1"/>
  <c r="F59" i="21" s="1"/>
  <c r="C59" i="21" a="1"/>
  <c r="C59" i="21" s="1"/>
  <c r="K58" i="21" a="1"/>
  <c r="K58" i="21" s="1"/>
  <c r="F58" i="21" a="1"/>
  <c r="F58" i="21" s="1"/>
  <c r="C58" i="21" a="1"/>
  <c r="C58" i="21" s="1"/>
  <c r="K57" i="21" a="1"/>
  <c r="K57" i="21" s="1"/>
  <c r="F57" i="21"/>
  <c r="J57" i="21" s="1"/>
  <c r="F57" i="21" a="1"/>
  <c r="C57" i="21" a="1"/>
  <c r="C57" i="21" s="1"/>
  <c r="K56" i="21" a="1"/>
  <c r="K56" i="21" s="1"/>
  <c r="F56" i="21" a="1"/>
  <c r="F56" i="21" s="1"/>
  <c r="C56" i="21" a="1"/>
  <c r="C56" i="21" s="1"/>
  <c r="K55" i="21"/>
  <c r="K55" i="21" a="1"/>
  <c r="F55" i="21" a="1"/>
  <c r="F55" i="21" s="1"/>
  <c r="C55" i="21" a="1"/>
  <c r="C55" i="21" s="1"/>
  <c r="K54" i="21" a="1"/>
  <c r="K54" i="21" s="1"/>
  <c r="F54" i="21" a="1"/>
  <c r="F54" i="21" s="1"/>
  <c r="C54" i="21" a="1"/>
  <c r="C54" i="21" s="1"/>
  <c r="K53" i="21" a="1"/>
  <c r="K53" i="21" s="1"/>
  <c r="F53" i="21" a="1"/>
  <c r="F53" i="21" s="1"/>
  <c r="C53" i="21"/>
  <c r="C53" i="21" a="1"/>
  <c r="K52" i="21" a="1"/>
  <c r="K52" i="21" s="1"/>
  <c r="F52" i="21" a="1"/>
  <c r="F52" i="21" s="1"/>
  <c r="C52" i="21" a="1"/>
  <c r="C52" i="21" s="1"/>
  <c r="K51" i="21"/>
  <c r="K51" i="21" a="1"/>
  <c r="F51" i="21" a="1"/>
  <c r="F51" i="21" s="1"/>
  <c r="C51" i="21" a="1"/>
  <c r="C51" i="21" s="1"/>
  <c r="K50" i="21" a="1"/>
  <c r="K50" i="21" s="1"/>
  <c r="F50" i="21" a="1"/>
  <c r="F50" i="21" s="1"/>
  <c r="H50" i="21" s="1"/>
  <c r="C50" i="21" a="1"/>
  <c r="C50" i="21" s="1"/>
  <c r="K49" i="21"/>
  <c r="K49" i="21" a="1"/>
  <c r="F49" i="21" a="1"/>
  <c r="F49" i="21" s="1"/>
  <c r="C49" i="21"/>
  <c r="C49" i="21" a="1"/>
  <c r="K48" i="21" a="1"/>
  <c r="K48" i="21" s="1"/>
  <c r="F48" i="21" a="1"/>
  <c r="F48" i="21" s="1"/>
  <c r="J48" i="21" s="1"/>
  <c r="C48" i="21" a="1"/>
  <c r="C48" i="21" s="1"/>
  <c r="K47" i="21" a="1"/>
  <c r="K47" i="21" s="1"/>
  <c r="F47" i="21"/>
  <c r="J47" i="21" s="1"/>
  <c r="F47" i="21" a="1"/>
  <c r="C47" i="21" a="1"/>
  <c r="C47" i="21" s="1"/>
  <c r="K46" i="21" a="1"/>
  <c r="K46" i="21" s="1"/>
  <c r="F46" i="21"/>
  <c r="J46" i="21" s="1"/>
  <c r="F46" i="21" a="1"/>
  <c r="C46" i="21" a="1"/>
  <c r="C46" i="21" s="1"/>
  <c r="K45" i="21" a="1"/>
  <c r="K45" i="21" s="1"/>
  <c r="F45" i="21" a="1"/>
  <c r="F45" i="21" s="1"/>
  <c r="C45" i="21" a="1"/>
  <c r="C45" i="21" s="1"/>
  <c r="K44" i="21" a="1"/>
  <c r="K44" i="21" s="1"/>
  <c r="F44" i="21" a="1"/>
  <c r="F44" i="21" s="1"/>
  <c r="C44" i="21"/>
  <c r="C44" i="21" a="1"/>
  <c r="K43" i="21" a="1"/>
  <c r="K43" i="21" s="1"/>
  <c r="F43" i="21" a="1"/>
  <c r="F43" i="21" s="1"/>
  <c r="J43" i="21" s="1"/>
  <c r="C43" i="21" a="1"/>
  <c r="C43" i="21" s="1"/>
  <c r="K42" i="21" a="1"/>
  <c r="K42" i="21" s="1"/>
  <c r="F42" i="21"/>
  <c r="H42" i="21" s="1"/>
  <c r="I42" i="21" s="1"/>
  <c r="F42" i="21" a="1"/>
  <c r="C42" i="21" a="1"/>
  <c r="C42" i="21" s="1"/>
  <c r="K41" i="21" a="1"/>
  <c r="K41" i="21" s="1"/>
  <c r="F41" i="21" a="1"/>
  <c r="F41" i="21" s="1"/>
  <c r="C41" i="21" a="1"/>
  <c r="C41" i="21" s="1"/>
  <c r="K40" i="21"/>
  <c r="K40" i="21" a="1"/>
  <c r="F40" i="21" a="1"/>
  <c r="F40" i="21" s="1"/>
  <c r="J40" i="21" s="1"/>
  <c r="C40" i="21" a="1"/>
  <c r="C40" i="21" s="1"/>
  <c r="K39" i="21" a="1"/>
  <c r="K39" i="21" s="1"/>
  <c r="F39" i="21" a="1"/>
  <c r="F39" i="21" s="1"/>
  <c r="C39" i="21" a="1"/>
  <c r="C39" i="21" s="1"/>
  <c r="K38" i="21" a="1"/>
  <c r="K38" i="21" s="1"/>
  <c r="F38" i="21" a="1"/>
  <c r="F38" i="21" s="1"/>
  <c r="C38" i="21"/>
  <c r="C38" i="21" a="1"/>
  <c r="K37" i="21" a="1"/>
  <c r="K37" i="21" s="1"/>
  <c r="F37" i="21" a="1"/>
  <c r="F37" i="21" s="1"/>
  <c r="C37" i="21" a="1"/>
  <c r="C37" i="21" s="1"/>
  <c r="K36" i="21" a="1"/>
  <c r="K36" i="21" s="1"/>
  <c r="F36" i="21" a="1"/>
  <c r="F36" i="21" s="1"/>
  <c r="C36" i="21" a="1"/>
  <c r="C36" i="21" s="1"/>
  <c r="K35" i="21" a="1"/>
  <c r="K35" i="21" s="1"/>
  <c r="F35" i="21" a="1"/>
  <c r="F35" i="21" s="1"/>
  <c r="K34" i="21" a="1"/>
  <c r="K34" i="21" s="1"/>
  <c r="F34" i="21" a="1"/>
  <c r="F34" i="21" s="1"/>
  <c r="J34" i="21" s="1"/>
  <c r="C34" i="21" a="1"/>
  <c r="C34" i="21" s="1"/>
  <c r="K33" i="21" a="1"/>
  <c r="K33" i="21" s="1"/>
  <c r="F33" i="21" a="1"/>
  <c r="F33" i="21" s="1"/>
  <c r="C33" i="21" a="1"/>
  <c r="C33" i="21" s="1"/>
  <c r="K32" i="21" a="1"/>
  <c r="K32" i="21" s="1"/>
  <c r="F32" i="21" a="1"/>
  <c r="F32" i="21" s="1"/>
  <c r="C32" i="21" a="1"/>
  <c r="C32" i="21" s="1"/>
  <c r="K31" i="21" a="1"/>
  <c r="K31" i="21" s="1"/>
  <c r="F31" i="21" a="1"/>
  <c r="F31" i="21" s="1"/>
  <c r="C31" i="21" a="1"/>
  <c r="C31" i="21" s="1"/>
  <c r="K30" i="21" a="1"/>
  <c r="K30" i="21" s="1"/>
  <c r="F30" i="21" a="1"/>
  <c r="F30" i="21" s="1"/>
  <c r="C30" i="21" a="1"/>
  <c r="C30" i="21" s="1"/>
  <c r="K29" i="21" a="1"/>
  <c r="K29" i="21" s="1"/>
  <c r="F29" i="21" a="1"/>
  <c r="F29" i="21" s="1"/>
  <c r="C29" i="21" a="1"/>
  <c r="C29" i="21" s="1"/>
  <c r="K28" i="21" a="1"/>
  <c r="K28" i="21" s="1"/>
  <c r="F28" i="21" a="1"/>
  <c r="F28" i="21" s="1"/>
  <c r="J28" i="21" s="1"/>
  <c r="C28" i="21" a="1"/>
  <c r="C28" i="21" s="1"/>
  <c r="K27" i="21" a="1"/>
  <c r="K27" i="21" s="1"/>
  <c r="F27" i="21" a="1"/>
  <c r="F27" i="21" s="1"/>
  <c r="H27" i="21" s="1"/>
  <c r="C27" i="21" a="1"/>
  <c r="C27" i="21" s="1"/>
  <c r="K26" i="21" a="1"/>
  <c r="K26" i="21" s="1"/>
  <c r="F26" i="21" a="1"/>
  <c r="F26" i="21" s="1"/>
  <c r="J26" i="21" s="1"/>
  <c r="C26" i="21" a="1"/>
  <c r="C26" i="21" s="1"/>
  <c r="K25" i="21" a="1"/>
  <c r="K25" i="21" s="1"/>
  <c r="F25" i="21" a="1"/>
  <c r="F25" i="21" s="1"/>
  <c r="C25" i="21" a="1"/>
  <c r="C25" i="21" s="1"/>
  <c r="K24" i="21" a="1"/>
  <c r="K24" i="21" s="1"/>
  <c r="F24" i="21" a="1"/>
  <c r="F24" i="21" s="1"/>
  <c r="J24" i="21" s="1"/>
  <c r="C24" i="21" a="1"/>
  <c r="C24" i="21" s="1"/>
  <c r="K23" i="21" a="1"/>
  <c r="K23" i="21" s="1"/>
  <c r="F23" i="21" a="1"/>
  <c r="F23" i="21" s="1"/>
  <c r="E17" i="15"/>
  <c r="Y103" i="14" s="1"/>
  <c r="R52" i="14"/>
  <c r="E37" i="14"/>
  <c r="E52" i="14" s="1"/>
  <c r="M37" i="14"/>
  <c r="M52" i="14" s="1"/>
  <c r="N37" i="14"/>
  <c r="N52" i="14" s="1"/>
  <c r="R37" i="14"/>
  <c r="S37" i="14"/>
  <c r="S52" i="14" s="1"/>
  <c r="U37" i="14"/>
  <c r="U52" i="14" s="1"/>
  <c r="L23" i="14"/>
  <c r="K23" i="14" s="1"/>
  <c r="J23" i="14" s="1"/>
  <c r="I23" i="14" s="1"/>
  <c r="H23" i="14" s="1"/>
  <c r="G23" i="14" s="1"/>
  <c r="F23" i="14" s="1"/>
  <c r="E23" i="14" s="1"/>
  <c r="M23" i="14"/>
  <c r="O23" i="14"/>
  <c r="P23" i="14" s="1"/>
  <c r="Q23" i="14" s="1"/>
  <c r="R23" i="14" s="1"/>
  <c r="S23" i="14" s="1"/>
  <c r="T23" i="14" s="1"/>
  <c r="U23" i="14" s="1"/>
  <c r="V23" i="14" s="1"/>
  <c r="W23" i="14" s="1"/>
  <c r="X23" i="14" s="1"/>
  <c r="Y23" i="14" s="1"/>
  <c r="Y37" i="14" s="1"/>
  <c r="Y52" i="14" s="1"/>
  <c r="C4" i="14"/>
  <c r="O92" i="14"/>
  <c r="P92" i="14" s="1"/>
  <c r="Q92" i="14" s="1"/>
  <c r="R92" i="14" s="1"/>
  <c r="S92" i="14" s="1"/>
  <c r="T92" i="14" s="1"/>
  <c r="U92" i="14" s="1"/>
  <c r="V92" i="14" s="1"/>
  <c r="W92" i="14" s="1"/>
  <c r="X92" i="14" s="1"/>
  <c r="Y92" i="14" s="1"/>
  <c r="O91" i="14"/>
  <c r="P91" i="14" s="1"/>
  <c r="P90" i="14"/>
  <c r="Q90" i="14" s="1"/>
  <c r="R90" i="14" s="1"/>
  <c r="S90" i="14" s="1"/>
  <c r="T90" i="14" s="1"/>
  <c r="U90" i="14" s="1"/>
  <c r="V90" i="14" s="1"/>
  <c r="W90" i="14" s="1"/>
  <c r="X90" i="14" s="1"/>
  <c r="Y90" i="14" s="1"/>
  <c r="O90" i="14"/>
  <c r="O84" i="14"/>
  <c r="P84" i="14" s="1"/>
  <c r="Q84" i="14" s="1"/>
  <c r="R84" i="14" s="1"/>
  <c r="S84" i="14" s="1"/>
  <c r="T84" i="14" s="1"/>
  <c r="U84" i="14" s="1"/>
  <c r="V84" i="14" s="1"/>
  <c r="W84" i="14" s="1"/>
  <c r="X84" i="14" s="1"/>
  <c r="Y84" i="14" s="1"/>
  <c r="O83" i="14"/>
  <c r="P83" i="14" s="1"/>
  <c r="P81" i="14" s="1"/>
  <c r="O82" i="14"/>
  <c r="P82" i="14" s="1"/>
  <c r="Q82" i="14" s="1"/>
  <c r="R82" i="14" s="1"/>
  <c r="S82" i="14" s="1"/>
  <c r="T82" i="14" s="1"/>
  <c r="U82" i="14" s="1"/>
  <c r="V82" i="14" s="1"/>
  <c r="W82" i="14" s="1"/>
  <c r="X82" i="14" s="1"/>
  <c r="Y82" i="14" s="1"/>
  <c r="O77" i="14"/>
  <c r="P77" i="14" s="1"/>
  <c r="Q77" i="14" s="1"/>
  <c r="R77" i="14" s="1"/>
  <c r="S77" i="14" s="1"/>
  <c r="T77" i="14" s="1"/>
  <c r="U77" i="14" s="1"/>
  <c r="V77" i="14" s="1"/>
  <c r="W77" i="14" s="1"/>
  <c r="X77" i="14" s="1"/>
  <c r="Y77" i="14" s="1"/>
  <c r="P76" i="14"/>
  <c r="P74" i="14" s="1"/>
  <c r="O76" i="14"/>
  <c r="O74" i="14" s="1"/>
  <c r="O75" i="14"/>
  <c r="P75" i="14" s="1"/>
  <c r="Q75" i="14" s="1"/>
  <c r="R75" i="14" s="1"/>
  <c r="S75" i="14" s="1"/>
  <c r="T75" i="14" s="1"/>
  <c r="U75" i="14" s="1"/>
  <c r="V75" i="14" s="1"/>
  <c r="W75" i="14" s="1"/>
  <c r="X75" i="14" s="1"/>
  <c r="Y75" i="14" s="1"/>
  <c r="O69" i="14"/>
  <c r="P69" i="14" s="1"/>
  <c r="Q69" i="14" s="1"/>
  <c r="R69" i="14" s="1"/>
  <c r="S69" i="14" s="1"/>
  <c r="T69" i="14" s="1"/>
  <c r="U69" i="14" s="1"/>
  <c r="V69" i="14" s="1"/>
  <c r="W69" i="14" s="1"/>
  <c r="X69" i="14" s="1"/>
  <c r="Y69" i="14" s="1"/>
  <c r="O68" i="14"/>
  <c r="O66" i="14" s="1"/>
  <c r="O67" i="14"/>
  <c r="P67" i="14" s="1"/>
  <c r="Q67" i="14" s="1"/>
  <c r="R67" i="14" s="1"/>
  <c r="S67" i="14" s="1"/>
  <c r="T67" i="14" s="1"/>
  <c r="U67" i="14" s="1"/>
  <c r="V67" i="14" s="1"/>
  <c r="W67" i="14" s="1"/>
  <c r="X67" i="14" s="1"/>
  <c r="Y67" i="14" s="1"/>
  <c r="O63" i="14"/>
  <c r="P63" i="14" s="1"/>
  <c r="Q63" i="14" s="1"/>
  <c r="R63" i="14" s="1"/>
  <c r="S63" i="14" s="1"/>
  <c r="T63" i="14" s="1"/>
  <c r="U63" i="14" s="1"/>
  <c r="V63" i="14" s="1"/>
  <c r="W63" i="14" s="1"/>
  <c r="X63" i="14" s="1"/>
  <c r="Y63" i="14" s="1"/>
  <c r="O62" i="14"/>
  <c r="O60" i="14" s="1"/>
  <c r="O61" i="14"/>
  <c r="P61" i="14" s="1"/>
  <c r="Q61" i="14" s="1"/>
  <c r="R61" i="14" s="1"/>
  <c r="S61" i="14" s="1"/>
  <c r="T61" i="14" s="1"/>
  <c r="U61" i="14" s="1"/>
  <c r="V61" i="14" s="1"/>
  <c r="W61" i="14" s="1"/>
  <c r="X61" i="14" s="1"/>
  <c r="Y61" i="14" s="1"/>
  <c r="Y57" i="14"/>
  <c r="O57" i="14"/>
  <c r="Y56" i="14"/>
  <c r="Y54" i="14" s="1"/>
  <c r="O56" i="14"/>
  <c r="O54" i="14" s="1"/>
  <c r="Y55" i="14"/>
  <c r="O55" i="14"/>
  <c r="O22" i="14"/>
  <c r="P22" i="14" s="1"/>
  <c r="Q22" i="14" s="1"/>
  <c r="R22" i="14" s="1"/>
  <c r="S22" i="14" s="1"/>
  <c r="T22" i="14" s="1"/>
  <c r="U22" i="14" s="1"/>
  <c r="V22" i="14" s="1"/>
  <c r="W22" i="14" s="1"/>
  <c r="X22" i="14" s="1"/>
  <c r="Y22" i="14" s="1"/>
  <c r="B9" i="2" a="1"/>
  <c r="B9" i="2" s="1"/>
  <c r="B7" i="2" a="1"/>
  <c r="B7" i="2" s="1"/>
  <c r="B8" i="2" s="1"/>
  <c r="B16" i="2" s="1"/>
  <c r="B14" i="2" a="1"/>
  <c r="B14" i="2" s="1"/>
  <c r="B13" i="2" a="1"/>
  <c r="B13" i="2" s="1"/>
  <c r="E12" i="15" s="1"/>
  <c r="E15" i="15" s="1"/>
  <c r="B10" i="2" a="1"/>
  <c r="B10" i="2" s="1"/>
  <c r="Y105" i="14"/>
  <c r="F38" i="2"/>
  <c r="G38" i="2"/>
  <c r="H38" i="2"/>
  <c r="D31" i="14"/>
  <c r="E24" i="14"/>
  <c r="F7" i="2"/>
  <c r="F43" i="14"/>
  <c r="F80" i="14" s="1"/>
  <c r="G43" i="14"/>
  <c r="H43" i="14"/>
  <c r="H80" i="14" s="1"/>
  <c r="I43" i="14"/>
  <c r="J43" i="14"/>
  <c r="J80" i="14" s="1"/>
  <c r="K43" i="14"/>
  <c r="K80" i="14" s="1"/>
  <c r="L43" i="14"/>
  <c r="L80" i="14" s="1"/>
  <c r="M43" i="14"/>
  <c r="N43" i="14"/>
  <c r="N80" i="14" s="1"/>
  <c r="E43" i="14"/>
  <c r="Y102" i="14"/>
  <c r="N24" i="14"/>
  <c r="O44" i="2"/>
  <c r="O45" i="2"/>
  <c r="F35" i="14"/>
  <c r="M35" i="14"/>
  <c r="M38" i="14"/>
  <c r="M73" i="14" s="1"/>
  <c r="M24" i="14"/>
  <c r="M31" i="14"/>
  <c r="R44" i="2"/>
  <c r="R45" i="2"/>
  <c r="R51" i="2"/>
  <c r="R58" i="2"/>
  <c r="R59" i="2"/>
  <c r="R65" i="2"/>
  <c r="R69" i="2"/>
  <c r="R70" i="2"/>
  <c r="R71" i="2"/>
  <c r="R72" i="2"/>
  <c r="E35" i="14"/>
  <c r="E38" i="14"/>
  <c r="I24" i="14"/>
  <c r="I38" i="14"/>
  <c r="I31" i="14"/>
  <c r="E31" i="14"/>
  <c r="F38" i="14"/>
  <c r="F73" i="14" s="1"/>
  <c r="F31" i="14"/>
  <c r="F24" i="14"/>
  <c r="G38" i="14"/>
  <c r="G31" i="14"/>
  <c r="G65" i="14" s="1"/>
  <c r="G35" i="14"/>
  <c r="G24" i="14"/>
  <c r="H35" i="14"/>
  <c r="H38" i="14"/>
  <c r="H31" i="14"/>
  <c r="H65" i="14" s="1"/>
  <c r="H24" i="14"/>
  <c r="I35" i="14"/>
  <c r="J38" i="14"/>
  <c r="J73" i="14" s="1"/>
  <c r="J31" i="14"/>
  <c r="J65" i="14" s="1"/>
  <c r="J35" i="14"/>
  <c r="J24" i="14"/>
  <c r="K24" i="14"/>
  <c r="K38" i="14"/>
  <c r="K73" i="14" s="1"/>
  <c r="K35" i="14"/>
  <c r="L38" i="14"/>
  <c r="L31" i="14"/>
  <c r="L65" i="14" s="1"/>
  <c r="L35" i="14"/>
  <c r="L24" i="14"/>
  <c r="N31" i="14"/>
  <c r="N35" i="14"/>
  <c r="R73" i="2"/>
  <c r="R74" i="2"/>
  <c r="R75" i="2"/>
  <c r="R76" i="2"/>
  <c r="R77" i="2"/>
  <c r="R78" i="2"/>
  <c r="N38" i="14"/>
  <c r="B52" i="5"/>
  <c r="B502" i="5"/>
  <c r="B2" i="5"/>
  <c r="B402" i="5"/>
  <c r="B202" i="5"/>
  <c r="AN1007" i="5"/>
  <c r="AM1007" i="5"/>
  <c r="AL1007" i="5"/>
  <c r="AK1007" i="5"/>
  <c r="AJ1007" i="5"/>
  <c r="AI1007" i="5"/>
  <c r="AH1007" i="5"/>
  <c r="AG1007" i="5"/>
  <c r="AF1007" i="5"/>
  <c r="AE1007" i="5"/>
  <c r="AD1007" i="5"/>
  <c r="AC1007" i="5"/>
  <c r="AB1007" i="5"/>
  <c r="AA1007" i="5"/>
  <c r="Z1007" i="5"/>
  <c r="Y1007" i="5"/>
  <c r="X1007" i="5"/>
  <c r="W1007" i="5"/>
  <c r="V1007" i="5"/>
  <c r="U1007" i="5"/>
  <c r="T1007" i="5"/>
  <c r="S1007" i="5"/>
  <c r="R1007" i="5"/>
  <c r="Q1007" i="5"/>
  <c r="P1007" i="5"/>
  <c r="O1007" i="5"/>
  <c r="N1007" i="5"/>
  <c r="M1007" i="5"/>
  <c r="L1007" i="5"/>
  <c r="K1007" i="5"/>
  <c r="J1007" i="5"/>
  <c r="I1007" i="5"/>
  <c r="AN1005" i="5"/>
  <c r="AN1006" i="5" s="1"/>
  <c r="AM1005" i="5"/>
  <c r="AM1006" i="5" s="1"/>
  <c r="AL1005" i="5"/>
  <c r="AL1006" i="5" s="1"/>
  <c r="AK1005" i="5"/>
  <c r="AK1006" i="5" s="1"/>
  <c r="AJ1005" i="5"/>
  <c r="AJ1006" i="5" s="1"/>
  <c r="AI1005" i="5"/>
  <c r="AI1006" i="5" s="1"/>
  <c r="AH1005" i="5"/>
  <c r="AH1006" i="5" s="1"/>
  <c r="AG1005" i="5"/>
  <c r="AG1006" i="5" s="1"/>
  <c r="AF1005" i="5"/>
  <c r="AF1006" i="5" s="1"/>
  <c r="AE1005" i="5"/>
  <c r="AE1006" i="5" s="1"/>
  <c r="AD1005" i="5"/>
  <c r="AD1006" i="5" s="1"/>
  <c r="AC1005" i="5"/>
  <c r="AC1006" i="5" s="1"/>
  <c r="AB1005" i="5"/>
  <c r="AB1006" i="5" s="1"/>
  <c r="AA1005" i="5"/>
  <c r="AA1006" i="5" s="1"/>
  <c r="Z1005" i="5"/>
  <c r="Z1006" i="5" s="1"/>
  <c r="Y1005" i="5"/>
  <c r="Y1006" i="5" s="1"/>
  <c r="X1005" i="5"/>
  <c r="X1006" i="5" s="1"/>
  <c r="W1005" i="5"/>
  <c r="W1006" i="5" s="1"/>
  <c r="V1005" i="5"/>
  <c r="V1006" i="5" s="1"/>
  <c r="U1005" i="5"/>
  <c r="U1006" i="5" s="1"/>
  <c r="T1005" i="5"/>
  <c r="T1006" i="5" s="1"/>
  <c r="S1005" i="5"/>
  <c r="S1006" i="5" s="1"/>
  <c r="R1005" i="5"/>
  <c r="R1006" i="5" s="1"/>
  <c r="Q1005" i="5"/>
  <c r="Q1006" i="5" s="1"/>
  <c r="P1005" i="5"/>
  <c r="P1006" i="5" s="1"/>
  <c r="O1005" i="5"/>
  <c r="O1006" i="5" s="1"/>
  <c r="N1005" i="5"/>
  <c r="N1006" i="5" s="1"/>
  <c r="M1005" i="5"/>
  <c r="M1006" i="5" s="1"/>
  <c r="L1005" i="5"/>
  <c r="L1006" i="5" s="1"/>
  <c r="K1005" i="5"/>
  <c r="K1006" i="5" s="1"/>
  <c r="J1005" i="5"/>
  <c r="J1006" i="5" s="1"/>
  <c r="I1005" i="5"/>
  <c r="I1006" i="5" s="1"/>
  <c r="AN1004" i="5"/>
  <c r="AM1004" i="5"/>
  <c r="AL1004" i="5"/>
  <c r="AK1004" i="5"/>
  <c r="AJ1004" i="5"/>
  <c r="AI1004" i="5"/>
  <c r="AH1004" i="5"/>
  <c r="AG1004" i="5"/>
  <c r="AF1004" i="5"/>
  <c r="AE1004" i="5"/>
  <c r="AD1004" i="5"/>
  <c r="AC1004" i="5"/>
  <c r="AB1004" i="5"/>
  <c r="AA1004" i="5"/>
  <c r="Z1004" i="5"/>
  <c r="Y1004" i="5"/>
  <c r="X1004" i="5"/>
  <c r="W1004" i="5"/>
  <c r="V1004" i="5"/>
  <c r="U1004" i="5"/>
  <c r="T1004" i="5"/>
  <c r="S1004" i="5"/>
  <c r="R1004" i="5"/>
  <c r="Q1004" i="5"/>
  <c r="P1004" i="5"/>
  <c r="O1004" i="5"/>
  <c r="N1004" i="5"/>
  <c r="M1004" i="5"/>
  <c r="L1004" i="5"/>
  <c r="K1004" i="5"/>
  <c r="J1004" i="5"/>
  <c r="I1004" i="5"/>
  <c r="AN1003" i="5"/>
  <c r="AM1003" i="5"/>
  <c r="AL1003" i="5"/>
  <c r="AK1003" i="5"/>
  <c r="AJ1003" i="5"/>
  <c r="AI1003" i="5"/>
  <c r="AH1003" i="5"/>
  <c r="AG1003" i="5"/>
  <c r="AF1003" i="5"/>
  <c r="AE1003" i="5"/>
  <c r="AD1003" i="5"/>
  <c r="AC1003" i="5"/>
  <c r="AB1003" i="5"/>
  <c r="AA1003" i="5"/>
  <c r="Z1003" i="5"/>
  <c r="Y1003" i="5"/>
  <c r="X1003" i="5"/>
  <c r="W1003" i="5"/>
  <c r="V1003" i="5"/>
  <c r="U1003" i="5"/>
  <c r="T1003" i="5"/>
  <c r="S1003" i="5"/>
  <c r="R1003" i="5"/>
  <c r="Q1003" i="5"/>
  <c r="P1003" i="5"/>
  <c r="O1003" i="5"/>
  <c r="N1003" i="5"/>
  <c r="M1003" i="5"/>
  <c r="L1003" i="5"/>
  <c r="K1003" i="5"/>
  <c r="J1003" i="5"/>
  <c r="I1003" i="5"/>
  <c r="AN1002" i="5"/>
  <c r="AM1002" i="5"/>
  <c r="AL1002" i="5"/>
  <c r="AK1002" i="5"/>
  <c r="AJ1002" i="5"/>
  <c r="AI1002" i="5"/>
  <c r="AH1002" i="5"/>
  <c r="AG1002" i="5"/>
  <c r="AF1002" i="5"/>
  <c r="AE1002" i="5"/>
  <c r="AD1002" i="5"/>
  <c r="AC1002" i="5"/>
  <c r="AB1002" i="5"/>
  <c r="AA1002" i="5"/>
  <c r="Z1002" i="5"/>
  <c r="Y1002" i="5"/>
  <c r="X1002" i="5"/>
  <c r="W1002" i="5"/>
  <c r="V1002" i="5"/>
  <c r="U1002" i="5"/>
  <c r="T1002" i="5"/>
  <c r="S1002" i="5"/>
  <c r="R1002" i="5"/>
  <c r="Q1002" i="5"/>
  <c r="P1002" i="5"/>
  <c r="O1002" i="5"/>
  <c r="N1002" i="5"/>
  <c r="M1002" i="5"/>
  <c r="L1002" i="5"/>
  <c r="K1002" i="5"/>
  <c r="J1002" i="5"/>
  <c r="I1002" i="5"/>
  <c r="AK1001"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BJ507" i="5"/>
  <c r="BI507" i="5"/>
  <c r="BH507" i="5"/>
  <c r="BG507" i="5"/>
  <c r="BF507" i="5"/>
  <c r="BE507" i="5"/>
  <c r="BD507" i="5"/>
  <c r="BC507" i="5"/>
  <c r="BB507" i="5"/>
  <c r="BA507" i="5"/>
  <c r="AZ507" i="5"/>
  <c r="AY507" i="5"/>
  <c r="AX507" i="5"/>
  <c r="AW507" i="5"/>
  <c r="AV507" i="5"/>
  <c r="AU507" i="5"/>
  <c r="AT507" i="5"/>
  <c r="AS507" i="5"/>
  <c r="AR507" i="5"/>
  <c r="AQ507" i="5"/>
  <c r="AP507" i="5"/>
  <c r="AO507" i="5"/>
  <c r="AN507" i="5"/>
  <c r="AM507" i="5"/>
  <c r="AL507" i="5"/>
  <c r="AK507" i="5"/>
  <c r="AJ507" i="5"/>
  <c r="AI507" i="5"/>
  <c r="AH507" i="5"/>
  <c r="AG507" i="5"/>
  <c r="AF507" i="5"/>
  <c r="AE507" i="5"/>
  <c r="AD507" i="5"/>
  <c r="AC507" i="5"/>
  <c r="AB507" i="5"/>
  <c r="AA507" i="5"/>
  <c r="Z507" i="5"/>
  <c r="Y507" i="5"/>
  <c r="X507" i="5"/>
  <c r="W507" i="5"/>
  <c r="V507" i="5"/>
  <c r="U507" i="5"/>
  <c r="T507" i="5"/>
  <c r="S507" i="5"/>
  <c r="R507" i="5"/>
  <c r="Q507" i="5"/>
  <c r="P507" i="5"/>
  <c r="O507" i="5"/>
  <c r="N507" i="5"/>
  <c r="M507" i="5"/>
  <c r="L507" i="5"/>
  <c r="K507" i="5"/>
  <c r="J507" i="5"/>
  <c r="I507" i="5"/>
  <c r="H507" i="5"/>
  <c r="G507" i="5"/>
  <c r="F507" i="5"/>
  <c r="E507" i="5"/>
  <c r="D507" i="5"/>
  <c r="C507" i="5"/>
  <c r="B507" i="5"/>
  <c r="BJ506" i="5"/>
  <c r="BI506" i="5"/>
  <c r="BH506" i="5"/>
  <c r="BG506" i="5"/>
  <c r="BF506" i="5"/>
  <c r="BE506" i="5"/>
  <c r="BD506" i="5"/>
  <c r="BC506" i="5"/>
  <c r="BB506" i="5"/>
  <c r="BA506" i="5"/>
  <c r="AZ506" i="5"/>
  <c r="AY506" i="5"/>
  <c r="AX506" i="5"/>
  <c r="AW506" i="5"/>
  <c r="AV506" i="5"/>
  <c r="AU506" i="5"/>
  <c r="AT506" i="5"/>
  <c r="AS506" i="5"/>
  <c r="AR506" i="5"/>
  <c r="AQ506" i="5"/>
  <c r="AP506" i="5"/>
  <c r="AO506" i="5"/>
  <c r="AN506" i="5"/>
  <c r="AM506" i="5"/>
  <c r="AL506" i="5"/>
  <c r="AK506" i="5"/>
  <c r="AJ506" i="5"/>
  <c r="AI506" i="5"/>
  <c r="AH506" i="5"/>
  <c r="AG506" i="5"/>
  <c r="AF506" i="5"/>
  <c r="AE506" i="5"/>
  <c r="AD506" i="5"/>
  <c r="AC506" i="5"/>
  <c r="AB506" i="5"/>
  <c r="AA506" i="5"/>
  <c r="Z506" i="5"/>
  <c r="Y506" i="5"/>
  <c r="X506" i="5"/>
  <c r="W506" i="5"/>
  <c r="V506" i="5"/>
  <c r="U506" i="5"/>
  <c r="T506" i="5"/>
  <c r="S506" i="5"/>
  <c r="R506" i="5"/>
  <c r="Q506" i="5"/>
  <c r="P506" i="5"/>
  <c r="O506" i="5"/>
  <c r="N506" i="5"/>
  <c r="M506" i="5"/>
  <c r="L506" i="5"/>
  <c r="K506" i="5"/>
  <c r="J506" i="5"/>
  <c r="I506" i="5"/>
  <c r="H506" i="5"/>
  <c r="G506" i="5"/>
  <c r="F506" i="5"/>
  <c r="E506" i="5"/>
  <c r="D506" i="5"/>
  <c r="C506" i="5"/>
  <c r="B506" i="5"/>
  <c r="BJ505" i="5"/>
  <c r="BI505" i="5"/>
  <c r="BH505" i="5"/>
  <c r="BG505" i="5"/>
  <c r="BF505" i="5"/>
  <c r="BE505" i="5"/>
  <c r="BD505" i="5"/>
  <c r="BC505" i="5"/>
  <c r="BB505" i="5"/>
  <c r="BA505" i="5"/>
  <c r="AZ505" i="5"/>
  <c r="AY505" i="5"/>
  <c r="AX505" i="5"/>
  <c r="AW505" i="5"/>
  <c r="AV505" i="5"/>
  <c r="AU505" i="5"/>
  <c r="AT505" i="5"/>
  <c r="AS505" i="5"/>
  <c r="AR505" i="5"/>
  <c r="AQ505" i="5"/>
  <c r="AP505" i="5"/>
  <c r="AO505" i="5"/>
  <c r="AN505" i="5"/>
  <c r="AM505" i="5"/>
  <c r="AL505" i="5"/>
  <c r="AK505" i="5"/>
  <c r="AJ505" i="5"/>
  <c r="AI505" i="5"/>
  <c r="AH505" i="5"/>
  <c r="AG505" i="5"/>
  <c r="AF505" i="5"/>
  <c r="AE505" i="5"/>
  <c r="AD505" i="5"/>
  <c r="AC505" i="5"/>
  <c r="AB505" i="5"/>
  <c r="AA505" i="5"/>
  <c r="Z505" i="5"/>
  <c r="Y505" i="5"/>
  <c r="X505" i="5"/>
  <c r="W505" i="5"/>
  <c r="V505" i="5"/>
  <c r="U505" i="5"/>
  <c r="T505" i="5"/>
  <c r="S505" i="5"/>
  <c r="R505" i="5"/>
  <c r="Q505" i="5"/>
  <c r="P505" i="5"/>
  <c r="O505" i="5"/>
  <c r="N505" i="5"/>
  <c r="M505" i="5"/>
  <c r="L505" i="5"/>
  <c r="K505" i="5"/>
  <c r="J505" i="5"/>
  <c r="I505" i="5"/>
  <c r="H505" i="5"/>
  <c r="G505" i="5"/>
  <c r="F505" i="5"/>
  <c r="E505" i="5"/>
  <c r="D505" i="5"/>
  <c r="C505" i="5"/>
  <c r="B505" i="5"/>
  <c r="BJ504" i="5"/>
  <c r="BI504" i="5"/>
  <c r="BH504" i="5"/>
  <c r="BG504" i="5"/>
  <c r="BF504" i="5"/>
  <c r="BE504" i="5"/>
  <c r="BD504" i="5"/>
  <c r="BC504" i="5"/>
  <c r="BB504" i="5"/>
  <c r="BA504" i="5"/>
  <c r="AZ504" i="5"/>
  <c r="AY504" i="5"/>
  <c r="AX504" i="5"/>
  <c r="AW504" i="5"/>
  <c r="AV504" i="5"/>
  <c r="AU504" i="5"/>
  <c r="AT504" i="5"/>
  <c r="AS504" i="5"/>
  <c r="AR504" i="5"/>
  <c r="AQ504" i="5"/>
  <c r="AP504" i="5"/>
  <c r="AO504" i="5"/>
  <c r="AN504" i="5"/>
  <c r="AM504" i="5"/>
  <c r="AL504" i="5"/>
  <c r="AK504" i="5"/>
  <c r="AJ504" i="5"/>
  <c r="AI504" i="5"/>
  <c r="AH504" i="5"/>
  <c r="AG504" i="5"/>
  <c r="AF504" i="5"/>
  <c r="AE504" i="5"/>
  <c r="AD504" i="5"/>
  <c r="AC504" i="5"/>
  <c r="AB504" i="5"/>
  <c r="AA504" i="5"/>
  <c r="Z504" i="5"/>
  <c r="Y504" i="5"/>
  <c r="X504" i="5"/>
  <c r="W504" i="5"/>
  <c r="V504" i="5"/>
  <c r="U504" i="5"/>
  <c r="T504" i="5"/>
  <c r="S504" i="5"/>
  <c r="R504" i="5"/>
  <c r="Q504" i="5"/>
  <c r="P504" i="5"/>
  <c r="O504" i="5"/>
  <c r="N504" i="5"/>
  <c r="M504" i="5"/>
  <c r="L504" i="5"/>
  <c r="K504" i="5"/>
  <c r="J504" i="5"/>
  <c r="I504" i="5"/>
  <c r="H504" i="5"/>
  <c r="G504" i="5"/>
  <c r="F504" i="5"/>
  <c r="E504" i="5"/>
  <c r="D504" i="5"/>
  <c r="C504" i="5"/>
  <c r="B504" i="5"/>
  <c r="BJ503" i="5"/>
  <c r="BI503" i="5"/>
  <c r="BH503" i="5"/>
  <c r="BG503" i="5"/>
  <c r="BF503" i="5"/>
  <c r="BE503" i="5"/>
  <c r="BD503" i="5"/>
  <c r="BC503" i="5"/>
  <c r="BB503" i="5"/>
  <c r="BA503" i="5"/>
  <c r="AZ503" i="5"/>
  <c r="AY503" i="5"/>
  <c r="AX503" i="5"/>
  <c r="AW503" i="5"/>
  <c r="AV503" i="5"/>
  <c r="AU503" i="5"/>
  <c r="AT503" i="5"/>
  <c r="AS503" i="5"/>
  <c r="AR503" i="5"/>
  <c r="AQ503" i="5"/>
  <c r="AP503" i="5"/>
  <c r="AO503" i="5"/>
  <c r="AN503" i="5"/>
  <c r="AM503" i="5"/>
  <c r="AL503" i="5"/>
  <c r="AK503" i="5"/>
  <c r="AJ503" i="5"/>
  <c r="AI503" i="5"/>
  <c r="AH503" i="5"/>
  <c r="AG503" i="5"/>
  <c r="AF503" i="5"/>
  <c r="AE503" i="5"/>
  <c r="AD503" i="5"/>
  <c r="AC503" i="5"/>
  <c r="AB503" i="5"/>
  <c r="AA503" i="5"/>
  <c r="Z503" i="5"/>
  <c r="Y503" i="5"/>
  <c r="X503" i="5"/>
  <c r="W503" i="5"/>
  <c r="V503" i="5"/>
  <c r="U503" i="5"/>
  <c r="T503" i="5"/>
  <c r="S503" i="5"/>
  <c r="R503" i="5"/>
  <c r="Q503" i="5"/>
  <c r="P503" i="5"/>
  <c r="O503" i="5"/>
  <c r="N503" i="5"/>
  <c r="M503" i="5"/>
  <c r="L503" i="5"/>
  <c r="K503" i="5"/>
  <c r="J503" i="5"/>
  <c r="I503" i="5"/>
  <c r="H503" i="5"/>
  <c r="G503" i="5"/>
  <c r="F503" i="5"/>
  <c r="E503" i="5"/>
  <c r="D503" i="5"/>
  <c r="C503" i="5"/>
  <c r="B503" i="5"/>
  <c r="BJ502" i="5"/>
  <c r="BI502" i="5"/>
  <c r="BH502" i="5"/>
  <c r="BG502" i="5"/>
  <c r="BF502" i="5"/>
  <c r="BE502" i="5"/>
  <c r="BD502" i="5"/>
  <c r="BC502" i="5"/>
  <c r="BB502" i="5"/>
  <c r="BA502" i="5"/>
  <c r="AZ502" i="5"/>
  <c r="AY502" i="5"/>
  <c r="AX502" i="5"/>
  <c r="AW502" i="5"/>
  <c r="AV502" i="5"/>
  <c r="AU502" i="5"/>
  <c r="AT502" i="5"/>
  <c r="AS502" i="5"/>
  <c r="AR502" i="5"/>
  <c r="AQ502" i="5"/>
  <c r="AP502" i="5"/>
  <c r="AO502" i="5"/>
  <c r="AN502" i="5"/>
  <c r="AM502" i="5"/>
  <c r="AL502" i="5"/>
  <c r="AK502" i="5"/>
  <c r="AJ502" i="5"/>
  <c r="AI502" i="5"/>
  <c r="AH502" i="5"/>
  <c r="AG502" i="5"/>
  <c r="AF502" i="5"/>
  <c r="AE502" i="5"/>
  <c r="AD502" i="5"/>
  <c r="AC502" i="5"/>
  <c r="AB502" i="5"/>
  <c r="AA502" i="5"/>
  <c r="Z502" i="5"/>
  <c r="Y502" i="5"/>
  <c r="X502" i="5"/>
  <c r="W502" i="5"/>
  <c r="V502" i="5"/>
  <c r="U502" i="5"/>
  <c r="T502" i="5"/>
  <c r="S502" i="5"/>
  <c r="R502" i="5"/>
  <c r="Q502" i="5"/>
  <c r="P502" i="5"/>
  <c r="O502" i="5"/>
  <c r="N502" i="5"/>
  <c r="M502" i="5"/>
  <c r="L502" i="5"/>
  <c r="K502" i="5"/>
  <c r="J502" i="5"/>
  <c r="I502" i="5"/>
  <c r="H502" i="5"/>
  <c r="G502" i="5"/>
  <c r="F502" i="5"/>
  <c r="E502" i="5"/>
  <c r="D502" i="5"/>
  <c r="C502" i="5"/>
  <c r="H442" i="5"/>
  <c r="G442" i="5"/>
  <c r="F442" i="5"/>
  <c r="E442" i="5"/>
  <c r="D442" i="5"/>
  <c r="C442" i="5"/>
  <c r="H441" i="5"/>
  <c r="G441" i="5"/>
  <c r="F441" i="5"/>
  <c r="E441" i="5"/>
  <c r="D441" i="5"/>
  <c r="C441" i="5"/>
  <c r="H440" i="5"/>
  <c r="G440" i="5"/>
  <c r="F440" i="5"/>
  <c r="E440" i="5"/>
  <c r="D440" i="5"/>
  <c r="C440" i="5"/>
  <c r="H439" i="5"/>
  <c r="G439" i="5"/>
  <c r="F439" i="5"/>
  <c r="E439" i="5"/>
  <c r="D439" i="5"/>
  <c r="C439" i="5"/>
  <c r="H438" i="5"/>
  <c r="G438" i="5"/>
  <c r="F438" i="5"/>
  <c r="E438" i="5"/>
  <c r="D438" i="5"/>
  <c r="C438" i="5"/>
  <c r="H437" i="5"/>
  <c r="G437" i="5"/>
  <c r="F437" i="5"/>
  <c r="E437" i="5"/>
  <c r="D437" i="5"/>
  <c r="C437" i="5"/>
  <c r="B436" i="5"/>
  <c r="H434" i="5"/>
  <c r="G434" i="5"/>
  <c r="F434" i="5"/>
  <c r="E434" i="5"/>
  <c r="D434" i="5"/>
  <c r="C434" i="5"/>
  <c r="B433" i="5"/>
  <c r="H431" i="5"/>
  <c r="G431" i="5"/>
  <c r="F431" i="5"/>
  <c r="E431" i="5"/>
  <c r="D431" i="5"/>
  <c r="C431" i="5"/>
  <c r="H430" i="5"/>
  <c r="G430" i="5"/>
  <c r="F430" i="5"/>
  <c r="E430" i="5"/>
  <c r="D430" i="5"/>
  <c r="C430" i="5"/>
  <c r="H429" i="5"/>
  <c r="G429" i="5"/>
  <c r="F429" i="5"/>
  <c r="E429" i="5"/>
  <c r="D429" i="5"/>
  <c r="C429" i="5"/>
  <c r="H428" i="5"/>
  <c r="G428" i="5"/>
  <c r="F428" i="5"/>
  <c r="E428" i="5"/>
  <c r="D428" i="5"/>
  <c r="C428" i="5"/>
  <c r="H427" i="5"/>
  <c r="G427" i="5"/>
  <c r="F427" i="5"/>
  <c r="E427" i="5"/>
  <c r="D427" i="5"/>
  <c r="C427" i="5"/>
  <c r="E426" i="5"/>
  <c r="C426" i="5"/>
  <c r="B425" i="5"/>
  <c r="H423" i="5"/>
  <c r="G423" i="5"/>
  <c r="F423" i="5"/>
  <c r="E423" i="5"/>
  <c r="D423" i="5"/>
  <c r="C423" i="5"/>
  <c r="H422" i="5"/>
  <c r="G422" i="5"/>
  <c r="F422" i="5"/>
  <c r="E422" i="5"/>
  <c r="D422" i="5"/>
  <c r="C422" i="5"/>
  <c r="H421" i="5"/>
  <c r="G421" i="5"/>
  <c r="F421" i="5"/>
  <c r="E421" i="5"/>
  <c r="D421" i="5"/>
  <c r="C421" i="5"/>
  <c r="H420" i="5"/>
  <c r="G420" i="5"/>
  <c r="F420" i="5"/>
  <c r="E420" i="5"/>
  <c r="D420" i="5"/>
  <c r="C420" i="5"/>
  <c r="H419" i="5"/>
  <c r="G419" i="5"/>
  <c r="F419" i="5"/>
  <c r="E419" i="5"/>
  <c r="D419" i="5"/>
  <c r="C419" i="5"/>
  <c r="H418" i="5"/>
  <c r="G418" i="5"/>
  <c r="F418" i="5"/>
  <c r="E418" i="5"/>
  <c r="D418" i="5"/>
  <c r="C418" i="5"/>
  <c r="B417" i="5"/>
  <c r="H415" i="5"/>
  <c r="G415" i="5"/>
  <c r="F415" i="5"/>
  <c r="E415" i="5"/>
  <c r="D415" i="5"/>
  <c r="C415" i="5"/>
  <c r="H414" i="5"/>
  <c r="G414" i="5"/>
  <c r="F414" i="5"/>
  <c r="E414" i="5"/>
  <c r="D414" i="5"/>
  <c r="C414" i="5"/>
  <c r="H413" i="5"/>
  <c r="G413" i="5"/>
  <c r="F413" i="5"/>
  <c r="E413" i="5"/>
  <c r="D413" i="5"/>
  <c r="C413" i="5"/>
  <c r="H412" i="5"/>
  <c r="G412" i="5"/>
  <c r="F412" i="5"/>
  <c r="E412" i="5"/>
  <c r="D412" i="5"/>
  <c r="C412" i="5"/>
  <c r="H411" i="5"/>
  <c r="G411" i="5"/>
  <c r="F411" i="5"/>
  <c r="E411" i="5"/>
  <c r="D411" i="5"/>
  <c r="C411" i="5"/>
  <c r="H410" i="5"/>
  <c r="G410" i="5"/>
  <c r="F410" i="5"/>
  <c r="E410" i="5"/>
  <c r="D410" i="5"/>
  <c r="C410" i="5"/>
  <c r="H409" i="5"/>
  <c r="G409" i="5"/>
  <c r="F409" i="5"/>
  <c r="E409" i="5"/>
  <c r="D409" i="5"/>
  <c r="C409" i="5"/>
  <c r="H408" i="5"/>
  <c r="G408" i="5"/>
  <c r="F408" i="5"/>
  <c r="E408" i="5"/>
  <c r="D408" i="5"/>
  <c r="C408" i="5"/>
  <c r="H407" i="5"/>
  <c r="G407" i="5"/>
  <c r="F407" i="5"/>
  <c r="E407" i="5"/>
  <c r="D407" i="5"/>
  <c r="C407" i="5"/>
  <c r="H406" i="5"/>
  <c r="G406" i="5"/>
  <c r="F406" i="5"/>
  <c r="E406" i="5"/>
  <c r="D406" i="5"/>
  <c r="C406" i="5"/>
  <c r="H405" i="5"/>
  <c r="G405" i="5"/>
  <c r="F405" i="5"/>
  <c r="E405" i="5"/>
  <c r="D405" i="5"/>
  <c r="C405" i="5"/>
  <c r="B404" i="5"/>
  <c r="H402" i="5"/>
  <c r="G402" i="5"/>
  <c r="F402" i="5"/>
  <c r="E402" i="5"/>
  <c r="D402" i="5"/>
  <c r="H259" i="5"/>
  <c r="G259" i="5"/>
  <c r="F259" i="5"/>
  <c r="E259" i="5"/>
  <c r="D259" i="5"/>
  <c r="C259" i="5"/>
  <c r="H258" i="5"/>
  <c r="G258" i="5"/>
  <c r="F258" i="5"/>
  <c r="E258" i="5"/>
  <c r="D258" i="5"/>
  <c r="C258" i="5"/>
  <c r="H257" i="5"/>
  <c r="G257" i="5"/>
  <c r="F257" i="5"/>
  <c r="E257" i="5"/>
  <c r="D257" i="5"/>
  <c r="C257" i="5"/>
  <c r="C256" i="5"/>
  <c r="B256" i="5"/>
  <c r="H254" i="5"/>
  <c r="G254" i="5"/>
  <c r="F254" i="5"/>
  <c r="E254" i="5"/>
  <c r="D254" i="5"/>
  <c r="C254" i="5"/>
  <c r="C253" i="5"/>
  <c r="B253" i="5"/>
  <c r="H251" i="5"/>
  <c r="G251" i="5"/>
  <c r="F251" i="5"/>
  <c r="E251" i="5"/>
  <c r="D251" i="5"/>
  <c r="C251" i="5"/>
  <c r="H250" i="5"/>
  <c r="G250" i="5"/>
  <c r="F250" i="5"/>
  <c r="E250" i="5"/>
  <c r="D250" i="5"/>
  <c r="C250" i="5"/>
  <c r="H249" i="5"/>
  <c r="G249" i="5"/>
  <c r="F249" i="5"/>
  <c r="E249" i="5"/>
  <c r="D249" i="5"/>
  <c r="C249" i="5"/>
  <c r="H248" i="5"/>
  <c r="G248" i="5"/>
  <c r="F248" i="5"/>
  <c r="E248" i="5"/>
  <c r="D248" i="5"/>
  <c r="C248" i="5"/>
  <c r="H247" i="5"/>
  <c r="G247" i="5"/>
  <c r="F247" i="5"/>
  <c r="E247" i="5"/>
  <c r="D247" i="5"/>
  <c r="C247" i="5"/>
  <c r="C246" i="5"/>
  <c r="B246" i="5"/>
  <c r="H244" i="5"/>
  <c r="G244" i="5"/>
  <c r="F244" i="5"/>
  <c r="E244" i="5"/>
  <c r="D244" i="5"/>
  <c r="C244" i="5"/>
  <c r="H243" i="5"/>
  <c r="G243" i="5"/>
  <c r="F243" i="5"/>
  <c r="E243" i="5"/>
  <c r="D243" i="5"/>
  <c r="C243" i="5"/>
  <c r="C242" i="5"/>
  <c r="H240" i="5"/>
  <c r="G240" i="5"/>
  <c r="F240" i="5"/>
  <c r="E240" i="5"/>
  <c r="D240" i="5"/>
  <c r="C240" i="5"/>
  <c r="H239" i="5"/>
  <c r="G239" i="5"/>
  <c r="F239" i="5"/>
  <c r="E239" i="5"/>
  <c r="D239" i="5"/>
  <c r="C239" i="5"/>
  <c r="H238" i="5"/>
  <c r="G238" i="5"/>
  <c r="F238" i="5"/>
  <c r="E238" i="5"/>
  <c r="D238" i="5"/>
  <c r="C238" i="5"/>
  <c r="H237" i="5"/>
  <c r="G237" i="5"/>
  <c r="F237" i="5"/>
  <c r="E237" i="5"/>
  <c r="D237" i="5"/>
  <c r="C237" i="5"/>
  <c r="H236" i="5"/>
  <c r="G236" i="5"/>
  <c r="F236" i="5"/>
  <c r="E236" i="5"/>
  <c r="D236" i="5"/>
  <c r="C236" i="5"/>
  <c r="C235" i="5"/>
  <c r="H233" i="5"/>
  <c r="G233" i="5"/>
  <c r="F233" i="5"/>
  <c r="E233" i="5"/>
  <c r="D233" i="5"/>
  <c r="C233" i="5"/>
  <c r="H232" i="5"/>
  <c r="G232" i="5"/>
  <c r="F232" i="5"/>
  <c r="E232" i="5"/>
  <c r="D232" i="5"/>
  <c r="C232" i="5"/>
  <c r="H231" i="5"/>
  <c r="G231" i="5"/>
  <c r="F231" i="5"/>
  <c r="E231" i="5"/>
  <c r="D231" i="5"/>
  <c r="C231" i="5"/>
  <c r="H230" i="5"/>
  <c r="G230" i="5"/>
  <c r="F230" i="5"/>
  <c r="E230" i="5"/>
  <c r="D230" i="5"/>
  <c r="C230" i="5"/>
  <c r="H229" i="5"/>
  <c r="G229" i="5"/>
  <c r="F229" i="5"/>
  <c r="E229" i="5"/>
  <c r="D229" i="5"/>
  <c r="C229" i="5"/>
  <c r="H228" i="5"/>
  <c r="G228" i="5"/>
  <c r="F228" i="5"/>
  <c r="E228" i="5"/>
  <c r="D228" i="5"/>
  <c r="C228" i="5"/>
  <c r="C227" i="5"/>
  <c r="B227" i="5"/>
  <c r="H225" i="5"/>
  <c r="G225" i="5"/>
  <c r="F225" i="5"/>
  <c r="E225" i="5"/>
  <c r="D225" i="5"/>
  <c r="C225" i="5"/>
  <c r="H224" i="5"/>
  <c r="G224" i="5"/>
  <c r="F224" i="5"/>
  <c r="E224" i="5"/>
  <c r="D224" i="5"/>
  <c r="C224" i="5"/>
  <c r="C223" i="5"/>
  <c r="H221" i="5"/>
  <c r="G221" i="5"/>
  <c r="F221" i="5"/>
  <c r="E221" i="5"/>
  <c r="D221" i="5"/>
  <c r="C221" i="5"/>
  <c r="H220" i="5"/>
  <c r="G220" i="5"/>
  <c r="F220" i="5"/>
  <c r="E220" i="5"/>
  <c r="D220" i="5"/>
  <c r="C220" i="5"/>
  <c r="H219" i="5"/>
  <c r="G219" i="5"/>
  <c r="F219" i="5"/>
  <c r="E219" i="5"/>
  <c r="D219" i="5"/>
  <c r="C219" i="5"/>
  <c r="H218" i="5"/>
  <c r="G218" i="5"/>
  <c r="F218" i="5"/>
  <c r="E218" i="5"/>
  <c r="D218" i="5"/>
  <c r="C218" i="5"/>
  <c r="H217" i="5"/>
  <c r="G217" i="5"/>
  <c r="F217" i="5"/>
  <c r="E217" i="5"/>
  <c r="D217" i="5"/>
  <c r="C217" i="5"/>
  <c r="H216" i="5"/>
  <c r="G216" i="5"/>
  <c r="F216" i="5"/>
  <c r="E216" i="5"/>
  <c r="D216" i="5"/>
  <c r="C216" i="5"/>
  <c r="H215" i="5"/>
  <c r="G215" i="5"/>
  <c r="F215" i="5"/>
  <c r="E215" i="5"/>
  <c r="D215" i="5"/>
  <c r="C215" i="5"/>
  <c r="H214" i="5"/>
  <c r="G214" i="5"/>
  <c r="F214" i="5"/>
  <c r="E214" i="5"/>
  <c r="D214" i="5"/>
  <c r="C214" i="5"/>
  <c r="C213" i="5"/>
  <c r="H211" i="5"/>
  <c r="G211" i="5"/>
  <c r="F211" i="5"/>
  <c r="E211" i="5"/>
  <c r="D211" i="5"/>
  <c r="C211" i="5"/>
  <c r="H210" i="5"/>
  <c r="G210" i="5"/>
  <c r="F210" i="5"/>
  <c r="E210" i="5"/>
  <c r="D210" i="5"/>
  <c r="C210" i="5"/>
  <c r="H209" i="5"/>
  <c r="G209" i="5"/>
  <c r="F209" i="5"/>
  <c r="E209" i="5"/>
  <c r="D209" i="5"/>
  <c r="C209" i="5"/>
  <c r="H208" i="5"/>
  <c r="G208" i="5"/>
  <c r="F208" i="5"/>
  <c r="E208" i="5"/>
  <c r="D208" i="5"/>
  <c r="C208" i="5"/>
  <c r="H207" i="5"/>
  <c r="G207" i="5"/>
  <c r="F207" i="5"/>
  <c r="E207" i="5"/>
  <c r="D207" i="5"/>
  <c r="C207" i="5"/>
  <c r="H206" i="5"/>
  <c r="G206" i="5"/>
  <c r="F206" i="5"/>
  <c r="E206" i="5"/>
  <c r="D206" i="5"/>
  <c r="C206" i="5"/>
  <c r="H205" i="5"/>
  <c r="G205" i="5"/>
  <c r="F205" i="5"/>
  <c r="E205" i="5"/>
  <c r="D205" i="5"/>
  <c r="C205" i="5"/>
  <c r="C204" i="5"/>
  <c r="B204" i="5"/>
  <c r="H202" i="5"/>
  <c r="G202" i="5"/>
  <c r="F202" i="5"/>
  <c r="E202" i="5"/>
  <c r="D202" i="5"/>
  <c r="BG57" i="5"/>
  <c r="BF57" i="5"/>
  <c r="BE57" i="5"/>
  <c r="BD57" i="5"/>
  <c r="BC57" i="5"/>
  <c r="BB57" i="5"/>
  <c r="BA57" i="5"/>
  <c r="AZ57" i="5"/>
  <c r="AY57" i="5"/>
  <c r="AX57" i="5"/>
  <c r="AW57" i="5"/>
  <c r="AV57" i="5"/>
  <c r="AU57" i="5"/>
  <c r="AT57" i="5"/>
  <c r="AS57" i="5"/>
  <c r="AR57" i="5"/>
  <c r="AQ57" i="5"/>
  <c r="AP57" i="5"/>
  <c r="AO57" i="5"/>
  <c r="AN57" i="5"/>
  <c r="AM57" i="5"/>
  <c r="AL57" i="5"/>
  <c r="AK57" i="5"/>
  <c r="AJ57" i="5"/>
  <c r="AI57" i="5"/>
  <c r="AH57"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C57" i="5"/>
  <c r="B57" i="5"/>
  <c r="BG56" i="5"/>
  <c r="BF56" i="5"/>
  <c r="BE56" i="5"/>
  <c r="BD56" i="5"/>
  <c r="BC56" i="5"/>
  <c r="BB56" i="5"/>
  <c r="BA56" i="5"/>
  <c r="AZ56" i="5"/>
  <c r="AY56" i="5"/>
  <c r="AX56" i="5"/>
  <c r="AW56" i="5"/>
  <c r="AV56" i="5"/>
  <c r="AU56" i="5"/>
  <c r="AT56" i="5"/>
  <c r="AS56" i="5"/>
  <c r="AR56" i="5"/>
  <c r="AQ56" i="5"/>
  <c r="AP56" i="5"/>
  <c r="AO56" i="5"/>
  <c r="AN56" i="5"/>
  <c r="AM56" i="5"/>
  <c r="AL56" i="5"/>
  <c r="AK56" i="5"/>
  <c r="AJ56" i="5"/>
  <c r="AI56" i="5"/>
  <c r="AH56"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B56"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B55" i="5"/>
  <c r="BG54" i="5"/>
  <c r="BF54" i="5"/>
  <c r="BE54" i="5"/>
  <c r="BD54" i="5"/>
  <c r="BC54" i="5"/>
  <c r="BB54" i="5"/>
  <c r="BA54" i="5"/>
  <c r="AZ54" i="5"/>
  <c r="AY54" i="5"/>
  <c r="AX54" i="5"/>
  <c r="AW54" i="5"/>
  <c r="AV54" i="5"/>
  <c r="AU54" i="5"/>
  <c r="AT54" i="5"/>
  <c r="AS54" i="5"/>
  <c r="AR54" i="5"/>
  <c r="AQ54" i="5"/>
  <c r="AP54" i="5"/>
  <c r="AO54" i="5"/>
  <c r="AN54" i="5"/>
  <c r="AM54" i="5"/>
  <c r="AL54" i="5"/>
  <c r="AK54" i="5"/>
  <c r="AJ54" i="5"/>
  <c r="AI54" i="5"/>
  <c r="AH54" i="5"/>
  <c r="AG54" i="5"/>
  <c r="AF54" i="5"/>
  <c r="AE54" i="5"/>
  <c r="AD54" i="5"/>
  <c r="AC54" i="5"/>
  <c r="AB54" i="5"/>
  <c r="AA54" i="5"/>
  <c r="Z54" i="5"/>
  <c r="Y54" i="5"/>
  <c r="X54" i="5"/>
  <c r="W54" i="5"/>
  <c r="V54" i="5"/>
  <c r="U54" i="5"/>
  <c r="T54" i="5"/>
  <c r="S54" i="5"/>
  <c r="R54" i="5"/>
  <c r="Q54" i="5"/>
  <c r="P54" i="5"/>
  <c r="O54" i="5"/>
  <c r="N54" i="5"/>
  <c r="M54" i="5"/>
  <c r="L54" i="5"/>
  <c r="K54" i="5"/>
  <c r="J54" i="5"/>
  <c r="I54" i="5"/>
  <c r="H54" i="5"/>
  <c r="G54" i="5"/>
  <c r="F54" i="5"/>
  <c r="E54" i="5"/>
  <c r="D54" i="5"/>
  <c r="C54" i="5"/>
  <c r="B54" i="5"/>
  <c r="A54" i="5"/>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BG53" i="5"/>
  <c r="BF53" i="5"/>
  <c r="BE53" i="5"/>
  <c r="BD53" i="5"/>
  <c r="BC53" i="5"/>
  <c r="BB53" i="5"/>
  <c r="BA53" i="5"/>
  <c r="AZ53" i="5"/>
  <c r="AY53" i="5"/>
  <c r="AX53" i="5"/>
  <c r="AW53" i="5"/>
  <c r="AV53" i="5"/>
  <c r="AU53" i="5"/>
  <c r="AT53" i="5"/>
  <c r="AS53" i="5"/>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C53" i="5"/>
  <c r="B53" i="5"/>
  <c r="BG52" i="5"/>
  <c r="BF52" i="5"/>
  <c r="BE52" i="5"/>
  <c r="BD52" i="5"/>
  <c r="BC52" i="5"/>
  <c r="BB52" i="5"/>
  <c r="BA52" i="5"/>
  <c r="AZ52" i="5"/>
  <c r="AY52" i="5"/>
  <c r="AX52" i="5"/>
  <c r="AW52" i="5"/>
  <c r="AV52" i="5"/>
  <c r="AU52" i="5"/>
  <c r="AT52" i="5"/>
  <c r="AS52" i="5"/>
  <c r="AR52" i="5"/>
  <c r="AQ52" i="5"/>
  <c r="AP52" i="5"/>
  <c r="AO52" i="5"/>
  <c r="AN52" i="5"/>
  <c r="AM52" i="5"/>
  <c r="AL52" i="5"/>
  <c r="AK52" i="5"/>
  <c r="AJ52" i="5"/>
  <c r="AI52" i="5"/>
  <c r="AH52"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C52" i="5"/>
  <c r="H36" i="5"/>
  <c r="G36" i="5"/>
  <c r="F36" i="5"/>
  <c r="E36" i="5"/>
  <c r="D36" i="5"/>
  <c r="C36" i="5"/>
  <c r="H35" i="5"/>
  <c r="G35" i="5"/>
  <c r="F35" i="5"/>
  <c r="E35" i="5"/>
  <c r="D35" i="5"/>
  <c r="C35" i="5"/>
  <c r="H34" i="5"/>
  <c r="G34" i="5"/>
  <c r="F34" i="5"/>
  <c r="E34" i="5"/>
  <c r="D34" i="5"/>
  <c r="C34" i="5"/>
  <c r="H33" i="5"/>
  <c r="G33" i="5"/>
  <c r="F33" i="5"/>
  <c r="E33" i="5"/>
  <c r="D33" i="5"/>
  <c r="C33" i="5"/>
  <c r="B32"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B22" i="5"/>
  <c r="H20" i="5"/>
  <c r="G20" i="5"/>
  <c r="F20" i="5"/>
  <c r="E20" i="5"/>
  <c r="D20" i="5"/>
  <c r="C20" i="5"/>
  <c r="H19" i="5"/>
  <c r="G19" i="5"/>
  <c r="F19" i="5"/>
  <c r="E19" i="5"/>
  <c r="D19" i="5"/>
  <c r="C19" i="5"/>
  <c r="H18" i="5"/>
  <c r="G18" i="5"/>
  <c r="F18" i="5"/>
  <c r="E18" i="5"/>
  <c r="D18" i="5"/>
  <c r="C18" i="5"/>
  <c r="B17"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8" i="5"/>
  <c r="H6" i="5"/>
  <c r="G6" i="5"/>
  <c r="F6" i="5"/>
  <c r="E6" i="5"/>
  <c r="D6" i="5"/>
  <c r="C6" i="5"/>
  <c r="H5" i="5"/>
  <c r="G5" i="5"/>
  <c r="F5" i="5"/>
  <c r="E5" i="5"/>
  <c r="D5" i="5"/>
  <c r="C5" i="5"/>
  <c r="H4" i="5"/>
  <c r="G4" i="5"/>
  <c r="F4" i="5"/>
  <c r="E4" i="5"/>
  <c r="D4" i="5"/>
  <c r="C4" i="5"/>
  <c r="H3" i="5"/>
  <c r="G3" i="5"/>
  <c r="F3" i="5"/>
  <c r="E3" i="5"/>
  <c r="D3" i="5"/>
  <c r="C3" i="5"/>
  <c r="H2" i="5"/>
  <c r="G2" i="5"/>
  <c r="F2" i="5"/>
  <c r="F1004" i="5" s="1"/>
  <c r="E2" i="5"/>
  <c r="E1004" i="5" s="1"/>
  <c r="D2" i="5"/>
  <c r="AN1" i="5"/>
  <c r="AM1" i="5"/>
  <c r="AL1" i="5"/>
  <c r="AK1" i="5"/>
  <c r="AJ1" i="5"/>
  <c r="AI1" i="5"/>
  <c r="AH1" i="5"/>
  <c r="AG1" i="5"/>
  <c r="AF1" i="5"/>
  <c r="AE1" i="5"/>
  <c r="AD1" i="5"/>
  <c r="AC1" i="5"/>
  <c r="AB1" i="5"/>
  <c r="AA1" i="5"/>
  <c r="Z1" i="5"/>
  <c r="Y1" i="5"/>
  <c r="X1" i="5"/>
  <c r="W1" i="5"/>
  <c r="V1" i="5"/>
  <c r="U1" i="5"/>
  <c r="T1" i="5"/>
  <c r="S1" i="5"/>
  <c r="R1" i="5"/>
  <c r="Q1" i="5"/>
  <c r="P1" i="5"/>
  <c r="O1" i="5"/>
  <c r="N1" i="5"/>
  <c r="M1" i="5"/>
  <c r="L1" i="5"/>
  <c r="K1" i="5"/>
  <c r="J1" i="5"/>
  <c r="I1" i="5"/>
  <c r="B24" i="2" l="1"/>
  <c r="B23" i="2"/>
  <c r="I67" i="2"/>
  <c r="Q55" i="2"/>
  <c r="I36" i="2"/>
  <c r="R55" i="2"/>
  <c r="I61" i="2"/>
  <c r="P55" i="2"/>
  <c r="Q61" i="2"/>
  <c r="Q54" i="2"/>
  <c r="N61" i="2"/>
  <c r="M61" i="2"/>
  <c r="L61" i="2"/>
  <c r="K61" i="2"/>
  <c r="J61" i="2"/>
  <c r="P61" i="2"/>
  <c r="O61" i="2"/>
  <c r="R61" i="2"/>
  <c r="Q57" i="2"/>
  <c r="K49" i="2"/>
  <c r="K13" i="18"/>
  <c r="E10" i="18"/>
  <c r="E13" i="18" s="1"/>
  <c r="I50" i="21"/>
  <c r="J36" i="21"/>
  <c r="H36" i="21"/>
  <c r="H45" i="21"/>
  <c r="J45" i="21"/>
  <c r="J59" i="21"/>
  <c r="H59" i="21"/>
  <c r="J61" i="21"/>
  <c r="H61" i="21"/>
  <c r="G25" i="20" a="1"/>
  <c r="G25" i="20" s="1"/>
  <c r="J63" i="21"/>
  <c r="H63" i="21"/>
  <c r="J55" i="21"/>
  <c r="H55" i="21"/>
  <c r="J65" i="21"/>
  <c r="H65" i="21"/>
  <c r="J53" i="21"/>
  <c r="H53" i="21"/>
  <c r="H51" i="21"/>
  <c r="J51" i="21"/>
  <c r="H46" i="21"/>
  <c r="H57" i="21"/>
  <c r="H34" i="21"/>
  <c r="I34" i="21" s="1"/>
  <c r="F25" i="20" a="1"/>
  <c r="F25" i="20" s="1"/>
  <c r="B2" i="22" s="1" a="1"/>
  <c r="B2" i="22" s="1"/>
  <c r="J25" i="21"/>
  <c r="H25" i="21"/>
  <c r="H49" i="21"/>
  <c r="J49" i="21"/>
  <c r="H30" i="21"/>
  <c r="J30" i="21"/>
  <c r="J32" i="21"/>
  <c r="H32" i="21"/>
  <c r="H35" i="21"/>
  <c r="J35" i="21"/>
  <c r="H38" i="21"/>
  <c r="J38" i="21"/>
  <c r="J41" i="21"/>
  <c r="H41" i="21"/>
  <c r="I27" i="21"/>
  <c r="J37" i="21"/>
  <c r="H37" i="21"/>
  <c r="J44" i="21"/>
  <c r="H44" i="21"/>
  <c r="I51" i="21"/>
  <c r="J23" i="21"/>
  <c r="H23" i="21"/>
  <c r="J29" i="21"/>
  <c r="H29" i="21"/>
  <c r="J31" i="21"/>
  <c r="H31" i="21"/>
  <c r="J33" i="21"/>
  <c r="H33" i="21"/>
  <c r="J39" i="21"/>
  <c r="H39" i="21"/>
  <c r="J54" i="21"/>
  <c r="H54" i="21"/>
  <c r="I67" i="21"/>
  <c r="J27" i="21"/>
  <c r="J52" i="21"/>
  <c r="H52" i="21"/>
  <c r="J58" i="21"/>
  <c r="H58" i="21"/>
  <c r="I63" i="21"/>
  <c r="J69" i="21"/>
  <c r="H69" i="21"/>
  <c r="I69" i="21" s="1"/>
  <c r="J77" i="21"/>
  <c r="H77" i="21"/>
  <c r="I77" i="21" s="1"/>
  <c r="J85" i="21"/>
  <c r="H85" i="21"/>
  <c r="I85" i="21" s="1"/>
  <c r="J93" i="21"/>
  <c r="H93" i="21"/>
  <c r="I93" i="21" s="1"/>
  <c r="J105" i="21"/>
  <c r="H105" i="21"/>
  <c r="I105" i="21" s="1"/>
  <c r="J113" i="21"/>
  <c r="H113" i="21"/>
  <c r="I113" i="21" s="1"/>
  <c r="H28" i="21"/>
  <c r="H56" i="21"/>
  <c r="J56" i="21"/>
  <c r="I61" i="21"/>
  <c r="H74" i="21"/>
  <c r="I74" i="21" s="1"/>
  <c r="J74" i="21"/>
  <c r="H82" i="21"/>
  <c r="I82" i="21" s="1"/>
  <c r="J82" i="21"/>
  <c r="H90" i="21"/>
  <c r="I90" i="21" s="1"/>
  <c r="J90" i="21"/>
  <c r="H98" i="21"/>
  <c r="I98" i="21" s="1"/>
  <c r="J98" i="21"/>
  <c r="J103" i="21"/>
  <c r="H103" i="21"/>
  <c r="I103" i="21" s="1"/>
  <c r="J108" i="21"/>
  <c r="H108" i="21"/>
  <c r="I108" i="21" s="1"/>
  <c r="J116" i="21"/>
  <c r="H116" i="21"/>
  <c r="I116" i="21" s="1"/>
  <c r="I36" i="21"/>
  <c r="I45" i="21"/>
  <c r="J50" i="21"/>
  <c r="I59" i="21"/>
  <c r="J71" i="21"/>
  <c r="H71" i="21"/>
  <c r="I71" i="21" s="1"/>
  <c r="J79" i="21"/>
  <c r="H79" i="21"/>
  <c r="I79" i="21" s="1"/>
  <c r="J87" i="21"/>
  <c r="H87" i="21"/>
  <c r="I87" i="21" s="1"/>
  <c r="J95" i="21"/>
  <c r="H95" i="21"/>
  <c r="I95" i="21" s="1"/>
  <c r="J111" i="21"/>
  <c r="H111" i="21"/>
  <c r="I111" i="21" s="1"/>
  <c r="J119" i="21"/>
  <c r="H119" i="21"/>
  <c r="I119" i="21" s="1"/>
  <c r="H26" i="21"/>
  <c r="I57" i="21"/>
  <c r="J68" i="21"/>
  <c r="H68" i="21"/>
  <c r="I68" i="21" s="1"/>
  <c r="J76" i="21"/>
  <c r="H76" i="21"/>
  <c r="I76" i="21" s="1"/>
  <c r="J84" i="21"/>
  <c r="H84" i="21"/>
  <c r="I84" i="21" s="1"/>
  <c r="J92" i="21"/>
  <c r="H92" i="21"/>
  <c r="I92" i="21" s="1"/>
  <c r="J100" i="21"/>
  <c r="H100" i="21"/>
  <c r="I100" i="21" s="1"/>
  <c r="J106" i="21"/>
  <c r="H106" i="21"/>
  <c r="I106" i="21" s="1"/>
  <c r="J114" i="21"/>
  <c r="H114" i="21"/>
  <c r="I114" i="21" s="1"/>
  <c r="J42" i="21"/>
  <c r="I46" i="21"/>
  <c r="I53" i="21"/>
  <c r="I55" i="21"/>
  <c r="J66" i="21"/>
  <c r="H66" i="21"/>
  <c r="J73" i="21"/>
  <c r="H73" i="21"/>
  <c r="I73" i="21" s="1"/>
  <c r="J81" i="21"/>
  <c r="H81" i="21"/>
  <c r="I81" i="21" s="1"/>
  <c r="J89" i="21"/>
  <c r="H89" i="21"/>
  <c r="I89" i="21" s="1"/>
  <c r="J97" i="21"/>
  <c r="H97" i="21"/>
  <c r="I97" i="21" s="1"/>
  <c r="H102" i="21"/>
  <c r="I102" i="21" s="1"/>
  <c r="J102" i="21"/>
  <c r="J109" i="21"/>
  <c r="H109" i="21"/>
  <c r="I109" i="21" s="1"/>
  <c r="J117" i="21"/>
  <c r="H117" i="21"/>
  <c r="I117" i="21" s="1"/>
  <c r="H24" i="21"/>
  <c r="H40" i="21"/>
  <c r="H43" i="21"/>
  <c r="H47" i="21"/>
  <c r="H48" i="21"/>
  <c r="H64" i="21"/>
  <c r="J64" i="21"/>
  <c r="H70" i="21"/>
  <c r="I70" i="21" s="1"/>
  <c r="J70" i="21"/>
  <c r="H78" i="21"/>
  <c r="I78" i="21" s="1"/>
  <c r="J78" i="21"/>
  <c r="H86" i="21"/>
  <c r="I86" i="21" s="1"/>
  <c r="J86" i="21"/>
  <c r="H94" i="21"/>
  <c r="I94" i="21" s="1"/>
  <c r="J94" i="21"/>
  <c r="J104" i="21"/>
  <c r="H104" i="21"/>
  <c r="I104" i="21" s="1"/>
  <c r="J112" i="21"/>
  <c r="H112" i="21"/>
  <c r="I112" i="21" s="1"/>
  <c r="J120" i="21"/>
  <c r="H120" i="21"/>
  <c r="I120" i="21" s="1"/>
  <c r="J62" i="21"/>
  <c r="H62" i="21"/>
  <c r="J75" i="21"/>
  <c r="H75" i="21"/>
  <c r="I75" i="21" s="1"/>
  <c r="J83" i="21"/>
  <c r="H83" i="21"/>
  <c r="I83" i="21" s="1"/>
  <c r="J91" i="21"/>
  <c r="H91" i="21"/>
  <c r="I91" i="21" s="1"/>
  <c r="J99" i="21"/>
  <c r="H99" i="21"/>
  <c r="I99" i="21" s="1"/>
  <c r="J107" i="21"/>
  <c r="H107" i="21"/>
  <c r="I107" i="21" s="1"/>
  <c r="J115" i="21"/>
  <c r="H115" i="21"/>
  <c r="I115" i="21" s="1"/>
  <c r="J60" i="21"/>
  <c r="H60" i="21"/>
  <c r="I65" i="21"/>
  <c r="J72" i="21"/>
  <c r="H72" i="21"/>
  <c r="I72" i="21" s="1"/>
  <c r="J80" i="21"/>
  <c r="H80" i="21"/>
  <c r="I80" i="21" s="1"/>
  <c r="J88" i="21"/>
  <c r="H88" i="21"/>
  <c r="I88" i="21" s="1"/>
  <c r="J96" i="21"/>
  <c r="H96" i="21"/>
  <c r="I96" i="21" s="1"/>
  <c r="J101" i="21"/>
  <c r="H101" i="21"/>
  <c r="I101" i="21" s="1"/>
  <c r="J110" i="21"/>
  <c r="H110" i="21"/>
  <c r="I110" i="21" s="1"/>
  <c r="J118" i="21"/>
  <c r="H118" i="21"/>
  <c r="I118" i="21" s="1"/>
  <c r="E40" i="14"/>
  <c r="F44" i="14"/>
  <c r="J47" i="14"/>
  <c r="J88" i="14" s="1"/>
  <c r="E47" i="14"/>
  <c r="D27" i="14"/>
  <c r="N44" i="14"/>
  <c r="M80" i="14"/>
  <c r="I80" i="14"/>
  <c r="I44" i="14"/>
  <c r="K47" i="14"/>
  <c r="K49" i="14" s="1"/>
  <c r="J44" i="14"/>
  <c r="M36" i="14"/>
  <c r="K36" i="14"/>
  <c r="H36" i="14"/>
  <c r="G47" i="14"/>
  <c r="G88" i="14" s="1"/>
  <c r="M47" i="14"/>
  <c r="M49" i="14" s="1"/>
  <c r="E45" i="14"/>
  <c r="I47" i="14"/>
  <c r="M56" i="2"/>
  <c r="H47" i="14"/>
  <c r="H88" i="14" s="1"/>
  <c r="N47" i="14"/>
  <c r="N88" i="14" s="1"/>
  <c r="F27" i="14"/>
  <c r="M27" i="14"/>
  <c r="M28" i="14" s="1"/>
  <c r="D47" i="14"/>
  <c r="J25" i="14"/>
  <c r="F47" i="14"/>
  <c r="F88" i="14" s="1"/>
  <c r="L47" i="14"/>
  <c r="L88" i="14" s="1"/>
  <c r="N27" i="14"/>
  <c r="N28" i="14" s="1"/>
  <c r="K27" i="14"/>
  <c r="K28" i="14" s="1"/>
  <c r="J27" i="14"/>
  <c r="J28" i="14" s="1"/>
  <c r="L25" i="14"/>
  <c r="E27" i="14"/>
  <c r="E33" i="14" s="1"/>
  <c r="L27" i="14"/>
  <c r="L28" i="14" s="1"/>
  <c r="I27" i="14"/>
  <c r="G27" i="14"/>
  <c r="G59" i="14" s="1"/>
  <c r="G71" i="14" s="1"/>
  <c r="O18" i="2"/>
  <c r="H27" i="14"/>
  <c r="H33" i="14" s="1"/>
  <c r="I65" i="14"/>
  <c r="N25" i="14"/>
  <c r="N45" i="14"/>
  <c r="N53" i="14"/>
  <c r="O53" i="14" s="1"/>
  <c r="O59" i="14" s="1"/>
  <c r="H73" i="14"/>
  <c r="H40" i="14"/>
  <c r="H39" i="14"/>
  <c r="F53" i="14"/>
  <c r="N73" i="14"/>
  <c r="O73" i="14" s="1"/>
  <c r="P73" i="14" s="1"/>
  <c r="N40" i="14"/>
  <c r="L73" i="14"/>
  <c r="L39" i="14"/>
  <c r="F65" i="14"/>
  <c r="F32" i="14"/>
  <c r="G53" i="14"/>
  <c r="G25" i="14"/>
  <c r="G36" i="14"/>
  <c r="K45" i="14"/>
  <c r="K53" i="14"/>
  <c r="N36" i="14"/>
  <c r="G40" i="14"/>
  <c r="G73" i="14"/>
  <c r="G39" i="14"/>
  <c r="E32" i="14"/>
  <c r="I73" i="14"/>
  <c r="I39" i="14"/>
  <c r="F36" i="14"/>
  <c r="N65" i="14"/>
  <c r="N32" i="14"/>
  <c r="L36" i="14"/>
  <c r="M32" i="14"/>
  <c r="M65" i="14"/>
  <c r="H53" i="14"/>
  <c r="H25" i="14"/>
  <c r="I25" i="14"/>
  <c r="I45" i="14"/>
  <c r="M53" i="14"/>
  <c r="M25" i="14"/>
  <c r="K31" i="14"/>
  <c r="H45" i="14"/>
  <c r="G45" i="14"/>
  <c r="E10" i="15"/>
  <c r="Q91" i="14"/>
  <c r="P89" i="14"/>
  <c r="W37" i="14"/>
  <c r="W52" i="14" s="1"/>
  <c r="O37" i="14"/>
  <c r="O52" i="14" s="1"/>
  <c r="G37" i="14"/>
  <c r="G52" i="14" s="1"/>
  <c r="F25" i="14"/>
  <c r="J32" i="14"/>
  <c r="L40" i="14"/>
  <c r="O89" i="14"/>
  <c r="V37" i="14"/>
  <c r="V52" i="14" s="1"/>
  <c r="F37" i="14"/>
  <c r="F52" i="14" s="1"/>
  <c r="G44" i="14"/>
  <c r="T37" i="14"/>
  <c r="T52" i="14" s="1"/>
  <c r="L37" i="14"/>
  <c r="L52" i="14" s="1"/>
  <c r="K37" i="14"/>
  <c r="K52" i="14" s="1"/>
  <c r="J37" i="14"/>
  <c r="J52" i="14" s="1"/>
  <c r="K25" i="14"/>
  <c r="I36" i="14"/>
  <c r="F40" i="14"/>
  <c r="K44" i="14"/>
  <c r="L53" i="14"/>
  <c r="Q37" i="14"/>
  <c r="Q52" i="14" s="1"/>
  <c r="I37" i="14"/>
  <c r="I52" i="14" s="1"/>
  <c r="L44" i="14"/>
  <c r="O81" i="14"/>
  <c r="O80" i="14" s="1"/>
  <c r="P80" i="14" s="1"/>
  <c r="X37" i="14"/>
  <c r="X52" i="14" s="1"/>
  <c r="P37" i="14"/>
  <c r="P52" i="14" s="1"/>
  <c r="H37" i="14"/>
  <c r="H52" i="14" s="1"/>
  <c r="K40" i="14"/>
  <c r="G80" i="14"/>
  <c r="L45" i="14"/>
  <c r="E44" i="14"/>
  <c r="M44" i="14"/>
  <c r="M45" i="14"/>
  <c r="J45" i="14"/>
  <c r="H44" i="14"/>
  <c r="E39" i="14"/>
  <c r="M39" i="14"/>
  <c r="M40" i="14"/>
  <c r="F39" i="14"/>
  <c r="N39" i="14"/>
  <c r="J39" i="14"/>
  <c r="K39" i="14"/>
  <c r="G32" i="14"/>
  <c r="H32" i="14"/>
  <c r="I32" i="14"/>
  <c r="I40" i="14"/>
  <c r="I53" i="14"/>
  <c r="J40" i="14"/>
  <c r="F45" i="14"/>
  <c r="J53" i="14"/>
  <c r="J36" i="14"/>
  <c r="G3" i="14"/>
  <c r="Q89" i="14"/>
  <c r="R91" i="14"/>
  <c r="N54" i="14"/>
  <c r="P56" i="14"/>
  <c r="P55" i="14" s="1"/>
  <c r="P62" i="14"/>
  <c r="P68" i="14"/>
  <c r="Q76" i="14"/>
  <c r="Q83" i="14"/>
  <c r="L60" i="2"/>
  <c r="J60" i="2"/>
  <c r="I18" i="2"/>
  <c r="T41" i="2"/>
  <c r="U41" i="2" s="1"/>
  <c r="P56" i="2"/>
  <c r="N60" i="2"/>
  <c r="T13" i="2"/>
  <c r="U13" i="2" s="1"/>
  <c r="T14" i="2"/>
  <c r="U14" i="2" s="1"/>
  <c r="T28" i="2"/>
  <c r="U28" i="2" s="1"/>
  <c r="T39" i="2"/>
  <c r="U39" i="2" s="1"/>
  <c r="T37" i="2"/>
  <c r="U37" i="2" s="1"/>
  <c r="T12" i="2"/>
  <c r="U12" i="2" s="1"/>
  <c r="T35" i="2"/>
  <c r="U35" i="2" s="1"/>
  <c r="T15" i="2"/>
  <c r="U15" i="2" s="1"/>
  <c r="T34" i="2"/>
  <c r="U34" i="2" s="1"/>
  <c r="T65" i="2"/>
  <c r="U65" i="2" s="1"/>
  <c r="T33" i="2"/>
  <c r="U33" i="2" s="1"/>
  <c r="T11" i="2"/>
  <c r="U11" i="2" s="1"/>
  <c r="T59" i="2"/>
  <c r="U59" i="2" s="1"/>
  <c r="T32" i="2"/>
  <c r="U32" i="2" s="1"/>
  <c r="T23" i="2"/>
  <c r="U23" i="2" s="1"/>
  <c r="T6" i="2"/>
  <c r="U6" i="2" s="1"/>
  <c r="T10" i="2"/>
  <c r="U10" i="2" s="1"/>
  <c r="T58" i="2"/>
  <c r="U58" i="2" s="1"/>
  <c r="T24" i="2"/>
  <c r="U24" i="2" s="1"/>
  <c r="T31" i="2"/>
  <c r="U31" i="2" s="1"/>
  <c r="I60" i="2"/>
  <c r="T9" i="2"/>
  <c r="U9" i="2" s="1"/>
  <c r="T27" i="2"/>
  <c r="U27" i="2" s="1"/>
  <c r="T29" i="2"/>
  <c r="U29" i="2" s="1"/>
  <c r="T42" i="2"/>
  <c r="U42" i="2" s="1"/>
  <c r="T30" i="2"/>
  <c r="U30" i="2" s="1"/>
  <c r="T8" i="2"/>
  <c r="U8" i="2" s="1"/>
  <c r="O64" i="2"/>
  <c r="O67" i="2"/>
  <c r="O66" i="2"/>
  <c r="K67" i="2"/>
  <c r="K66" i="2"/>
  <c r="T16" i="2"/>
  <c r="U16" i="2" s="1"/>
  <c r="O60" i="2"/>
  <c r="J67" i="2"/>
  <c r="J66" i="2"/>
  <c r="J64" i="2"/>
  <c r="R60" i="2"/>
  <c r="I64" i="2"/>
  <c r="R67" i="2"/>
  <c r="R66" i="2"/>
  <c r="R64" i="2"/>
  <c r="M67" i="2"/>
  <c r="M66" i="2"/>
  <c r="M64" i="2"/>
  <c r="T20" i="2"/>
  <c r="U20" i="2" s="1"/>
  <c r="N64" i="2"/>
  <c r="N67" i="2"/>
  <c r="N66" i="2"/>
  <c r="M60" i="2"/>
  <c r="Q50" i="2"/>
  <c r="Q60" i="2"/>
  <c r="P60" i="2"/>
  <c r="L67" i="2"/>
  <c r="L66" i="2"/>
  <c r="L64" i="2"/>
  <c r="P66" i="2"/>
  <c r="P64" i="2"/>
  <c r="P67" i="2"/>
  <c r="Q66" i="2"/>
  <c r="Q64" i="2"/>
  <c r="Q67" i="2"/>
  <c r="P53" i="2"/>
  <c r="Q53" i="2"/>
  <c r="K53" i="2"/>
  <c r="J56" i="2"/>
  <c r="R50" i="2"/>
  <c r="Q18" i="2"/>
  <c r="O56" i="2"/>
  <c r="N53" i="2"/>
  <c r="J53" i="2"/>
  <c r="L53" i="2"/>
  <c r="O53" i="2"/>
  <c r="R47" i="2"/>
  <c r="N56" i="2"/>
  <c r="I53" i="2"/>
  <c r="L56" i="2"/>
  <c r="M50" i="2"/>
  <c r="Q17" i="2"/>
  <c r="R46" i="2"/>
  <c r="R18" i="2"/>
  <c r="O50" i="2"/>
  <c r="M18" i="2"/>
  <c r="P18" i="2"/>
  <c r="P17" i="2"/>
  <c r="O17" i="2"/>
  <c r="N18" i="2"/>
  <c r="N17" i="2"/>
  <c r="L18" i="2"/>
  <c r="L17" i="2"/>
  <c r="K18" i="2"/>
  <c r="K17" i="2"/>
  <c r="J18" i="2"/>
  <c r="M17" i="2"/>
  <c r="R17" i="2"/>
  <c r="J36" i="2"/>
  <c r="K36" i="2"/>
  <c r="L36" i="2"/>
  <c r="M36" i="2"/>
  <c r="N36" i="2"/>
  <c r="O36" i="2"/>
  <c r="P36" i="2"/>
  <c r="Q36" i="2"/>
  <c r="R36" i="2"/>
  <c r="J17" i="2"/>
  <c r="H18" i="2"/>
  <c r="F18" i="2"/>
  <c r="G18" i="2"/>
  <c r="F66" i="2"/>
  <c r="R48" i="2"/>
  <c r="O48" i="2"/>
  <c r="M48" i="2"/>
  <c r="I63" i="2"/>
  <c r="J63" i="2"/>
  <c r="K63" i="2"/>
  <c r="L63" i="2"/>
  <c r="N63" i="2"/>
  <c r="O63" i="2"/>
  <c r="P63" i="2"/>
  <c r="Q63" i="2"/>
  <c r="R63" i="2"/>
  <c r="H62" i="2"/>
  <c r="H63" i="2"/>
  <c r="G62" i="2"/>
  <c r="G63" i="2"/>
  <c r="F62" i="2"/>
  <c r="F63" i="2"/>
  <c r="M63" i="2"/>
  <c r="J62" i="2"/>
  <c r="K62" i="2"/>
  <c r="L62" i="2"/>
  <c r="M62" i="2"/>
  <c r="N62" i="2"/>
  <c r="O62" i="2"/>
  <c r="P62" i="2"/>
  <c r="Q62" i="2"/>
  <c r="R62" i="2"/>
  <c r="R49" i="2"/>
  <c r="M53" i="2"/>
  <c r="P46" i="2"/>
  <c r="N46" i="2"/>
  <c r="L46" i="2"/>
  <c r="K46" i="2"/>
  <c r="J46" i="2"/>
  <c r="I46" i="2"/>
  <c r="R57" i="2"/>
  <c r="P57" i="2"/>
  <c r="O57" i="2"/>
  <c r="N57" i="2"/>
  <c r="M57" i="2"/>
  <c r="L57" i="2"/>
  <c r="K57" i="2"/>
  <c r="J57" i="2"/>
  <c r="I57" i="2"/>
  <c r="R56" i="2"/>
  <c r="Q56" i="2"/>
  <c r="K55" i="2"/>
  <c r="K56" i="2"/>
  <c r="I55" i="2"/>
  <c r="I56" i="2"/>
  <c r="P48" i="2"/>
  <c r="P54" i="2"/>
  <c r="P47" i="2"/>
  <c r="P50" i="2"/>
  <c r="O54" i="2"/>
  <c r="O47" i="2"/>
  <c r="O46" i="2"/>
  <c r="N48" i="2"/>
  <c r="N54" i="2"/>
  <c r="N47" i="2"/>
  <c r="N50" i="2"/>
  <c r="L54" i="2"/>
  <c r="L47" i="2"/>
  <c r="L50" i="2"/>
  <c r="L48" i="2"/>
  <c r="K48" i="2"/>
  <c r="K54" i="2"/>
  <c r="K47" i="2"/>
  <c r="K50" i="2"/>
  <c r="J54" i="2"/>
  <c r="J47" i="2"/>
  <c r="J50" i="2"/>
  <c r="I54" i="2"/>
  <c r="I47" i="2"/>
  <c r="I50" i="2"/>
  <c r="M54" i="2"/>
  <c r="M47" i="2"/>
  <c r="M46" i="2"/>
  <c r="I48" i="2"/>
  <c r="Q47" i="2"/>
  <c r="Q46" i="2"/>
  <c r="Q48" i="2"/>
  <c r="J48" i="2"/>
  <c r="O55" i="2"/>
  <c r="N55" i="2"/>
  <c r="M55" i="2"/>
  <c r="L55" i="2"/>
  <c r="J55" i="2"/>
  <c r="Q49" i="2"/>
  <c r="P49" i="2"/>
  <c r="O49" i="2"/>
  <c r="N49" i="2"/>
  <c r="M49" i="2"/>
  <c r="L49" i="2"/>
  <c r="J49" i="2"/>
  <c r="I49" i="2"/>
  <c r="R54" i="2"/>
  <c r="R53" i="2"/>
  <c r="A505" i="5"/>
  <c r="A507" i="5"/>
  <c r="A506" i="5"/>
  <c r="A503" i="5"/>
  <c r="H1004" i="5"/>
  <c r="H1" i="5"/>
  <c r="F1002" i="5"/>
  <c r="F1" i="5"/>
  <c r="A504" i="5"/>
  <c r="H1002" i="5"/>
  <c r="E1002" i="5"/>
  <c r="E1" i="5"/>
  <c r="D1004" i="5"/>
  <c r="D1" i="5"/>
  <c r="G1004" i="5"/>
  <c r="G1" i="5"/>
  <c r="D1002" i="5"/>
  <c r="G1002" i="5"/>
  <c r="D1007" i="5"/>
  <c r="E1007" i="5"/>
  <c r="F1007" i="5"/>
  <c r="G1007" i="5"/>
  <c r="H1007" i="5"/>
  <c r="D1005" i="5"/>
  <c r="D1006" i="5" s="1"/>
  <c r="D1003" i="5"/>
  <c r="E1005" i="5"/>
  <c r="E1006" i="5" s="1"/>
  <c r="E1003" i="5"/>
  <c r="F1005" i="5"/>
  <c r="F1006" i="5" s="1"/>
  <c r="F1003" i="5"/>
  <c r="G1005" i="5"/>
  <c r="G1006" i="5" s="1"/>
  <c r="G1003" i="5"/>
  <c r="H1005" i="5"/>
  <c r="H1006" i="5" s="1"/>
  <c r="H1003" i="5"/>
  <c r="J49" i="14" l="1"/>
  <c r="J48" i="14"/>
  <c r="L49" i="14"/>
  <c r="E14" i="18"/>
  <c r="E15" i="18"/>
  <c r="E12" i="18"/>
  <c r="L54" i="20"/>
  <c r="L63" i="20"/>
  <c r="L45" i="20"/>
  <c r="L66" i="20"/>
  <c r="L46" i="20"/>
  <c r="L61" i="20"/>
  <c r="C8" i="20"/>
  <c r="L53" i="20"/>
  <c r="L58" i="20"/>
  <c r="L55" i="20"/>
  <c r="C7" i="20"/>
  <c r="L23" i="21" s="1"/>
  <c r="L47" i="20"/>
  <c r="L50" i="20"/>
  <c r="L62" i="20"/>
  <c r="L42" i="20"/>
  <c r="L71" i="20"/>
  <c r="L70" i="20"/>
  <c r="L69" i="20"/>
  <c r="L79" i="20"/>
  <c r="L73" i="20"/>
  <c r="L57" i="20"/>
  <c r="L41" i="20"/>
  <c r="L72" i="20"/>
  <c r="L56" i="20"/>
  <c r="L40" i="20"/>
  <c r="L25" i="20"/>
  <c r="L84" i="20"/>
  <c r="L68" i="20"/>
  <c r="L52" i="20"/>
  <c r="L36" i="20"/>
  <c r="L83" i="20"/>
  <c r="L67" i="20"/>
  <c r="L51" i="20"/>
  <c r="L35" i="20"/>
  <c r="L81" i="20"/>
  <c r="L65" i="20"/>
  <c r="L49" i="20"/>
  <c r="L33" i="20"/>
  <c r="L80" i="20"/>
  <c r="L64" i="20"/>
  <c r="L48" i="20"/>
  <c r="L32" i="20"/>
  <c r="L76" i="20"/>
  <c r="L60" i="20"/>
  <c r="L44" i="20"/>
  <c r="L28" i="20"/>
  <c r="L75" i="20"/>
  <c r="L59" i="20"/>
  <c r="L43" i="20"/>
  <c r="L27" i="20"/>
  <c r="L39" i="20"/>
  <c r="L38" i="20"/>
  <c r="L37" i="20"/>
  <c r="L34" i="20"/>
  <c r="L31" i="20"/>
  <c r="L30" i="20"/>
  <c r="L29" i="20"/>
  <c r="L26" i="20"/>
  <c r="L86" i="20"/>
  <c r="L85" i="20"/>
  <c r="L82" i="20"/>
  <c r="L78" i="20"/>
  <c r="L77" i="20"/>
  <c r="L74" i="20"/>
  <c r="I64" i="21"/>
  <c r="I52" i="21"/>
  <c r="I39" i="21"/>
  <c r="I23" i="21"/>
  <c r="I32" i="21"/>
  <c r="I60" i="21"/>
  <c r="I48" i="21"/>
  <c r="I47" i="21"/>
  <c r="I33" i="21"/>
  <c r="I41" i="21"/>
  <c r="I43" i="21"/>
  <c r="I26" i="21"/>
  <c r="I30" i="21"/>
  <c r="I40" i="21"/>
  <c r="I66" i="21"/>
  <c r="I31" i="21"/>
  <c r="I44" i="21"/>
  <c r="I24" i="21"/>
  <c r="I38" i="21"/>
  <c r="I49" i="21"/>
  <c r="I56" i="21"/>
  <c r="I58" i="21"/>
  <c r="I54" i="21"/>
  <c r="I29" i="21"/>
  <c r="I37" i="21"/>
  <c r="I25" i="21"/>
  <c r="I62" i="21"/>
  <c r="I28" i="21"/>
  <c r="I35" i="21"/>
  <c r="C3" i="14"/>
  <c r="M88" i="14"/>
  <c r="G49" i="14"/>
  <c r="I48" i="14"/>
  <c r="K48" i="14"/>
  <c r="H59" i="14"/>
  <c r="H71" i="14" s="1"/>
  <c r="H95" i="14" s="1"/>
  <c r="M33" i="14"/>
  <c r="E48" i="14"/>
  <c r="K88" i="14"/>
  <c r="G54" i="14"/>
  <c r="M29" i="14"/>
  <c r="L33" i="14"/>
  <c r="N29" i="14"/>
  <c r="F49" i="14"/>
  <c r="H28" i="14"/>
  <c r="M48" i="14"/>
  <c r="L48" i="14"/>
  <c r="I49" i="14"/>
  <c r="F48" i="14"/>
  <c r="H48" i="14"/>
  <c r="N48" i="14"/>
  <c r="N33" i="14"/>
  <c r="N59" i="14"/>
  <c r="N71" i="14" s="1"/>
  <c r="N95" i="14" s="1"/>
  <c r="I88" i="14"/>
  <c r="O19" i="2"/>
  <c r="O68" i="2" s="1"/>
  <c r="G48" i="14"/>
  <c r="H49" i="14"/>
  <c r="F29" i="14"/>
  <c r="M59" i="14"/>
  <c r="M71" i="14" s="1"/>
  <c r="F28" i="14"/>
  <c r="F33" i="14"/>
  <c r="F59" i="14"/>
  <c r="F71" i="14" s="1"/>
  <c r="F95" i="14" s="1"/>
  <c r="J33" i="14"/>
  <c r="K29" i="14"/>
  <c r="N49" i="14"/>
  <c r="K59" i="14"/>
  <c r="I29" i="14"/>
  <c r="E28" i="14"/>
  <c r="E29" i="14"/>
  <c r="J59" i="14"/>
  <c r="J71" i="14" s="1"/>
  <c r="J95" i="14" s="1"/>
  <c r="H54" i="14"/>
  <c r="G29" i="14"/>
  <c r="G28" i="14"/>
  <c r="G33" i="14"/>
  <c r="H29" i="14"/>
  <c r="L29" i="14"/>
  <c r="I28" i="14"/>
  <c r="I59" i="14"/>
  <c r="I71" i="14" s="1"/>
  <c r="J29" i="14"/>
  <c r="I33" i="14"/>
  <c r="I54" i="14"/>
  <c r="L59" i="14"/>
  <c r="L71" i="14" s="1"/>
  <c r="L95" i="14" s="1"/>
  <c r="K33" i="14"/>
  <c r="K32" i="14"/>
  <c r="K65" i="14"/>
  <c r="L54" i="14"/>
  <c r="G95" i="14"/>
  <c r="L32" i="14"/>
  <c r="E22" i="15"/>
  <c r="E18" i="15" s="1"/>
  <c r="O88" i="14"/>
  <c r="P88" i="14" s="1"/>
  <c r="Q88" i="14" s="1"/>
  <c r="M54" i="14"/>
  <c r="J54" i="14"/>
  <c r="K54" i="14"/>
  <c r="P66" i="14"/>
  <c r="Q68" i="14"/>
  <c r="P60" i="14"/>
  <c r="Q62" i="14"/>
  <c r="Q81" i="14"/>
  <c r="Q80" i="14" s="1"/>
  <c r="R83" i="14"/>
  <c r="O65" i="14"/>
  <c r="Q74" i="14"/>
  <c r="Q73" i="14" s="1"/>
  <c r="R76" i="14"/>
  <c r="S91" i="14"/>
  <c r="R89" i="14"/>
  <c r="P54" i="14"/>
  <c r="P53" i="14" s="1"/>
  <c r="Q56" i="14"/>
  <c r="Q55" i="14" s="1"/>
  <c r="P57" i="14"/>
  <c r="A30" i="2"/>
  <c r="B2" i="12"/>
  <c r="A29" i="2"/>
  <c r="A28" i="2"/>
  <c r="T18" i="2"/>
  <c r="U18" i="2" s="1"/>
  <c r="T60" i="2"/>
  <c r="U60" i="2" s="1"/>
  <c r="Q19" i="2"/>
  <c r="Q68" i="2" s="1"/>
  <c r="T47" i="2"/>
  <c r="U47" i="2" s="1"/>
  <c r="T56" i="2"/>
  <c r="U56" i="2" s="1"/>
  <c r="T46" i="2"/>
  <c r="U46" i="2" s="1"/>
  <c r="T54" i="2"/>
  <c r="U54" i="2" s="1"/>
  <c r="T62" i="2"/>
  <c r="U62" i="2" s="1"/>
  <c r="T63" i="2"/>
  <c r="U63" i="2" s="1"/>
  <c r="T48" i="2"/>
  <c r="U48" i="2" s="1"/>
  <c r="T61" i="2"/>
  <c r="U61" i="2" s="1"/>
  <c r="I19" i="2"/>
  <c r="I68" i="2" s="1"/>
  <c r="T17" i="2"/>
  <c r="U17" i="2" s="1"/>
  <c r="T64" i="2"/>
  <c r="U64" i="2" s="1"/>
  <c r="T57" i="2"/>
  <c r="U57" i="2" s="1"/>
  <c r="T66" i="2"/>
  <c r="U66" i="2" s="1"/>
  <c r="T50" i="2"/>
  <c r="U50" i="2" s="1"/>
  <c r="T67" i="2"/>
  <c r="U67" i="2" s="1"/>
  <c r="T36" i="2"/>
  <c r="U36" i="2" s="1"/>
  <c r="T49" i="2"/>
  <c r="U49" i="2" s="1"/>
  <c r="T53" i="2"/>
  <c r="U53" i="2" s="1"/>
  <c r="T55" i="2"/>
  <c r="U55" i="2" s="1"/>
  <c r="P19" i="2"/>
  <c r="P68" i="2" s="1"/>
  <c r="R19" i="2"/>
  <c r="R68" i="2" s="1"/>
  <c r="F19" i="2"/>
  <c r="N19" i="2"/>
  <c r="N68" i="2" s="1"/>
  <c r="G19" i="2"/>
  <c r="L19" i="2"/>
  <c r="L68" i="2" s="1"/>
  <c r="K19" i="2"/>
  <c r="K68" i="2" s="1"/>
  <c r="J19" i="2"/>
  <c r="J68" i="2" s="1"/>
  <c r="M19" i="2"/>
  <c r="M68" i="2" s="1"/>
  <c r="H19" i="2"/>
  <c r="M95" i="14" l="1"/>
  <c r="L29" i="21"/>
  <c r="L25" i="21"/>
  <c r="L28" i="21"/>
  <c r="L31" i="21"/>
  <c r="L24" i="21"/>
  <c r="L30" i="21"/>
  <c r="L40" i="21"/>
  <c r="L48" i="21"/>
  <c r="L56" i="21"/>
  <c r="L64" i="21"/>
  <c r="L72" i="21"/>
  <c r="L80" i="21"/>
  <c r="L88" i="21"/>
  <c r="L96" i="21"/>
  <c r="L104" i="21"/>
  <c r="L112" i="21"/>
  <c r="L120" i="21"/>
  <c r="L33" i="21"/>
  <c r="L41" i="21"/>
  <c r="L49" i="21"/>
  <c r="L57" i="21"/>
  <c r="L65" i="21"/>
  <c r="L73" i="21"/>
  <c r="L81" i="21"/>
  <c r="L89" i="21"/>
  <c r="L97" i="21"/>
  <c r="L105" i="21"/>
  <c r="L113" i="21"/>
  <c r="L34" i="21"/>
  <c r="L42" i="21"/>
  <c r="L50" i="21"/>
  <c r="L58" i="21"/>
  <c r="L66" i="21"/>
  <c r="L74" i="21"/>
  <c r="L82" i="21"/>
  <c r="L90" i="21"/>
  <c r="L98" i="21"/>
  <c r="L106" i="21"/>
  <c r="L114" i="21"/>
  <c r="L35" i="21"/>
  <c r="L43" i="21"/>
  <c r="L51" i="21"/>
  <c r="L59" i="21"/>
  <c r="L67" i="21"/>
  <c r="L75" i="21"/>
  <c r="L83" i="21"/>
  <c r="L91" i="21"/>
  <c r="L99" i="21"/>
  <c r="L107" i="21"/>
  <c r="L115" i="21"/>
  <c r="L36" i="21"/>
  <c r="L44" i="21"/>
  <c r="L52" i="21"/>
  <c r="L60" i="21"/>
  <c r="L68" i="21"/>
  <c r="L76" i="21"/>
  <c r="L84" i="21"/>
  <c r="L92" i="21"/>
  <c r="L100" i="21"/>
  <c r="L108" i="21"/>
  <c r="L116" i="21"/>
  <c r="L37" i="21"/>
  <c r="L45" i="21"/>
  <c r="L53" i="21"/>
  <c r="L61" i="21"/>
  <c r="L69" i="21"/>
  <c r="L77" i="21"/>
  <c r="L85" i="21"/>
  <c r="L93" i="21"/>
  <c r="L101" i="21"/>
  <c r="L109" i="21"/>
  <c r="L117" i="21"/>
  <c r="L38" i="21"/>
  <c r="L46" i="21"/>
  <c r="L54" i="21"/>
  <c r="L62" i="21"/>
  <c r="L70" i="21"/>
  <c r="L78" i="21"/>
  <c r="L86" i="21"/>
  <c r="L94" i="21"/>
  <c r="L102" i="21"/>
  <c r="L110" i="21"/>
  <c r="L118" i="21"/>
  <c r="L39" i="21"/>
  <c r="L47" i="21"/>
  <c r="L55" i="21"/>
  <c r="L63" i="21"/>
  <c r="L71" i="21"/>
  <c r="L79" i="21"/>
  <c r="L87" i="21"/>
  <c r="L95" i="21"/>
  <c r="L103" i="21"/>
  <c r="L111" i="21"/>
  <c r="L119" i="21"/>
  <c r="L27" i="21"/>
  <c r="L32" i="21"/>
  <c r="L26" i="21"/>
  <c r="I5" i="20"/>
  <c r="B10" i="22"/>
  <c r="C9" i="20"/>
  <c r="I7" i="20"/>
  <c r="I95" i="14"/>
  <c r="K71" i="14"/>
  <c r="K95" i="14" s="1"/>
  <c r="E11" i="15"/>
  <c r="E30" i="15" s="1"/>
  <c r="B19" i="2" s="1"/>
  <c r="R88" i="14"/>
  <c r="O71" i="14"/>
  <c r="O95" i="14" s="1"/>
  <c r="O96" i="14" s="1"/>
  <c r="Q57" i="14"/>
  <c r="S83" i="14"/>
  <c r="R81" i="14"/>
  <c r="R80" i="14" s="1"/>
  <c r="S89" i="14"/>
  <c r="T91" i="14"/>
  <c r="Q60" i="14"/>
  <c r="R62" i="14"/>
  <c r="S76" i="14"/>
  <c r="R74" i="14"/>
  <c r="R73" i="14" s="1"/>
  <c r="P59" i="14"/>
  <c r="Q66" i="14"/>
  <c r="R68" i="14"/>
  <c r="Q54" i="14"/>
  <c r="Q53" i="14" s="1"/>
  <c r="R56" i="14"/>
  <c r="T68" i="2"/>
  <c r="U68" i="2" s="1"/>
  <c r="T19" i="2"/>
  <c r="U19" i="2" s="1"/>
  <c r="C10" i="20" l="1"/>
  <c r="I6" i="20"/>
  <c r="B12" i="22" a="1"/>
  <c r="B12" i="22" s="1"/>
  <c r="S88" i="14"/>
  <c r="P65" i="14"/>
  <c r="P71" i="14" s="1"/>
  <c r="P95" i="14" s="1"/>
  <c r="P96" i="14" s="1"/>
  <c r="R54" i="14"/>
  <c r="R53" i="14" s="1"/>
  <c r="S56" i="14"/>
  <c r="R60" i="14"/>
  <c r="S62" i="14"/>
  <c r="S74" i="14"/>
  <c r="S73" i="14" s="1"/>
  <c r="T76" i="14"/>
  <c r="S81" i="14"/>
  <c r="S80" i="14" s="1"/>
  <c r="T83" i="14"/>
  <c r="Q59" i="14"/>
  <c r="R57" i="14"/>
  <c r="S57" i="14" s="1"/>
  <c r="R55" i="14"/>
  <c r="R66" i="14"/>
  <c r="S68" i="14"/>
  <c r="T89" i="14"/>
  <c r="U91" i="14"/>
  <c r="T88" i="14" l="1"/>
  <c r="R59" i="14"/>
  <c r="R65" i="14" s="1"/>
  <c r="R71" i="14" s="1"/>
  <c r="R95" i="14" s="1"/>
  <c r="R96" i="14" s="1"/>
  <c r="Q65" i="14"/>
  <c r="Q71" i="14" s="1"/>
  <c r="Q95" i="14" s="1"/>
  <c r="Q96" i="14" s="1"/>
  <c r="T81" i="14"/>
  <c r="T80" i="14" s="1"/>
  <c r="U83" i="14"/>
  <c r="U89" i="14"/>
  <c r="V91" i="14"/>
  <c r="S54" i="14"/>
  <c r="S53" i="14" s="1"/>
  <c r="T56" i="14"/>
  <c r="S66" i="14"/>
  <c r="T68" i="14"/>
  <c r="T74" i="14"/>
  <c r="T73" i="14" s="1"/>
  <c r="U76" i="14"/>
  <c r="S55" i="14"/>
  <c r="T55" i="14" s="1"/>
  <c r="S60" i="14"/>
  <c r="T62" i="14"/>
  <c r="U88" i="14" l="1"/>
  <c r="T60" i="14"/>
  <c r="U62" i="14"/>
  <c r="T54" i="14"/>
  <c r="T53" i="14" s="1"/>
  <c r="U56" i="14"/>
  <c r="V89" i="14"/>
  <c r="W91" i="14"/>
  <c r="U74" i="14"/>
  <c r="U73" i="14" s="1"/>
  <c r="V76" i="14"/>
  <c r="T57" i="14"/>
  <c r="T66" i="14"/>
  <c r="U68" i="14"/>
  <c r="S59" i="14"/>
  <c r="U55" i="14"/>
  <c r="U81" i="14"/>
  <c r="U80" i="14" s="1"/>
  <c r="V83" i="14"/>
  <c r="V88" i="14" l="1"/>
  <c r="U57" i="14"/>
  <c r="U66" i="14"/>
  <c r="V68" i="14"/>
  <c r="V81" i="14"/>
  <c r="V80" i="14" s="1"/>
  <c r="W83" i="14"/>
  <c r="W89" i="14"/>
  <c r="X91" i="14"/>
  <c r="T59" i="14"/>
  <c r="U60" i="14"/>
  <c r="V62" i="14"/>
  <c r="V74" i="14"/>
  <c r="V73" i="14" s="1"/>
  <c r="W76" i="14"/>
  <c r="S65" i="14"/>
  <c r="S71" i="14" s="1"/>
  <c r="S95" i="14" s="1"/>
  <c r="S96" i="14" s="1"/>
  <c r="U54" i="14"/>
  <c r="U53" i="14" s="1"/>
  <c r="V56" i="14"/>
  <c r="V57" i="14" s="1"/>
  <c r="W88" i="14" l="1"/>
  <c r="W56" i="14"/>
  <c r="V54" i="14"/>
  <c r="V53" i="14" s="1"/>
  <c r="W62" i="14"/>
  <c r="V60" i="14"/>
  <c r="U59" i="14"/>
  <c r="W68" i="14"/>
  <c r="V66" i="14"/>
  <c r="T65" i="14"/>
  <c r="T71" i="14" s="1"/>
  <c r="T95" i="14" s="1"/>
  <c r="T96" i="14" s="1"/>
  <c r="X89" i="14"/>
  <c r="Y91" i="14"/>
  <c r="Y89" i="14" s="1"/>
  <c r="V55" i="14"/>
  <c r="W74" i="14"/>
  <c r="W73" i="14" s="1"/>
  <c r="X76" i="14"/>
  <c r="W81" i="14"/>
  <c r="W80" i="14" s="1"/>
  <c r="X83" i="14"/>
  <c r="X88" i="14" l="1"/>
  <c r="Y88" i="14" s="1"/>
  <c r="X81" i="14"/>
  <c r="X80" i="14" s="1"/>
  <c r="Y83" i="14"/>
  <c r="Y81" i="14" s="1"/>
  <c r="W54" i="14"/>
  <c r="W53" i="14" s="1"/>
  <c r="X56" i="14"/>
  <c r="X54" i="14" s="1"/>
  <c r="X74" i="14"/>
  <c r="X73" i="14" s="1"/>
  <c r="Y76" i="14"/>
  <c r="Y74" i="14" s="1"/>
  <c r="W66" i="14"/>
  <c r="X68" i="14"/>
  <c r="W60" i="14"/>
  <c r="X62" i="14"/>
  <c r="W55" i="14"/>
  <c r="U65" i="14"/>
  <c r="U71" i="14" s="1"/>
  <c r="U95" i="14" s="1"/>
  <c r="U96" i="14" s="1"/>
  <c r="W57" i="14"/>
  <c r="V59" i="14"/>
  <c r="X55" i="14" l="1"/>
  <c r="Y73" i="14"/>
  <c r="X53" i="14"/>
  <c r="Y53" i="14" s="1"/>
  <c r="Y80" i="14"/>
  <c r="X66" i="14"/>
  <c r="Y68" i="14"/>
  <c r="Y66" i="14" s="1"/>
  <c r="X60" i="14"/>
  <c r="Y62" i="14"/>
  <c r="Y60" i="14" s="1"/>
  <c r="W59" i="14"/>
  <c r="X57" i="14"/>
  <c r="V65" i="14"/>
  <c r="V71" i="14" s="1"/>
  <c r="V95" i="14" s="1"/>
  <c r="V96" i="14" s="1"/>
  <c r="X59" i="14" l="1"/>
  <c r="X65" i="14" s="1"/>
  <c r="X71" i="14" s="1"/>
  <c r="X95" i="14" s="1"/>
  <c r="X98" i="14" s="1"/>
  <c r="Y59" i="14"/>
  <c r="Y65" i="14" s="1"/>
  <c r="Y71" i="14" s="1"/>
  <c r="Y95" i="14" s="1"/>
  <c r="Y98" i="14" s="1"/>
  <c r="W65" i="14"/>
  <c r="W71" i="14" s="1"/>
  <c r="W95" i="14" s="1"/>
  <c r="W96" i="14" s="1"/>
  <c r="X96" i="14" l="1"/>
  <c r="X99" i="14"/>
  <c r="Y96" i="14"/>
  <c r="Y99" i="14"/>
  <c r="Y101" i="14" l="1"/>
  <c r="Y104" i="14" s="1"/>
  <c r="Y106" i="14" s="1"/>
  <c r="G4" i="14" s="1"/>
  <c r="X101" i="1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sharedStrings.xml><?xml version="1.0" encoding="utf-8"?>
<sst xmlns="http://schemas.openxmlformats.org/spreadsheetml/2006/main" count="6696" uniqueCount="1108">
  <si>
    <t xml:space="preserve"> </t>
  </si>
  <si>
    <t>EV</t>
  </si>
  <si>
    <t>EBIT Margin</t>
  </si>
  <si>
    <t>Beta</t>
  </si>
  <si>
    <t>EBIT</t>
  </si>
  <si>
    <t>Dividends</t>
  </si>
  <si>
    <t>Net Income</t>
  </si>
  <si>
    <t>CFO</t>
  </si>
  <si>
    <t>Balance Sheet</t>
  </si>
  <si>
    <t>Common EPS</t>
  </si>
  <si>
    <t>Enterprise Value</t>
  </si>
  <si>
    <t>ROIC</t>
  </si>
  <si>
    <t>CROSIC</t>
  </si>
  <si>
    <t>Income Statement — Annual</t>
  </si>
  <si>
    <t>fiscalDateEnding</t>
  </si>
  <si>
    <t>reportedCurrency</t>
  </si>
  <si>
    <t>grossProfit</t>
  </si>
  <si>
    <t>totalRevenue</t>
  </si>
  <si>
    <t>costOfRevenue</t>
  </si>
  <si>
    <t>costofGoodsAndServicesSold</t>
  </si>
  <si>
    <t>operatingIncome</t>
  </si>
  <si>
    <t>sellingGeneralAndAdministrative</t>
  </si>
  <si>
    <t>researchAndDevelopment</t>
  </si>
  <si>
    <t>operatingExpenses</t>
  </si>
  <si>
    <t>investmentIncomeNet</t>
  </si>
  <si>
    <t>netInterestIncome</t>
  </si>
  <si>
    <t>interestIncome</t>
  </si>
  <si>
    <t>interestExpense</t>
  </si>
  <si>
    <t>nonInterestIncome</t>
  </si>
  <si>
    <t>otherNonOperatingIncome</t>
  </si>
  <si>
    <t>depreciation</t>
  </si>
  <si>
    <t>depreciationAndAmortization</t>
  </si>
  <si>
    <t>incomeBeforeTax</t>
  </si>
  <si>
    <t>incomeTaxExpense</t>
  </si>
  <si>
    <t>interestAndDebtExpense</t>
  </si>
  <si>
    <t>netIncomeFromContinuingOperations</t>
  </si>
  <si>
    <t>comprehensiveIncomeNetOfTax</t>
  </si>
  <si>
    <t>ebit</t>
  </si>
  <si>
    <t>ebitda</t>
  </si>
  <si>
    <t>netIncome</t>
  </si>
  <si>
    <t>No data returned</t>
  </si>
  <si>
    <t>31/12/2024</t>
  </si>
  <si>
    <t>USD</t>
  </si>
  <si>
    <t>None</t>
  </si>
  <si>
    <t>31/12/2023</t>
  </si>
  <si>
    <t>Income Statement — Quarterly</t>
  </si>
  <si>
    <t>31/12/2022</t>
  </si>
  <si>
    <t>31/12/2021</t>
  </si>
  <si>
    <t>31/12/2020</t>
  </si>
  <si>
    <t>Balance Sheet — Annual</t>
  </si>
  <si>
    <t>31/12/2019</t>
  </si>
  <si>
    <t>31/12/2018</t>
  </si>
  <si>
    <t>31/12/2017</t>
  </si>
  <si>
    <t>Balance Sheet — Quarterly</t>
  </si>
  <si>
    <t>31/12/2016</t>
  </si>
  <si>
    <t>31/12/2015</t>
  </si>
  <si>
    <t>31/12/2014</t>
  </si>
  <si>
    <t>Cash Flow — Annual</t>
  </si>
  <si>
    <t>31/12/2013</t>
  </si>
  <si>
    <t>31/12/2012</t>
  </si>
  <si>
    <t>31/12/2011</t>
  </si>
  <si>
    <t>Cash Flow — Quarterly</t>
  </si>
  <si>
    <t>31/12/2010</t>
  </si>
  <si>
    <t>31/12/2009</t>
  </si>
  <si>
    <t>31/12/2008</t>
  </si>
  <si>
    <t>##########</t>
  </si>
  <si>
    <t>30/09/2006</t>
  </si>
  <si>
    <t>30/09/2005</t>
  </si>
  <si>
    <t>31/03/2025</t>
  </si>
  <si>
    <t>deferredRevenue</t>
  </si>
  <si>
    <t>currentDebt</t>
  </si>
  <si>
    <t>shortTermDebt</t>
  </si>
  <si>
    <t>totalNonCurrentLiabilities</t>
  </si>
  <si>
    <t>capitalLeaseObligations</t>
  </si>
  <si>
    <t>longTermDebt</t>
  </si>
  <si>
    <t>currentLongTermDebt</t>
  </si>
  <si>
    <t>longTermDebtNoncurrent</t>
  </si>
  <si>
    <t>shortLongTermDebtTotal</t>
  </si>
  <si>
    <t>otherCurrentLiabilities</t>
  </si>
  <si>
    <t>otherNonCurrentLiabilities</t>
  </si>
  <si>
    <t>totalShareholderEquity</t>
  </si>
  <si>
    <t>treasuryStock</t>
  </si>
  <si>
    <t>retainedEarnings</t>
  </si>
  <si>
    <t>commonStock</t>
  </si>
  <si>
    <t>commonStockSharesOutstanding</t>
  </si>
  <si>
    <t>30/09/2024</t>
  </si>
  <si>
    <t>30/06/2024</t>
  </si>
  <si>
    <t>31/03/2024</t>
  </si>
  <si>
    <t>30/09/2023</t>
  </si>
  <si>
    <t>30/06/2023</t>
  </si>
  <si>
    <t>31/03/2023</t>
  </si>
  <si>
    <t>30/09/2022</t>
  </si>
  <si>
    <t>30/06/2022</t>
  </si>
  <si>
    <t>31/03/2022</t>
  </si>
  <si>
    <t>30/09/2021</t>
  </si>
  <si>
    <t>30/06/2021</t>
  </si>
  <si>
    <t>31/03/2021</t>
  </si>
  <si>
    <t>30/09/2020</t>
  </si>
  <si>
    <t>30/06/2020</t>
  </si>
  <si>
    <t>31/03/2020</t>
  </si>
  <si>
    <t>proceedsFromIssuanceOfLongTermDebtAndCapitalSecuritiesNet</t>
  </si>
  <si>
    <t>proceedsFromIssuanceOfPreferredStock</t>
  </si>
  <si>
    <t>proceedsFromRepurchaseOfEquity</t>
  </si>
  <si>
    <t>proceedsFromSaleOfTreasuryStock</t>
  </si>
  <si>
    <t>changeInCashAndCashEquivalents</t>
  </si>
  <si>
    <t>changeInExchangeRate</t>
  </si>
  <si>
    <t>30/09/2019</t>
  </si>
  <si>
    <t>30/06/2019</t>
  </si>
  <si>
    <t>31/03/2019</t>
  </si>
  <si>
    <t>30/09/2018</t>
  </si>
  <si>
    <t>30/06/2018</t>
  </si>
  <si>
    <t>31/03/2018</t>
  </si>
  <si>
    <t>30/09/2017</t>
  </si>
  <si>
    <t>30/06/2017</t>
  </si>
  <si>
    <t>31/03/2017</t>
  </si>
  <si>
    <t>30/09/2016</t>
  </si>
  <si>
    <t>30/06/2016</t>
  </si>
  <si>
    <t>31/03/2016</t>
  </si>
  <si>
    <t>30/09/2015</t>
  </si>
  <si>
    <t>30/06/2015</t>
  </si>
  <si>
    <t>31/03/2015</t>
  </si>
  <si>
    <t>30/09/2014</t>
  </si>
  <si>
    <t>30/06/2014</t>
  </si>
  <si>
    <t>31/03/2014</t>
  </si>
  <si>
    <t>30/09/2013</t>
  </si>
  <si>
    <t>30/06/2013</t>
  </si>
  <si>
    <t>31/03/2013</t>
  </si>
  <si>
    <t>30/09/2012</t>
  </si>
  <si>
    <t>30/06/2012</t>
  </si>
  <si>
    <t>31/03/2012</t>
  </si>
  <si>
    <t>30/09/2011</t>
  </si>
  <si>
    <t>30/06/2011</t>
  </si>
  <si>
    <t>31/03/2011</t>
  </si>
  <si>
    <t>30/09/2010</t>
  </si>
  <si>
    <t>30/06/2010</t>
  </si>
  <si>
    <t>31/03/2010</t>
  </si>
  <si>
    <t>30/09/2009</t>
  </si>
  <si>
    <t>30/06/2009</t>
  </si>
  <si>
    <t>31/03/2009</t>
  </si>
  <si>
    <t>30/09/2008</t>
  </si>
  <si>
    <t>30/06/2008</t>
  </si>
  <si>
    <t>31/03/2008</t>
  </si>
  <si>
    <t>30/06/2007</t>
  </si>
  <si>
    <t>totalAssets</t>
  </si>
  <si>
    <t>totalCurrentAssets</t>
  </si>
  <si>
    <t>cashAndCashEquivalentsAtCarryingValue</t>
  </si>
  <si>
    <t>cashAndShortTermInvestments</t>
  </si>
  <si>
    <t>inventory</t>
  </si>
  <si>
    <t>currentNetReceivables</t>
  </si>
  <si>
    <t>totalNonCurrentAssets</t>
  </si>
  <si>
    <t>propertyPlantEquipment</t>
  </si>
  <si>
    <t>accumulatedDepreciationAmortizationPPE</t>
  </si>
  <si>
    <t>intangibleAssets</t>
  </si>
  <si>
    <t>intangibleAssetsExcludingGoodwill</t>
  </si>
  <si>
    <t>goodwill</t>
  </si>
  <si>
    <t>investments</t>
  </si>
  <si>
    <t>longTermInvestments</t>
  </si>
  <si>
    <t>shortTermInvestments</t>
  </si>
  <si>
    <t>otherCurrentAssets</t>
  </si>
  <si>
    <t>otherNonCurrentAssets</t>
  </si>
  <si>
    <t>totalLiabilities</t>
  </si>
  <si>
    <t>totalCurrentLiabilities</t>
  </si>
  <si>
    <t>currentAccountsPayable</t>
  </si>
  <si>
    <t>operatingCashflow</t>
  </si>
  <si>
    <t>paymentsForOperatingActivities</t>
  </si>
  <si>
    <t>proceedsFromOperatingActivities</t>
  </si>
  <si>
    <t>changeInOperatingLiabilities</t>
  </si>
  <si>
    <t>changeInOperatingAssets</t>
  </si>
  <si>
    <t>depreciationDepletionAndAmortization</t>
  </si>
  <si>
    <t>capitalExpenditures</t>
  </si>
  <si>
    <t>changeInReceivables</t>
  </si>
  <si>
    <t>changeInInventory</t>
  </si>
  <si>
    <t>profitLoss</t>
  </si>
  <si>
    <t>cashflowFromInvestment</t>
  </si>
  <si>
    <t>cashflowFromFinancing</t>
  </si>
  <si>
    <t>proceedsFromRepaymentsOfShortTermDebt</t>
  </si>
  <si>
    <t>paymentsForRepurchaseOfCommonStock</t>
  </si>
  <si>
    <t>paymentsForRepurchaseOfEquity</t>
  </si>
  <si>
    <t>paymentsForRepurchaseOfPreferredStock</t>
  </si>
  <si>
    <t>dividendPayout</t>
  </si>
  <si>
    <t>dividendPayoutCommonStock</t>
  </si>
  <si>
    <t>dividendPayoutPreferredStock</t>
  </si>
  <si>
    <t>proceedsFromIssuanceOfCommonStock</t>
  </si>
  <si>
    <t>Ticker</t>
  </si>
  <si>
    <t>Real</t>
  </si>
  <si>
    <t>present</t>
  </si>
  <si>
    <t xml:space="preserve">Pirce </t>
  </si>
  <si>
    <t>MC</t>
  </si>
  <si>
    <t>SG&amp;A</t>
  </si>
  <si>
    <t>R&amp;D</t>
  </si>
  <si>
    <t>P/e</t>
  </si>
  <si>
    <t>PVGO</t>
  </si>
  <si>
    <t>EV / ebita</t>
  </si>
  <si>
    <t>excetive tax</t>
  </si>
  <si>
    <t>WACC</t>
  </si>
  <si>
    <t>nopat</t>
  </si>
  <si>
    <t>Rev/p</t>
  </si>
  <si>
    <t>CFO/P</t>
  </si>
  <si>
    <t>Current assets</t>
  </si>
  <si>
    <t>Goodwil</t>
  </si>
  <si>
    <t>PPE</t>
  </si>
  <si>
    <t>LT Debt</t>
  </si>
  <si>
    <t>invest cap</t>
  </si>
  <si>
    <t>Capex</t>
  </si>
  <si>
    <t>CFI</t>
  </si>
  <si>
    <t>CFF</t>
  </si>
  <si>
    <t>gross margin</t>
  </si>
  <si>
    <t>Ebitda mar</t>
  </si>
  <si>
    <t>ni margin</t>
  </si>
  <si>
    <t>Cfo margin</t>
  </si>
  <si>
    <t>SGA mar</t>
  </si>
  <si>
    <t>Current ratio</t>
  </si>
  <si>
    <t>Int coverage</t>
  </si>
  <si>
    <t>TA / TD</t>
  </si>
  <si>
    <t>Leverage</t>
  </si>
  <si>
    <t>payout ratio</t>
  </si>
  <si>
    <t>P/E</t>
  </si>
  <si>
    <t>rev /share</t>
  </si>
  <si>
    <t>div /share</t>
  </si>
  <si>
    <t>Bv/share</t>
  </si>
  <si>
    <t>t by/share</t>
  </si>
  <si>
    <t>Dupont ROE</t>
  </si>
  <si>
    <t>ROE</t>
  </si>
  <si>
    <t>ROA</t>
  </si>
  <si>
    <t>roic</t>
  </si>
  <si>
    <t>Income Statement – Annual</t>
  </si>
  <si>
    <t>Balance Sheet – Annual</t>
  </si>
  <si>
    <t>Cash Flow – Annual</t>
  </si>
  <si>
    <t>Income Statement – Quarterly</t>
  </si>
  <si>
    <t>Balance Sheet – Quarterly</t>
  </si>
  <si>
    <t>Cash Flow – Quarterly</t>
  </si>
  <si>
    <t>Income Statement</t>
  </si>
  <si>
    <t>Financial Ratios</t>
  </si>
  <si>
    <t>Cash Flows</t>
  </si>
  <si>
    <t>Key Metrics</t>
  </si>
  <si>
    <t>Helper formulas</t>
  </si>
  <si>
    <t>grossIncome/TOA</t>
  </si>
  <si>
    <t>cfEBIT adi / TOA</t>
  </si>
  <si>
    <t>Date Value</t>
  </si>
  <si>
    <t>simpleFreeCashFlow</t>
  </si>
  <si>
    <t>netCashFlow</t>
  </si>
  <si>
    <t>Date</t>
  </si>
  <si>
    <t>Description</t>
  </si>
  <si>
    <t>Shares</t>
  </si>
  <si>
    <t>Revenue</t>
  </si>
  <si>
    <t>COGS</t>
  </si>
  <si>
    <t>Opertating Icome</t>
  </si>
  <si>
    <t xml:space="preserve">EBITDA   </t>
  </si>
  <si>
    <t>D&amp;A</t>
  </si>
  <si>
    <t>Interest exp</t>
  </si>
  <si>
    <t>Taxes</t>
  </si>
  <si>
    <t>EBITA</t>
  </si>
  <si>
    <t>Effective tax rate</t>
  </si>
  <si>
    <t>NOPAT</t>
  </si>
  <si>
    <t>T. Equity</t>
  </si>
  <si>
    <t>Cash and mt sec</t>
  </si>
  <si>
    <t>T. Assets</t>
  </si>
  <si>
    <t xml:space="preserve">Intangible Assets </t>
  </si>
  <si>
    <t xml:space="preserve"> Current Liabilities</t>
  </si>
  <si>
    <t>LT Liabilities</t>
  </si>
  <si>
    <t>Investments</t>
  </si>
  <si>
    <t>NI margin</t>
  </si>
  <si>
    <t>CFO margin</t>
  </si>
  <si>
    <t>EBITDA margin</t>
  </si>
  <si>
    <t>Rev /share</t>
  </si>
  <si>
    <t>Div /share</t>
  </si>
  <si>
    <t>Tang BV / share</t>
  </si>
  <si>
    <t>average</t>
  </si>
  <si>
    <t>std</t>
  </si>
  <si>
    <t>Stock DCF</t>
  </si>
  <si>
    <t>Current price</t>
  </si>
  <si>
    <t>Estimate price</t>
  </si>
  <si>
    <t xml:space="preserve"> x</t>
  </si>
  <si>
    <t>Assumptions</t>
  </si>
  <si>
    <t>Switches</t>
  </si>
  <si>
    <t>Conservative Case</t>
  </si>
  <si>
    <t>Base Case</t>
  </si>
  <si>
    <t>Optimistic Case</t>
  </si>
  <si>
    <t>Revenue Growth</t>
  </si>
  <si>
    <t>taxes</t>
  </si>
  <si>
    <t>TGR</t>
  </si>
  <si>
    <t>CapEx</t>
  </si>
  <si>
    <t>NMC</t>
  </si>
  <si>
    <t>Valuation Assumptions</t>
  </si>
  <si>
    <t>% growth</t>
  </si>
  <si>
    <t>% of sales</t>
  </si>
  <si>
    <t>Growth %</t>
  </si>
  <si>
    <t>YOY</t>
  </si>
  <si>
    <t>% of EBIT</t>
  </si>
  <si>
    <t>Cash Flow Items</t>
  </si>
  <si>
    <t>Change in NWC</t>
  </si>
  <si>
    <t>% of change in sales</t>
  </si>
  <si>
    <t>DCF</t>
  </si>
  <si>
    <t>Net income</t>
  </si>
  <si>
    <t>(+)</t>
  </si>
  <si>
    <t>(-)</t>
  </si>
  <si>
    <t>Unlevered FCF</t>
  </si>
  <si>
    <t>Present Value of FCF</t>
  </si>
  <si>
    <t>Terminal Value</t>
  </si>
  <si>
    <t>Present Value</t>
  </si>
  <si>
    <t>(+) Cash</t>
  </si>
  <si>
    <t>(-) Debt</t>
  </si>
  <si>
    <t>Equity Value</t>
  </si>
  <si>
    <t xml:space="preserve">Share Outstanding </t>
  </si>
  <si>
    <t>Share Price</t>
  </si>
  <si>
    <t>NWC</t>
  </si>
  <si>
    <t>Market Cap</t>
  </si>
  <si>
    <t>% of equity</t>
  </si>
  <si>
    <t>Cost of equity</t>
  </si>
  <si>
    <t>Risk Free Rate</t>
  </si>
  <si>
    <t>Market Risk Premium</t>
  </si>
  <si>
    <t>Debt</t>
  </si>
  <si>
    <t>% of Debt</t>
  </si>
  <si>
    <t>Cost of Debt</t>
  </si>
  <si>
    <t>Tax Rate</t>
  </si>
  <si>
    <t>Total Capital</t>
  </si>
  <si>
    <t>input =</t>
  </si>
  <si>
    <t xml:space="preserve">mgmt risk </t>
  </si>
  <si>
    <t xml:space="preserve">regulation risk  </t>
  </si>
  <si>
    <t>Other</t>
  </si>
  <si>
    <t>Risk Premiums</t>
  </si>
  <si>
    <t>roughwork to forecast Revenue</t>
  </si>
  <si>
    <t>N(d1)</t>
  </si>
  <si>
    <t>N(d2)</t>
  </si>
  <si>
    <t>N(-d1)</t>
  </si>
  <si>
    <t>N(-d2)</t>
  </si>
  <si>
    <t xml:space="preserve">Inputs </t>
  </si>
  <si>
    <t>IV</t>
  </si>
  <si>
    <t>RF</t>
  </si>
  <si>
    <t>D1</t>
  </si>
  <si>
    <t>D2</t>
  </si>
  <si>
    <t>Option Price</t>
  </si>
  <si>
    <t>Delta</t>
  </si>
  <si>
    <t xml:space="preserve">Ticker </t>
  </si>
  <si>
    <t>Price</t>
  </si>
  <si>
    <t>Expire_date</t>
  </si>
  <si>
    <t>Strike</t>
  </si>
  <si>
    <t>C or P</t>
  </si>
  <si>
    <t>C</t>
  </si>
  <si>
    <t>AAPL</t>
  </si>
  <si>
    <t>PV of Div</t>
  </si>
  <si>
    <t>Gamma</t>
  </si>
  <si>
    <t>Vega</t>
  </si>
  <si>
    <t>Theta</t>
  </si>
  <si>
    <t>Underlying</t>
  </si>
  <si>
    <t>Greeks</t>
  </si>
  <si>
    <t>Portfolio</t>
  </si>
  <si>
    <t>Cash</t>
  </si>
  <si>
    <t>IBKR Cash</t>
  </si>
  <si>
    <t>Portfolio Value:</t>
  </si>
  <si>
    <t>Stock Breakdown</t>
  </si>
  <si>
    <t>Portfolio Growth:</t>
  </si>
  <si>
    <t>Stocks Market Value</t>
  </si>
  <si>
    <t>Portfolio Gain:</t>
  </si>
  <si>
    <t>Growth</t>
  </si>
  <si>
    <t>Notes</t>
  </si>
  <si>
    <t xml:space="preserve"> Gain</t>
  </si>
  <si>
    <t>Watchlist</t>
  </si>
  <si>
    <t>Targets</t>
  </si>
  <si>
    <t>Target</t>
  </si>
  <si>
    <t>Stop loss</t>
  </si>
  <si>
    <t>Distance from Target</t>
  </si>
  <si>
    <t>Stock Tracker</t>
  </si>
  <si>
    <t>Stock</t>
  </si>
  <si>
    <t>Symbol</t>
  </si>
  <si>
    <t>Purchase</t>
  </si>
  <si>
    <t>Cost</t>
  </si>
  <si>
    <t>Market Value</t>
  </si>
  <si>
    <t xml:space="preserve">Weight </t>
  </si>
  <si>
    <t>Tickers</t>
  </si>
  <si>
    <t>startdate</t>
  </si>
  <si>
    <t>enddate</t>
  </si>
  <si>
    <t>Port Value</t>
  </si>
  <si>
    <t>weights</t>
  </si>
  <si>
    <t>days</t>
  </si>
  <si>
    <t>simulation</t>
  </si>
  <si>
    <t>Confidence Interval</t>
  </si>
  <si>
    <t>VAR</t>
  </si>
  <si>
    <t>Must adjust Cost vs Market Value</t>
  </si>
  <si>
    <t xml:space="preserve">contract.symbol </t>
  </si>
  <si>
    <t xml:space="preserve">contract.secType </t>
  </si>
  <si>
    <t xml:space="preserve">contract.exchange </t>
  </si>
  <si>
    <t>contract.currency</t>
  </si>
  <si>
    <t>STK</t>
  </si>
  <si>
    <t>SMART</t>
  </si>
  <si>
    <t>NASDAQ</t>
  </si>
  <si>
    <t>Technology</t>
  </si>
  <si>
    <t>Exchange</t>
  </si>
  <si>
    <t>Trading Class</t>
  </si>
  <si>
    <t>MKT</t>
  </si>
  <si>
    <t>SELL</t>
  </si>
  <si>
    <t>BUY</t>
  </si>
  <si>
    <t>AMEX</t>
  </si>
  <si>
    <t>Right</t>
  </si>
  <si>
    <t>Action</t>
  </si>
  <si>
    <t>Order Type</t>
  </si>
  <si>
    <t>Quanty</t>
  </si>
  <si>
    <t xml:space="preserve"> contract.symbol</t>
  </si>
  <si>
    <t xml:space="preserve"> contract.secType</t>
  </si>
  <si>
    <t>contract.exchange</t>
  </si>
  <si>
    <t xml:space="preserve"> contract.currency</t>
  </si>
  <si>
    <t>Order action</t>
  </si>
  <si>
    <t>order.orderType</t>
  </si>
  <si>
    <t>order.totalQuantity</t>
  </si>
  <si>
    <t>order.LMTprice</t>
  </si>
  <si>
    <t>stop_order.action</t>
  </si>
  <si>
    <t>stop_order.orderType</t>
  </si>
  <si>
    <t>stop_order.totalQuantity</t>
  </si>
  <si>
    <t xml:space="preserve">stop_order.auxPrice </t>
  </si>
  <si>
    <t>LMT</t>
  </si>
  <si>
    <t>STP</t>
  </si>
  <si>
    <t>Report Date</t>
  </si>
  <si>
    <t>SimFinId</t>
  </si>
  <si>
    <t>Currency</t>
  </si>
  <si>
    <t>Fiscal Year</t>
  </si>
  <si>
    <t>Fiscal Period</t>
  </si>
  <si>
    <t>Publish Date</t>
  </si>
  <si>
    <t>Restated Date</t>
  </si>
  <si>
    <t>Shares (Basic)</t>
  </si>
  <si>
    <t>Shares (Diluted)</t>
  </si>
  <si>
    <t>Cost of Revenue</t>
  </si>
  <si>
    <t>Gross Profit</t>
  </si>
  <si>
    <t>Operating Expenses</t>
  </si>
  <si>
    <t>Selling, General &amp; Administrative</t>
  </si>
  <si>
    <t>Research &amp; Development</t>
  </si>
  <si>
    <t>Depreciation &amp; Amortization</t>
  </si>
  <si>
    <t>Operating Income (Loss)</t>
  </si>
  <si>
    <t>Non-Operating Income (Loss)</t>
  </si>
  <si>
    <t>Interest Expense, Net</t>
  </si>
  <si>
    <t>Pretax Income (Loss), Adj.</t>
  </si>
  <si>
    <t>Abnormal Gains (Losses)</t>
  </si>
  <si>
    <t>Pretax Income (Loss)</t>
  </si>
  <si>
    <t>Income Tax (Expense) Benefit, Net</t>
  </si>
  <si>
    <t>Income (Loss) from Continuing Operations</t>
  </si>
  <si>
    <t>Net Extraordinary Gains (Losses)</t>
  </si>
  <si>
    <t>Net Income (Common)</t>
  </si>
  <si>
    <t>FY</t>
  </si>
  <si>
    <t>Cash, Cash Equivalents &amp; Short Term Investments</t>
  </si>
  <si>
    <t>Accounts &amp; Notes Receivable</t>
  </si>
  <si>
    <t>Inventories</t>
  </si>
  <si>
    <t>Total Current Assets</t>
  </si>
  <si>
    <t>Property, Plant &amp; Equipment, Net</t>
  </si>
  <si>
    <t>Long Term Investments &amp; Receivables</t>
  </si>
  <si>
    <t>Other Long Term Assets</t>
  </si>
  <si>
    <t>Total Noncurrent Assets</t>
  </si>
  <si>
    <t>Total Assets</t>
  </si>
  <si>
    <t>Payables &amp; Accruals</t>
  </si>
  <si>
    <t>Short Term Debt</t>
  </si>
  <si>
    <t>Total Current Liabilities</t>
  </si>
  <si>
    <t>Long Term Debt</t>
  </si>
  <si>
    <t>Total Noncurrent Liabilities</t>
  </si>
  <si>
    <t>Total Liabilities</t>
  </si>
  <si>
    <t>Share Capital &amp; Additional Paid-In Capital</t>
  </si>
  <si>
    <t>Treasury Stock</t>
  </si>
  <si>
    <t>Retained Earnings</t>
  </si>
  <si>
    <t>Total Equity</t>
  </si>
  <si>
    <t>Total Liabilities &amp; Equity</t>
  </si>
  <si>
    <t>Q4</t>
  </si>
  <si>
    <t>Cash Flow Statement</t>
  </si>
  <si>
    <t>Net Income/Starting Line</t>
  </si>
  <si>
    <t>Non-Cash Items</t>
  </si>
  <si>
    <t>Change in Working Capital</t>
  </si>
  <si>
    <t>Change in Accounts Receivable</t>
  </si>
  <si>
    <t>Change in Inventories</t>
  </si>
  <si>
    <t>Change in Accounts Payable</t>
  </si>
  <si>
    <t>Change in Other</t>
  </si>
  <si>
    <t>Net Cash from Operating Activities</t>
  </si>
  <si>
    <t>Change in Fixed Assets &amp; Intangibles</t>
  </si>
  <si>
    <t>Net Change in Long Term Investment</t>
  </si>
  <si>
    <t>Net Cash from Acquisitions &amp; Divestitures</t>
  </si>
  <si>
    <t>Net Cash from Investing Activities</t>
  </si>
  <si>
    <t>Dividends Paid</t>
  </si>
  <si>
    <t>Cash from (Repayment of) Debt</t>
  </si>
  <si>
    <t>Cash from (Repurchase of) Equity</t>
  </si>
  <si>
    <t>Net Cash from Financing Activities</t>
  </si>
  <si>
    <t>Net Change in Cash</t>
  </si>
  <si>
    <t>Strike Price</t>
  </si>
  <si>
    <t>Time to expire</t>
  </si>
  <si>
    <t>Expire date</t>
  </si>
  <si>
    <t>Output</t>
  </si>
  <si>
    <t>BSM</t>
  </si>
  <si>
    <t>underlying</t>
  </si>
  <si>
    <t>option price</t>
  </si>
  <si>
    <t>delta</t>
  </si>
  <si>
    <t>=</t>
  </si>
  <si>
    <t>inputs</t>
  </si>
  <si>
    <t>startdate by default is set to 10 years (</t>
  </si>
  <si>
    <t>Inputs</t>
  </si>
  <si>
    <t>Start Date</t>
  </si>
  <si>
    <t>End Date</t>
  </si>
  <si>
    <t>Number of Trading Days</t>
  </si>
  <si>
    <t>Annualised Mean Return</t>
  </si>
  <si>
    <t>Annualised Volatility</t>
  </si>
  <si>
    <t>Histogram Bin Lower Edge</t>
  </si>
  <si>
    <t>Frequency</t>
  </si>
  <si>
    <t>Number of Simulations</t>
  </si>
  <si>
    <t>threshold</t>
  </si>
  <si>
    <t>MSFT</t>
  </si>
  <si>
    <t>Meta</t>
  </si>
  <si>
    <t>Probability above $900.0</t>
  </si>
  <si>
    <t>Probability below $900.0</t>
  </si>
  <si>
    <t>Order Info</t>
  </si>
  <si>
    <t xml:space="preserve">Stop Loss Order </t>
  </si>
  <si>
    <t>MKT/LMT Order</t>
  </si>
  <si>
    <t>contract.symbol</t>
  </si>
  <si>
    <t>contract.conId</t>
  </si>
  <si>
    <t>contract.primaryExchange</t>
  </si>
  <si>
    <t>contractDetails.longName</t>
  </si>
  <si>
    <t>contractDetails.industry</t>
  </si>
  <si>
    <t>Stock Details</t>
  </si>
  <si>
    <t>Option Details</t>
  </si>
  <si>
    <t>NASDAQOM Expirations</t>
  </si>
  <si>
    <t>NASDAQOM Strikes</t>
  </si>
  <si>
    <t>AMEX Expirations</t>
  </si>
  <si>
    <t>AMEX Strikes</t>
  </si>
  <si>
    <t>SMART Expirations</t>
  </si>
  <si>
    <t>SMART Strikes</t>
  </si>
  <si>
    <t>SAPPHIRE Expirations</t>
  </si>
  <si>
    <t>SAPPHIRE Strikes</t>
  </si>
  <si>
    <t>CBOE2 Strikes</t>
  </si>
  <si>
    <t>GEMINI Expirations</t>
  </si>
  <si>
    <t>GEMINI Strikes</t>
  </si>
  <si>
    <t>PEARL Expirations</t>
  </si>
  <si>
    <t>PEARL Strikes</t>
  </si>
  <si>
    <t>MERCURY Expirations</t>
  </si>
  <si>
    <t>MERCURY Strikes</t>
  </si>
  <si>
    <t>NASDAQBX Expirations</t>
  </si>
  <si>
    <t>NASDAQBX Strikes</t>
  </si>
  <si>
    <t>IBUSOPT Expirations</t>
  </si>
  <si>
    <t>IBUSOPT Strikes</t>
  </si>
  <si>
    <t>Placing Trade</t>
  </si>
  <si>
    <t>Mutliple</t>
  </si>
  <si>
    <t>MICROSOFT CORP</t>
  </si>
  <si>
    <t>Investment Capital</t>
  </si>
  <si>
    <t>52 Low</t>
  </si>
  <si>
    <t>52 High</t>
  </si>
  <si>
    <t>Revenue 2025</t>
  </si>
  <si>
    <t>Revenue 2035</t>
  </si>
  <si>
    <t>est WACC</t>
  </si>
  <si>
    <t>Annual</t>
  </si>
  <si>
    <t>Dollar General Corporation is an American chain of variety stores headquartered in Goodlettsville, Tennessee.</t>
  </si>
  <si>
    <t>^GSPC</t>
  </si>
  <si>
    <t>coef</t>
  </si>
  <si>
    <t>Intercept</t>
  </si>
  <si>
    <t>mkt</t>
  </si>
  <si>
    <t>smb</t>
  </si>
  <si>
    <t>hml</t>
  </si>
  <si>
    <t>rmw</t>
  </si>
  <si>
    <t>cma</t>
  </si>
  <si>
    <t>t</t>
  </si>
  <si>
    <t>P&gt;|t|</t>
  </si>
  <si>
    <t>[0.025</t>
  </si>
  <si>
    <t>0.975]</t>
  </si>
  <si>
    <t>OLS</t>
  </si>
  <si>
    <t>Regression</t>
  </si>
  <si>
    <t>Results</t>
  </si>
  <si>
    <t>excess_rtn</t>
  </si>
  <si>
    <t>err</t>
  </si>
  <si>
    <t>Dep.</t>
  </si>
  <si>
    <t>Variable:</t>
  </si>
  <si>
    <t>R-squared:</t>
  </si>
  <si>
    <t>Model:</t>
  </si>
  <si>
    <t>Adj.</t>
  </si>
  <si>
    <t>Method:</t>
  </si>
  <si>
    <t>Least</t>
  </si>
  <si>
    <t>Squares</t>
  </si>
  <si>
    <t>F-statistic:</t>
  </si>
  <si>
    <t>Date:</t>
  </si>
  <si>
    <t>Jul</t>
  </si>
  <si>
    <t>Prob</t>
  </si>
  <si>
    <t>(F-statistic):</t>
  </si>
  <si>
    <t>Time:</t>
  </si>
  <si>
    <t>Log-Likelihood:</t>
  </si>
  <si>
    <t>No.</t>
  </si>
  <si>
    <t>Observations:</t>
  </si>
  <si>
    <t>AIC:</t>
  </si>
  <si>
    <t>Df</t>
  </si>
  <si>
    <t>Residuals:</t>
  </si>
  <si>
    <t>BIC:</t>
  </si>
  <si>
    <t>Covariance</t>
  </si>
  <si>
    <t>Type:</t>
  </si>
  <si>
    <t>nonrobust</t>
  </si>
  <si>
    <t>Chart</t>
  </si>
  <si>
    <t>Start</t>
  </si>
  <si>
    <t>End</t>
  </si>
  <si>
    <t>DG Candlestick Chart with RSI</t>
  </si>
  <si>
    <t>GME</t>
  </si>
  <si>
    <t>min ror</t>
  </si>
  <si>
    <t>Weights</t>
  </si>
  <si>
    <t>Sharpe Ratio</t>
  </si>
  <si>
    <t>RoR</t>
  </si>
  <si>
    <t>Volatility</t>
  </si>
  <si>
    <t>TSLA</t>
  </si>
  <si>
    <t>JPM</t>
  </si>
  <si>
    <t>Stock Weights</t>
  </si>
  <si>
    <t>ticker</t>
  </si>
  <si>
    <t>r</t>
  </si>
  <si>
    <t>expire date</t>
  </si>
  <si>
    <t>Call</t>
  </si>
  <si>
    <t>call</t>
  </si>
  <si>
    <t>type</t>
  </si>
  <si>
    <t>Calls</t>
  </si>
  <si>
    <t>contractSymbol</t>
  </si>
  <si>
    <t>lastTradeDate</t>
  </si>
  <si>
    <t>strike</t>
  </si>
  <si>
    <t>lastPrice</t>
  </si>
  <si>
    <t>bid</t>
  </si>
  <si>
    <t>ask</t>
  </si>
  <si>
    <t>change</t>
  </si>
  <si>
    <t>percentChange</t>
  </si>
  <si>
    <t>volume</t>
  </si>
  <si>
    <t>openInterest</t>
  </si>
  <si>
    <t>impliedVolatility</t>
  </si>
  <si>
    <t>inTheMoney</t>
  </si>
  <si>
    <t>contractSize</t>
  </si>
  <si>
    <t>currency</t>
  </si>
  <si>
    <t>REGULAR</t>
  </si>
  <si>
    <t>Puts</t>
  </si>
  <si>
    <t>T</t>
  </si>
  <si>
    <t>vol</t>
  </si>
  <si>
    <t>Stock Price</t>
  </si>
  <si>
    <t>Type</t>
  </si>
  <si>
    <t>Rho</t>
  </si>
  <si>
    <t>Tcker</t>
  </si>
  <si>
    <t>K2 Spread</t>
  </si>
  <si>
    <t>K1 Spread</t>
  </si>
  <si>
    <t>K4 Spread</t>
  </si>
  <si>
    <t>K3 Spread</t>
  </si>
  <si>
    <t>Covered Call</t>
  </si>
  <si>
    <t>Strike price (e.g.</t>
  </si>
  <si>
    <t>Quantity</t>
  </si>
  <si>
    <t>Lmt</t>
  </si>
  <si>
    <t>Put</t>
  </si>
  <si>
    <t>Underlying symbol</t>
  </si>
  <si>
    <t>Expiry date</t>
  </si>
  <si>
    <t>Strike price (same for both legs)</t>
  </si>
  <si>
    <t>Bull Call Spread</t>
  </si>
  <si>
    <t>Expiry date (same for both legs)</t>
  </si>
  <si>
    <t>Buy 1 Call (lower strike)</t>
  </si>
  <si>
    <t>Sell 1 Call (higher strike)</t>
  </si>
  <si>
    <t>Bear Put Spread</t>
  </si>
  <si>
    <t>Collar</t>
  </si>
  <si>
    <t>Straddle</t>
  </si>
  <si>
    <t>Butterfly Spread</t>
  </si>
  <si>
    <t>Iron Condor</t>
  </si>
  <si>
    <t>Expiry date (all legs)</t>
  </si>
  <si>
    <t>Synthetic Long</t>
  </si>
  <si>
    <t>Lmt price</t>
  </si>
  <si>
    <t>Synthetic Short</t>
  </si>
  <si>
    <t>LMT price</t>
  </si>
  <si>
    <t>Protective Put</t>
  </si>
  <si>
    <t>expired date</t>
  </si>
  <si>
    <t>low strike</t>
  </si>
  <si>
    <t>high strike</t>
  </si>
  <si>
    <t>lmt</t>
  </si>
  <si>
    <t>Quant</t>
  </si>
  <si>
    <t>lower strike</t>
  </si>
  <si>
    <t>middle strike</t>
  </si>
  <si>
    <t>higher strike</t>
  </si>
  <si>
    <t>lower put</t>
  </si>
  <si>
    <t>higher put</t>
  </si>
  <si>
    <t>lower call</t>
  </si>
  <si>
    <t>higher call</t>
  </si>
  <si>
    <t xml:space="preserve">Quant </t>
  </si>
  <si>
    <t>Calendar Spread</t>
  </si>
  <si>
    <t>near</t>
  </si>
  <si>
    <t>futher date</t>
  </si>
  <si>
    <t>quant</t>
  </si>
  <si>
    <t xml:space="preserve">C </t>
  </si>
  <si>
    <t xml:space="preserve">Strike price </t>
  </si>
  <si>
    <t>BUY / SELL</t>
  </si>
  <si>
    <t xml:space="preserve">Underlying symbol </t>
  </si>
  <si>
    <t>Strategy Selected</t>
  </si>
  <si>
    <t>AAPL250718C00090000</t>
  </si>
  <si>
    <t>AAPL250718C00095000</t>
  </si>
  <si>
    <t>AAPL250718C00100000</t>
  </si>
  <si>
    <t>AAPL250718C00105000</t>
  </si>
  <si>
    <t>AAPL250718C00110000</t>
  </si>
  <si>
    <t>AAPL250718C00115000</t>
  </si>
  <si>
    <t>AAPL250718C00120000</t>
  </si>
  <si>
    <t>AAPL250718C00125000</t>
  </si>
  <si>
    <t>AAPL250718C00130000</t>
  </si>
  <si>
    <t>AAPL250718C00135000</t>
  </si>
  <si>
    <t>AAPL250718C00140000</t>
  </si>
  <si>
    <t>AAPL250718C00145000</t>
  </si>
  <si>
    <t>AAPL250718C00150000</t>
  </si>
  <si>
    <t>AAPL250718C00155000</t>
  </si>
  <si>
    <t>AAPL250718C00160000</t>
  </si>
  <si>
    <t>AAPL250718C00165000</t>
  </si>
  <si>
    <t>AAPL250718C00170000</t>
  </si>
  <si>
    <t>AAPL250718C00175000</t>
  </si>
  <si>
    <t>AAPL250718C00177500</t>
  </si>
  <si>
    <t>AAPL250718C00180000</t>
  </si>
  <si>
    <t>AAPL250718C00182500</t>
  </si>
  <si>
    <t>AAPL250718C00185000</t>
  </si>
  <si>
    <t>AAPL250718C00187500</t>
  </si>
  <si>
    <t>AAPL250718C00190000</t>
  </si>
  <si>
    <t>AAPL250718C00192500</t>
  </si>
  <si>
    <t>AAPL250718C00195000</t>
  </si>
  <si>
    <t>AAPL250718C00197500</t>
  </si>
  <si>
    <t>AAPL250718C00200000</t>
  </si>
  <si>
    <t>AAPL250718C00202500</t>
  </si>
  <si>
    <t>AAPL250718C00205000</t>
  </si>
  <si>
    <t>AAPL250718C00207500</t>
  </si>
  <si>
    <t>AAPL250718C00210000</t>
  </si>
  <si>
    <t>AAPL250718C00212500</t>
  </si>
  <si>
    <t>AAPL250718C00215000</t>
  </si>
  <si>
    <t>AAPL250718C00217500</t>
  </si>
  <si>
    <t>AAPL250718C00220000</t>
  </si>
  <si>
    <t>AAPL250718C00222500</t>
  </si>
  <si>
    <t>AAPL250718C00225000</t>
  </si>
  <si>
    <t>AAPL250718C00227500</t>
  </si>
  <si>
    <t>AAPL250718C00230000</t>
  </si>
  <si>
    <t>AAPL250718C00232500</t>
  </si>
  <si>
    <t>AAPL250718C00235000</t>
  </si>
  <si>
    <t>AAPL250718C00237500</t>
  </si>
  <si>
    <t>AAPL250718C00240000</t>
  </si>
  <si>
    <t>AAPL250718C00242500</t>
  </si>
  <si>
    <t>AAPL250718C00245000</t>
  </si>
  <si>
    <t>AAPL250718C00250000</t>
  </si>
  <si>
    <t>AAPL250718C00255000</t>
  </si>
  <si>
    <t>AAPL250718C00260000</t>
  </si>
  <si>
    <t>AAPL250718C00265000</t>
  </si>
  <si>
    <t>AAPL250718C00270000</t>
  </si>
  <si>
    <t>AAPL250718C00275000</t>
  </si>
  <si>
    <t>AAPL250718C00280000</t>
  </si>
  <si>
    <t>AAPL250718C00285000</t>
  </si>
  <si>
    <t>AAPL250718C00290000</t>
  </si>
  <si>
    <t>AAPL250718C00295000</t>
  </si>
  <si>
    <t>AAPL250718C00300000</t>
  </si>
  <si>
    <t>AAPL250718C00305000</t>
  </si>
  <si>
    <t>AAPL250718C00310000</t>
  </si>
  <si>
    <t>AAPL250718C00315000</t>
  </si>
  <si>
    <t>AAPL250718C00320000</t>
  </si>
  <si>
    <t>AAPL250718C00325000</t>
  </si>
  <si>
    <t>AAPL250718C00330000</t>
  </si>
  <si>
    <t>AAPL250718C00340000</t>
  </si>
  <si>
    <t>AAPL250718C00350000</t>
  </si>
  <si>
    <t>AAPL250718C00360000</t>
  </si>
  <si>
    <t>AAPL250718C00370000</t>
  </si>
  <si>
    <t>AAPL250718C00380000</t>
  </si>
  <si>
    <t>AAPL250718C00390000</t>
  </si>
  <si>
    <t>AAPL250718C00400000</t>
  </si>
  <si>
    <t>AAPL250718P00090000</t>
  </si>
  <si>
    <t>AAPL250718P00095000</t>
  </si>
  <si>
    <t>AAPL250718P00100000</t>
  </si>
  <si>
    <t>AAPL250718P00105000</t>
  </si>
  <si>
    <t>AAPL250718P00110000</t>
  </si>
  <si>
    <t>AAPL250718P00115000</t>
  </si>
  <si>
    <t>AAPL250718P00120000</t>
  </si>
  <si>
    <t>AAPL250718P00125000</t>
  </si>
  <si>
    <t>AAPL250718P00130000</t>
  </si>
  <si>
    <t>AAPL250718P00135000</t>
  </si>
  <si>
    <t>AAPL250718P00140000</t>
  </si>
  <si>
    <t>AAPL250718P00145000</t>
  </si>
  <si>
    <t>AAPL250718P00150000</t>
  </si>
  <si>
    <t>AAPL250718P00155000</t>
  </si>
  <si>
    <t>AAPL250718P00160000</t>
  </si>
  <si>
    <t>AAPL250718P00165000</t>
  </si>
  <si>
    <t>AAPL250718P00170000</t>
  </si>
  <si>
    <t>AAPL250718P00175000</t>
  </si>
  <si>
    <t>AAPL250718P00177500</t>
  </si>
  <si>
    <t>AAPL250718P00180000</t>
  </si>
  <si>
    <t>AAPL250718P00182500</t>
  </si>
  <si>
    <t>AAPL250718P00185000</t>
  </si>
  <si>
    <t>AAPL250718P00187500</t>
  </si>
  <si>
    <t>AAPL250718P00190000</t>
  </si>
  <si>
    <t>AAPL250718P00192500</t>
  </si>
  <si>
    <t>AAPL250718P00195000</t>
  </si>
  <si>
    <t>AAPL250718P00197500</t>
  </si>
  <si>
    <t>AAPL250718P00200000</t>
  </si>
  <si>
    <t>AAPL250718P00202500</t>
  </si>
  <si>
    <t>AAPL250718P00205000</t>
  </si>
  <si>
    <t>AAPL250718P00207500</t>
  </si>
  <si>
    <t>AAPL250718P00210000</t>
  </si>
  <si>
    <t>AAPL250718P00212500</t>
  </si>
  <si>
    <t>AAPL250718P00215000</t>
  </si>
  <si>
    <t>AAPL250718P00217500</t>
  </si>
  <si>
    <t>AAPL250718P00220000</t>
  </si>
  <si>
    <t>AAPL250718P00222500</t>
  </si>
  <si>
    <t>AAPL250718P00225000</t>
  </si>
  <si>
    <t>AAPL250718P00227500</t>
  </si>
  <si>
    <t>AAPL250718P00230000</t>
  </si>
  <si>
    <t>AAPL250718P00232500</t>
  </si>
  <si>
    <t>AAPL250718P00235000</t>
  </si>
  <si>
    <t>AAPL250718P00240000</t>
  </si>
  <si>
    <t>AAPL250718P00245000</t>
  </si>
  <si>
    <t>AAPL250718P00250000</t>
  </si>
  <si>
    <t>AAPL250718P00255000</t>
  </si>
  <si>
    <t>AAPL250718P00260000</t>
  </si>
  <si>
    <t>AAPL250718P00265000</t>
  </si>
  <si>
    <t>AAPL250718P00270000</t>
  </si>
  <si>
    <t>AAPL250718P00275000</t>
  </si>
  <si>
    <t>AAPL250718P00280000</t>
  </si>
  <si>
    <t>AAPL250718P00285000</t>
  </si>
  <si>
    <t>AAPL250718P00290000</t>
  </si>
  <si>
    <t>AAPL250718P00295000</t>
  </si>
  <si>
    <t>AAPL250718P00300000</t>
  </si>
  <si>
    <t>AAPL250718P00305000</t>
  </si>
  <si>
    <t>AAPL250718P00315000</t>
  </si>
  <si>
    <t>AAPL250718P00320000</t>
  </si>
  <si>
    <t>AAPL250718P00325000</t>
  </si>
  <si>
    <t>AAPL250718P00370000</t>
  </si>
  <si>
    <t>AAPL250718P00380000</t>
  </si>
  <si>
    <t>AAPL250718P00390000</t>
  </si>
  <si>
    <t>expire date for chart</t>
  </si>
  <si>
    <t>End date</t>
  </si>
  <si>
    <t>Start date</t>
  </si>
  <si>
    <t>Max Vol</t>
  </si>
  <si>
    <t>SNAP</t>
  </si>
  <si>
    <t>Index</t>
  </si>
  <si>
    <t>Mon,</t>
  </si>
  <si>
    <t>Regression of TSLA onto ^GSPC</t>
  </si>
  <si>
    <t>There is a 95% confidence that the portfolio will not lose more than $23,525.79 over 30.0 days.</t>
  </si>
  <si>
    <t>The Expected Shortfall at 95.0% confidence level is $30,782.70.</t>
  </si>
  <si>
    <t>Benchmark (SPY)</t>
  </si>
  <si>
    <t>Strategy</t>
  </si>
  <si>
    <t>Start Period</t>
  </si>
  <si>
    <t>End Period</t>
  </si>
  <si>
    <t>Risk-Free Rate</t>
  </si>
  <si>
    <t>Time in Market</t>
  </si>
  <si>
    <t>Cumulative Return</t>
  </si>
  <si>
    <t>CAGR﹪</t>
  </si>
  <si>
    <t>Sharpe</t>
  </si>
  <si>
    <t>Prob. Sharpe Ratio</t>
  </si>
  <si>
    <t>Sortino</t>
  </si>
  <si>
    <t>Sortino/√2</t>
  </si>
  <si>
    <t>Omega</t>
  </si>
  <si>
    <t>Max Drawdown</t>
  </si>
  <si>
    <t>Longest DD Days</t>
  </si>
  <si>
    <t>Gain/Pain Ratio</t>
  </si>
  <si>
    <t>Gain/Pain (1M)</t>
  </si>
  <si>
    <t>Payoff Ratio</t>
  </si>
  <si>
    <t>Profit Factor</t>
  </si>
  <si>
    <t>Common Sense Ratio</t>
  </si>
  <si>
    <t>CPC Index</t>
  </si>
  <si>
    <t>Tail Ratio</t>
  </si>
  <si>
    <t>Outlier Win Ratio</t>
  </si>
  <si>
    <t>Outlier Loss Ratio</t>
  </si>
  <si>
    <t>MTD</t>
  </si>
  <si>
    <t>3M</t>
  </si>
  <si>
    <t>6M</t>
  </si>
  <si>
    <t>YTD</t>
  </si>
  <si>
    <t>1Y</t>
  </si>
  <si>
    <t>3Y (ann.)</t>
  </si>
  <si>
    <t>5Y (ann.)</t>
  </si>
  <si>
    <t>10Y (ann.)</t>
  </si>
  <si>
    <t>All-time (ann.)</t>
  </si>
  <si>
    <t>Avg. Drawdown</t>
  </si>
  <si>
    <t>Avg. Drawdown Days</t>
  </si>
  <si>
    <t>Recovery Factor</t>
  </si>
  <si>
    <t>Ulcer Index</t>
  </si>
  <si>
    <t>Serenity Index</t>
  </si>
  <si>
    <t>Optimal (Max Sharpe Ratio)</t>
  </si>
  <si>
    <t>Optimal (Max RoR)</t>
  </si>
  <si>
    <t>Optimal (Min Volatility)</t>
  </si>
  <si>
    <t>Optimal (Max RoR, Vol ≤ 0.50)</t>
  </si>
  <si>
    <t>Optimal (Min Vol, RoR ≥ 0.15)</t>
  </si>
  <si>
    <t>Performance Metrics (Max Sharpe Portfolio vs SPY)</t>
  </si>
  <si>
    <t>Smart Sharpe</t>
  </si>
  <si>
    <t>Smart Sortino</t>
  </si>
  <si>
    <t>Smart Sortino/√2</t>
  </si>
  <si>
    <t>Volatility (ann.)</t>
  </si>
  <si>
    <t>R^2</t>
  </si>
  <si>
    <t>Information Ratio</t>
  </si>
  <si>
    <t>Calmar</t>
  </si>
  <si>
    <t>Skew</t>
  </si>
  <si>
    <t>Kurtosis</t>
  </si>
  <si>
    <t>Expected Daily</t>
  </si>
  <si>
    <t>Expected Monthly</t>
  </si>
  <si>
    <t>Expected Yearly</t>
  </si>
  <si>
    <t>Kelly Criterion</t>
  </si>
  <si>
    <t>Risk of Ruin</t>
  </si>
  <si>
    <t>Daily Value-at-Risk</t>
  </si>
  <si>
    <t>Expected Shortfall (cVaR)</t>
  </si>
  <si>
    <t>Max Consecutive Wins</t>
  </si>
  <si>
    <t>Max Consecutive Losses</t>
  </si>
  <si>
    <t>Best Day</t>
  </si>
  <si>
    <t>Worst Day</t>
  </si>
  <si>
    <t>Best Month</t>
  </si>
  <si>
    <t>Worst Month</t>
  </si>
  <si>
    <t>Best Year</t>
  </si>
  <si>
    <t>Worst Year</t>
  </si>
  <si>
    <t>Avg. Up Month</t>
  </si>
  <si>
    <t>Avg. Down Month</t>
  </si>
  <si>
    <t>Win Days</t>
  </si>
  <si>
    <t>Win Month</t>
  </si>
  <si>
    <t>Win Quarter</t>
  </si>
  <si>
    <t>Win Year</t>
  </si>
  <si>
    <t>-</t>
  </si>
  <si>
    <t>Alpha</t>
  </si>
  <si>
    <t>Correlation</t>
  </si>
  <si>
    <t>Treynor Ratio</t>
  </si>
  <si>
    <t>put</t>
  </si>
  <si>
    <t>SIFMA U.S. Corporate Bond Statistics</t>
  </si>
  <si>
    <t>YTD Statistics Summary:</t>
  </si>
  <si>
    <t>Issuance (as of end-June) $1,172.5 billion, +5.2% Y/Y</t>
  </si>
  <si>
    <t>Trading (as of end-June) $60.4 billion ADV, +14.6% Y/Y</t>
  </si>
  <si>
    <t>Outstanding (as of 1Q25) $11.4 trillion, +3.7% Y/Y</t>
  </si>
  <si>
    <t>Volatility (VIX): Monthly average 18.21; -11.0% M/M, +43.7% Y/Y</t>
  </si>
  <si>
    <t>S&amp;P 500 (Price): Monthly average 6,029.95; +3.8% M/M, +11.4% Y/Y</t>
  </si>
  <si>
    <t>Equity ADV: Monthly average 18.2 billion shares; +3.7% M/M, +53.6% Y/Y</t>
  </si>
  <si>
    <t>Monetary Policy:</t>
  </si>
  <si>
    <t>75% of our economists expect one or more rate cuts by the end of 2025 for a total decrease of roughly 50bps. The median forecaster looks for the midpoint of the target range to end 2025 at 3.926% (roughly 50 bps in cuts from current rate) and to end 2026 at 3.625% (a total of 75 bps in cuts from the current rate). Nearly 60% of our economists estimate the neutral nominal fed funds rate to be 3.0%-3.5%.</t>
  </si>
  <si>
    <t>Inflation:</t>
  </si>
  <si>
    <t>The median forecaster looks for core PCE inflation to end 2025 at 3.1% (year-over-year), up 0.7 pps from the last full survey in November 2024 and 0.3 pps higher than the March 2025 flash poll. The top factors influencing forecasts for core inflation estimates are trade policy, inflation expectations, and growth in domestic demand.</t>
  </si>
  <si>
    <t>Economy:</t>
  </si>
  <si>
    <t>The median economist forecasts real GDP will grow 0.9% in 2025; -1.0 pps from our last full survey in November 2024 and -0.6 pps from the March 2025 flash poll. Over 70% of our economists put the probability of recession from 30% to 50%. The top factors impacting US economic growth are US trade policy, US labor market developments, and US monetary policy. US trade policy also shows up near the top in both upside and downside risks to the economy.</t>
  </si>
  <si>
    <t>Market Metrics</t>
  </si>
  <si>
    <t>Market Musings</t>
  </si>
  <si>
    <t>US Economic Survey</t>
  </si>
  <si>
    <t>Key Takeaways</t>
  </si>
  <si>
    <t>Implied ERP (Current)</t>
  </si>
  <si>
    <t>Value</t>
  </si>
  <si>
    <t>Implied ERP on July 1, 2025 = 3.94% (Trailing 12 month, with adjusted payout); 4.21% (Trailing 12 month cash yield); 5.74% (Average CF yield last 10 years); 3.96% (Net cash yield); 3.56% (Normalized Earnings &amp; Payout) (with the US treasury rate of 4.24% used as the riskfree rate in US dollars; increase each of the premiums by the default spread for the US, if you are netting that out of the treasury to get to an adjusted dollar riskfree rate of 3.84%)</t>
  </si>
  <si>
    <t>Implied ERP in previous month = 4.02% (Trailing 12 month, with adjusted payout); 4.25% (Trailing 12 month cash yield); 5.45% (Average CF yield last 10 years); 3.98% (Net cash yield); 3.75% (Normalized Earnings &amp; Payout) (with the US treasury rate of 4.41% used as the riskfree rate in US dollars;  increase each of the premiums by the default spread for the US, if you are netting that out of the treasury to get to an adjusted dollar riskfree rate of 4.01%)</t>
  </si>
  <si>
    <t>LCID</t>
  </si>
  <si>
    <t>QS</t>
  </si>
  <si>
    <t>NVDA</t>
  </si>
  <si>
    <t>WBD</t>
  </si>
  <si>
    <t>NU</t>
  </si>
  <si>
    <t>NIO</t>
  </si>
  <si>
    <t>HOOD</t>
  </si>
  <si>
    <t>AAL</t>
  </si>
  <si>
    <t>STEM</t>
  </si>
  <si>
    <t>TLN</t>
  </si>
  <si>
    <t>CRSP</t>
  </si>
  <si>
    <t>IVZ</t>
  </si>
  <si>
    <t>SOC</t>
  </si>
  <si>
    <t>APLD</t>
  </si>
  <si>
    <t>HSAI</t>
  </si>
  <si>
    <t>IBKR</t>
  </si>
  <si>
    <t>SMR</t>
  </si>
  <si>
    <t>MLGO</t>
  </si>
  <si>
    <t>ARWR</t>
  </si>
  <si>
    <t>MOH</t>
  </si>
  <si>
    <t>ELV</t>
  </si>
  <si>
    <t>STNE</t>
  </si>
  <si>
    <t>NEGG</t>
  </si>
  <si>
    <t>ZLAB</t>
  </si>
  <si>
    <t>PAGS</t>
  </si>
  <si>
    <t>NKTR</t>
  </si>
  <si>
    <t>name</t>
  </si>
  <si>
    <t>Commodities</t>
  </si>
  <si>
    <t>Gold</t>
  </si>
  <si>
    <t>Silver</t>
  </si>
  <si>
    <t>Oil</t>
  </si>
  <si>
    <t>Natural Gas</t>
  </si>
  <si>
    <t>U.S. Treasuries</t>
  </si>
  <si>
    <t>Municipals</t>
  </si>
  <si>
    <t>TIPS</t>
  </si>
  <si>
    <t>EM Govt Bonds</t>
  </si>
  <si>
    <t>U.S. Corp Investment Grade</t>
  </si>
  <si>
    <t>U.S. High Yield</t>
  </si>
  <si>
    <t>Quality</t>
  </si>
  <si>
    <t>Momentum</t>
  </si>
  <si>
    <t>Size</t>
  </si>
  <si>
    <t>ESG</t>
  </si>
  <si>
    <t>Dividend</t>
  </si>
  <si>
    <t>Dividend Growth</t>
  </si>
  <si>
    <t>High Dividend Yield</t>
  </si>
  <si>
    <t>International Value</t>
  </si>
  <si>
    <t>International Quality</t>
  </si>
  <si>
    <t>International Momentum</t>
  </si>
  <si>
    <t>Large Cap</t>
  </si>
  <si>
    <t>Mid Cap</t>
  </si>
  <si>
    <t>Small Cap</t>
  </si>
  <si>
    <t>Micro Cap</t>
  </si>
  <si>
    <t>F</t>
  </si>
  <si>
    <t>Health Care</t>
  </si>
  <si>
    <t>Real Estate</t>
  </si>
  <si>
    <t>Financials</t>
  </si>
  <si>
    <t>Utilities</t>
  </si>
  <si>
    <t>Communication Services</t>
  </si>
  <si>
    <t>Consumer Discretionary</t>
  </si>
  <si>
    <t>Consumer Staples</t>
  </si>
  <si>
    <t>Industrials</t>
  </si>
  <si>
    <t>Energy</t>
  </si>
  <si>
    <t>Materials</t>
  </si>
  <si>
    <t>Aerospace &amp; Defense</t>
  </si>
  <si>
    <t>Biotechnology</t>
  </si>
  <si>
    <t>Medical Devices</t>
  </si>
  <si>
    <t>REITs</t>
  </si>
  <si>
    <t>Semiconductor</t>
  </si>
  <si>
    <t>Software</t>
  </si>
  <si>
    <t>Developed ex-US</t>
  </si>
  <si>
    <t>Emerging Markets</t>
  </si>
  <si>
    <t>Frontier</t>
  </si>
  <si>
    <t>Canada</t>
  </si>
  <si>
    <t>United Kingdom</t>
  </si>
  <si>
    <t>Spain</t>
  </si>
  <si>
    <t>Germany</t>
  </si>
  <si>
    <t>Sweden</t>
  </si>
  <si>
    <t>Australia</t>
  </si>
  <si>
    <t>China</t>
  </si>
  <si>
    <t>Japan</t>
  </si>
  <si>
    <t>Singapore</t>
  </si>
  <si>
    <t>India</t>
  </si>
  <si>
    <t>Russia</t>
  </si>
  <si>
    <t>Brazil</t>
  </si>
  <si>
    <t>Mexico</t>
  </si>
  <si>
    <t>Most Active</t>
  </si>
  <si>
    <t>Gainers</t>
  </si>
  <si>
    <t>Losers</t>
  </si>
  <si>
    <t>Regions</t>
  </si>
  <si>
    <t>Assets</t>
  </si>
  <si>
    <t>Factors</t>
  </si>
  <si>
    <t>Sectors</t>
  </si>
  <si>
    <t>Money Market Funds</t>
  </si>
  <si>
    <t>$ Change*</t>
  </si>
  <si>
    <t>Government</t>
  </si>
  <si>
    <t>Retail</t>
  </si>
  <si>
    <t>Institutional</t>
  </si>
  <si>
    <t>Prime</t>
  </si>
  <si>
    <t>Treasury and SOFR Rates</t>
  </si>
  <si>
    <t>1 Year</t>
  </si>
  <si>
    <t>2 Year</t>
  </si>
  <si>
    <t>3 Year</t>
  </si>
  <si>
    <t>5 Year</t>
  </si>
  <si>
    <t>7 Year</t>
  </si>
  <si>
    <t>10 Year</t>
  </si>
  <si>
    <t>30 Year</t>
  </si>
  <si>
    <t>SOFR</t>
  </si>
  <si>
    <t>30-Day Average SOFR</t>
  </si>
  <si>
    <t>90-Day Average SOFR</t>
  </si>
  <si>
    <t>1-month Term SOFR</t>
  </si>
  <si>
    <t>3-month Term SOFR</t>
  </si>
  <si>
    <t>Actual</t>
  </si>
  <si>
    <t>Previous</t>
  </si>
  <si>
    <t>Consensus</t>
  </si>
  <si>
    <t>Forecast</t>
  </si>
  <si>
    <t>Time</t>
  </si>
  <si>
    <t>Country</t>
  </si>
  <si>
    <t>Event</t>
  </si>
  <si>
    <t>Tuesday July 22 2025</t>
  </si>
  <si>
    <t>AU</t>
  </si>
  <si>
    <t>RBA Meeting Minutes</t>
  </si>
  <si>
    <t>US</t>
  </si>
  <si>
    <t>Fed Chair Powell Speech</t>
  </si>
  <si>
    <t>Wednesday July 23 2025</t>
  </si>
  <si>
    <t>Existing Home Sales JUN</t>
  </si>
  <si>
    <t>Thursday July 24 2025</t>
  </si>
  <si>
    <t>DE</t>
  </si>
  <si>
    <t>GfK Consumer Confidence AUG</t>
  </si>
  <si>
    <t>HCOB Manufacturing PMI Flash JUL</t>
  </si>
  <si>
    <t>GB</t>
  </si>
  <si>
    <t>S&amp;P Global Manufacturing PMI Flash JUL</t>
  </si>
  <si>
    <t>S&amp;P Global Services PMI Flash JUL</t>
  </si>
  <si>
    <t>EA</t>
  </si>
  <si>
    <t>Deposit Facility Rate</t>
  </si>
  <si>
    <t>ECB Interest Rate Decision</t>
  </si>
  <si>
    <t>ECB Press Conference</t>
  </si>
  <si>
    <t>Friday July 25 2025</t>
  </si>
  <si>
    <t>Retail Sales MoM JUN</t>
  </si>
  <si>
    <t>Ifo Business Climate JUL</t>
  </si>
  <si>
    <t>Durable Goods Orders MoM JUN</t>
  </si>
  <si>
    <t>Tuesday July 29 2025</t>
  </si>
  <si>
    <t>ES</t>
  </si>
  <si>
    <t>GDP Growth Rate QoQ Flash Q2</t>
  </si>
  <si>
    <t>GDP Growth Rate YoY Flash Q2</t>
  </si>
  <si>
    <t>JOLTs Job Openings JUN</t>
  </si>
  <si>
    <t>Wednesday July 30 2025</t>
  </si>
  <si>
    <t>FR</t>
  </si>
  <si>
    <t>GDP Growth Rate QoQ Prel Q2</t>
  </si>
  <si>
    <t>GDP Growth Rate YoY Prel Q2</t>
  </si>
  <si>
    <t>Performance (month/year): Best = Tech/Ind +9.7%/+12.0%; worst = Cons S/Cons D</t>
  </si>
  <si>
    <t>Options ADV: Monthly average 53.8 million contracts; -1.0% M/M, +15.4% Y/Y</t>
  </si>
  <si>
    <t>• Markets continue to show resilience after the April decline, posting a record S&amp;P 500 level of 6,204.95 at the end of the month, +5.5% YTD.</t>
  </si>
  <si>
    <t>• Volatility was muted, with the VIX peaking at only 21.60 against April’s 52.33, -43.0% vs.</t>
  </si>
  <si>
    <t>• April and -2.2% to pre-April.</t>
  </si>
  <si>
    <t>• Volumes were a mixed bag: equity ADV -5.6% to April/+16.3% pre; options -9.0% to April/-5.3% pre.</t>
  </si>
  <si>
    <t>• Trade policy concerns continue to weigh on the USD, with the DXY (dollar index) -2.5% in June and 10.7% YTD.</t>
  </si>
  <si>
    <t>• USD/EUR (reverse spot) -3.7% in June and -12.2% YTD.</t>
  </si>
  <si>
    <t>• Price level indicators show stability amidst inflationary worries: CPI and Core CPI both show declines from February to April and only a slight uptick from April to May.</t>
  </si>
  <si>
    <t>Summary Statistics</t>
  </si>
  <si>
    <t>Latest Value:</t>
  </si>
  <si>
    <t>Date Range:</t>
  </si>
  <si>
    <t>1976-06-01 to 2025-07-18</t>
  </si>
  <si>
    <t>Average:</t>
  </si>
  <si>
    <t>Min Value:</t>
  </si>
  <si>
    <t>Max Value:</t>
  </si>
  <si>
    <t>-2.41% on 1980-03-20</t>
  </si>
  <si>
    <t>2.91% on 2011-02-04</t>
  </si>
  <si>
    <t>1M</t>
  </si>
  <si>
    <t>2Y</t>
  </si>
  <si>
    <t>3Y</t>
  </si>
  <si>
    <t>5Y</t>
  </si>
  <si>
    <t>7Y</t>
  </si>
  <si>
    <t>10Y</t>
  </si>
  <si>
    <t>20Y</t>
  </si>
  <si>
    <t>30Y</t>
  </si>
  <si>
    <t>Implied ERP (Previous Month)</t>
  </si>
  <si>
    <t>Economic Calendar (High Impact Only)</t>
  </si>
  <si>
    <t xml:space="preserve">10 year - 2 year </t>
  </si>
  <si>
    <t>Treasury Rates</t>
  </si>
  <si>
    <t>Fed Rate Probability Table for Jul 30, 2025:</t>
  </si>
  <si>
    <t>Target Rate</t>
  </si>
  <si>
    <t>Current Probability%</t>
  </si>
  <si>
    <t>Previous Day Probability%</t>
  </si>
  <si>
    <t>Previous Week Probability%</t>
  </si>
  <si>
    <t>4.00 - 4.25</t>
  </si>
  <si>
    <t>4.25 - 4.50</t>
  </si>
  <si>
    <t>Fed Rate Probability Table for Sep 17, 2025:</t>
  </si>
  <si>
    <t>3.75 - 4.00</t>
  </si>
  <si>
    <t>Fed Rate Probability Table for Oct 29, 2025:</t>
  </si>
  <si>
    <t>3.50 - 3.75</t>
  </si>
  <si>
    <t>Fed Rate Probability Table for Dec 10, 2025:</t>
  </si>
  <si>
    <t>3.25 - 3.50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</si>
</sst>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164" formatCode="[&lt;999950]0.0,,&quot;M&quot;;[&lt;999950000]0.0,,&quot;M&quot;;0.0,,,&quot;B&quot;"/>
    <numFmt numFmtId="165" formatCode="[&lt;999950]0,,&quot;M&quot;;[&lt;999950000]0,,&quot;M&quot;;0,,,&quot;B&quot;"/>
    <numFmt numFmtId="166" formatCode="0.0%"/>
    <numFmt numFmtId="167" formatCode="[&gt;=1000000000]\ #,##0.0,,,&quot;B&quot;;[&gt;=1000000]\ #,##0.0,,&quot;M&quot;;0"/>
    <numFmt numFmtId="168" formatCode="_([$$-409]* #,##0.00_);_([$$-409]* \(#,##0.00\);_([$$-409]* &quot;-&quot;??_);_(@_)"/>
    <numFmt numFmtId="169" formatCode="_([$$-409]* #,##0_);_([$$-409]* \(#,##0\);_([$$-409]* &quot;-&quot;_);_(@_)"/>
    <numFmt numFmtId="170" formatCode="dd/mm/yyyy;@"/>
    <numFmt numFmtId="171" formatCode="0.000"/>
    <numFmt numFmtId="172" formatCode="0.000000%"/>
    <numFmt numFmtId="173" formatCode="[&gt;=1000000000]0.0,,,&quot;B&quot;;[&gt;=1000000]0.0,,&quot;M&quot;;\-0.0,,&quot;M&quot;"/>
    <numFmt numFmtId="174" formatCode="0.0,,,&quot;B&quot;;\-0.0,,,&quot;B&quot;"/>
    <numFmt numFmtId="175" formatCode="#,##0.0000"/>
    <numFmt numFmtId="176" formatCode="&quot;$&quot;#,##0"/>
    <numFmt numFmtId="177" formatCode="&quot;£&quot;#,##0.00"/>
    <numFmt numFmtId="178" formatCode="&quot;$&quot;#,##0.00"/>
    <numFmt numFmtId="179" formatCode="0.00;;&quot;&quot;"/>
    <numFmt numFmtId="180" formatCode="0.0000"/>
    <numFmt numFmtId="181" formatCode="[&gt;=1000000000]\ #,##0.000,,,&quot;B&quot;;[&gt;=1000000]\ #,##0.000,,&quot;M&quot;;0.00"/>
    <numFmt numFmtId="182" formatCode="yyyy\-mm\-dd;@"/>
    <numFmt numFmtId="183" formatCode="0.0000000"/>
  </numFmts>
  <fonts count="61">
    <font>
      <sz val="10"/>
      <color rgb="FF000000"/>
      <name val="Arial"/>
      <scheme val="minor"/>
    </font>
    <font>
      <sz val="10"/>
      <color theme="1"/>
      <name val="Arial"/>
      <family val="2"/>
      <scheme val="minor"/>
    </font>
    <font>
      <sz val="10"/>
      <color rgb="FF000000"/>
      <name val="Arial"/>
      <family val="2"/>
      <scheme val="minor"/>
    </font>
    <font>
      <sz val="10"/>
      <color theme="1"/>
      <name val="Arial"/>
      <family val="2"/>
    </font>
    <font>
      <sz val="11"/>
      <color rgb="FF000000"/>
      <name val="Inconsolata"/>
    </font>
    <font>
      <b/>
      <sz val="10"/>
      <color rgb="FF000000"/>
      <name val="Arial"/>
      <family val="2"/>
    </font>
    <font>
      <b/>
      <sz val="10"/>
      <color theme="1"/>
      <name val="Arial"/>
      <family val="2"/>
      <scheme val="minor"/>
    </font>
    <font>
      <b/>
      <sz val="14"/>
      <color theme="1"/>
      <name val="Arial"/>
      <family val="2"/>
      <scheme val="minor"/>
    </font>
    <font>
      <sz val="12"/>
      <color rgb="FF000000"/>
      <name val="Aptos Narrow"/>
      <family val="2"/>
    </font>
    <font>
      <sz val="11"/>
      <color rgb="FF242424"/>
      <name val="Aptos Narrow"/>
    </font>
    <font>
      <u/>
      <sz val="10"/>
      <color theme="10"/>
      <name val="Arial"/>
      <family val="2"/>
      <scheme val="minor"/>
    </font>
    <font>
      <sz val="12"/>
      <color rgb="FF000000"/>
      <name val="Aptos Narrow"/>
    </font>
    <font>
      <b/>
      <sz val="13.5"/>
      <color rgb="FF000000"/>
      <name val="Arial"/>
      <family val="2"/>
      <scheme val="minor"/>
    </font>
    <font>
      <b/>
      <sz val="10"/>
      <color rgb="FF000000"/>
      <name val="Arial"/>
      <family val="2"/>
      <scheme val="minor"/>
    </font>
    <font>
      <i/>
      <sz val="10"/>
      <color rgb="FF000000"/>
      <name val="Arial"/>
      <family val="2"/>
      <scheme val="minor"/>
    </font>
    <font>
      <sz val="10"/>
      <color rgb="FF000000"/>
      <name val="Arial"/>
      <family val="2"/>
    </font>
    <font>
      <sz val="10"/>
      <color rgb="FF000000"/>
      <name val="Arial"/>
      <family val="2"/>
      <scheme val="minor"/>
    </font>
    <font>
      <sz val="10"/>
      <color rgb="FF000000"/>
      <name val="Arial Unicode MS"/>
      <family val="2"/>
    </font>
    <font>
      <b/>
      <sz val="12"/>
      <color rgb="FF000000"/>
      <name val="Aptos Narrow"/>
    </font>
    <font>
      <b/>
      <sz val="14"/>
      <color rgb="FF242424"/>
      <name val="Aptos Narrow"/>
    </font>
    <font>
      <b/>
      <sz val="14"/>
      <color rgb="FF000000"/>
      <name val="Arial"/>
      <family val="2"/>
      <scheme val="minor"/>
    </font>
    <font>
      <b/>
      <sz val="12"/>
      <color rgb="FF000000"/>
      <name val="Arial"/>
      <family val="2"/>
      <scheme val="minor"/>
    </font>
    <font>
      <sz val="14"/>
      <color rgb="FF000000"/>
      <name val="Arial"/>
      <family val="2"/>
      <scheme val="minor"/>
    </font>
    <font>
      <b/>
      <sz val="24"/>
      <color rgb="FF242424"/>
      <name val="Aptos Narrow"/>
    </font>
    <font>
      <b/>
      <sz val="12"/>
      <color theme="1"/>
      <name val="Arial"/>
      <family val="2"/>
      <scheme val="minor"/>
    </font>
    <font>
      <i/>
      <sz val="11"/>
      <color theme="1"/>
      <name val="Arial"/>
      <family val="2"/>
      <scheme val="minor"/>
    </font>
    <font>
      <sz val="11"/>
      <name val="Arial"/>
      <family val="2"/>
      <scheme val="minor"/>
    </font>
    <font>
      <sz val="11"/>
      <color theme="9" tint="-0.249977111117893"/>
      <name val="Arial"/>
      <family val="2"/>
      <scheme val="minor"/>
    </font>
    <font>
      <i/>
      <sz val="11"/>
      <name val="Arial"/>
      <family val="2"/>
      <scheme val="minor"/>
    </font>
    <font>
      <b/>
      <sz val="11"/>
      <name val="Arial"/>
      <family val="2"/>
      <scheme val="minor"/>
    </font>
    <font>
      <b/>
      <sz val="11"/>
      <color theme="0"/>
      <name val="Arial"/>
      <family val="2"/>
      <scheme val="minor"/>
    </font>
    <font>
      <sz val="11"/>
      <color rgb="FF7030A0"/>
      <name val="Arial"/>
      <family val="2"/>
      <scheme val="minor"/>
    </font>
    <font>
      <sz val="11"/>
      <color rgb="FF00B050"/>
      <name val="Arial"/>
      <family val="2"/>
      <scheme val="minor"/>
    </font>
    <font>
      <sz val="11"/>
      <color rgb="FFFF0000"/>
      <name val="Arial"/>
      <family val="2"/>
      <scheme val="minor"/>
    </font>
    <font>
      <i/>
      <sz val="11"/>
      <color rgb="FF00B050"/>
      <name val="Arial"/>
      <family val="2"/>
      <scheme val="minor"/>
    </font>
    <font>
      <i/>
      <sz val="11"/>
      <color rgb="FFFF0000"/>
      <name val="Arial"/>
      <family val="2"/>
      <scheme val="minor"/>
    </font>
    <font>
      <u/>
      <sz val="11"/>
      <color theme="1"/>
      <name val="Arial"/>
      <family val="2"/>
      <scheme val="minor"/>
    </font>
    <font>
      <b/>
      <sz val="20"/>
      <color theme="1"/>
      <name val="Arial"/>
      <family val="2"/>
      <scheme val="minor"/>
    </font>
    <font>
      <b/>
      <sz val="36"/>
      <color theme="1"/>
      <name val="Arial"/>
      <family val="2"/>
      <scheme val="minor"/>
    </font>
    <font>
      <sz val="10"/>
      <name val="Arial"/>
      <family val="2"/>
    </font>
    <font>
      <b/>
      <sz val="11"/>
      <color theme="1"/>
      <name val="Arial"/>
      <family val="2"/>
      <scheme val="minor"/>
    </font>
    <font>
      <b/>
      <sz val="17"/>
      <color theme="1"/>
      <name val="Arial"/>
      <family val="2"/>
      <scheme val="minor"/>
    </font>
    <font>
      <b/>
      <sz val="11"/>
      <color rgb="FF000000"/>
      <name val="Arial"/>
      <family val="2"/>
      <scheme val="minor"/>
    </font>
    <font>
      <sz val="11"/>
      <color rgb="FF000000"/>
      <name val="Arial"/>
      <family val="2"/>
      <scheme val="minor"/>
    </font>
    <font>
      <b/>
      <sz val="16"/>
      <color theme="1"/>
      <name val="Arial"/>
      <family val="2"/>
      <scheme val="minor"/>
    </font>
    <font>
      <sz val="24"/>
      <color theme="1"/>
      <name val="Arial"/>
      <family val="2"/>
      <scheme val="minor"/>
    </font>
    <font>
      <b/>
      <sz val="10"/>
      <color theme="1"/>
      <name val="Arial"/>
      <family val="2"/>
    </font>
    <font>
      <sz val="11"/>
      <color rgb="FF1F1F1F"/>
      <name val="&quot;Google Sans&quot;"/>
    </font>
    <font>
      <sz val="8"/>
      <color theme="1"/>
      <name val="Arial"/>
      <family val="2"/>
    </font>
    <font>
      <sz val="12"/>
      <color theme="1"/>
      <name val="Aptos Narrow"/>
    </font>
    <font>
      <sz val="15"/>
      <color rgb="FFBFC7D5"/>
      <name val="Menlo"/>
      <family val="2"/>
    </font>
    <font>
      <b/>
      <sz val="20"/>
      <color rgb="FF000000"/>
      <name val="Arial"/>
      <family val="2"/>
      <scheme val="minor"/>
    </font>
    <font>
      <b/>
      <sz val="12"/>
      <color theme="1"/>
      <name val="Aptos Narrow"/>
    </font>
    <font>
      <sz val="12"/>
      <color rgb="FF000000"/>
      <name val="Arial"/>
      <family val="2"/>
      <scheme val="minor"/>
    </font>
    <font>
      <b/>
      <sz val="11"/>
      <color theme="1"/>
      <name val="Aptos Narrow"/>
    </font>
    <font>
      <b/>
      <sz val="16"/>
      <color rgb="FF000000"/>
      <name val="Arial"/>
      <family val="2"/>
      <scheme val="minor"/>
    </font>
    <font>
      <b/>
      <i/>
      <sz val="10"/>
      <color rgb="FF000000"/>
      <name val="Arial"/>
      <family val="2"/>
      <scheme val="minor"/>
    </font>
    <font>
      <sz val="10"/>
      <color rgb="FFFF0000"/>
      <name val="Arial"/>
      <family val="2"/>
      <scheme val="minor"/>
    </font>
    <font>
      <sz val="10"/>
      <color rgb="FF008000"/>
      <name val="Arial"/>
      <family val="2"/>
      <scheme val="minor"/>
    </font>
    <font>
      <b/>
      <sz val="14"/>
      <color rgb="FF000000"/>
      <name val="Arial"/>
      <family val="2"/>
      <scheme val="major"/>
    </font>
    <font>
      <sz val="15"/>
      <color rgb="FFCE9178"/>
      <name val="Menlo"/>
      <family val="2"/>
    </font>
  </fonts>
  <fills count="4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2" tint="-0.249977111117893"/>
        <bgColor indexed="64"/>
      </patternFill>
    </fill>
    <fill>
      <patternFill patternType="solid">
        <fgColor theme="2"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6" tint="0.79998168889431442"/>
        <bgColor indexed="64"/>
      </patternFill>
    </fill>
    <fill>
      <patternFill patternType="solid">
        <fgColor theme="6" tint="0.79998168889431442"/>
        <bgColor rgb="FF000000"/>
      </patternFill>
    </fill>
    <fill>
      <patternFill patternType="solid">
        <fgColor rgb="FFF3F3F3"/>
        <bgColor rgb="FFF3F3F3"/>
      </patternFill>
    </fill>
    <fill>
      <patternFill patternType="solid">
        <fgColor rgb="FFB6D7A8"/>
        <bgColor rgb="FFB6D7A8"/>
      </patternFill>
    </fill>
    <fill>
      <patternFill patternType="solid">
        <fgColor theme="0"/>
        <bgColor rgb="FFC9DAF8"/>
      </patternFill>
    </fill>
    <fill>
      <patternFill patternType="solid">
        <fgColor theme="0"/>
        <bgColor rgb="FFB6D7A8"/>
      </patternFill>
    </fill>
    <fill>
      <patternFill patternType="solid">
        <fgColor rgb="FFEAD1DC"/>
        <bgColor rgb="FFEAD1DC"/>
      </patternFill>
    </fill>
    <fill>
      <patternFill patternType="solid">
        <fgColor rgb="FFA4C2F4"/>
        <bgColor rgb="FFA4C2F4"/>
      </patternFill>
    </fill>
    <fill>
      <patternFill patternType="solid">
        <fgColor theme="4" tint="0.79998168889431442"/>
        <bgColor rgb="FFEAD1DC"/>
      </patternFill>
    </fill>
    <fill>
      <patternFill patternType="solid">
        <fgColor theme="4" tint="0.79998168889431442"/>
        <bgColor indexed="64"/>
      </patternFill>
    </fill>
    <fill>
      <patternFill patternType="solid">
        <fgColor rgb="FFF5F2F1"/>
        <bgColor rgb="FFF5F2F1"/>
      </patternFill>
    </fill>
    <fill>
      <patternFill patternType="solid">
        <fgColor theme="4" tint="0.79998168889431442"/>
        <bgColor rgb="FFC9DAF8"/>
      </patternFill>
    </fill>
    <fill>
      <patternFill patternType="solid">
        <fgColor rgb="FFFFE599"/>
        <bgColor rgb="FFFFE599"/>
      </patternFill>
    </fill>
    <fill>
      <patternFill patternType="solid">
        <fgColor theme="0"/>
        <bgColor rgb="FFB4A7D6"/>
      </patternFill>
    </fill>
    <fill>
      <patternFill patternType="solid">
        <fgColor theme="0"/>
        <bgColor rgb="FFD9D2E9"/>
      </patternFill>
    </fill>
    <fill>
      <patternFill patternType="solid">
        <fgColor theme="0"/>
        <bgColor rgb="FFF9CB9C"/>
      </patternFill>
    </fill>
    <fill>
      <patternFill patternType="solid">
        <fgColor theme="0"/>
        <bgColor rgb="FFFCE5CD"/>
      </patternFill>
    </fill>
    <fill>
      <patternFill patternType="solid">
        <fgColor rgb="FFFCE5CD"/>
        <bgColor rgb="FFFCE5CD"/>
      </patternFill>
    </fill>
    <fill>
      <patternFill patternType="solid">
        <fgColor theme="0"/>
        <bgColor theme="0"/>
      </patternFill>
    </fill>
    <fill>
      <patternFill patternType="solid">
        <fgColor rgb="FFEFEFEF"/>
        <bgColor rgb="FFEFEFEF"/>
      </patternFill>
    </fill>
    <fill>
      <patternFill patternType="solid">
        <fgColor theme="2" tint="-4.9989318521683403E-2"/>
        <bgColor indexed="64"/>
      </patternFill>
    </fill>
    <fill>
      <patternFill patternType="solid">
        <fgColor rgb="FFFFF2CC"/>
        <bgColor rgb="FFFFF2CC"/>
      </patternFill>
    </fill>
    <fill>
      <patternFill patternType="solid">
        <fgColor theme="2" tint="-4.9989318521683403E-2"/>
        <bgColor rgb="FFFFF2CC"/>
      </patternFill>
    </fill>
    <fill>
      <patternFill patternType="solid">
        <fgColor theme="2" tint="-4.9989318521683403E-2"/>
        <bgColor rgb="FFFFFFFF"/>
      </patternFill>
    </fill>
    <fill>
      <patternFill patternType="solid">
        <fgColor theme="6" tint="0.79998168889431442"/>
        <bgColor rgb="FFFFF2CC"/>
      </patternFill>
    </fill>
    <fill>
      <patternFill patternType="solid">
        <fgColor theme="2" tint="-0.14999847407452621"/>
        <bgColor indexed="64"/>
      </patternFill>
    </fill>
  </fills>
  <borders count="38">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bottom style="hair">
        <color indexed="64"/>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rgb="FF000000"/>
      </left>
      <right style="thin">
        <color indexed="64"/>
      </right>
      <top style="thin">
        <color rgb="FF000000"/>
      </top>
      <bottom style="thin">
        <color rgb="FFCCCCCC"/>
      </bottom>
      <diagonal/>
    </border>
    <border>
      <left style="thin">
        <color rgb="FF000000"/>
      </left>
      <right style="thin">
        <color indexed="64"/>
      </right>
      <top style="thin">
        <color rgb="FFCCCCCC"/>
      </top>
      <bottom style="thin">
        <color rgb="FF000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thin">
        <color indexed="64"/>
      </right>
      <top/>
      <bottom style="thin">
        <color indexed="64"/>
      </bottom>
      <diagonal/>
    </border>
  </borders>
  <cellStyleXfs count="3">
    <xf numFmtId="0" fontId="0" fillId="0" borderId="0"/>
    <xf numFmtId="0" fontId="10" fillId="0" borderId="0" applyNumberFormat="0" applyFill="0" applyBorder="0" applyAlignment="0" applyProtection="0"/>
    <xf numFmtId="9" fontId="16" fillId="0" borderId="0" applyFont="0" applyFill="0" applyBorder="0" applyAlignment="0" applyProtection="0"/>
  </cellStyleXfs>
  <cellXfs count="435">
    <xf numFmtId="0" fontId="0" fillId="0" borderId="0" xfId="0"/>
    <xf numFmtId="0" fontId="1" fillId="0" borderId="0" xfId="0" applyFont="1"/>
    <xf numFmtId="0" fontId="3" fillId="0" borderId="0" xfId="0" applyFont="1"/>
    <xf numFmtId="0" fontId="4" fillId="2" borderId="0" xfId="0" applyFont="1" applyFill="1"/>
    <xf numFmtId="0" fontId="7" fillId="0" borderId="0" xfId="0" applyFont="1"/>
    <xf numFmtId="14" fontId="1" fillId="0" borderId="0" xfId="0" applyNumberFormat="1" applyFont="1"/>
    <xf numFmtId="0" fontId="3" fillId="0" borderId="0" xfId="0" applyFont="1" applyAlignment="1">
      <alignment horizontal="right"/>
    </xf>
    <xf numFmtId="0" fontId="6" fillId="0" borderId="0" xfId="0" applyFont="1"/>
    <xf numFmtId="0" fontId="8" fillId="0" borderId="0" xfId="0" applyFont="1"/>
    <xf numFmtId="11" fontId="8" fillId="0" borderId="0" xfId="0" applyNumberFormat="1" applyFont="1"/>
    <xf numFmtId="0" fontId="8" fillId="0" borderId="0" xfId="0" applyFont="1" applyAlignment="1">
      <alignment wrapText="1"/>
    </xf>
    <xf numFmtId="11" fontId="8" fillId="0" borderId="0" xfId="0" applyNumberFormat="1" applyFont="1" applyAlignment="1">
      <alignment wrapText="1"/>
    </xf>
    <xf numFmtId="0" fontId="0" fillId="0" borderId="0" xfId="0" applyAlignment="1">
      <alignment wrapText="1"/>
    </xf>
    <xf numFmtId="0" fontId="9" fillId="0" borderId="0" xfId="0" applyFont="1"/>
    <xf numFmtId="0" fontId="11" fillId="0" borderId="0" xfId="0" applyFont="1"/>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0" fillId="0" borderId="0" xfId="1"/>
    <xf numFmtId="0" fontId="0" fillId="3" borderId="0" xfId="0" applyFill="1"/>
    <xf numFmtId="0" fontId="2" fillId="0" borderId="0" xfId="0" applyFont="1"/>
    <xf numFmtId="14" fontId="0" fillId="0" borderId="0" xfId="0" applyNumberFormat="1"/>
    <xf numFmtId="1" fontId="0" fillId="0" borderId="0" xfId="0" applyNumberFormat="1" applyAlignment="1">
      <alignment horizontal="center" vertical="top"/>
    </xf>
    <xf numFmtId="1" fontId="0" fillId="0" borderId="0" xfId="0" applyNumberFormat="1"/>
    <xf numFmtId="1" fontId="9" fillId="0" borderId="0" xfId="0" applyNumberFormat="1" applyFont="1" applyAlignment="1">
      <alignment horizontal="center" vertical="top"/>
    </xf>
    <xf numFmtId="1" fontId="0" fillId="0" borderId="0" xfId="0" applyNumberFormat="1" applyAlignment="1">
      <alignment horizontal="center" vertical="top" wrapText="1"/>
    </xf>
    <xf numFmtId="0" fontId="5" fillId="0" borderId="0" xfId="0" applyFont="1"/>
    <xf numFmtId="167" fontId="0" fillId="0" borderId="0" xfId="0" applyNumberFormat="1"/>
    <xf numFmtId="0" fontId="2" fillId="3" borderId="0" xfId="0" applyFont="1" applyFill="1"/>
    <xf numFmtId="168" fontId="0" fillId="0" borderId="0" xfId="0" applyNumberFormat="1"/>
    <xf numFmtId="4" fontId="0" fillId="0" borderId="0" xfId="0" applyNumberFormat="1"/>
    <xf numFmtId="1" fontId="13" fillId="0" borderId="0" xfId="0" applyNumberFormat="1" applyFont="1" applyAlignment="1">
      <alignment horizontal="center" vertical="top" wrapText="1"/>
    </xf>
    <xf numFmtId="1" fontId="13" fillId="0" borderId="0" xfId="0" applyNumberFormat="1" applyFont="1" applyAlignment="1">
      <alignment horizontal="center" vertical="top"/>
    </xf>
    <xf numFmtId="1" fontId="13" fillId="0" borderId="4" xfId="0" applyNumberFormat="1" applyFont="1" applyBorder="1" applyAlignment="1">
      <alignment horizontal="center" vertical="top" wrapText="1"/>
    </xf>
    <xf numFmtId="167" fontId="0" fillId="6" borderId="0" xfId="0" applyNumberFormat="1" applyFill="1" applyAlignment="1">
      <alignment horizontal="center" vertical="top" wrapText="1"/>
    </xf>
    <xf numFmtId="167" fontId="0" fillId="0" borderId="0" xfId="0" applyNumberFormat="1" applyAlignment="1">
      <alignment horizontal="center" vertical="top" wrapText="1"/>
    </xf>
    <xf numFmtId="167" fontId="13" fillId="0" borderId="0" xfId="0" applyNumberFormat="1" applyFont="1" applyAlignment="1">
      <alignment horizontal="center" vertical="top" wrapText="1"/>
    </xf>
    <xf numFmtId="167" fontId="13" fillId="0" borderId="4" xfId="0" applyNumberFormat="1" applyFont="1" applyBorder="1" applyAlignment="1">
      <alignment horizontal="center" vertical="top" wrapText="1"/>
    </xf>
    <xf numFmtId="10" fontId="0" fillId="6" borderId="0" xfId="0" applyNumberFormat="1" applyFill="1" applyAlignment="1">
      <alignment horizontal="center" vertical="top" wrapText="1"/>
    </xf>
    <xf numFmtId="167" fontId="13" fillId="6" borderId="0" xfId="0" applyNumberFormat="1" applyFont="1" applyFill="1" applyAlignment="1">
      <alignment wrapText="1"/>
    </xf>
    <xf numFmtId="167" fontId="0" fillId="0" borderId="0" xfId="0" applyNumberFormat="1" applyAlignment="1">
      <alignment wrapText="1"/>
    </xf>
    <xf numFmtId="167" fontId="13" fillId="0" borderId="0" xfId="0" applyNumberFormat="1" applyFont="1" applyAlignment="1">
      <alignment wrapText="1"/>
    </xf>
    <xf numFmtId="167" fontId="13" fillId="0" borderId="0" xfId="0" applyNumberFormat="1" applyFont="1" applyAlignment="1">
      <alignment horizontal="center" vertical="top"/>
    </xf>
    <xf numFmtId="0" fontId="0" fillId="6" borderId="0" xfId="0" applyFill="1" applyAlignment="1">
      <alignment wrapText="1"/>
    </xf>
    <xf numFmtId="0" fontId="13" fillId="6" borderId="0" xfId="0" applyFont="1" applyFill="1" applyAlignment="1">
      <alignment wrapText="1"/>
    </xf>
    <xf numFmtId="0" fontId="0" fillId="6" borderId="0" xfId="0" applyFill="1"/>
    <xf numFmtId="0" fontId="14" fillId="6" borderId="0" xfId="0" applyFont="1" applyFill="1" applyAlignment="1">
      <alignment wrapText="1"/>
    </xf>
    <xf numFmtId="1" fontId="13" fillId="6" borderId="0" xfId="0" applyNumberFormat="1" applyFont="1" applyFill="1" applyAlignment="1">
      <alignment horizontal="center" vertical="top" wrapText="1"/>
    </xf>
    <xf numFmtId="1" fontId="0" fillId="6" borderId="0" xfId="0" applyNumberFormat="1" applyFill="1" applyAlignment="1">
      <alignment horizontal="center" vertical="top" wrapText="1"/>
    </xf>
    <xf numFmtId="10" fontId="0" fillId="0" borderId="0" xfId="0" applyNumberFormat="1" applyAlignment="1">
      <alignment horizontal="center" vertical="top" wrapText="1"/>
    </xf>
    <xf numFmtId="0" fontId="12" fillId="6" borderId="5" xfId="0" applyFont="1" applyFill="1" applyBorder="1" applyAlignment="1">
      <alignment wrapText="1"/>
    </xf>
    <xf numFmtId="0" fontId="0" fillId="6" borderId="5" xfId="0" applyFill="1" applyBorder="1" applyAlignment="1">
      <alignment wrapText="1"/>
    </xf>
    <xf numFmtId="0" fontId="0" fillId="6" borderId="5" xfId="0" applyFill="1" applyBorder="1"/>
    <xf numFmtId="0" fontId="18" fillId="0" borderId="6" xfId="0" applyFont="1" applyBorder="1"/>
    <xf numFmtId="0" fontId="18" fillId="0" borderId="7" xfId="0" applyFont="1" applyBorder="1"/>
    <xf numFmtId="0" fontId="13" fillId="6" borderId="7" xfId="0" applyFont="1" applyFill="1" applyBorder="1" applyAlignment="1">
      <alignment wrapText="1"/>
    </xf>
    <xf numFmtId="0" fontId="13" fillId="0" borderId="7" xfId="0" applyFont="1" applyBorder="1" applyAlignment="1">
      <alignment wrapText="1"/>
    </xf>
    <xf numFmtId="0" fontId="13" fillId="0" borderId="7" xfId="0" applyFont="1" applyBorder="1"/>
    <xf numFmtId="0" fontId="5" fillId="0" borderId="7" xfId="0" applyFont="1" applyBorder="1"/>
    <xf numFmtId="0" fontId="13" fillId="6" borderId="8" xfId="0" applyFont="1" applyFill="1" applyBorder="1" applyAlignment="1">
      <alignment wrapText="1"/>
    </xf>
    <xf numFmtId="0" fontId="19" fillId="5" borderId="1" xfId="0" applyFont="1" applyFill="1" applyBorder="1"/>
    <xf numFmtId="0" fontId="20" fillId="5" borderId="2" xfId="0" applyFont="1" applyFill="1" applyBorder="1"/>
    <xf numFmtId="170" fontId="21" fillId="5" borderId="3" xfId="0" applyNumberFormat="1" applyFont="1" applyFill="1" applyBorder="1" applyAlignment="1">
      <alignment horizontal="center" vertical="top" wrapText="1"/>
    </xf>
    <xf numFmtId="171" fontId="0" fillId="0" borderId="0" xfId="0" applyNumberFormat="1"/>
    <xf numFmtId="2" fontId="0" fillId="0" borderId="0" xfId="0" applyNumberFormat="1"/>
    <xf numFmtId="2" fontId="2" fillId="0" borderId="0" xfId="0" applyNumberFormat="1" applyFont="1"/>
    <xf numFmtId="166" fontId="13" fillId="6" borderId="9" xfId="2" applyNumberFormat="1" applyFont="1" applyFill="1" applyBorder="1" applyAlignment="1">
      <alignment horizontal="center" vertical="top" wrapText="1"/>
    </xf>
    <xf numFmtId="2" fontId="13" fillId="6" borderId="9" xfId="2" applyNumberFormat="1" applyFont="1" applyFill="1" applyBorder="1" applyAlignment="1">
      <alignment horizontal="center" vertical="top" wrapText="1"/>
    </xf>
    <xf numFmtId="10" fontId="13" fillId="6" borderId="9" xfId="2" applyNumberFormat="1" applyFont="1" applyFill="1" applyBorder="1" applyAlignment="1">
      <alignment horizontal="center" vertical="top" wrapText="1"/>
    </xf>
    <xf numFmtId="0" fontId="23" fillId="4" borderId="0" xfId="0" applyFont="1" applyFill="1"/>
    <xf numFmtId="0" fontId="0" fillId="0" borderId="0" xfId="0" applyAlignment="1">
      <alignment horizontal="center"/>
    </xf>
    <xf numFmtId="0" fontId="0" fillId="0" borderId="10" xfId="0" applyBorder="1" applyAlignment="1">
      <alignment horizontal="center"/>
    </xf>
    <xf numFmtId="0" fontId="0" fillId="0" borderId="10" xfId="0" applyBorder="1"/>
    <xf numFmtId="0" fontId="0" fillId="7" borderId="9" xfId="0" applyFill="1" applyBorder="1"/>
    <xf numFmtId="14" fontId="0" fillId="7" borderId="9" xfId="0" applyNumberFormat="1" applyFill="1" applyBorder="1"/>
    <xf numFmtId="0" fontId="0" fillId="8" borderId="0" xfId="0" applyFill="1" applyAlignment="1">
      <alignment horizontal="center" vertical="center"/>
    </xf>
    <xf numFmtId="0" fontId="0" fillId="8" borderId="0" xfId="0" applyFill="1"/>
    <xf numFmtId="10" fontId="0" fillId="7" borderId="9" xfId="0" applyNumberFormat="1" applyFill="1" applyBorder="1"/>
    <xf numFmtId="166" fontId="0" fillId="7" borderId="9" xfId="0" applyNumberFormat="1" applyFill="1" applyBorder="1"/>
    <xf numFmtId="9" fontId="0" fillId="7" borderId="9" xfId="2" applyFont="1" applyFill="1" applyBorder="1"/>
    <xf numFmtId="9" fontId="0" fillId="7" borderId="9" xfId="0" applyNumberFormat="1" applyFill="1" applyBorder="1"/>
    <xf numFmtId="0" fontId="0" fillId="9" borderId="0" xfId="0" applyFill="1"/>
    <xf numFmtId="9" fontId="25" fillId="7" borderId="9" xfId="0" applyNumberFormat="1" applyFont="1" applyFill="1" applyBorder="1" applyAlignment="1">
      <alignment horizontal="right"/>
    </xf>
    <xf numFmtId="9" fontId="25" fillId="7" borderId="9" xfId="2" applyFont="1" applyFill="1" applyBorder="1" applyAlignment="1">
      <alignment horizontal="right"/>
    </xf>
    <xf numFmtId="0" fontId="24" fillId="0" borderId="0" xfId="0" applyFont="1"/>
    <xf numFmtId="3" fontId="27" fillId="0" borderId="0" xfId="0" applyNumberFormat="1" applyFont="1"/>
    <xf numFmtId="0" fontId="28" fillId="9" borderId="0" xfId="0" applyFont="1" applyFill="1"/>
    <xf numFmtId="9" fontId="0" fillId="0" borderId="0" xfId="2" applyFont="1"/>
    <xf numFmtId="9" fontId="25" fillId="0" borderId="0" xfId="2" applyFont="1"/>
    <xf numFmtId="0" fontId="29" fillId="9" borderId="0" xfId="0" applyFont="1" applyFill="1"/>
    <xf numFmtId="0" fontId="26" fillId="9" borderId="0" xfId="0" applyFont="1" applyFill="1"/>
    <xf numFmtId="9" fontId="27" fillId="0" borderId="0" xfId="2" applyFont="1"/>
    <xf numFmtId="3" fontId="0" fillId="0" borderId="0" xfId="0" applyNumberFormat="1"/>
    <xf numFmtId="0" fontId="30" fillId="10" borderId="0" xfId="0" applyFont="1" applyFill="1"/>
    <xf numFmtId="0" fontId="0" fillId="10" borderId="0" xfId="0" applyFill="1"/>
    <xf numFmtId="0" fontId="25" fillId="0" borderId="0" xfId="0" applyFont="1"/>
    <xf numFmtId="0" fontId="0" fillId="11" borderId="0" xfId="0" applyFill="1"/>
    <xf numFmtId="172" fontId="0" fillId="0" borderId="0" xfId="2" applyNumberFormat="1" applyFont="1"/>
    <xf numFmtId="0" fontId="26" fillId="11" borderId="0" xfId="0" applyFont="1" applyFill="1"/>
    <xf numFmtId="0" fontId="0" fillId="12" borderId="0" xfId="0" applyFill="1"/>
    <xf numFmtId="0" fontId="36" fillId="0" borderId="10" xfId="0" applyFont="1" applyBorder="1"/>
    <xf numFmtId="0" fontId="0" fillId="13" borderId="0" xfId="0" applyFill="1"/>
    <xf numFmtId="2" fontId="0" fillId="7" borderId="9" xfId="0" applyNumberFormat="1" applyFill="1" applyBorder="1"/>
    <xf numFmtId="165" fontId="0" fillId="0" borderId="0" xfId="0" applyNumberFormat="1"/>
    <xf numFmtId="165" fontId="27" fillId="0" borderId="0" xfId="0" applyNumberFormat="1" applyFont="1"/>
    <xf numFmtId="165" fontId="25" fillId="0" borderId="0" xfId="2" applyNumberFormat="1" applyFont="1"/>
    <xf numFmtId="164" fontId="0" fillId="0" borderId="0" xfId="0" applyNumberFormat="1"/>
    <xf numFmtId="164" fontId="0" fillId="0" borderId="0" xfId="2" applyNumberFormat="1" applyFont="1"/>
    <xf numFmtId="164" fontId="25" fillId="0" borderId="0" xfId="2" applyNumberFormat="1" applyFont="1"/>
    <xf numFmtId="164" fontId="25" fillId="0" borderId="0" xfId="0" applyNumberFormat="1" applyFont="1"/>
    <xf numFmtId="164" fontId="31" fillId="0" borderId="0" xfId="0" applyNumberFormat="1" applyFont="1"/>
    <xf numFmtId="164" fontId="32" fillId="0" borderId="0" xfId="0" applyNumberFormat="1" applyFont="1"/>
    <xf numFmtId="164" fontId="33" fillId="0" borderId="0" xfId="0" applyNumberFormat="1" applyFont="1"/>
    <xf numFmtId="164" fontId="25" fillId="0" borderId="0" xfId="0" applyNumberFormat="1" applyFont="1" applyAlignment="1">
      <alignment horizontal="right"/>
    </xf>
    <xf numFmtId="164" fontId="34" fillId="0" borderId="10" xfId="0" applyNumberFormat="1" applyFont="1" applyBorder="1" applyAlignment="1">
      <alignment horizontal="right"/>
    </xf>
    <xf numFmtId="164" fontId="35" fillId="0" borderId="10" xfId="0" applyNumberFormat="1" applyFont="1" applyBorder="1" applyAlignment="1">
      <alignment horizontal="right"/>
    </xf>
    <xf numFmtId="9" fontId="28" fillId="7" borderId="11" xfId="2" applyFont="1" applyFill="1" applyBorder="1" applyAlignment="1">
      <alignment horizontal="right"/>
    </xf>
    <xf numFmtId="9" fontId="25" fillId="7" borderId="12" xfId="2" applyFont="1" applyFill="1" applyBorder="1" applyAlignment="1">
      <alignment horizontal="right"/>
    </xf>
    <xf numFmtId="9" fontId="25" fillId="0" borderId="0" xfId="2" applyFont="1" applyAlignment="1">
      <alignment horizontal="right"/>
    </xf>
    <xf numFmtId="9" fontId="28" fillId="7" borderId="13" xfId="2" applyFont="1" applyFill="1" applyBorder="1" applyAlignment="1">
      <alignment horizontal="right"/>
    </xf>
    <xf numFmtId="164" fontId="36" fillId="0" borderId="10" xfId="0" applyNumberFormat="1" applyFont="1" applyBorder="1"/>
    <xf numFmtId="164" fontId="0" fillId="0" borderId="10" xfId="0" applyNumberFormat="1" applyBorder="1"/>
    <xf numFmtId="173" fontId="0" fillId="0" borderId="0" xfId="0" applyNumberFormat="1"/>
    <xf numFmtId="174" fontId="0" fillId="0" borderId="0" xfId="0" applyNumberFormat="1"/>
    <xf numFmtId="174" fontId="32" fillId="0" borderId="0" xfId="0" applyNumberFormat="1" applyFont="1"/>
    <xf numFmtId="174" fontId="0" fillId="6" borderId="0" xfId="0" applyNumberFormat="1" applyFill="1"/>
    <xf numFmtId="0" fontId="37" fillId="0" borderId="0" xfId="0" applyFont="1"/>
    <xf numFmtId="166" fontId="0" fillId="0" borderId="0" xfId="0" applyNumberFormat="1"/>
    <xf numFmtId="175" fontId="0" fillId="0" borderId="0" xfId="0" applyNumberFormat="1"/>
    <xf numFmtId="9" fontId="0" fillId="14" borderId="9" xfId="2" applyFont="1" applyFill="1" applyBorder="1"/>
    <xf numFmtId="10" fontId="0" fillId="14" borderId="9" xfId="0" applyNumberFormat="1" applyFill="1" applyBorder="1"/>
    <xf numFmtId="10" fontId="2" fillId="15" borderId="9" xfId="0" applyNumberFormat="1" applyFont="1" applyFill="1" applyBorder="1"/>
    <xf numFmtId="172" fontId="0" fillId="9" borderId="0" xfId="0" applyNumberFormat="1" applyFill="1"/>
    <xf numFmtId="10" fontId="0" fillId="9" borderId="0" xfId="0" applyNumberFormat="1" applyFill="1"/>
    <xf numFmtId="9" fontId="0" fillId="9" borderId="0" xfId="2" applyFont="1" applyFill="1" applyBorder="1"/>
    <xf numFmtId="9" fontId="0" fillId="9" borderId="0" xfId="0" applyNumberFormat="1" applyFill="1"/>
    <xf numFmtId="0" fontId="13" fillId="0" borderId="0" xfId="0" applyFont="1"/>
    <xf numFmtId="0" fontId="26" fillId="14" borderId="0" xfId="0" applyFont="1" applyFill="1"/>
    <xf numFmtId="0" fontId="0" fillId="14" borderId="0" xfId="0" applyFill="1"/>
    <xf numFmtId="9" fontId="2" fillId="0" borderId="0" xfId="2" applyFont="1"/>
    <xf numFmtId="0" fontId="1" fillId="0" borderId="0" xfId="0" applyFont="1" applyAlignment="1">
      <alignment horizontal="center"/>
    </xf>
    <xf numFmtId="0" fontId="39" fillId="9" borderId="0" xfId="0" applyFont="1" applyFill="1"/>
    <xf numFmtId="0" fontId="5" fillId="2" borderId="0" xfId="0" applyFont="1" applyFill="1" applyAlignment="1">
      <alignment horizontal="left"/>
    </xf>
    <xf numFmtId="0" fontId="1" fillId="18" borderId="0" xfId="0" applyFont="1" applyFill="1" applyAlignment="1">
      <alignment horizontal="center"/>
    </xf>
    <xf numFmtId="0" fontId="5" fillId="24" borderId="0" xfId="0" applyFont="1" applyFill="1" applyAlignment="1">
      <alignment horizontal="left"/>
    </xf>
    <xf numFmtId="0" fontId="1" fillId="0" borderId="17" xfId="0" applyFont="1" applyBorder="1" applyAlignment="1">
      <alignment horizontal="center"/>
    </xf>
    <xf numFmtId="178" fontId="1" fillId="0" borderId="0" xfId="0" applyNumberFormat="1" applyFont="1" applyAlignment="1">
      <alignment horizontal="center"/>
    </xf>
    <xf numFmtId="0" fontId="43" fillId="2" borderId="0" xfId="0" applyFont="1" applyFill="1" applyAlignment="1">
      <alignment horizontal="center"/>
    </xf>
    <xf numFmtId="0" fontId="6" fillId="30" borderId="0" xfId="0" applyFont="1" applyFill="1" applyAlignment="1">
      <alignment horizontal="center"/>
    </xf>
    <xf numFmtId="0" fontId="42" fillId="30" borderId="0" xfId="0" applyFont="1" applyFill="1" applyAlignment="1">
      <alignment horizontal="center"/>
    </xf>
    <xf numFmtId="0" fontId="6" fillId="0" borderId="0" xfId="0" applyFont="1" applyAlignment="1">
      <alignment horizontal="center"/>
    </xf>
    <xf numFmtId="0" fontId="24" fillId="0" borderId="0" xfId="0" applyFont="1" applyAlignment="1">
      <alignment horizontal="center"/>
    </xf>
    <xf numFmtId="2" fontId="1" fillId="0" borderId="9" xfId="0" applyNumberFormat="1" applyFont="1" applyBorder="1" applyAlignment="1">
      <alignment horizontal="center"/>
    </xf>
    <xf numFmtId="0" fontId="1" fillId="0" borderId="9" xfId="0" applyFont="1" applyBorder="1" applyAlignment="1">
      <alignment horizontal="center"/>
    </xf>
    <xf numFmtId="166" fontId="1" fillId="0" borderId="9" xfId="2" applyNumberFormat="1" applyFont="1" applyBorder="1" applyAlignment="1">
      <alignment horizontal="center"/>
    </xf>
    <xf numFmtId="166" fontId="1" fillId="0" borderId="0" xfId="2" applyNumberFormat="1" applyFont="1" applyAlignment="1">
      <alignment horizontal="center"/>
    </xf>
    <xf numFmtId="2" fontId="1" fillId="0" borderId="0" xfId="0" applyNumberFormat="1" applyFont="1" applyAlignment="1">
      <alignment horizontal="center"/>
    </xf>
    <xf numFmtId="9" fontId="1" fillId="0" borderId="0" xfId="2" applyFont="1" applyAlignment="1">
      <alignment horizontal="center"/>
    </xf>
    <xf numFmtId="0" fontId="46" fillId="32" borderId="0" xfId="0" applyFont="1" applyFill="1" applyAlignment="1">
      <alignment horizontal="center"/>
    </xf>
    <xf numFmtId="2" fontId="46" fillId="32" borderId="0" xfId="0" applyNumberFormat="1" applyFont="1" applyFill="1" applyAlignment="1">
      <alignment horizontal="center"/>
    </xf>
    <xf numFmtId="9" fontId="46" fillId="32" borderId="0" xfId="2" applyFont="1" applyFill="1" applyAlignment="1">
      <alignment horizontal="center"/>
    </xf>
    <xf numFmtId="2" fontId="3" fillId="0" borderId="0" xfId="0" applyNumberFormat="1" applyFont="1" applyAlignment="1">
      <alignment horizontal="center"/>
    </xf>
    <xf numFmtId="0" fontId="46" fillId="33" borderId="0" xfId="0" applyFont="1" applyFill="1" applyAlignment="1">
      <alignment horizontal="center"/>
    </xf>
    <xf numFmtId="2" fontId="46" fillId="33" borderId="25" xfId="0" applyNumberFormat="1" applyFont="1" applyFill="1" applyBorder="1" applyAlignment="1">
      <alignment horizontal="center"/>
    </xf>
    <xf numFmtId="2" fontId="46" fillId="33" borderId="16" xfId="0" applyNumberFormat="1" applyFont="1" applyFill="1" applyBorder="1" applyAlignment="1">
      <alignment horizontal="center"/>
    </xf>
    <xf numFmtId="2" fontId="46" fillId="34" borderId="29" xfId="0" applyNumberFormat="1" applyFont="1" applyFill="1" applyBorder="1" applyAlignment="1">
      <alignment horizontal="center"/>
    </xf>
    <xf numFmtId="9" fontId="46" fillId="34" borderId="29" xfId="2" applyFont="1" applyFill="1" applyBorder="1" applyAlignment="1">
      <alignment horizontal="center"/>
    </xf>
    <xf numFmtId="0" fontId="1" fillId="32" borderId="0" xfId="0" applyFont="1" applyFill="1" applyAlignment="1">
      <alignment horizontal="center"/>
    </xf>
    <xf numFmtId="0" fontId="1" fillId="32" borderId="9" xfId="0" applyFont="1" applyFill="1" applyBorder="1" applyAlignment="1">
      <alignment horizontal="center"/>
    </xf>
    <xf numFmtId="2" fontId="1" fillId="32" borderId="9" xfId="0" applyNumberFormat="1" applyFont="1" applyFill="1" applyBorder="1" applyAlignment="1">
      <alignment horizontal="center"/>
    </xf>
    <xf numFmtId="2" fontId="3" fillId="35" borderId="9" xfId="0" applyNumberFormat="1" applyFont="1" applyFill="1" applyBorder="1" applyAlignment="1">
      <alignment horizontal="center"/>
    </xf>
    <xf numFmtId="2" fontId="3" fillId="2" borderId="9" xfId="0" applyNumberFormat="1" applyFont="1" applyFill="1" applyBorder="1" applyAlignment="1">
      <alignment horizontal="center"/>
    </xf>
    <xf numFmtId="10" fontId="3" fillId="2" borderId="9" xfId="0" applyNumberFormat="1" applyFont="1" applyFill="1" applyBorder="1" applyAlignment="1">
      <alignment horizontal="center"/>
    </xf>
    <xf numFmtId="2" fontId="3" fillId="0" borderId="9" xfId="0" applyNumberFormat="1" applyFont="1" applyBorder="1" applyAlignment="1">
      <alignment horizontal="center"/>
    </xf>
    <xf numFmtId="9" fontId="3" fillId="0" borderId="9" xfId="2" applyFont="1" applyBorder="1" applyAlignment="1">
      <alignment horizontal="center"/>
    </xf>
    <xf numFmtId="2" fontId="4" fillId="2" borderId="0" xfId="0" applyNumberFormat="1" applyFont="1" applyFill="1" applyAlignment="1">
      <alignment horizontal="center"/>
    </xf>
    <xf numFmtId="0" fontId="3" fillId="32" borderId="0" xfId="0" applyFont="1" applyFill="1" applyAlignment="1">
      <alignment horizontal="center"/>
    </xf>
    <xf numFmtId="0" fontId="3" fillId="32" borderId="9" xfId="0" applyFont="1" applyFill="1" applyBorder="1" applyAlignment="1">
      <alignment horizontal="center"/>
    </xf>
    <xf numFmtId="0" fontId="47" fillId="32" borderId="0" xfId="0" applyFont="1" applyFill="1" applyAlignment="1">
      <alignment horizontal="center"/>
    </xf>
    <xf numFmtId="0" fontId="47" fillId="32" borderId="9" xfId="0" applyFont="1" applyFill="1" applyBorder="1" applyAlignment="1">
      <alignment horizontal="center"/>
    </xf>
    <xf numFmtId="0" fontId="48" fillId="32" borderId="0" xfId="0" applyFont="1" applyFill="1" applyAlignment="1">
      <alignment horizontal="center"/>
    </xf>
    <xf numFmtId="0" fontId="48" fillId="32" borderId="9" xfId="0" applyFont="1" applyFill="1" applyBorder="1" applyAlignment="1">
      <alignment horizontal="center"/>
    </xf>
    <xf numFmtId="2" fontId="3" fillId="37" borderId="9" xfId="0" applyNumberFormat="1" applyFont="1" applyFill="1" applyBorder="1" applyAlignment="1">
      <alignment horizontal="center"/>
    </xf>
    <xf numFmtId="2" fontId="3" fillId="36" borderId="0" xfId="0" applyNumberFormat="1" applyFont="1" applyFill="1" applyAlignment="1">
      <alignment horizontal="center"/>
    </xf>
    <xf numFmtId="2" fontId="1" fillId="34" borderId="0" xfId="0" applyNumberFormat="1" applyFont="1" applyFill="1" applyAlignment="1">
      <alignment horizontal="center"/>
    </xf>
    <xf numFmtId="179" fontId="1" fillId="0" borderId="0" xfId="0" applyNumberFormat="1" applyFont="1" applyAlignment="1">
      <alignment horizontal="center"/>
    </xf>
    <xf numFmtId="179" fontId="46" fillId="32" borderId="0" xfId="0" applyNumberFormat="1" applyFont="1" applyFill="1" applyAlignment="1">
      <alignment horizontal="center"/>
    </xf>
    <xf numFmtId="179" fontId="46" fillId="33" borderId="25" xfId="0" applyNumberFormat="1" applyFont="1" applyFill="1" applyBorder="1" applyAlignment="1">
      <alignment horizontal="center"/>
    </xf>
    <xf numFmtId="179" fontId="3" fillId="35" borderId="9" xfId="0" applyNumberFormat="1" applyFont="1" applyFill="1" applyBorder="1" applyAlignment="1">
      <alignment horizontal="center"/>
    </xf>
    <xf numFmtId="179" fontId="1" fillId="34" borderId="0" xfId="0" applyNumberFormat="1" applyFont="1" applyFill="1" applyAlignment="1">
      <alignment horizontal="center"/>
    </xf>
    <xf numFmtId="179" fontId="0" fillId="0" borderId="0" xfId="0" applyNumberFormat="1"/>
    <xf numFmtId="2" fontId="3" fillId="38" borderId="9" xfId="0" applyNumberFormat="1" applyFont="1" applyFill="1" applyBorder="1" applyAlignment="1">
      <alignment horizontal="center"/>
    </xf>
    <xf numFmtId="179" fontId="3" fillId="38" borderId="9" xfId="0" applyNumberFormat="1" applyFont="1" applyFill="1" applyBorder="1" applyAlignment="1">
      <alignment horizontal="center"/>
    </xf>
    <xf numFmtId="2" fontId="1" fillId="39" borderId="9" xfId="0" applyNumberFormat="1" applyFont="1" applyFill="1" applyBorder="1" applyAlignment="1">
      <alignment horizontal="center"/>
    </xf>
    <xf numFmtId="2" fontId="3" fillId="39" borderId="9" xfId="0" applyNumberFormat="1" applyFont="1" applyFill="1" applyBorder="1" applyAlignment="1">
      <alignment horizontal="center"/>
    </xf>
    <xf numFmtId="0" fontId="49" fillId="0" borderId="0" xfId="0" applyFont="1"/>
    <xf numFmtId="170" fontId="49" fillId="0" borderId="0" xfId="0" applyNumberFormat="1" applyFont="1"/>
    <xf numFmtId="14" fontId="49" fillId="0" borderId="0" xfId="0" applyNumberFormat="1" applyFont="1"/>
    <xf numFmtId="0" fontId="6" fillId="19" borderId="0" xfId="0" applyFont="1" applyFill="1" applyAlignment="1">
      <alignment horizontal="center"/>
    </xf>
    <xf numFmtId="0" fontId="39" fillId="0" borderId="0" xfId="0" applyFont="1"/>
    <xf numFmtId="0" fontId="6" fillId="28" borderId="0" xfId="0" applyFont="1" applyFill="1" applyAlignment="1">
      <alignment horizontal="center"/>
    </xf>
    <xf numFmtId="0" fontId="1" fillId="9" borderId="0" xfId="0" applyFont="1" applyFill="1" applyAlignment="1">
      <alignment horizontal="center"/>
    </xf>
    <xf numFmtId="10" fontId="6" fillId="25" borderId="9" xfId="0" applyNumberFormat="1" applyFont="1" applyFill="1" applyBorder="1" applyAlignment="1">
      <alignment horizontal="center"/>
    </xf>
    <xf numFmtId="177" fontId="6" fillId="25" borderId="9" xfId="0" applyNumberFormat="1" applyFont="1" applyFill="1" applyBorder="1" applyAlignment="1">
      <alignment horizontal="center"/>
    </xf>
    <xf numFmtId="2" fontId="6" fillId="25" borderId="9" xfId="0" applyNumberFormat="1" applyFont="1" applyFill="1" applyBorder="1" applyAlignment="1">
      <alignment horizontal="center"/>
    </xf>
    <xf numFmtId="176" fontId="6" fillId="25" borderId="30" xfId="0" applyNumberFormat="1" applyFont="1" applyFill="1" applyBorder="1" applyAlignment="1">
      <alignment horizontal="center"/>
    </xf>
    <xf numFmtId="176" fontId="1" fillId="17" borderId="30" xfId="0" applyNumberFormat="1" applyFont="1" applyFill="1" applyBorder="1" applyAlignment="1">
      <alignment horizontal="center"/>
    </xf>
    <xf numFmtId="0" fontId="6" fillId="0" borderId="0" xfId="0" applyFont="1" applyAlignment="1">
      <alignment horizontal="center" wrapText="1"/>
    </xf>
    <xf numFmtId="2" fontId="2" fillId="2" borderId="22" xfId="0" applyNumberFormat="1" applyFont="1" applyFill="1" applyBorder="1" applyAlignment="1">
      <alignment horizontal="center"/>
    </xf>
    <xf numFmtId="0" fontId="2" fillId="2" borderId="22" xfId="0" applyFont="1" applyFill="1" applyBorder="1" applyAlignment="1">
      <alignment horizontal="center"/>
    </xf>
    <xf numFmtId="10" fontId="0" fillId="0" borderId="0" xfId="2" applyNumberFormat="1" applyFont="1"/>
    <xf numFmtId="0" fontId="2" fillId="0" borderId="0" xfId="0" applyFont="1" applyAlignment="1">
      <alignment horizontal="center"/>
    </xf>
    <xf numFmtId="0" fontId="2" fillId="0" borderId="9" xfId="0" applyFont="1" applyBorder="1"/>
    <xf numFmtId="0" fontId="13" fillId="0" borderId="9" xfId="0" applyFont="1" applyBorder="1" applyAlignment="1">
      <alignment horizontal="left"/>
    </xf>
    <xf numFmtId="0" fontId="13" fillId="0" borderId="9" xfId="0" applyFont="1" applyBorder="1"/>
    <xf numFmtId="2" fontId="2" fillId="0" borderId="9" xfId="0" applyNumberFormat="1" applyFont="1" applyBorder="1"/>
    <xf numFmtId="2" fontId="0" fillId="0" borderId="9" xfId="0" applyNumberFormat="1" applyBorder="1"/>
    <xf numFmtId="0" fontId="13" fillId="0" borderId="9" xfId="0" applyFont="1" applyBorder="1" applyAlignment="1">
      <alignment horizontal="center"/>
    </xf>
    <xf numFmtId="2" fontId="2" fillId="0" borderId="9" xfId="0" applyNumberFormat="1" applyFont="1" applyBorder="1" applyAlignment="1">
      <alignment horizontal="center"/>
    </xf>
    <xf numFmtId="2" fontId="0" fillId="0" borderId="9" xfId="0" applyNumberFormat="1" applyBorder="1" applyAlignment="1">
      <alignment horizontal="center"/>
    </xf>
    <xf numFmtId="9" fontId="2" fillId="0" borderId="9" xfId="2" applyFont="1" applyBorder="1"/>
    <xf numFmtId="171" fontId="2" fillId="0" borderId="9" xfId="0" applyNumberFormat="1" applyFont="1" applyBorder="1"/>
    <xf numFmtId="180" fontId="2" fillId="0" borderId="9" xfId="0" applyNumberFormat="1" applyFont="1" applyBorder="1"/>
    <xf numFmtId="171" fontId="0" fillId="0" borderId="9" xfId="0" applyNumberFormat="1" applyBorder="1"/>
    <xf numFmtId="9" fontId="0" fillId="0" borderId="9" xfId="2" applyFont="1" applyBorder="1"/>
    <xf numFmtId="0" fontId="43" fillId="0" borderId="9" xfId="0" applyFont="1" applyBorder="1" applyAlignment="1">
      <alignment horizontal="left"/>
    </xf>
    <xf numFmtId="14" fontId="43" fillId="0" borderId="9" xfId="0" applyNumberFormat="1" applyFont="1" applyBorder="1" applyAlignment="1">
      <alignment horizontal="left"/>
    </xf>
    <xf numFmtId="10" fontId="43" fillId="0" borderId="9" xfId="2" applyNumberFormat="1" applyFont="1" applyBorder="1" applyAlignment="1">
      <alignment horizontal="left"/>
    </xf>
    <xf numFmtId="0" fontId="49" fillId="0" borderId="31" xfId="0" applyFont="1" applyBorder="1"/>
    <xf numFmtId="0" fontId="52" fillId="0" borderId="31" xfId="0" applyFont="1" applyBorder="1"/>
    <xf numFmtId="0" fontId="0" fillId="0" borderId="31" xfId="0" applyBorder="1"/>
    <xf numFmtId="0" fontId="13" fillId="0" borderId="31" xfId="0" applyFont="1" applyBorder="1"/>
    <xf numFmtId="9" fontId="13" fillId="0" borderId="31" xfId="2" applyFont="1" applyBorder="1"/>
    <xf numFmtId="0" fontId="53" fillId="0" borderId="9" xfId="0" applyFont="1" applyBorder="1"/>
    <xf numFmtId="14" fontId="53" fillId="0" borderId="9" xfId="0" applyNumberFormat="1" applyFont="1" applyBorder="1"/>
    <xf numFmtId="0" fontId="53" fillId="0" borderId="0" xfId="0" applyFont="1"/>
    <xf numFmtId="9" fontId="53" fillId="0" borderId="9" xfId="2" applyFont="1" applyBorder="1"/>
    <xf numFmtId="0" fontId="21" fillId="0" borderId="9" xfId="0" applyFont="1" applyBorder="1"/>
    <xf numFmtId="0" fontId="53" fillId="0" borderId="9" xfId="0" applyFont="1" applyBorder="1" applyAlignment="1">
      <alignment horizontal="center"/>
    </xf>
    <xf numFmtId="0" fontId="2" fillId="0" borderId="9" xfId="0" applyFont="1" applyBorder="1" applyAlignment="1">
      <alignment horizontal="center"/>
    </xf>
    <xf numFmtId="0" fontId="0" fillId="0" borderId="9" xfId="0" applyBorder="1" applyAlignment="1">
      <alignment horizontal="center"/>
    </xf>
    <xf numFmtId="0" fontId="42" fillId="0" borderId="9" xfId="0" applyFont="1" applyBorder="1"/>
    <xf numFmtId="0" fontId="42" fillId="0" borderId="0" xfId="0" applyFont="1"/>
    <xf numFmtId="2" fontId="50" fillId="0" borderId="0" xfId="0" applyNumberFormat="1" applyFont="1"/>
    <xf numFmtId="14" fontId="2" fillId="0" borderId="0" xfId="0" applyNumberFormat="1" applyFont="1"/>
    <xf numFmtId="14" fontId="13" fillId="0" borderId="9" xfId="0" applyNumberFormat="1" applyFont="1" applyBorder="1"/>
    <xf numFmtId="2" fontId="13" fillId="0" borderId="9" xfId="0" applyNumberFormat="1" applyFont="1" applyBorder="1"/>
    <xf numFmtId="14" fontId="0" fillId="0" borderId="9" xfId="0" applyNumberFormat="1" applyBorder="1" applyAlignment="1">
      <alignment horizontal="center"/>
    </xf>
    <xf numFmtId="164" fontId="13" fillId="0" borderId="9" xfId="0" applyNumberFormat="1" applyFont="1" applyBorder="1" applyAlignment="1">
      <alignment horizontal="center" vertical="top" wrapText="1"/>
    </xf>
    <xf numFmtId="164" fontId="13" fillId="0" borderId="4" xfId="0" applyNumberFormat="1" applyFont="1" applyBorder="1" applyAlignment="1">
      <alignment horizontal="center" vertical="top" wrapText="1"/>
    </xf>
    <xf numFmtId="164" fontId="13" fillId="6" borderId="9" xfId="0" applyNumberFormat="1" applyFont="1" applyFill="1" applyBorder="1" applyAlignment="1">
      <alignment horizontal="center" vertical="top" wrapText="1"/>
    </xf>
    <xf numFmtId="164" fontId="13" fillId="6" borderId="9" xfId="0" applyNumberFormat="1" applyFont="1" applyFill="1" applyBorder="1" applyAlignment="1">
      <alignment horizontal="center" vertical="top"/>
    </xf>
    <xf numFmtId="181" fontId="13" fillId="6" borderId="9" xfId="0" applyNumberFormat="1" applyFont="1" applyFill="1" applyBorder="1" applyAlignment="1">
      <alignment horizontal="center" vertical="top" wrapText="1"/>
    </xf>
    <xf numFmtId="2" fontId="13" fillId="0" borderId="9" xfId="0" applyNumberFormat="1" applyFont="1" applyBorder="1" applyAlignment="1">
      <alignment horizontal="center" vertical="top" wrapText="1"/>
    </xf>
    <xf numFmtId="0" fontId="2" fillId="0" borderId="31" xfId="0" applyFont="1" applyBorder="1"/>
    <xf numFmtId="0" fontId="15" fillId="0" borderId="32" xfId="0" applyFont="1" applyBorder="1" applyAlignment="1">
      <alignment readingOrder="1"/>
    </xf>
    <xf numFmtId="0" fontId="15" fillId="0" borderId="33" xfId="0" applyFont="1" applyBorder="1" applyAlignment="1">
      <alignment readingOrder="1"/>
    </xf>
    <xf numFmtId="0" fontId="15" fillId="0" borderId="31" xfId="0" applyFont="1" applyBorder="1" applyAlignment="1">
      <alignment readingOrder="1"/>
    </xf>
    <xf numFmtId="0" fontId="13" fillId="0" borderId="31" xfId="0" applyFont="1" applyBorder="1" applyAlignment="1">
      <alignment wrapText="1"/>
    </xf>
    <xf numFmtId="0" fontId="10" fillId="0" borderId="31" xfId="1" applyBorder="1"/>
    <xf numFmtId="169" fontId="2" fillId="0" borderId="9" xfId="0" applyNumberFormat="1" applyFont="1" applyBorder="1"/>
    <xf numFmtId="169" fontId="17" fillId="0" borderId="9" xfId="0" applyNumberFormat="1" applyFont="1" applyBorder="1"/>
    <xf numFmtId="1" fontId="0" fillId="0" borderId="9" xfId="2" applyNumberFormat="1" applyFont="1" applyBorder="1"/>
    <xf numFmtId="10" fontId="0" fillId="0" borderId="0" xfId="0" applyNumberFormat="1"/>
    <xf numFmtId="0" fontId="13" fillId="3" borderId="7" xfId="0" applyFont="1" applyFill="1" applyBorder="1" applyAlignment="1">
      <alignment wrapText="1"/>
    </xf>
    <xf numFmtId="164" fontId="13" fillId="0" borderId="0" xfId="0" applyNumberFormat="1" applyFont="1" applyAlignment="1">
      <alignment horizontal="center" vertical="top" wrapText="1"/>
    </xf>
    <xf numFmtId="9" fontId="13" fillId="6" borderId="9" xfId="2" applyFont="1" applyFill="1" applyBorder="1" applyAlignment="1">
      <alignment horizontal="center" vertical="top" wrapText="1"/>
    </xf>
    <xf numFmtId="164" fontId="13" fillId="0" borderId="0" xfId="0" applyNumberFormat="1" applyFont="1" applyAlignment="1">
      <alignment horizontal="center" vertical="top"/>
    </xf>
    <xf numFmtId="0" fontId="13" fillId="9" borderId="7" xfId="0" applyFont="1" applyFill="1" applyBorder="1" applyAlignment="1">
      <alignment wrapText="1"/>
    </xf>
    <xf numFmtId="2" fontId="13" fillId="0" borderId="9" xfId="2" applyNumberFormat="1" applyFont="1" applyFill="1" applyBorder="1" applyAlignment="1">
      <alignment horizontal="center" vertical="top" wrapText="1"/>
    </xf>
    <xf numFmtId="0" fontId="13" fillId="0" borderId="9" xfId="0" applyFont="1" applyBorder="1" applyAlignment="1">
      <alignment horizontal="center" vertical="top" wrapText="1"/>
    </xf>
    <xf numFmtId="182" fontId="0" fillId="0" borderId="0" xfId="0" applyNumberFormat="1"/>
    <xf numFmtId="0" fontId="2" fillId="0" borderId="0" xfId="0" applyFont="1" applyAlignment="1">
      <alignment horizontal="center" wrapText="1" shrinkToFit="1"/>
    </xf>
    <xf numFmtId="170" fontId="0" fillId="0" borderId="0" xfId="0" applyNumberFormat="1"/>
    <xf numFmtId="2" fontId="0" fillId="0" borderId="0" xfId="0" applyNumberFormat="1" applyAlignment="1">
      <alignment horizontal="center"/>
    </xf>
    <xf numFmtId="0" fontId="21" fillId="0" borderId="0" xfId="0" applyFont="1" applyAlignment="1">
      <alignment horizontal="center"/>
    </xf>
    <xf numFmtId="0" fontId="42" fillId="0" borderId="0" xfId="0" applyFont="1" applyAlignment="1">
      <alignment horizontal="center"/>
    </xf>
    <xf numFmtId="183" fontId="0" fillId="0" borderId="0" xfId="0" applyNumberFormat="1"/>
    <xf numFmtId="22" fontId="0" fillId="0" borderId="0" xfId="0" applyNumberFormat="1"/>
    <xf numFmtId="0" fontId="42" fillId="0" borderId="9" xfId="0" applyFont="1" applyBorder="1" applyAlignment="1">
      <alignment horizontal="center"/>
    </xf>
    <xf numFmtId="182" fontId="0" fillId="0" borderId="9" xfId="0" applyNumberFormat="1" applyBorder="1" applyAlignment="1">
      <alignment horizontal="center"/>
    </xf>
    <xf numFmtId="22" fontId="0" fillId="0" borderId="9" xfId="0" applyNumberFormat="1" applyBorder="1" applyAlignment="1">
      <alignment horizontal="center"/>
    </xf>
    <xf numFmtId="22" fontId="42" fillId="0" borderId="0" xfId="0" applyNumberFormat="1" applyFont="1"/>
    <xf numFmtId="182" fontId="13" fillId="0" borderId="9" xfId="0" applyNumberFormat="1" applyFont="1" applyBorder="1" applyAlignment="1">
      <alignment horizontal="center"/>
    </xf>
    <xf numFmtId="22" fontId="2" fillId="0" borderId="0" xfId="0" applyNumberFormat="1" applyFont="1"/>
    <xf numFmtId="0" fontId="13" fillId="0" borderId="0" xfId="0" applyFont="1" applyAlignment="1">
      <alignment horizontal="center"/>
    </xf>
    <xf numFmtId="0" fontId="21" fillId="0" borderId="0" xfId="0" applyFont="1"/>
    <xf numFmtId="0" fontId="43" fillId="0" borderId="9" xfId="0" applyFont="1" applyBorder="1" applyAlignment="1">
      <alignment horizontal="center"/>
    </xf>
    <xf numFmtId="182" fontId="54" fillId="0" borderId="9" xfId="0" applyNumberFormat="1" applyFont="1" applyBorder="1" applyAlignment="1">
      <alignment horizontal="center"/>
    </xf>
    <xf numFmtId="9" fontId="0" fillId="0" borderId="0" xfId="2" applyFont="1" applyAlignment="1">
      <alignment horizontal="center"/>
    </xf>
    <xf numFmtId="0" fontId="21" fillId="0" borderId="9" xfId="0" applyFont="1" applyBorder="1" applyAlignment="1">
      <alignment horizontal="center"/>
    </xf>
    <xf numFmtId="0" fontId="0" fillId="0" borderId="0" xfId="0" applyAlignment="1">
      <alignment vertical="top" wrapText="1"/>
    </xf>
    <xf numFmtId="0" fontId="22" fillId="0" borderId="0" xfId="0" applyFont="1" applyAlignment="1">
      <alignment horizontal="center"/>
    </xf>
    <xf numFmtId="0" fontId="20" fillId="0" borderId="9" xfId="0" applyFont="1" applyBorder="1" applyAlignment="1">
      <alignment horizontal="center"/>
    </xf>
    <xf numFmtId="0" fontId="22" fillId="0" borderId="0" xfId="0" applyFont="1" applyAlignment="1">
      <alignment horizontal="center" wrapText="1"/>
    </xf>
    <xf numFmtId="0" fontId="20" fillId="0" borderId="9" xfId="0" applyFont="1" applyBorder="1" applyAlignment="1">
      <alignment horizontal="center" wrapText="1"/>
    </xf>
    <xf numFmtId="11" fontId="22" fillId="0" borderId="0" xfId="0" applyNumberFormat="1" applyFont="1" applyAlignment="1">
      <alignment horizontal="center"/>
    </xf>
    <xf numFmtId="21" fontId="20" fillId="0" borderId="9" xfId="0" applyNumberFormat="1" applyFont="1" applyBorder="1" applyAlignment="1">
      <alignment horizontal="center"/>
    </xf>
    <xf numFmtId="0" fontId="20" fillId="0" borderId="0" xfId="0" applyFont="1" applyAlignment="1">
      <alignment horizontal="center"/>
    </xf>
    <xf numFmtId="182" fontId="13" fillId="0" borderId="9" xfId="0" applyNumberFormat="1" applyFont="1" applyBorder="1"/>
    <xf numFmtId="0" fontId="20" fillId="0" borderId="0" xfId="0" applyFont="1" applyAlignment="1">
      <alignment horizontal="center" vertical="top" wrapText="1"/>
    </xf>
    <xf numFmtId="0" fontId="6" fillId="0" borderId="0" xfId="0" applyFont="1" applyAlignment="1">
      <alignment horizontal="left"/>
    </xf>
    <xf numFmtId="14" fontId="0" fillId="0" borderId="0" xfId="0" applyNumberFormat="1" applyAlignment="1">
      <alignment horizontal="center"/>
    </xf>
    <xf numFmtId="9" fontId="0" fillId="0" borderId="9" xfId="2" applyFont="1" applyBorder="1" applyAlignment="1">
      <alignment horizontal="center"/>
    </xf>
    <xf numFmtId="14" fontId="53" fillId="0" borderId="9" xfId="0" applyNumberFormat="1" applyFont="1" applyBorder="1" applyAlignment="1">
      <alignment horizontal="center"/>
    </xf>
    <xf numFmtId="9" fontId="53" fillId="0" borderId="9" xfId="2" applyFont="1" applyBorder="1" applyAlignment="1">
      <alignment horizontal="center"/>
    </xf>
    <xf numFmtId="14" fontId="21" fillId="0" borderId="9" xfId="0" applyNumberFormat="1" applyFont="1" applyBorder="1" applyAlignment="1">
      <alignment horizontal="center"/>
    </xf>
    <xf numFmtId="9" fontId="21" fillId="0" borderId="9" xfId="2" applyFont="1" applyBorder="1" applyAlignment="1">
      <alignment horizontal="center"/>
    </xf>
    <xf numFmtId="10" fontId="0" fillId="0" borderId="9" xfId="0" applyNumberFormat="1" applyBorder="1" applyAlignment="1">
      <alignment horizontal="center"/>
    </xf>
    <xf numFmtId="9" fontId="2" fillId="0" borderId="9" xfId="2" applyFont="1" applyBorder="1" applyAlignment="1">
      <alignment horizontal="center"/>
    </xf>
    <xf numFmtId="14" fontId="53" fillId="0" borderId="0" xfId="0" applyNumberFormat="1" applyFont="1" applyAlignment="1">
      <alignment horizontal="center"/>
    </xf>
    <xf numFmtId="0" fontId="53" fillId="0" borderId="0" xfId="0" applyFont="1" applyAlignment="1">
      <alignment horizontal="center"/>
    </xf>
    <xf numFmtId="9" fontId="53" fillId="0" borderId="0" xfId="2" applyFont="1" applyBorder="1" applyAlignment="1">
      <alignment horizontal="center"/>
    </xf>
    <xf numFmtId="10" fontId="0" fillId="0" borderId="0" xfId="0" applyNumberFormat="1" applyAlignment="1">
      <alignment horizontal="center"/>
    </xf>
    <xf numFmtId="10" fontId="2" fillId="0" borderId="9" xfId="0" applyNumberFormat="1" applyFont="1" applyBorder="1" applyAlignment="1">
      <alignment horizontal="center"/>
    </xf>
    <xf numFmtId="9" fontId="2" fillId="0" borderId="0" xfId="2" applyFont="1" applyAlignment="1">
      <alignment horizontal="center"/>
    </xf>
    <xf numFmtId="9" fontId="42" fillId="0" borderId="0" xfId="2" applyFont="1"/>
    <xf numFmtId="0" fontId="20" fillId="0" borderId="0" xfId="0" applyFont="1"/>
    <xf numFmtId="0" fontId="56" fillId="0" borderId="0" xfId="0" applyFont="1"/>
    <xf numFmtId="18" fontId="0" fillId="0" borderId="0" xfId="0" applyNumberFormat="1"/>
    <xf numFmtId="0" fontId="57" fillId="0" borderId="0" xfId="0" applyFont="1"/>
    <xf numFmtId="0" fontId="58" fillId="0" borderId="0" xfId="0" applyFont="1"/>
    <xf numFmtId="0" fontId="13" fillId="0" borderId="0" xfId="0" applyFont="1" applyAlignment="1">
      <alignment horizontal="center" vertical="center"/>
    </xf>
    <xf numFmtId="0" fontId="0" fillId="0" borderId="0" xfId="0" applyAlignment="1">
      <alignment horizontal="center" vertical="center"/>
    </xf>
    <xf numFmtId="0" fontId="20" fillId="0" borderId="0" xfId="0" applyFont="1" applyAlignment="1">
      <alignment horizontal="center" vertical="center"/>
    </xf>
    <xf numFmtId="0" fontId="42" fillId="0" borderId="9" xfId="0" applyFont="1" applyBorder="1" applyAlignment="1">
      <alignment horizontal="center" vertical="center"/>
    </xf>
    <xf numFmtId="0" fontId="13" fillId="0" borderId="9" xfId="0" applyFont="1" applyBorder="1" applyAlignment="1">
      <alignment horizontal="center" vertical="center"/>
    </xf>
    <xf numFmtId="0" fontId="0" fillId="0" borderId="9" xfId="0" applyBorder="1" applyAlignment="1">
      <alignment horizontal="center" vertical="center"/>
    </xf>
    <xf numFmtId="10" fontId="0" fillId="0" borderId="9" xfId="0" applyNumberFormat="1" applyBorder="1" applyAlignment="1">
      <alignment horizontal="center" vertical="center"/>
    </xf>
    <xf numFmtId="0" fontId="13" fillId="0" borderId="30" xfId="0" applyFont="1" applyBorder="1" applyAlignment="1">
      <alignment horizontal="center" vertical="center"/>
    </xf>
    <xf numFmtId="0" fontId="0" fillId="0" borderId="9" xfId="0" applyBorder="1" applyAlignment="1">
      <alignment horizontal="left" vertical="center" indent="1"/>
    </xf>
    <xf numFmtId="0" fontId="0" fillId="0" borderId="9" xfId="0" applyBorder="1" applyAlignment="1">
      <alignment horizontal="left" indent="1"/>
    </xf>
    <xf numFmtId="0" fontId="13" fillId="0" borderId="9" xfId="0" applyFont="1" applyBorder="1" applyAlignment="1">
      <alignment horizontal="left" vertical="center" indent="1"/>
    </xf>
    <xf numFmtId="0" fontId="13" fillId="0" borderId="9" xfId="0" applyFont="1" applyBorder="1" applyAlignment="1">
      <alignment horizontal="left" indent="1"/>
    </xf>
    <xf numFmtId="15" fontId="13" fillId="0" borderId="37" xfId="0" applyNumberFormat="1" applyFont="1" applyBorder="1" applyAlignment="1">
      <alignment horizontal="center"/>
    </xf>
    <xf numFmtId="15" fontId="13" fillId="0" borderId="30" xfId="0" applyNumberFormat="1" applyFont="1" applyBorder="1" applyAlignment="1">
      <alignment horizontal="center"/>
    </xf>
    <xf numFmtId="0" fontId="13" fillId="0" borderId="30" xfId="0" applyFont="1" applyBorder="1" applyAlignment="1">
      <alignment horizontal="center"/>
    </xf>
    <xf numFmtId="15" fontId="13" fillId="0" borderId="9" xfId="0" applyNumberFormat="1" applyFont="1" applyBorder="1" applyAlignment="1">
      <alignment horizontal="center" vertical="center"/>
    </xf>
    <xf numFmtId="0" fontId="43" fillId="0" borderId="0" xfId="0" applyFont="1"/>
    <xf numFmtId="10" fontId="43" fillId="0" borderId="0" xfId="0" applyNumberFormat="1" applyFont="1"/>
    <xf numFmtId="14" fontId="0" fillId="0" borderId="9" xfId="0" applyNumberFormat="1" applyBorder="1" applyAlignment="1">
      <alignment horizontal="center" vertical="center"/>
    </xf>
    <xf numFmtId="0" fontId="21" fillId="0" borderId="9" xfId="0" applyFont="1" applyBorder="1" applyAlignment="1">
      <alignment horizontal="center" vertical="center"/>
    </xf>
    <xf numFmtId="14" fontId="21" fillId="0" borderId="9" xfId="0" applyNumberFormat="1" applyFont="1" applyBorder="1" applyAlignment="1">
      <alignment horizontal="center" vertical="center"/>
    </xf>
    <xf numFmtId="14" fontId="20" fillId="0" borderId="0" xfId="0" applyNumberFormat="1" applyFont="1" applyAlignment="1">
      <alignment horizontal="center" vertical="center"/>
    </xf>
    <xf numFmtId="0" fontId="13" fillId="0" borderId="9" xfId="0" applyFont="1" applyBorder="1" applyAlignment="1">
      <alignment horizontal="left" vertical="center"/>
    </xf>
    <xf numFmtId="0" fontId="13" fillId="0" borderId="30" xfId="0" applyFont="1" applyBorder="1" applyAlignment="1">
      <alignment horizontal="left" vertical="center"/>
    </xf>
    <xf numFmtId="9" fontId="0" fillId="0" borderId="9" xfId="2" applyFont="1" applyBorder="1" applyAlignment="1">
      <alignment horizontal="center" vertical="center"/>
    </xf>
    <xf numFmtId="14" fontId="13" fillId="0" borderId="29" xfId="0" applyNumberFormat="1" applyFont="1" applyBorder="1" applyAlignment="1">
      <alignment horizontal="center" vertical="center"/>
    </xf>
    <xf numFmtId="0" fontId="13" fillId="0" borderId="29" xfId="0" applyFont="1" applyBorder="1" applyAlignment="1">
      <alignment horizontal="center" vertical="center"/>
    </xf>
    <xf numFmtId="0" fontId="13" fillId="0" borderId="9" xfId="0" applyFont="1" applyBorder="1" applyAlignment="1">
      <alignment horizontal="left" vertical="center" wrapText="1"/>
    </xf>
    <xf numFmtId="0" fontId="60" fillId="0" borderId="0" xfId="0" applyFont="1"/>
    <xf numFmtId="0" fontId="42" fillId="0" borderId="30" xfId="0" applyFont="1" applyBorder="1" applyAlignment="1">
      <alignment horizontal="center" vertical="center"/>
    </xf>
    <xf numFmtId="0" fontId="0" fillId="0" borderId="30" xfId="0" applyBorder="1" applyAlignment="1">
      <alignment horizontal="left" vertical="center" indent="1"/>
    </xf>
    <xf numFmtId="0" fontId="0" fillId="0" borderId="30" xfId="0" applyBorder="1" applyAlignment="1">
      <alignment horizontal="center" vertical="center"/>
    </xf>
    <xf numFmtId="0" fontId="0" fillId="0" borderId="30" xfId="0" applyBorder="1" applyAlignment="1">
      <alignment horizontal="left" indent="1"/>
    </xf>
    <xf numFmtId="0" fontId="22" fillId="0" borderId="0" xfId="0" applyFont="1" applyAlignment="1">
      <alignment horizontal="center" vertical="top" wrapText="1"/>
    </xf>
    <xf numFmtId="0" fontId="13" fillId="0" borderId="0" xfId="0" applyFont="1" applyAlignment="1">
      <alignment horizontal="center"/>
    </xf>
    <xf numFmtId="0" fontId="1" fillId="0" borderId="21" xfId="0" applyFont="1" applyBorder="1" applyAlignment="1">
      <alignment horizontal="center"/>
    </xf>
    <xf numFmtId="0" fontId="1" fillId="0" borderId="22" xfId="0" applyFont="1" applyBorder="1" applyAlignment="1">
      <alignment horizontal="center"/>
    </xf>
    <xf numFmtId="0" fontId="1" fillId="26" borderId="21" xfId="0" applyFont="1" applyFill="1" applyBorder="1" applyAlignment="1">
      <alignment horizontal="center"/>
    </xf>
    <xf numFmtId="0" fontId="39" fillId="0" borderId="22" xfId="0" applyFont="1" applyBorder="1"/>
    <xf numFmtId="0" fontId="39" fillId="0" borderId="23" xfId="0" applyFont="1" applyBorder="1"/>
    <xf numFmtId="0" fontId="24" fillId="0" borderId="0" xfId="0" applyFont="1" applyAlignment="1">
      <alignment horizontal="center"/>
    </xf>
    <xf numFmtId="0" fontId="0" fillId="0" borderId="0" xfId="0" applyAlignment="1">
      <alignment horizontal="center"/>
    </xf>
    <xf numFmtId="0" fontId="1" fillId="0" borderId="23" xfId="0" applyFont="1" applyBorder="1" applyAlignment="1">
      <alignment horizontal="center"/>
    </xf>
    <xf numFmtId="0" fontId="40" fillId="29" borderId="9" xfId="0" applyFont="1" applyFill="1" applyBorder="1" applyAlignment="1">
      <alignment horizontal="center"/>
    </xf>
    <xf numFmtId="0" fontId="39" fillId="9" borderId="9" xfId="0" applyFont="1" applyFill="1" applyBorder="1"/>
    <xf numFmtId="0" fontId="1" fillId="0" borderId="0" xfId="0" applyFont="1" applyAlignment="1">
      <alignment horizontal="center"/>
    </xf>
    <xf numFmtId="0" fontId="0" fillId="0" borderId="0" xfId="0"/>
    <xf numFmtId="0" fontId="44" fillId="0" borderId="0" xfId="0" applyFont="1" applyAlignment="1">
      <alignment horizontal="center"/>
    </xf>
    <xf numFmtId="0" fontId="6" fillId="30" borderId="26" xfId="0" applyFont="1" applyFill="1" applyBorder="1" applyAlignment="1">
      <alignment horizontal="center"/>
    </xf>
    <xf numFmtId="0" fontId="6" fillId="30" borderId="27" xfId="0" applyFont="1" applyFill="1" applyBorder="1" applyAlignment="1">
      <alignment horizontal="center"/>
    </xf>
    <xf numFmtId="0" fontId="6" fillId="30" borderId="28" xfId="0" applyFont="1" applyFill="1" applyBorder="1" applyAlignment="1">
      <alignment horizontal="center"/>
    </xf>
    <xf numFmtId="0" fontId="40" fillId="27" borderId="0" xfId="0" applyFont="1" applyFill="1" applyAlignment="1">
      <alignment horizontal="center"/>
    </xf>
    <xf numFmtId="0" fontId="39" fillId="9" borderId="0" xfId="0" applyFont="1" applyFill="1"/>
    <xf numFmtId="0" fontId="6" fillId="28" borderId="26" xfId="0" applyFont="1" applyFill="1" applyBorder="1" applyAlignment="1">
      <alignment horizontal="center"/>
    </xf>
    <xf numFmtId="0" fontId="6" fillId="28" borderId="27" xfId="0" applyFont="1" applyFill="1" applyBorder="1" applyAlignment="1">
      <alignment horizontal="center"/>
    </xf>
    <xf numFmtId="0" fontId="6" fillId="28" borderId="28" xfId="0" applyFont="1" applyFill="1" applyBorder="1" applyAlignment="1">
      <alignment horizontal="center"/>
    </xf>
    <xf numFmtId="0" fontId="1" fillId="9" borderId="26" xfId="0" applyFont="1" applyFill="1" applyBorder="1" applyAlignment="1">
      <alignment horizontal="center"/>
    </xf>
    <xf numFmtId="0" fontId="1" fillId="9" borderId="27" xfId="0" applyFont="1" applyFill="1" applyBorder="1" applyAlignment="1">
      <alignment horizontal="center"/>
    </xf>
    <xf numFmtId="0" fontId="1" fillId="9" borderId="28" xfId="0" applyFont="1" applyFill="1" applyBorder="1" applyAlignment="1">
      <alignment horizontal="center"/>
    </xf>
    <xf numFmtId="0" fontId="6" fillId="25" borderId="21" xfId="0" applyFont="1" applyFill="1" applyBorder="1" applyAlignment="1">
      <alignment horizontal="center"/>
    </xf>
    <xf numFmtId="0" fontId="39" fillId="23" borderId="22" xfId="0" applyFont="1" applyFill="1" applyBorder="1"/>
    <xf numFmtId="0" fontId="7" fillId="0" borderId="14" xfId="0" applyFont="1" applyBorder="1" applyAlignment="1">
      <alignment horizontal="center"/>
    </xf>
    <xf numFmtId="0" fontId="41" fillId="26" borderId="21" xfId="0" applyFont="1" applyFill="1" applyBorder="1" applyAlignment="1">
      <alignment horizontal="center"/>
    </xf>
    <xf numFmtId="0" fontId="6" fillId="25" borderId="16" xfId="0" applyFont="1" applyFill="1" applyBorder="1" applyAlignment="1">
      <alignment horizontal="center"/>
    </xf>
    <xf numFmtId="0" fontId="39" fillId="23" borderId="17" xfId="0" applyFont="1" applyFill="1" applyBorder="1"/>
    <xf numFmtId="0" fontId="1" fillId="0" borderId="14" xfId="0" applyFont="1" applyBorder="1" applyAlignment="1">
      <alignment horizontal="center"/>
    </xf>
    <xf numFmtId="0" fontId="1" fillId="0" borderId="15" xfId="0" applyFont="1" applyBorder="1" applyAlignment="1">
      <alignment horizontal="center"/>
    </xf>
    <xf numFmtId="0" fontId="38" fillId="16" borderId="9" xfId="0" applyFont="1" applyFill="1" applyBorder="1" applyAlignment="1">
      <alignment horizontal="center" vertical="center"/>
    </xf>
    <xf numFmtId="0" fontId="39" fillId="0" borderId="9" xfId="0" applyFont="1" applyBorder="1"/>
    <xf numFmtId="0" fontId="0" fillId="0" borderId="9" xfId="0" applyBorder="1"/>
    <xf numFmtId="0" fontId="1" fillId="0" borderId="20" xfId="0" applyFont="1" applyBorder="1" applyAlignment="1">
      <alignment horizontal="center"/>
    </xf>
    <xf numFmtId="0" fontId="40" fillId="17" borderId="9" xfId="0" applyFont="1" applyFill="1" applyBorder="1" applyAlignment="1">
      <alignment horizontal="center"/>
    </xf>
    <xf numFmtId="0" fontId="6" fillId="17" borderId="24" xfId="0" applyFont="1" applyFill="1" applyBorder="1" applyAlignment="1">
      <alignment horizontal="center"/>
    </xf>
    <xf numFmtId="0" fontId="6" fillId="17" borderId="14" xfId="0" applyFont="1" applyFill="1" applyBorder="1" applyAlignment="1">
      <alignment horizontal="center"/>
    </xf>
    <xf numFmtId="0" fontId="7" fillId="0" borderId="0" xfId="0" applyFont="1" applyAlignment="1">
      <alignment horizontal="center"/>
    </xf>
    <xf numFmtId="0" fontId="41" fillId="18" borderId="0" xfId="0" applyFont="1" applyFill="1" applyAlignment="1">
      <alignment horizontal="center"/>
    </xf>
    <xf numFmtId="0" fontId="40" fillId="21" borderId="9" xfId="0" applyFont="1" applyFill="1" applyBorder="1" applyAlignment="1">
      <alignment horizontal="center"/>
    </xf>
    <xf numFmtId="0" fontId="24" fillId="20" borderId="19" xfId="0" applyFont="1" applyFill="1" applyBorder="1" applyAlignment="1">
      <alignment horizontal="center"/>
    </xf>
    <xf numFmtId="10" fontId="40" fillId="22" borderId="0" xfId="0" applyNumberFormat="1" applyFont="1" applyFill="1" applyAlignment="1">
      <alignment horizontal="center"/>
    </xf>
    <xf numFmtId="0" fontId="39" fillId="23" borderId="20" xfId="0" applyFont="1" applyFill="1" applyBorder="1"/>
    <xf numFmtId="0" fontId="1" fillId="18" borderId="0" xfId="0" applyFont="1" applyFill="1" applyAlignment="1">
      <alignment horizontal="center"/>
    </xf>
    <xf numFmtId="0" fontId="6" fillId="19" borderId="16" xfId="0" applyFont="1" applyFill="1" applyBorder="1" applyAlignment="1">
      <alignment horizontal="center"/>
    </xf>
    <xf numFmtId="0" fontId="6" fillId="19" borderId="17" xfId="0" applyFont="1" applyFill="1" applyBorder="1" applyAlignment="1">
      <alignment horizontal="center"/>
    </xf>
    <xf numFmtId="0" fontId="6" fillId="19" borderId="0" xfId="0" applyFont="1" applyFill="1" applyAlignment="1">
      <alignment horizontal="center"/>
    </xf>
    <xf numFmtId="0" fontId="24" fillId="20" borderId="16" xfId="0" applyFont="1" applyFill="1" applyBorder="1" applyAlignment="1">
      <alignment horizontal="center"/>
    </xf>
    <xf numFmtId="0" fontId="39" fillId="0" borderId="17" xfId="0" applyFont="1" applyBorder="1"/>
    <xf numFmtId="176" fontId="40" fillId="20" borderId="17" xfId="0" applyNumberFormat="1" applyFont="1" applyFill="1" applyBorder="1" applyAlignment="1">
      <alignment horizontal="center"/>
    </xf>
    <xf numFmtId="0" fontId="39" fillId="0" borderId="18" xfId="0" applyFont="1" applyBorder="1"/>
    <xf numFmtId="0" fontId="6" fillId="25" borderId="24" xfId="0" applyFont="1" applyFill="1" applyBorder="1" applyAlignment="1">
      <alignment horizontal="center"/>
    </xf>
    <xf numFmtId="0" fontId="39" fillId="23" borderId="14" xfId="0" applyFont="1" applyFill="1" applyBorder="1"/>
    <xf numFmtId="0" fontId="24" fillId="20" borderId="24" xfId="0" applyFont="1" applyFill="1" applyBorder="1" applyAlignment="1">
      <alignment horizontal="center"/>
    </xf>
    <xf numFmtId="0" fontId="39" fillId="0" borderId="14" xfId="0" applyFont="1" applyBorder="1"/>
    <xf numFmtId="2" fontId="42" fillId="20" borderId="14" xfId="0" applyNumberFormat="1" applyFont="1" applyFill="1" applyBorder="1" applyAlignment="1">
      <alignment horizontal="center"/>
    </xf>
    <xf numFmtId="0" fontId="39" fillId="0" borderId="15" xfId="0" applyFont="1" applyBorder="1"/>
    <xf numFmtId="2" fontId="45" fillId="31" borderId="16" xfId="0" applyNumberFormat="1" applyFont="1" applyFill="1" applyBorder="1" applyAlignment="1">
      <alignment horizontal="center" vertical="center"/>
    </xf>
    <xf numFmtId="0" fontId="39" fillId="0" borderId="24" xfId="0" applyFont="1" applyBorder="1"/>
    <xf numFmtId="0" fontId="55" fillId="0" borderId="9" xfId="0" applyFont="1" applyBorder="1" applyAlignment="1">
      <alignment horizontal="center"/>
    </xf>
    <xf numFmtId="0" fontId="21" fillId="0" borderId="10" xfId="0" applyFont="1" applyBorder="1" applyAlignment="1">
      <alignment horizontal="center"/>
    </xf>
    <xf numFmtId="0" fontId="51" fillId="0" borderId="0" xfId="0" applyFont="1" applyAlignment="1">
      <alignment horizontal="center"/>
    </xf>
    <xf numFmtId="0" fontId="51" fillId="0" borderId="10" xfId="0" applyFont="1" applyBorder="1" applyAlignment="1">
      <alignment horizontal="center" wrapText="1"/>
    </xf>
    <xf numFmtId="0" fontId="20" fillId="0" borderId="36" xfId="0" applyFont="1" applyBorder="1" applyAlignment="1">
      <alignment horizontal="center"/>
    </xf>
    <xf numFmtId="0" fontId="20" fillId="0" borderId="2" xfId="0" applyFont="1" applyBorder="1" applyAlignment="1">
      <alignment horizontal="center"/>
    </xf>
    <xf numFmtId="0" fontId="20" fillId="0" borderId="35" xfId="0" applyFont="1" applyBorder="1" applyAlignment="1">
      <alignment horizontal="center"/>
    </xf>
    <xf numFmtId="0" fontId="20" fillId="0" borderId="0" xfId="0" applyFont="1" applyAlignment="1">
      <alignment horizontal="center"/>
    </xf>
    <xf numFmtId="0" fontId="59" fillId="0" borderId="34" xfId="0" applyFont="1" applyBorder="1" applyAlignment="1">
      <alignment horizontal="center"/>
    </xf>
    <xf numFmtId="0" fontId="59" fillId="0" borderId="2" xfId="0" applyFont="1" applyBorder="1" applyAlignment="1">
      <alignment horizontal="center"/>
    </xf>
    <xf numFmtId="0" fontId="59" fillId="0" borderId="35" xfId="0" applyFont="1" applyBorder="1" applyAlignment="1">
      <alignment horizontal="center"/>
    </xf>
    <xf numFmtId="0" fontId="20" fillId="0" borderId="34" xfId="0" applyFont="1" applyBorder="1" applyAlignment="1">
      <alignment horizontal="center"/>
    </xf>
    <xf numFmtId="0" fontId="59" fillId="0" borderId="0" xfId="0" applyFont="1" applyAlignment="1">
      <alignment horizontal="center"/>
    </xf>
    <xf numFmtId="0" fontId="20" fillId="0" borderId="10" xfId="0" applyFont="1" applyBorder="1" applyAlignment="1">
      <alignment horizontal="center"/>
    </xf>
    <xf numFmtId="0" fontId="13" fillId="0" borderId="9" xfId="0" applyFont="1" applyBorder="1" applyAlignment="1">
      <alignment horizontal="center"/>
    </xf>
    <xf numFmtId="0" fontId="51" fillId="0" borderId="9" xfId="0" applyFont="1" applyBorder="1" applyAlignment="1">
      <alignment horizontal="center"/>
    </xf>
    <xf numFmtId="0" fontId="51" fillId="0" borderId="29" xfId="0" applyFont="1" applyBorder="1" applyAlignment="1">
      <alignment horizontal="center"/>
    </xf>
  </cellXfs>
  <cellStyles count="3">
    <cellStyle name="Hyperlink" xfId="1" builtinId="8"/>
    <cellStyle name="Normal" xfId="0" builtinId="0"/>
    <cellStyle name="Per cent" xfId="2" builtinId="5"/>
  </cellStyles>
  <dxfs count="89">
    <dxf>
      <font>
        <color theme="1"/>
      </font>
      <fill>
        <patternFill>
          <bgColor rgb="FF98CB89"/>
        </patternFill>
      </fill>
    </dxf>
    <dxf>
      <fill>
        <patternFill>
          <bgColor theme="5" tint="0.39994506668294322"/>
        </patternFill>
      </fill>
    </dxf>
    <dxf>
      <font>
        <color theme="1"/>
      </font>
      <fill>
        <patternFill>
          <bgColor rgb="FF98CB89"/>
        </patternFill>
      </fill>
    </dxf>
    <dxf>
      <fill>
        <patternFill>
          <bgColor theme="5" tint="0.39994506668294322"/>
        </patternFill>
      </fill>
    </dxf>
    <dxf>
      <fill>
        <patternFill>
          <bgColor theme="5" tint="0.39994506668294322"/>
        </patternFill>
      </fill>
    </dxf>
    <dxf>
      <font>
        <color theme="1"/>
      </font>
      <fill>
        <patternFill>
          <bgColor rgb="FF98CB89"/>
        </patternFill>
      </fill>
    </dxf>
    <dxf>
      <font>
        <color theme="1"/>
      </font>
      <fill>
        <patternFill>
          <bgColor rgb="FF98CB89"/>
        </patternFill>
      </fill>
    </dxf>
    <dxf>
      <fill>
        <patternFill>
          <bgColor theme="5" tint="0.39994506668294322"/>
        </patternFill>
      </fill>
    </dxf>
    <dxf>
      <fill>
        <patternFill>
          <bgColor theme="0"/>
        </patternFill>
      </fill>
    </dxf>
    <dxf>
      <font>
        <color theme="1"/>
      </font>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ont>
        <color theme="1"/>
      </font>
      <fill>
        <patternFill>
          <bgColor rgb="FF98CB89"/>
        </patternFill>
      </fill>
    </dxf>
    <dxf>
      <fill>
        <patternFill>
          <bgColor theme="5" tint="0.39994506668294322"/>
        </patternFill>
      </fill>
    </dxf>
    <dxf>
      <font>
        <color theme="1"/>
      </font>
      <fill>
        <patternFill>
          <bgColor rgb="FF98CB89"/>
        </patternFill>
      </fill>
    </dxf>
    <dxf>
      <fill>
        <patternFill>
          <bgColor theme="5" tint="0.39994506668294322"/>
        </patternFill>
      </fill>
    </dxf>
    <dxf>
      <fill>
        <patternFill>
          <bgColor theme="5" tint="0.39994506668294322"/>
        </patternFill>
      </fill>
    </dxf>
    <dxf>
      <font>
        <color theme="1"/>
      </font>
      <fill>
        <patternFill>
          <bgColor rgb="FF98CB89"/>
        </patternFill>
      </fill>
    </dxf>
    <dxf>
      <fill>
        <patternFill patternType="solid">
          <fgColor rgb="FFF4C7C3"/>
          <bgColor rgb="FFF4C7C3"/>
        </patternFill>
      </fill>
    </dxf>
    <dxf>
      <fill>
        <patternFill patternType="solid">
          <fgColor rgb="FFB7E1CD"/>
          <bgColor rgb="FFB7E1CD"/>
        </patternFill>
      </fill>
    </dxf>
    <dxf>
      <font>
        <color rgb="FFCC0000"/>
      </font>
      <fill>
        <patternFill patternType="none"/>
      </fill>
    </dxf>
    <dxf>
      <font>
        <color rgb="FF38761D"/>
      </font>
      <fill>
        <patternFill patternType="none"/>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98CB89"/>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7"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6">
    <tableStyle name="Main-style" pivot="0" count="3" xr9:uid="{00000000-0011-0000-FFFF-FFFF00000000}">
      <tableStyleElement type="headerRow" dxfId="88"/>
      <tableStyleElement type="firstRowStripe" dxfId="87"/>
      <tableStyleElement type="secondRowStripe" dxfId="86"/>
    </tableStyle>
    <tableStyle name="Main-style 2" pivot="0" count="3" xr9:uid="{00000000-0011-0000-FFFF-FFFF01000000}">
      <tableStyleElement type="headerRow" dxfId="85"/>
      <tableStyleElement type="firstRowStripe" dxfId="84"/>
      <tableStyleElement type="secondRowStripe" dxfId="83"/>
    </tableStyle>
    <tableStyle name="Main-style 3" pivot="0" count="3" xr9:uid="{00000000-0011-0000-FFFF-FFFF02000000}">
      <tableStyleElement type="headerRow" dxfId="82"/>
      <tableStyleElement type="firstRowStripe" dxfId="81"/>
      <tableStyleElement type="secondRowStripe" dxfId="80"/>
    </tableStyle>
    <tableStyle name="Helper-style" pivot="0" count="3" xr9:uid="{00000000-0011-0000-FFFF-FFFF03000000}">
      <tableStyleElement type="headerRow" dxfId="79"/>
      <tableStyleElement type="firstRowStripe" dxfId="78"/>
      <tableStyleElement type="secondRowStripe" dxfId="77"/>
    </tableStyle>
    <tableStyle name="Helper-style 2" pivot="0" count="3" xr9:uid="{00000000-0011-0000-FFFF-FFFF04000000}">
      <tableStyleElement type="headerRow" dxfId="76"/>
      <tableStyleElement type="firstRowStripe" dxfId="75"/>
      <tableStyleElement type="secondRowStripe" dxfId="74"/>
    </tableStyle>
    <tableStyle name="Helper-style 3" pivot="0" count="3" xr9:uid="{00000000-0011-0000-FFFF-FFFF05000000}">
      <tableStyleElement type="headerRow" dxfId="73"/>
      <tableStyleElement type="firstRowStripe" dxfId="72"/>
      <tableStyleElement type="secondRowStripe" dxfId="71"/>
    </tableStyle>
  </tableStyles>
  <colors>
    <mruColors>
      <color rgb="FFC74327"/>
      <color rgb="FF98CB89"/>
      <color rgb="FF05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microsoft.com/office/2017/06/relationships/rdRichValueTypes" Target="richData/rdRichValueType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0">
              <a:defRPr sz="1000" b="1" i="0" u="none" strike="noStrike" kern="1200" baseline="0">
                <a:solidFill>
                  <a:srgbClr val="757575"/>
                </a:solidFill>
                <a:latin typeface="+mn-lt"/>
                <a:ea typeface="+mn-ea"/>
                <a:cs typeface="+mn-cs"/>
              </a:defRPr>
            </a:pPr>
            <a:r>
              <a:rPr lang="en-GB" sz="1600" b="1">
                <a:solidFill>
                  <a:schemeClr val="tx1"/>
                </a:solidFill>
                <a:latin typeface="+mn-lt"/>
              </a:rPr>
              <a:t>Investment Growth</a:t>
            </a:r>
          </a:p>
        </c:rich>
      </c:tx>
      <c:overlay val="0"/>
      <c:spPr>
        <a:noFill/>
        <a:ln>
          <a:noFill/>
        </a:ln>
        <a:effectLst/>
      </c:spPr>
    </c:title>
    <c:autoTitleDeleted val="0"/>
    <c:plotArea>
      <c:layout>
        <c:manualLayout>
          <c:layoutTarget val="inner"/>
          <c:xMode val="edge"/>
          <c:yMode val="edge"/>
          <c:x val="8.1393147536275773E-2"/>
          <c:y val="0.18162161195884166"/>
          <c:w val="0.89673185686769163"/>
          <c:h val="0.63902704623180229"/>
        </c:manualLayout>
      </c:layout>
      <c:barChart>
        <c:barDir val="col"/>
        <c:grouping val="clustered"/>
        <c:varyColors val="1"/>
        <c:ser>
          <c:idx val="1"/>
          <c:order val="0"/>
          <c:spPr>
            <a:solidFill>
              <a:schemeClr val="accent3"/>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Stocks!$J$23:$J$34</c:f>
              <c:numCache>
                <c:formatCode>0.00%</c:formatCode>
                <c:ptCount val="12"/>
                <c:pt idx="0">
                  <c:v>0.18838777777777771</c:v>
                </c:pt>
                <c:pt idx="1">
                  <c:v>-3.4800000000000039E-2</c:v>
                </c:pt>
                <c:pt idx="2">
                  <c:v>0.27323999999999998</c:v>
                </c:pt>
                <c:pt idx="3">
                  <c:v>-0.14734166666666662</c:v>
                </c:pt>
                <c:pt idx="4">
                  <c:v>0.66460000000000008</c:v>
                </c:pt>
                <c:pt idx="5">
                  <c:v>0.46306749999999991</c:v>
                </c:pt>
                <c:pt idx="6">
                  <c:v>-6.2533333333333302E-2</c:v>
                </c:pt>
                <c:pt idx="7">
                  <c:v>0.48865000000000008</c:v>
                </c:pt>
                <c:pt idx="8">
                  <c:v>-0.25633333333333336</c:v>
                </c:pt>
                <c:pt idx="9">
                  <c:v>-3.6989999999999947E-2</c:v>
                </c:pt>
                <c:pt idx="10">
                  <c:v>0.42997980000000008</c:v>
                </c:pt>
                <c:pt idx="11">
                  <c:v>6.5555555555555506E-2</c:v>
                </c:pt>
              </c:numCache>
            </c:numRef>
          </c:val>
          <c:extLst>
            <c:ext xmlns:c16="http://schemas.microsoft.com/office/drawing/2014/chart" uri="{C3380CC4-5D6E-409C-BE32-E72D297353CC}">
              <c16:uniqueId val="{00000000-CEAB-1845-A024-70E3380835E1}"/>
            </c:ext>
          </c:extLst>
        </c:ser>
        <c:ser>
          <c:idx val="2"/>
          <c:order val="1"/>
          <c:tx>
            <c:v>Purchase 180 200 500 600 100 120 300 200 150 10 #REF! #REF! #REF! #REF! #REF! #REF! #REF! #REF! #REF! #REF! #REF! #REF! #REF! #REF! #REF! #REF! #REF! #REF! #REF! #REF! #REF! #REF! #REF! #REF! #REF! #REF! #REF! #REF! #REF! #REF! #REF! #REF! #REF! #REF! #RE</c:v>
          </c:tx>
          <c:spPr>
            <a:solidFill>
              <a:schemeClr val="accent5"/>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1-CEAB-1845-A024-70E3380835E1}"/>
            </c:ext>
          </c:extLst>
        </c:ser>
        <c:ser>
          <c:idx val="3"/>
          <c:order val="2"/>
          <c:tx>
            <c:v>Price 201.7699 180.25 604.85 475.027 155.645 144.455 308.45 268.085 106.66 8.815</c:v>
          </c:tx>
          <c:spPr>
            <a:solidFill>
              <a:schemeClr val="accent1">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2-CEAB-1845-A024-70E3380835E1}"/>
            </c:ext>
          </c:extLst>
        </c:ser>
        <c:ser>
          <c:idx val="4"/>
          <c:order val="3"/>
          <c:tx>
            <c:v>Cost 18000 20000 25000 60000 10000 12000 30000 22000 7500 10000 0 0 0 0 0 0 0 0 0 0 0 0 0 0 0 0 0 0 0 0 0 0 0 0 0 0 0 0 0 0 0 0 0 0 0 0 0 0 0 0 0 0 0 0 0 0 0 0 0 0 0 0 0 0 0 0 0 0 0 0 0 0 0 0 0 0 0 0 0 0 0 0 0 0 0 0 0 0 0 0 0 0 0 0 0 0 0 0</c:v>
          </c:tx>
          <c:spPr>
            <a:solidFill>
              <a:schemeClr val="accent3">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3-CEAB-1845-A024-70E3380835E1}"/>
            </c:ext>
          </c:extLst>
        </c:ser>
        <c:ser>
          <c:idx val="5"/>
          <c:order val="4"/>
          <c:tx>
            <c:v>Market Value 20176.99 18025 30242.5 47502.7 15564.5 14445.5 30845 29489.35 5333 8815</c:v>
          </c:tx>
          <c:spPr>
            <a:solidFill>
              <a:schemeClr val="accent5">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4-CEAB-1845-A024-70E3380835E1}"/>
            </c:ext>
          </c:extLst>
        </c:ser>
        <c:ser>
          <c:idx val="6"/>
          <c:order val="5"/>
          <c:tx>
            <c:v> Gain 2176.99 -1975 5242.5 -12497.3 5564.5 2445.5 845 7489.35 -2167 -1185</c:v>
          </c:tx>
          <c:spPr>
            <a:solidFill>
              <a:schemeClr val="accent1">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5-CEAB-1845-A024-70E3380835E1}"/>
            </c:ext>
          </c:extLst>
        </c:ser>
        <c:ser>
          <c:idx val="7"/>
          <c:order val="6"/>
          <c:tx>
            <c:v>Growth 0.120943889 -0.09875 0.2097 -0.208288333 0.55645 0.203791667 0.028166667 0.340425 -0.288933333 -0.1185</c:v>
          </c:tx>
          <c:spPr>
            <a:solidFill>
              <a:schemeClr val="accent3">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6-CEAB-1845-A024-70E3380835E1}"/>
            </c:ext>
          </c:extLst>
        </c:ser>
        <c:ser>
          <c:idx val="8"/>
          <c:order val="7"/>
          <c:tx>
            <c:v>Beta 1.209 1.0147 0.9982 1.0256 0.4096 2.1201 0.4531 1.0826 0.4653 0.5848</c:v>
          </c:tx>
          <c:spPr>
            <a:solidFill>
              <a:schemeClr val="accent5">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7-CEAB-1845-A024-70E3380835E1}"/>
            </c:ext>
          </c:extLst>
        </c:ser>
        <c:dLbls>
          <c:showLegendKey val="0"/>
          <c:showVal val="0"/>
          <c:showCatName val="0"/>
          <c:showSerName val="0"/>
          <c:showPercent val="0"/>
          <c:showBubbleSize val="0"/>
        </c:dLbls>
        <c:gapWidth val="210"/>
        <c:overlap val="90"/>
        <c:axId val="401535833"/>
        <c:axId val="1378520421"/>
      </c:barChart>
      <c:catAx>
        <c:axId val="401535833"/>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low"/>
        <c:spPr>
          <a:noFill/>
          <a:ln w="6350" cap="flat" cmpd="sng" algn="ctr">
            <a:solidFill>
              <a:schemeClr val="tx1"/>
            </a:solidFill>
            <a:prstDash val="solid"/>
            <a:round/>
          </a:ln>
          <a:effectLst/>
        </c:spPr>
        <c:txPr>
          <a:bodyPr rot="-60000000" spcFirstLastPara="1" vertOverflow="ellipsis" vert="horz" wrap="square" anchor="ctr" anchorCtr="1"/>
          <a:lstStyle/>
          <a:p>
            <a:pPr lvl="0">
              <a:defRPr sz="1100" b="1" i="0" u="none" strike="noStrike" kern="1200" baseline="0">
                <a:solidFill>
                  <a:srgbClr val="000000"/>
                </a:solidFill>
                <a:latin typeface="+mn-lt"/>
                <a:ea typeface="+mn-ea"/>
                <a:cs typeface="+mn-cs"/>
              </a:defRPr>
            </a:pPr>
            <a:endParaRPr lang="en-US"/>
          </a:p>
        </c:txPr>
        <c:crossAx val="1378520421"/>
        <c:crosses val="autoZero"/>
        <c:auto val="1"/>
        <c:lblAlgn val="ctr"/>
        <c:lblOffset val="100"/>
        <c:tickMarkSkip val="2"/>
        <c:noMultiLvlLbl val="1"/>
      </c:catAx>
      <c:valAx>
        <c:axId val="1378520421"/>
        <c:scaling>
          <c:orientation val="minMax"/>
        </c:scaling>
        <c:delete val="0"/>
        <c:axPos val="l"/>
        <c:majorGridlines>
          <c:spPr>
            <a:ln w="6350" cap="flat" cmpd="sng" algn="ctr">
              <a:solidFill>
                <a:schemeClr val="bg2">
                  <a:lumMod val="50000"/>
                </a:schemeClr>
              </a:solidFill>
              <a:prstDash val="solid"/>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itle>
        <c:numFmt formatCode="0%" sourceLinked="0"/>
        <c:majorTickMark val="none"/>
        <c:minorTickMark val="in"/>
        <c:tickLblPos val="nextTo"/>
        <c:spPr>
          <a:solidFill>
            <a:schemeClr val="accent3">
              <a:lumMod val="20000"/>
              <a:lumOff val="80000"/>
            </a:schemeClr>
          </a:solidFill>
          <a:ln w="6350" cap="flat" cmpd="sng" algn="ctr">
            <a:noFill/>
            <a:prstDash val="solid"/>
            <a:round/>
          </a:ln>
          <a:effectLst/>
        </c:spPr>
        <c:txPr>
          <a:bodyPr rot="-60000000" spcFirstLastPara="1" vertOverflow="ellipsis" vert="horz" wrap="square" anchor="ctr" anchorCtr="1"/>
          <a:lstStyle/>
          <a:p>
            <a:pPr lvl="0">
              <a:defRPr sz="1000" b="0" i="0" u="none" strike="noStrike" kern="1200" baseline="0">
                <a:ln>
                  <a:noFill/>
                </a:ln>
                <a:solidFill>
                  <a:srgbClr val="000000"/>
                </a:solidFill>
                <a:latin typeface="+mn-lt"/>
                <a:ea typeface="+mn-ea"/>
                <a:cs typeface="+mn-cs"/>
              </a:defRPr>
            </a:pPr>
            <a:endParaRPr lang="en-US"/>
          </a:p>
        </c:txPr>
        <c:crossAx val="401535833"/>
        <c:crosses val="autoZero"/>
        <c:crossBetween val="between"/>
      </c:valAx>
      <c:spPr>
        <a:solidFill>
          <a:schemeClr val="accent3">
            <a:lumMod val="20000"/>
            <a:lumOff val="80000"/>
          </a:schemeClr>
        </a:solidFill>
        <a:ln>
          <a:noFill/>
        </a:ln>
        <a:effectLst/>
      </c:spPr>
    </c:plotArea>
    <c:plotVisOnly val="1"/>
    <c:dispBlanksAs val="zero"/>
    <c:showDLblsOverMax val="1"/>
  </c:chart>
  <c:spPr>
    <a:solidFill>
      <a:schemeClr val="accent3">
        <a:lumMod val="20000"/>
        <a:lumOff val="80000"/>
      </a:schemeClr>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400" b="1">
                <a:solidFill>
                  <a:srgbClr val="757575"/>
                </a:solidFill>
                <a:latin typeface="+mn-lt"/>
              </a:defRPr>
            </a:pPr>
            <a:r>
              <a:rPr lang="en-GB" sz="1400" b="1">
                <a:solidFill>
                  <a:srgbClr val="757575"/>
                </a:solidFill>
                <a:latin typeface="+mn-lt"/>
              </a:rPr>
              <a:t>Cost vs Market Value</a:t>
            </a:r>
          </a:p>
        </c:rich>
      </c:tx>
      <c:layout>
        <c:manualLayout>
          <c:xMode val="edge"/>
          <c:yMode val="edge"/>
          <c:x val="0.34558148788391913"/>
          <c:y val="3.9594505232300507E-2"/>
        </c:manualLayout>
      </c:layout>
      <c:overlay val="0"/>
    </c:title>
    <c:autoTitleDeleted val="0"/>
    <c:plotArea>
      <c:layout>
        <c:manualLayout>
          <c:layoutTarget val="inner"/>
          <c:xMode val="edge"/>
          <c:yMode val="edge"/>
          <c:x val="0.19029564033299881"/>
          <c:y val="0.11255411255411256"/>
          <c:w val="0.67054994318860062"/>
          <c:h val="0.71873497630977945"/>
        </c:manualLayout>
      </c:layout>
      <c:barChart>
        <c:barDir val="col"/>
        <c:grouping val="clustered"/>
        <c:varyColors val="1"/>
        <c:ser>
          <c:idx val="1"/>
          <c:order val="0"/>
          <c:tx>
            <c:strRef>
              <c:f>Stocks!$G$22</c:f>
              <c:strCache>
                <c:ptCount val="1"/>
                <c:pt idx="0">
                  <c:v>Cost</c:v>
                </c:pt>
              </c:strCache>
            </c:strRef>
          </c:tx>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Stocks!$G$23:$G$34</c:f>
              <c:numCache>
                <c:formatCode>0.00;;""</c:formatCode>
                <c:ptCount val="12"/>
                <c:pt idx="0">
                  <c:v>18000</c:v>
                </c:pt>
                <c:pt idx="1">
                  <c:v>20000</c:v>
                </c:pt>
                <c:pt idx="2">
                  <c:v>25000</c:v>
                </c:pt>
                <c:pt idx="3">
                  <c:v>60000</c:v>
                </c:pt>
                <c:pt idx="4">
                  <c:v>10000</c:v>
                </c:pt>
                <c:pt idx="5">
                  <c:v>12000</c:v>
                </c:pt>
                <c:pt idx="6">
                  <c:v>30000</c:v>
                </c:pt>
                <c:pt idx="7">
                  <c:v>22000</c:v>
                </c:pt>
                <c:pt idx="8">
                  <c:v>7500</c:v>
                </c:pt>
                <c:pt idx="9">
                  <c:v>10000</c:v>
                </c:pt>
                <c:pt idx="10">
                  <c:v>25000</c:v>
                </c:pt>
                <c:pt idx="11">
                  <c:v>9900</c:v>
                </c:pt>
              </c:numCache>
            </c:numRef>
          </c:val>
          <c:extLst>
            <c:ext xmlns:c16="http://schemas.microsoft.com/office/drawing/2014/chart" uri="{C3380CC4-5D6E-409C-BE32-E72D297353CC}">
              <c16:uniqueId val="{00000000-16D8-1940-AD77-DED84901C216}"/>
            </c:ext>
          </c:extLst>
        </c:ser>
        <c:ser>
          <c:idx val="2"/>
          <c:order val="1"/>
          <c:tx>
            <c:strRef>
              <c:f>Stocks!$H$22</c:f>
              <c:strCache>
                <c:ptCount val="1"/>
                <c:pt idx="0">
                  <c:v>Market Value</c:v>
                </c:pt>
              </c:strCache>
            </c:strRef>
          </c:tx>
          <c:spPr>
            <a:solidFill>
              <a:schemeClr val="accent4">
                <a:lumMod val="60000"/>
                <a:lumOff val="40000"/>
              </a:schemeClr>
            </a:solidFill>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Stocks!$H$23:$H$34</c:f>
              <c:numCache>
                <c:formatCode>0.00</c:formatCode>
                <c:ptCount val="12"/>
                <c:pt idx="0">
                  <c:v>21390.98</c:v>
                </c:pt>
                <c:pt idx="1">
                  <c:v>19304</c:v>
                </c:pt>
                <c:pt idx="2">
                  <c:v>31831</c:v>
                </c:pt>
                <c:pt idx="3">
                  <c:v>51159.5</c:v>
                </c:pt>
                <c:pt idx="4">
                  <c:v>16646</c:v>
                </c:pt>
                <c:pt idx="5">
                  <c:v>17556.809999999998</c:v>
                </c:pt>
                <c:pt idx="6">
                  <c:v>28124</c:v>
                </c:pt>
                <c:pt idx="7">
                  <c:v>32750.300000000003</c:v>
                </c:pt>
                <c:pt idx="8">
                  <c:v>5577.5</c:v>
                </c:pt>
                <c:pt idx="9">
                  <c:v>9630.1</c:v>
                </c:pt>
                <c:pt idx="10">
                  <c:v>35749.495000000003</c:v>
                </c:pt>
                <c:pt idx="11">
                  <c:v>10549</c:v>
                </c:pt>
              </c:numCache>
            </c:numRef>
          </c:val>
          <c:extLst>
            <c:ext xmlns:c16="http://schemas.microsoft.com/office/drawing/2014/chart" uri="{C3380CC4-5D6E-409C-BE32-E72D297353CC}">
              <c16:uniqueId val="{00000001-16D8-1940-AD77-DED84901C216}"/>
            </c:ext>
          </c:extLst>
        </c:ser>
        <c:dLbls>
          <c:showLegendKey val="0"/>
          <c:showVal val="0"/>
          <c:showCatName val="0"/>
          <c:showSerName val="0"/>
          <c:showPercent val="0"/>
          <c:showBubbleSize val="0"/>
        </c:dLbls>
        <c:gapWidth val="54"/>
        <c:axId val="1936681112"/>
        <c:axId val="1678166264"/>
      </c:barChart>
      <c:catAx>
        <c:axId val="1936681112"/>
        <c:scaling>
          <c:orientation val="minMax"/>
        </c:scaling>
        <c:delete val="0"/>
        <c:axPos val="b"/>
        <c:title>
          <c:tx>
            <c:rich>
              <a:bodyPr/>
              <a:lstStyle/>
              <a:p>
                <a:pPr lvl="0">
                  <a:defRPr b="0">
                    <a:solidFill>
                      <a:srgbClr val="000000"/>
                    </a:solidFill>
                    <a:latin typeface="+mn-lt"/>
                  </a:defRPr>
                </a:pPr>
                <a:r>
                  <a:rPr lang="en-GB" b="0">
                    <a:solidFill>
                      <a:srgbClr val="000000"/>
                    </a:solidFill>
                    <a:latin typeface="+mn-lt"/>
                  </a:rPr>
                  <a:t>Symbol</a:t>
                </a:r>
              </a:p>
            </c:rich>
          </c:tx>
          <c:overlay val="0"/>
        </c:title>
        <c:numFmt formatCode="General" sourceLinked="1"/>
        <c:majorTickMark val="none"/>
        <c:minorTickMark val="none"/>
        <c:tickLblPos val="nextTo"/>
        <c:spPr>
          <a:solidFill>
            <a:schemeClr val="accent1">
              <a:lumMod val="20000"/>
              <a:lumOff val="80000"/>
            </a:schemeClr>
          </a:solidFill>
        </c:spPr>
        <c:txPr>
          <a:bodyPr/>
          <a:lstStyle/>
          <a:p>
            <a:pPr lvl="0">
              <a:defRPr sz="1050" b="1">
                <a:solidFill>
                  <a:srgbClr val="000000"/>
                </a:solidFill>
                <a:latin typeface="+mn-lt"/>
              </a:defRPr>
            </a:pPr>
            <a:endParaRPr lang="en-US"/>
          </a:p>
        </c:txPr>
        <c:crossAx val="1678166264"/>
        <c:crosses val="autoZero"/>
        <c:auto val="1"/>
        <c:lblAlgn val="ctr"/>
        <c:lblOffset val="100"/>
        <c:noMultiLvlLbl val="1"/>
      </c:catAx>
      <c:valAx>
        <c:axId val="1678166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GB"/>
              </a:p>
            </c:rich>
          </c:tx>
          <c:overlay val="0"/>
        </c:title>
        <c:numFmt formatCode="[$$-409]#,##0" sourceLinked="0"/>
        <c:majorTickMark val="none"/>
        <c:minorTickMark val="none"/>
        <c:tickLblPos val="nextTo"/>
        <c:spPr>
          <a:ln/>
        </c:spPr>
        <c:txPr>
          <a:bodyPr/>
          <a:lstStyle/>
          <a:p>
            <a:pPr lvl="0">
              <a:defRPr b="0">
                <a:solidFill>
                  <a:srgbClr val="000000"/>
                </a:solidFill>
                <a:latin typeface="+mn-lt"/>
              </a:defRPr>
            </a:pPr>
            <a:endParaRPr lang="en-US"/>
          </a:p>
        </c:txPr>
        <c:crossAx val="1936681112"/>
        <c:crosses val="autoZero"/>
        <c:crossBetween val="between"/>
      </c:valAx>
    </c:plotArea>
    <c:legend>
      <c:legendPos val="r"/>
      <c:layout>
        <c:manualLayout>
          <c:xMode val="edge"/>
          <c:yMode val="edge"/>
          <c:x val="0.83164850322962858"/>
          <c:y val="3.0187135698946724E-3"/>
          <c:w val="0.16835149677037139"/>
          <c:h val="0.11811814432286873"/>
        </c:manualLayout>
      </c:layout>
      <c:overlay val="0"/>
      <c:txPr>
        <a:bodyPr/>
        <a:lstStyle/>
        <a:p>
          <a:pPr lvl="0">
            <a:defRPr b="0">
              <a:solidFill>
                <a:srgbClr val="1A1A1A"/>
              </a:solidFill>
              <a:latin typeface="+mn-lt"/>
            </a:defRPr>
          </a:pPr>
          <a:endParaRPr lang="en-U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3000" b="1">
                <a:solidFill>
                  <a:srgbClr val="000000"/>
                </a:solidFill>
                <a:latin typeface="Arial"/>
              </a:defRPr>
            </a:pPr>
            <a:r>
              <a:rPr lang="en-GB" sz="3000" b="1">
                <a:solidFill>
                  <a:srgbClr val="000000"/>
                </a:solidFill>
                <a:latin typeface="Arial"/>
              </a:rPr>
              <a:t>Capital Allocation</a:t>
            </a:r>
          </a:p>
        </c:rich>
      </c:tx>
      <c:overlay val="0"/>
    </c:title>
    <c:autoTitleDeleted val="0"/>
    <c:plotArea>
      <c:layout/>
      <c:pieChart>
        <c:varyColors val="1"/>
        <c:ser>
          <c:idx val="0"/>
          <c:order val="0"/>
          <c:tx>
            <c:strRef>
              <c:f>Stocks!$H$22</c:f>
              <c:strCache>
                <c:ptCount val="1"/>
                <c:pt idx="0">
                  <c:v>Market Value</c:v>
                </c:pt>
              </c:strCache>
            </c:strRef>
          </c:tx>
          <c:dPt>
            <c:idx val="0"/>
            <c:bubble3D val="0"/>
            <c:spPr>
              <a:solidFill>
                <a:srgbClr val="4285F4"/>
              </a:solidFill>
              <a:ln w="9525" cmpd="sng">
                <a:solidFill>
                  <a:srgbClr val="000000"/>
                </a:solidFill>
              </a:ln>
            </c:spPr>
            <c:extLst>
              <c:ext xmlns:c16="http://schemas.microsoft.com/office/drawing/2014/chart" uri="{C3380CC4-5D6E-409C-BE32-E72D297353CC}">
                <c16:uniqueId val="{00000001-477A-5B4E-936E-4C31D32CA2C3}"/>
              </c:ext>
            </c:extLst>
          </c:dPt>
          <c:dPt>
            <c:idx val="1"/>
            <c:bubble3D val="0"/>
            <c:spPr>
              <a:solidFill>
                <a:srgbClr val="EA4335"/>
              </a:solidFill>
              <a:ln w="9525" cmpd="sng">
                <a:solidFill>
                  <a:srgbClr val="000000"/>
                </a:solidFill>
              </a:ln>
            </c:spPr>
            <c:extLst>
              <c:ext xmlns:c16="http://schemas.microsoft.com/office/drawing/2014/chart" uri="{C3380CC4-5D6E-409C-BE32-E72D297353CC}">
                <c16:uniqueId val="{00000003-477A-5B4E-936E-4C31D32CA2C3}"/>
              </c:ext>
            </c:extLst>
          </c:dPt>
          <c:dPt>
            <c:idx val="2"/>
            <c:bubble3D val="0"/>
            <c:spPr>
              <a:solidFill>
                <a:srgbClr val="FBBC04"/>
              </a:solidFill>
              <a:ln w="9525" cmpd="sng">
                <a:solidFill>
                  <a:srgbClr val="000000"/>
                </a:solidFill>
              </a:ln>
            </c:spPr>
            <c:extLst>
              <c:ext xmlns:c16="http://schemas.microsoft.com/office/drawing/2014/chart" uri="{C3380CC4-5D6E-409C-BE32-E72D297353CC}">
                <c16:uniqueId val="{00000005-477A-5B4E-936E-4C31D32CA2C3}"/>
              </c:ext>
            </c:extLst>
          </c:dPt>
          <c:dPt>
            <c:idx val="3"/>
            <c:bubble3D val="0"/>
            <c:spPr>
              <a:solidFill>
                <a:srgbClr val="34A853"/>
              </a:solidFill>
              <a:ln w="9525" cmpd="sng">
                <a:solidFill>
                  <a:srgbClr val="000000"/>
                </a:solidFill>
              </a:ln>
            </c:spPr>
            <c:extLst>
              <c:ext xmlns:c16="http://schemas.microsoft.com/office/drawing/2014/chart" uri="{C3380CC4-5D6E-409C-BE32-E72D297353CC}">
                <c16:uniqueId val="{00000007-477A-5B4E-936E-4C31D32CA2C3}"/>
              </c:ext>
            </c:extLst>
          </c:dPt>
          <c:dPt>
            <c:idx val="4"/>
            <c:bubble3D val="0"/>
            <c:spPr>
              <a:solidFill>
                <a:srgbClr val="FF6D01"/>
              </a:solidFill>
              <a:ln w="9525" cmpd="sng">
                <a:solidFill>
                  <a:srgbClr val="000000"/>
                </a:solidFill>
              </a:ln>
            </c:spPr>
            <c:extLst>
              <c:ext xmlns:c16="http://schemas.microsoft.com/office/drawing/2014/chart" uri="{C3380CC4-5D6E-409C-BE32-E72D297353CC}">
                <c16:uniqueId val="{00000009-477A-5B4E-936E-4C31D32CA2C3}"/>
              </c:ext>
            </c:extLst>
          </c:dPt>
          <c:dPt>
            <c:idx val="5"/>
            <c:bubble3D val="0"/>
            <c:spPr>
              <a:solidFill>
                <a:srgbClr val="46BDC6"/>
              </a:solidFill>
              <a:ln w="9525" cmpd="sng">
                <a:solidFill>
                  <a:srgbClr val="000000"/>
                </a:solidFill>
              </a:ln>
            </c:spPr>
            <c:extLst>
              <c:ext xmlns:c16="http://schemas.microsoft.com/office/drawing/2014/chart" uri="{C3380CC4-5D6E-409C-BE32-E72D297353CC}">
                <c16:uniqueId val="{0000000B-477A-5B4E-936E-4C31D32CA2C3}"/>
              </c:ext>
            </c:extLst>
          </c:dPt>
          <c:dPt>
            <c:idx val="6"/>
            <c:bubble3D val="0"/>
            <c:spPr>
              <a:solidFill>
                <a:srgbClr val="7BAAF7"/>
              </a:solidFill>
              <a:ln w="9525" cmpd="sng">
                <a:solidFill>
                  <a:srgbClr val="000000"/>
                </a:solidFill>
              </a:ln>
            </c:spPr>
            <c:extLst>
              <c:ext xmlns:c16="http://schemas.microsoft.com/office/drawing/2014/chart" uri="{C3380CC4-5D6E-409C-BE32-E72D297353CC}">
                <c16:uniqueId val="{0000000D-477A-5B4E-936E-4C31D32CA2C3}"/>
              </c:ext>
            </c:extLst>
          </c:dPt>
          <c:dPt>
            <c:idx val="7"/>
            <c:bubble3D val="0"/>
            <c:spPr>
              <a:solidFill>
                <a:srgbClr val="F07B72"/>
              </a:solidFill>
              <a:ln w="9525" cmpd="sng">
                <a:solidFill>
                  <a:srgbClr val="000000"/>
                </a:solidFill>
              </a:ln>
            </c:spPr>
            <c:extLst>
              <c:ext xmlns:c16="http://schemas.microsoft.com/office/drawing/2014/chart" uri="{C3380CC4-5D6E-409C-BE32-E72D297353CC}">
                <c16:uniqueId val="{0000000F-477A-5B4E-936E-4C31D32CA2C3}"/>
              </c:ext>
            </c:extLst>
          </c:dPt>
          <c:dPt>
            <c:idx val="8"/>
            <c:bubble3D val="0"/>
            <c:spPr>
              <a:solidFill>
                <a:srgbClr val="FCD04F"/>
              </a:solidFill>
              <a:ln w="9525" cmpd="sng">
                <a:solidFill>
                  <a:srgbClr val="000000"/>
                </a:solidFill>
              </a:ln>
            </c:spPr>
            <c:extLst>
              <c:ext xmlns:c16="http://schemas.microsoft.com/office/drawing/2014/chart" uri="{C3380CC4-5D6E-409C-BE32-E72D297353CC}">
                <c16:uniqueId val="{00000011-477A-5B4E-936E-4C31D32CA2C3}"/>
              </c:ext>
            </c:extLst>
          </c:dPt>
          <c:dPt>
            <c:idx val="9"/>
            <c:bubble3D val="0"/>
            <c:spPr>
              <a:solidFill>
                <a:srgbClr val="71C287"/>
              </a:solidFill>
              <a:ln w="9525" cmpd="sng">
                <a:solidFill>
                  <a:srgbClr val="000000"/>
                </a:solidFill>
              </a:ln>
            </c:spPr>
            <c:extLst>
              <c:ext xmlns:c16="http://schemas.microsoft.com/office/drawing/2014/chart" uri="{C3380CC4-5D6E-409C-BE32-E72D297353CC}">
                <c16:uniqueId val="{00000013-477A-5B4E-936E-4C31D32CA2C3}"/>
              </c:ext>
            </c:extLst>
          </c:dPt>
          <c:dPt>
            <c:idx val="10"/>
            <c:bubble3D val="0"/>
            <c:spPr>
              <a:solidFill>
                <a:srgbClr val="FF994D"/>
              </a:solidFill>
              <a:ln w="9525" cmpd="sng">
                <a:solidFill>
                  <a:srgbClr val="000000"/>
                </a:solidFill>
              </a:ln>
            </c:spPr>
            <c:extLst>
              <c:ext xmlns:c16="http://schemas.microsoft.com/office/drawing/2014/chart" uri="{C3380CC4-5D6E-409C-BE32-E72D297353CC}">
                <c16:uniqueId val="{00000015-477A-5B4E-936E-4C31D32CA2C3}"/>
              </c:ext>
            </c:extLst>
          </c:dPt>
          <c:dPt>
            <c:idx val="11"/>
            <c:bubble3D val="0"/>
            <c:spPr>
              <a:solidFill>
                <a:srgbClr val="7ED1D7"/>
              </a:solidFill>
              <a:ln w="9525" cmpd="sng">
                <a:solidFill>
                  <a:srgbClr val="000000"/>
                </a:solidFill>
              </a:ln>
            </c:spPr>
            <c:extLst>
              <c:ext xmlns:c16="http://schemas.microsoft.com/office/drawing/2014/chart" uri="{C3380CC4-5D6E-409C-BE32-E72D297353CC}">
                <c16:uniqueId val="{00000017-477A-5B4E-936E-4C31D32CA2C3}"/>
              </c:ext>
            </c:extLst>
          </c:dPt>
          <c:dPt>
            <c:idx val="12"/>
            <c:bubble3D val="0"/>
            <c:extLst>
              <c:ext xmlns:c16="http://schemas.microsoft.com/office/drawing/2014/chart" uri="{C3380CC4-5D6E-409C-BE32-E72D297353CC}">
                <c16:uniqueId val="{00000018-477A-5B4E-936E-4C31D32CA2C3}"/>
              </c:ext>
            </c:extLst>
          </c:dPt>
          <c:dPt>
            <c:idx val="13"/>
            <c:bubble3D val="0"/>
            <c:extLst>
              <c:ext xmlns:c16="http://schemas.microsoft.com/office/drawing/2014/chart" uri="{C3380CC4-5D6E-409C-BE32-E72D297353CC}">
                <c16:uniqueId val="{00000019-477A-5B4E-936E-4C31D32CA2C3}"/>
              </c:ext>
            </c:extLst>
          </c:dPt>
          <c:dPt>
            <c:idx val="14"/>
            <c:bubble3D val="0"/>
            <c:extLst>
              <c:ext xmlns:c16="http://schemas.microsoft.com/office/drawing/2014/chart" uri="{C3380CC4-5D6E-409C-BE32-E72D297353CC}">
                <c16:uniqueId val="{0000001A-477A-5B4E-936E-4C31D32CA2C3}"/>
              </c:ext>
            </c:extLst>
          </c:dPt>
          <c:dPt>
            <c:idx val="15"/>
            <c:bubble3D val="0"/>
            <c:extLst>
              <c:ext xmlns:c16="http://schemas.microsoft.com/office/drawing/2014/chart" uri="{C3380CC4-5D6E-409C-BE32-E72D297353CC}">
                <c16:uniqueId val="{0000001B-477A-5B4E-936E-4C31D32CA2C3}"/>
              </c:ext>
            </c:extLst>
          </c:dPt>
          <c:dPt>
            <c:idx val="16"/>
            <c:bubble3D val="0"/>
            <c:extLst>
              <c:ext xmlns:c16="http://schemas.microsoft.com/office/drawing/2014/chart" uri="{C3380CC4-5D6E-409C-BE32-E72D297353CC}">
                <c16:uniqueId val="{0000001C-477A-5B4E-936E-4C31D32CA2C3}"/>
              </c:ext>
            </c:extLst>
          </c:dPt>
          <c:dPt>
            <c:idx val="17"/>
            <c:bubble3D val="0"/>
            <c:extLst>
              <c:ext xmlns:c16="http://schemas.microsoft.com/office/drawing/2014/chart" uri="{C3380CC4-5D6E-409C-BE32-E72D297353CC}">
                <c16:uniqueId val="{0000001D-477A-5B4E-936E-4C31D32CA2C3}"/>
              </c:ext>
            </c:extLst>
          </c:dPt>
          <c:dPt>
            <c:idx val="18"/>
            <c:bubble3D val="0"/>
            <c:extLst>
              <c:ext xmlns:c16="http://schemas.microsoft.com/office/drawing/2014/chart" uri="{C3380CC4-5D6E-409C-BE32-E72D297353CC}">
                <c16:uniqueId val="{0000001E-477A-5B4E-936E-4C31D32CA2C3}"/>
              </c:ext>
            </c:extLst>
          </c:dPt>
          <c:dPt>
            <c:idx val="19"/>
            <c:bubble3D val="0"/>
            <c:extLst>
              <c:ext xmlns:c16="http://schemas.microsoft.com/office/drawing/2014/chart" uri="{C3380CC4-5D6E-409C-BE32-E72D297353CC}">
                <c16:uniqueId val="{0000001F-477A-5B4E-936E-4C31D32CA2C3}"/>
              </c:ext>
            </c:extLst>
          </c:dPt>
          <c:dPt>
            <c:idx val="20"/>
            <c:bubble3D val="0"/>
            <c:extLst>
              <c:ext xmlns:c16="http://schemas.microsoft.com/office/drawing/2014/chart" uri="{C3380CC4-5D6E-409C-BE32-E72D297353CC}">
                <c16:uniqueId val="{00000020-477A-5B4E-936E-4C31D32CA2C3}"/>
              </c:ext>
            </c:extLst>
          </c:dPt>
          <c:dPt>
            <c:idx val="21"/>
            <c:bubble3D val="0"/>
            <c:extLst>
              <c:ext xmlns:c16="http://schemas.microsoft.com/office/drawing/2014/chart" uri="{C3380CC4-5D6E-409C-BE32-E72D297353CC}">
                <c16:uniqueId val="{00000021-477A-5B4E-936E-4C31D32CA2C3}"/>
              </c:ext>
            </c:extLst>
          </c:dPt>
          <c:dPt>
            <c:idx val="22"/>
            <c:bubble3D val="0"/>
            <c:extLst>
              <c:ext xmlns:c16="http://schemas.microsoft.com/office/drawing/2014/chart" uri="{C3380CC4-5D6E-409C-BE32-E72D297353CC}">
                <c16:uniqueId val="{00000022-477A-5B4E-936E-4C31D32CA2C3}"/>
              </c:ext>
            </c:extLst>
          </c:dPt>
          <c:dPt>
            <c:idx val="23"/>
            <c:bubble3D val="0"/>
            <c:extLst>
              <c:ext xmlns:c16="http://schemas.microsoft.com/office/drawing/2014/chart" uri="{C3380CC4-5D6E-409C-BE32-E72D297353CC}">
                <c16:uniqueId val="{00000023-477A-5B4E-936E-4C31D32CA2C3}"/>
              </c:ext>
            </c:extLst>
          </c:dPt>
          <c:dPt>
            <c:idx val="24"/>
            <c:bubble3D val="0"/>
            <c:extLst>
              <c:ext xmlns:c16="http://schemas.microsoft.com/office/drawing/2014/chart" uri="{C3380CC4-5D6E-409C-BE32-E72D297353CC}">
                <c16:uniqueId val="{00000024-477A-5B4E-936E-4C31D32CA2C3}"/>
              </c:ext>
            </c:extLst>
          </c:dPt>
          <c:dPt>
            <c:idx val="25"/>
            <c:bubble3D val="0"/>
            <c:extLst>
              <c:ext xmlns:c16="http://schemas.microsoft.com/office/drawing/2014/chart" uri="{C3380CC4-5D6E-409C-BE32-E72D297353CC}">
                <c16:uniqueId val="{00000025-477A-5B4E-936E-4C31D32CA2C3}"/>
              </c:ext>
            </c:extLst>
          </c:dPt>
          <c:dPt>
            <c:idx val="26"/>
            <c:bubble3D val="0"/>
            <c:extLst>
              <c:ext xmlns:c16="http://schemas.microsoft.com/office/drawing/2014/chart" uri="{C3380CC4-5D6E-409C-BE32-E72D297353CC}">
                <c16:uniqueId val="{00000026-477A-5B4E-936E-4C31D32CA2C3}"/>
              </c:ext>
            </c:extLst>
          </c:dPt>
          <c:dPt>
            <c:idx val="27"/>
            <c:bubble3D val="0"/>
            <c:extLst>
              <c:ext xmlns:c16="http://schemas.microsoft.com/office/drawing/2014/chart" uri="{C3380CC4-5D6E-409C-BE32-E72D297353CC}">
                <c16:uniqueId val="{00000027-477A-5B4E-936E-4C31D32CA2C3}"/>
              </c:ext>
            </c:extLst>
          </c:dPt>
          <c:dPt>
            <c:idx val="28"/>
            <c:bubble3D val="0"/>
            <c:extLst>
              <c:ext xmlns:c16="http://schemas.microsoft.com/office/drawing/2014/chart" uri="{C3380CC4-5D6E-409C-BE32-E72D297353CC}">
                <c16:uniqueId val="{00000028-477A-5B4E-936E-4C31D32CA2C3}"/>
              </c:ext>
            </c:extLst>
          </c:dPt>
          <c:dPt>
            <c:idx val="29"/>
            <c:bubble3D val="0"/>
            <c:extLst>
              <c:ext xmlns:c16="http://schemas.microsoft.com/office/drawing/2014/chart" uri="{C3380CC4-5D6E-409C-BE32-E72D297353CC}">
                <c16:uniqueId val="{00000029-477A-5B4E-936E-4C31D32CA2C3}"/>
              </c:ext>
            </c:extLst>
          </c:dPt>
          <c:dPt>
            <c:idx val="30"/>
            <c:bubble3D val="0"/>
            <c:extLst>
              <c:ext xmlns:c16="http://schemas.microsoft.com/office/drawing/2014/chart" uri="{C3380CC4-5D6E-409C-BE32-E72D297353CC}">
                <c16:uniqueId val="{0000002A-477A-5B4E-936E-4C31D32CA2C3}"/>
              </c:ext>
            </c:extLst>
          </c:dPt>
          <c:dPt>
            <c:idx val="31"/>
            <c:bubble3D val="0"/>
            <c:extLst>
              <c:ext xmlns:c16="http://schemas.microsoft.com/office/drawing/2014/chart" uri="{C3380CC4-5D6E-409C-BE32-E72D297353CC}">
                <c16:uniqueId val="{0000002B-477A-5B4E-936E-4C31D32CA2C3}"/>
              </c:ext>
            </c:extLst>
          </c:dPt>
          <c:dPt>
            <c:idx val="32"/>
            <c:bubble3D val="0"/>
            <c:extLst>
              <c:ext xmlns:c16="http://schemas.microsoft.com/office/drawing/2014/chart" uri="{C3380CC4-5D6E-409C-BE32-E72D297353CC}">
                <c16:uniqueId val="{0000002C-477A-5B4E-936E-4C31D32CA2C3}"/>
              </c:ext>
            </c:extLst>
          </c:dPt>
          <c:dPt>
            <c:idx val="33"/>
            <c:bubble3D val="0"/>
            <c:extLst>
              <c:ext xmlns:c16="http://schemas.microsoft.com/office/drawing/2014/chart" uri="{C3380CC4-5D6E-409C-BE32-E72D297353CC}">
                <c16:uniqueId val="{0000002D-477A-5B4E-936E-4C31D32CA2C3}"/>
              </c:ext>
            </c:extLst>
          </c:dPt>
          <c:dPt>
            <c:idx val="34"/>
            <c:bubble3D val="0"/>
            <c:extLst>
              <c:ext xmlns:c16="http://schemas.microsoft.com/office/drawing/2014/chart" uri="{C3380CC4-5D6E-409C-BE32-E72D297353CC}">
                <c16:uniqueId val="{0000002E-477A-5B4E-936E-4C31D32CA2C3}"/>
              </c:ext>
            </c:extLst>
          </c:dPt>
          <c:dPt>
            <c:idx val="35"/>
            <c:bubble3D val="0"/>
            <c:extLst>
              <c:ext xmlns:c16="http://schemas.microsoft.com/office/drawing/2014/chart" uri="{C3380CC4-5D6E-409C-BE32-E72D297353CC}">
                <c16:uniqueId val="{0000002F-477A-5B4E-936E-4C31D32CA2C3}"/>
              </c:ext>
            </c:extLst>
          </c:dPt>
          <c:dPt>
            <c:idx val="36"/>
            <c:bubble3D val="0"/>
            <c:extLst>
              <c:ext xmlns:c16="http://schemas.microsoft.com/office/drawing/2014/chart" uri="{C3380CC4-5D6E-409C-BE32-E72D297353CC}">
                <c16:uniqueId val="{00000030-477A-5B4E-936E-4C31D32CA2C3}"/>
              </c:ext>
            </c:extLst>
          </c:dPt>
          <c:dPt>
            <c:idx val="37"/>
            <c:bubble3D val="0"/>
            <c:extLst>
              <c:ext xmlns:c16="http://schemas.microsoft.com/office/drawing/2014/chart" uri="{C3380CC4-5D6E-409C-BE32-E72D297353CC}">
                <c16:uniqueId val="{00000031-477A-5B4E-936E-4C31D32CA2C3}"/>
              </c:ext>
            </c:extLst>
          </c:dPt>
          <c:dPt>
            <c:idx val="38"/>
            <c:bubble3D val="0"/>
            <c:extLst>
              <c:ext xmlns:c16="http://schemas.microsoft.com/office/drawing/2014/chart" uri="{C3380CC4-5D6E-409C-BE32-E72D297353CC}">
                <c16:uniqueId val="{00000032-477A-5B4E-936E-4C31D32CA2C3}"/>
              </c:ext>
            </c:extLst>
          </c:dPt>
          <c:dPt>
            <c:idx val="39"/>
            <c:bubble3D val="0"/>
            <c:extLst>
              <c:ext xmlns:c16="http://schemas.microsoft.com/office/drawing/2014/chart" uri="{C3380CC4-5D6E-409C-BE32-E72D297353CC}">
                <c16:uniqueId val="{00000033-477A-5B4E-936E-4C31D32CA2C3}"/>
              </c:ext>
            </c:extLst>
          </c:dPt>
          <c:dPt>
            <c:idx val="40"/>
            <c:bubble3D val="0"/>
            <c:extLst>
              <c:ext xmlns:c16="http://schemas.microsoft.com/office/drawing/2014/chart" uri="{C3380CC4-5D6E-409C-BE32-E72D297353CC}">
                <c16:uniqueId val="{00000034-477A-5B4E-936E-4C31D32CA2C3}"/>
              </c:ext>
            </c:extLst>
          </c:dPt>
          <c:dPt>
            <c:idx val="41"/>
            <c:bubble3D val="0"/>
            <c:extLst>
              <c:ext xmlns:c16="http://schemas.microsoft.com/office/drawing/2014/chart" uri="{C3380CC4-5D6E-409C-BE32-E72D297353CC}">
                <c16:uniqueId val="{00000035-477A-5B4E-936E-4C31D32CA2C3}"/>
              </c:ext>
            </c:extLst>
          </c:dPt>
          <c:dPt>
            <c:idx val="42"/>
            <c:bubble3D val="0"/>
            <c:extLst>
              <c:ext xmlns:c16="http://schemas.microsoft.com/office/drawing/2014/chart" uri="{C3380CC4-5D6E-409C-BE32-E72D297353CC}">
                <c16:uniqueId val="{00000036-477A-5B4E-936E-4C31D32CA2C3}"/>
              </c:ext>
            </c:extLst>
          </c:dPt>
          <c:dPt>
            <c:idx val="43"/>
            <c:bubble3D val="0"/>
            <c:extLst>
              <c:ext xmlns:c16="http://schemas.microsoft.com/office/drawing/2014/chart" uri="{C3380CC4-5D6E-409C-BE32-E72D297353CC}">
                <c16:uniqueId val="{00000037-477A-5B4E-936E-4C31D32CA2C3}"/>
              </c:ext>
            </c:extLst>
          </c:dPt>
          <c:dPt>
            <c:idx val="44"/>
            <c:bubble3D val="0"/>
            <c:extLst>
              <c:ext xmlns:c16="http://schemas.microsoft.com/office/drawing/2014/chart" uri="{C3380CC4-5D6E-409C-BE32-E72D297353CC}">
                <c16:uniqueId val="{00000038-477A-5B4E-936E-4C31D32CA2C3}"/>
              </c:ext>
            </c:extLst>
          </c:dPt>
          <c:dPt>
            <c:idx val="45"/>
            <c:bubble3D val="0"/>
            <c:extLst>
              <c:ext xmlns:c16="http://schemas.microsoft.com/office/drawing/2014/chart" uri="{C3380CC4-5D6E-409C-BE32-E72D297353CC}">
                <c16:uniqueId val="{00000039-477A-5B4E-936E-4C31D32CA2C3}"/>
              </c:ext>
            </c:extLst>
          </c:dPt>
          <c:dPt>
            <c:idx val="46"/>
            <c:bubble3D val="0"/>
            <c:extLst>
              <c:ext xmlns:c16="http://schemas.microsoft.com/office/drawing/2014/chart" uri="{C3380CC4-5D6E-409C-BE32-E72D297353CC}">
                <c16:uniqueId val="{0000003A-477A-5B4E-936E-4C31D32CA2C3}"/>
              </c:ext>
            </c:extLst>
          </c:dPt>
          <c:dPt>
            <c:idx val="47"/>
            <c:bubble3D val="0"/>
            <c:extLst>
              <c:ext xmlns:c16="http://schemas.microsoft.com/office/drawing/2014/chart" uri="{C3380CC4-5D6E-409C-BE32-E72D297353CC}">
                <c16:uniqueId val="{0000003B-477A-5B4E-936E-4C31D32CA2C3}"/>
              </c:ext>
            </c:extLst>
          </c:dPt>
          <c:dPt>
            <c:idx val="48"/>
            <c:bubble3D val="0"/>
            <c:extLst>
              <c:ext xmlns:c16="http://schemas.microsoft.com/office/drawing/2014/chart" uri="{C3380CC4-5D6E-409C-BE32-E72D297353CC}">
                <c16:uniqueId val="{0000003C-477A-5B4E-936E-4C31D32CA2C3}"/>
              </c:ext>
            </c:extLst>
          </c:dPt>
          <c:dPt>
            <c:idx val="49"/>
            <c:bubble3D val="0"/>
            <c:extLst>
              <c:ext xmlns:c16="http://schemas.microsoft.com/office/drawing/2014/chart" uri="{C3380CC4-5D6E-409C-BE32-E72D297353CC}">
                <c16:uniqueId val="{0000003D-477A-5B4E-936E-4C31D32CA2C3}"/>
              </c:ext>
            </c:extLst>
          </c:dPt>
          <c:dPt>
            <c:idx val="50"/>
            <c:bubble3D val="0"/>
            <c:extLst>
              <c:ext xmlns:c16="http://schemas.microsoft.com/office/drawing/2014/chart" uri="{C3380CC4-5D6E-409C-BE32-E72D297353CC}">
                <c16:uniqueId val="{0000003E-477A-5B4E-936E-4C31D32CA2C3}"/>
              </c:ext>
            </c:extLst>
          </c:dPt>
          <c:dPt>
            <c:idx val="51"/>
            <c:bubble3D val="0"/>
            <c:extLst>
              <c:ext xmlns:c16="http://schemas.microsoft.com/office/drawing/2014/chart" uri="{C3380CC4-5D6E-409C-BE32-E72D297353CC}">
                <c16:uniqueId val="{0000003F-477A-5B4E-936E-4C31D32CA2C3}"/>
              </c:ext>
            </c:extLst>
          </c:dPt>
          <c:dPt>
            <c:idx val="52"/>
            <c:bubble3D val="0"/>
            <c:extLst>
              <c:ext xmlns:c16="http://schemas.microsoft.com/office/drawing/2014/chart" uri="{C3380CC4-5D6E-409C-BE32-E72D297353CC}">
                <c16:uniqueId val="{00000040-477A-5B4E-936E-4C31D32CA2C3}"/>
              </c:ext>
            </c:extLst>
          </c:dPt>
          <c:dPt>
            <c:idx val="53"/>
            <c:bubble3D val="0"/>
            <c:extLst>
              <c:ext xmlns:c16="http://schemas.microsoft.com/office/drawing/2014/chart" uri="{C3380CC4-5D6E-409C-BE32-E72D297353CC}">
                <c16:uniqueId val="{00000041-477A-5B4E-936E-4C31D32CA2C3}"/>
              </c:ext>
            </c:extLst>
          </c:dPt>
          <c:dPt>
            <c:idx val="54"/>
            <c:bubble3D val="0"/>
            <c:extLst>
              <c:ext xmlns:c16="http://schemas.microsoft.com/office/drawing/2014/chart" uri="{C3380CC4-5D6E-409C-BE32-E72D297353CC}">
                <c16:uniqueId val="{00000042-477A-5B4E-936E-4C31D32CA2C3}"/>
              </c:ext>
            </c:extLst>
          </c:dPt>
          <c:dPt>
            <c:idx val="55"/>
            <c:bubble3D val="0"/>
            <c:extLst>
              <c:ext xmlns:c16="http://schemas.microsoft.com/office/drawing/2014/chart" uri="{C3380CC4-5D6E-409C-BE32-E72D297353CC}">
                <c16:uniqueId val="{00000043-477A-5B4E-936E-4C31D32CA2C3}"/>
              </c:ext>
            </c:extLst>
          </c:dPt>
          <c:dPt>
            <c:idx val="56"/>
            <c:bubble3D val="0"/>
            <c:extLst>
              <c:ext xmlns:c16="http://schemas.microsoft.com/office/drawing/2014/chart" uri="{C3380CC4-5D6E-409C-BE32-E72D297353CC}">
                <c16:uniqueId val="{00000044-477A-5B4E-936E-4C31D32CA2C3}"/>
              </c:ext>
            </c:extLst>
          </c:dPt>
          <c:dPt>
            <c:idx val="57"/>
            <c:bubble3D val="0"/>
            <c:extLst>
              <c:ext xmlns:c16="http://schemas.microsoft.com/office/drawing/2014/chart" uri="{C3380CC4-5D6E-409C-BE32-E72D297353CC}">
                <c16:uniqueId val="{00000045-477A-5B4E-936E-4C31D32CA2C3}"/>
              </c:ext>
            </c:extLst>
          </c:dPt>
          <c:dPt>
            <c:idx val="58"/>
            <c:bubble3D val="0"/>
            <c:extLst>
              <c:ext xmlns:c16="http://schemas.microsoft.com/office/drawing/2014/chart" uri="{C3380CC4-5D6E-409C-BE32-E72D297353CC}">
                <c16:uniqueId val="{00000046-477A-5B4E-936E-4C31D32CA2C3}"/>
              </c:ext>
            </c:extLst>
          </c:dPt>
          <c:dPt>
            <c:idx val="59"/>
            <c:bubble3D val="0"/>
            <c:extLst>
              <c:ext xmlns:c16="http://schemas.microsoft.com/office/drawing/2014/chart" uri="{C3380CC4-5D6E-409C-BE32-E72D297353CC}">
                <c16:uniqueId val="{00000047-477A-5B4E-936E-4C31D32CA2C3}"/>
              </c:ext>
            </c:extLst>
          </c:dPt>
          <c:dPt>
            <c:idx val="60"/>
            <c:bubble3D val="0"/>
            <c:extLst>
              <c:ext xmlns:c16="http://schemas.microsoft.com/office/drawing/2014/chart" uri="{C3380CC4-5D6E-409C-BE32-E72D297353CC}">
                <c16:uniqueId val="{00000048-477A-5B4E-936E-4C31D32CA2C3}"/>
              </c:ext>
            </c:extLst>
          </c:dPt>
          <c:dPt>
            <c:idx val="61"/>
            <c:bubble3D val="0"/>
            <c:extLst>
              <c:ext xmlns:c16="http://schemas.microsoft.com/office/drawing/2014/chart" uri="{C3380CC4-5D6E-409C-BE32-E72D297353CC}">
                <c16:uniqueId val="{00000049-477A-5B4E-936E-4C31D32CA2C3}"/>
              </c:ext>
            </c:extLst>
          </c:dPt>
          <c:dPt>
            <c:idx val="62"/>
            <c:bubble3D val="0"/>
            <c:extLst>
              <c:ext xmlns:c16="http://schemas.microsoft.com/office/drawing/2014/chart" uri="{C3380CC4-5D6E-409C-BE32-E72D297353CC}">
                <c16:uniqueId val="{0000004A-477A-5B4E-936E-4C31D32CA2C3}"/>
              </c:ext>
            </c:extLst>
          </c:dPt>
          <c:dPt>
            <c:idx val="63"/>
            <c:bubble3D val="0"/>
            <c:extLst>
              <c:ext xmlns:c16="http://schemas.microsoft.com/office/drawing/2014/chart" uri="{C3380CC4-5D6E-409C-BE32-E72D297353CC}">
                <c16:uniqueId val="{0000004B-477A-5B4E-936E-4C31D32CA2C3}"/>
              </c:ext>
            </c:extLst>
          </c:dPt>
          <c:dPt>
            <c:idx val="64"/>
            <c:bubble3D val="0"/>
            <c:extLst>
              <c:ext xmlns:c16="http://schemas.microsoft.com/office/drawing/2014/chart" uri="{C3380CC4-5D6E-409C-BE32-E72D297353CC}">
                <c16:uniqueId val="{0000004C-477A-5B4E-936E-4C31D32CA2C3}"/>
              </c:ext>
            </c:extLst>
          </c:dPt>
          <c:dPt>
            <c:idx val="65"/>
            <c:bubble3D val="0"/>
            <c:extLst>
              <c:ext xmlns:c16="http://schemas.microsoft.com/office/drawing/2014/chart" uri="{C3380CC4-5D6E-409C-BE32-E72D297353CC}">
                <c16:uniqueId val="{0000004D-477A-5B4E-936E-4C31D32CA2C3}"/>
              </c:ext>
            </c:extLst>
          </c:dPt>
          <c:dPt>
            <c:idx val="66"/>
            <c:bubble3D val="0"/>
            <c:extLst>
              <c:ext xmlns:c16="http://schemas.microsoft.com/office/drawing/2014/chart" uri="{C3380CC4-5D6E-409C-BE32-E72D297353CC}">
                <c16:uniqueId val="{0000004E-477A-5B4E-936E-4C31D32CA2C3}"/>
              </c:ext>
            </c:extLst>
          </c:dPt>
          <c:dPt>
            <c:idx val="67"/>
            <c:bubble3D val="0"/>
            <c:extLst>
              <c:ext xmlns:c16="http://schemas.microsoft.com/office/drawing/2014/chart" uri="{C3380CC4-5D6E-409C-BE32-E72D297353CC}">
                <c16:uniqueId val="{0000004F-477A-5B4E-936E-4C31D32CA2C3}"/>
              </c:ext>
            </c:extLst>
          </c:dPt>
          <c:dPt>
            <c:idx val="68"/>
            <c:bubble3D val="0"/>
            <c:extLst>
              <c:ext xmlns:c16="http://schemas.microsoft.com/office/drawing/2014/chart" uri="{C3380CC4-5D6E-409C-BE32-E72D297353CC}">
                <c16:uniqueId val="{00000050-477A-5B4E-936E-4C31D32CA2C3}"/>
              </c:ext>
            </c:extLst>
          </c:dPt>
          <c:dPt>
            <c:idx val="69"/>
            <c:bubble3D val="0"/>
            <c:extLst>
              <c:ext xmlns:c16="http://schemas.microsoft.com/office/drawing/2014/chart" uri="{C3380CC4-5D6E-409C-BE32-E72D297353CC}">
                <c16:uniqueId val="{00000051-477A-5B4E-936E-4C31D32CA2C3}"/>
              </c:ext>
            </c:extLst>
          </c:dPt>
          <c:dPt>
            <c:idx val="70"/>
            <c:bubble3D val="0"/>
            <c:extLst>
              <c:ext xmlns:c16="http://schemas.microsoft.com/office/drawing/2014/chart" uri="{C3380CC4-5D6E-409C-BE32-E72D297353CC}">
                <c16:uniqueId val="{00000052-477A-5B4E-936E-4C31D32CA2C3}"/>
              </c:ext>
            </c:extLst>
          </c:dPt>
          <c:dPt>
            <c:idx val="71"/>
            <c:bubble3D val="0"/>
            <c:extLst>
              <c:ext xmlns:c16="http://schemas.microsoft.com/office/drawing/2014/chart" uri="{C3380CC4-5D6E-409C-BE32-E72D297353CC}">
                <c16:uniqueId val="{00000053-477A-5B4E-936E-4C31D32CA2C3}"/>
              </c:ext>
            </c:extLst>
          </c:dPt>
          <c:dPt>
            <c:idx val="72"/>
            <c:bubble3D val="0"/>
            <c:extLst>
              <c:ext xmlns:c16="http://schemas.microsoft.com/office/drawing/2014/chart" uri="{C3380CC4-5D6E-409C-BE32-E72D297353CC}">
                <c16:uniqueId val="{00000054-477A-5B4E-936E-4C31D32CA2C3}"/>
              </c:ext>
            </c:extLst>
          </c:dPt>
          <c:dPt>
            <c:idx val="73"/>
            <c:bubble3D val="0"/>
            <c:extLst>
              <c:ext xmlns:c16="http://schemas.microsoft.com/office/drawing/2014/chart" uri="{C3380CC4-5D6E-409C-BE32-E72D297353CC}">
                <c16:uniqueId val="{00000055-477A-5B4E-936E-4C31D32CA2C3}"/>
              </c:ext>
            </c:extLst>
          </c:dPt>
          <c:dPt>
            <c:idx val="74"/>
            <c:bubble3D val="0"/>
            <c:extLst>
              <c:ext xmlns:c16="http://schemas.microsoft.com/office/drawing/2014/chart" uri="{C3380CC4-5D6E-409C-BE32-E72D297353CC}">
                <c16:uniqueId val="{00000056-477A-5B4E-936E-4C31D32CA2C3}"/>
              </c:ext>
            </c:extLst>
          </c:dPt>
          <c:dPt>
            <c:idx val="75"/>
            <c:bubble3D val="0"/>
            <c:extLst>
              <c:ext xmlns:c16="http://schemas.microsoft.com/office/drawing/2014/chart" uri="{C3380CC4-5D6E-409C-BE32-E72D297353CC}">
                <c16:uniqueId val="{00000057-477A-5B4E-936E-4C31D32CA2C3}"/>
              </c:ext>
            </c:extLst>
          </c:dPt>
          <c:dPt>
            <c:idx val="76"/>
            <c:bubble3D val="0"/>
            <c:extLst>
              <c:ext xmlns:c16="http://schemas.microsoft.com/office/drawing/2014/chart" uri="{C3380CC4-5D6E-409C-BE32-E72D297353CC}">
                <c16:uniqueId val="{00000058-477A-5B4E-936E-4C31D32CA2C3}"/>
              </c:ext>
            </c:extLst>
          </c:dPt>
          <c:dPt>
            <c:idx val="77"/>
            <c:bubble3D val="0"/>
            <c:extLst>
              <c:ext xmlns:c16="http://schemas.microsoft.com/office/drawing/2014/chart" uri="{C3380CC4-5D6E-409C-BE32-E72D297353CC}">
                <c16:uniqueId val="{00000059-477A-5B4E-936E-4C31D32CA2C3}"/>
              </c:ext>
            </c:extLst>
          </c:dPt>
          <c:dPt>
            <c:idx val="78"/>
            <c:bubble3D val="0"/>
            <c:extLst>
              <c:ext xmlns:c16="http://schemas.microsoft.com/office/drawing/2014/chart" uri="{C3380CC4-5D6E-409C-BE32-E72D297353CC}">
                <c16:uniqueId val="{0000005A-477A-5B4E-936E-4C31D32CA2C3}"/>
              </c:ext>
            </c:extLst>
          </c:dPt>
          <c:dPt>
            <c:idx val="79"/>
            <c:bubble3D val="0"/>
            <c:extLst>
              <c:ext xmlns:c16="http://schemas.microsoft.com/office/drawing/2014/chart" uri="{C3380CC4-5D6E-409C-BE32-E72D297353CC}">
                <c16:uniqueId val="{0000005B-477A-5B4E-936E-4C31D32CA2C3}"/>
              </c:ext>
            </c:extLst>
          </c:dPt>
          <c:dPt>
            <c:idx val="80"/>
            <c:bubble3D val="0"/>
            <c:extLst>
              <c:ext xmlns:c16="http://schemas.microsoft.com/office/drawing/2014/chart" uri="{C3380CC4-5D6E-409C-BE32-E72D297353CC}">
                <c16:uniqueId val="{0000005C-477A-5B4E-936E-4C31D32CA2C3}"/>
              </c:ext>
            </c:extLst>
          </c:dPt>
          <c:dPt>
            <c:idx val="81"/>
            <c:bubble3D val="0"/>
            <c:extLst>
              <c:ext xmlns:c16="http://schemas.microsoft.com/office/drawing/2014/chart" uri="{C3380CC4-5D6E-409C-BE32-E72D297353CC}">
                <c16:uniqueId val="{0000005D-477A-5B4E-936E-4C31D32CA2C3}"/>
              </c:ext>
            </c:extLst>
          </c:dPt>
          <c:dPt>
            <c:idx val="82"/>
            <c:bubble3D val="0"/>
            <c:extLst>
              <c:ext xmlns:c16="http://schemas.microsoft.com/office/drawing/2014/chart" uri="{C3380CC4-5D6E-409C-BE32-E72D297353CC}">
                <c16:uniqueId val="{0000005E-477A-5B4E-936E-4C31D32CA2C3}"/>
              </c:ext>
            </c:extLst>
          </c:dPt>
          <c:dPt>
            <c:idx val="83"/>
            <c:bubble3D val="0"/>
            <c:extLst>
              <c:ext xmlns:c16="http://schemas.microsoft.com/office/drawing/2014/chart" uri="{C3380CC4-5D6E-409C-BE32-E72D297353CC}">
                <c16:uniqueId val="{0000005F-477A-5B4E-936E-4C31D32CA2C3}"/>
              </c:ext>
            </c:extLst>
          </c:dPt>
          <c:dPt>
            <c:idx val="84"/>
            <c:bubble3D val="0"/>
            <c:extLst>
              <c:ext xmlns:c16="http://schemas.microsoft.com/office/drawing/2014/chart" uri="{C3380CC4-5D6E-409C-BE32-E72D297353CC}">
                <c16:uniqueId val="{00000060-477A-5B4E-936E-4C31D32CA2C3}"/>
              </c:ext>
            </c:extLst>
          </c:dPt>
          <c:dPt>
            <c:idx val="85"/>
            <c:bubble3D val="0"/>
            <c:extLst>
              <c:ext xmlns:c16="http://schemas.microsoft.com/office/drawing/2014/chart" uri="{C3380CC4-5D6E-409C-BE32-E72D297353CC}">
                <c16:uniqueId val="{00000061-477A-5B4E-936E-4C31D32CA2C3}"/>
              </c:ext>
            </c:extLst>
          </c:dPt>
          <c:dPt>
            <c:idx val="86"/>
            <c:bubble3D val="0"/>
            <c:extLst>
              <c:ext xmlns:c16="http://schemas.microsoft.com/office/drawing/2014/chart" uri="{C3380CC4-5D6E-409C-BE32-E72D297353CC}">
                <c16:uniqueId val="{00000062-477A-5B4E-936E-4C31D32CA2C3}"/>
              </c:ext>
            </c:extLst>
          </c:dPt>
          <c:dPt>
            <c:idx val="87"/>
            <c:bubble3D val="0"/>
            <c:extLst>
              <c:ext xmlns:c16="http://schemas.microsoft.com/office/drawing/2014/chart" uri="{C3380CC4-5D6E-409C-BE32-E72D297353CC}">
                <c16:uniqueId val="{00000063-477A-5B4E-936E-4C31D32CA2C3}"/>
              </c:ext>
            </c:extLst>
          </c:dPt>
          <c:dPt>
            <c:idx val="88"/>
            <c:bubble3D val="0"/>
            <c:extLst>
              <c:ext xmlns:c16="http://schemas.microsoft.com/office/drawing/2014/chart" uri="{C3380CC4-5D6E-409C-BE32-E72D297353CC}">
                <c16:uniqueId val="{00000064-477A-5B4E-936E-4C31D32CA2C3}"/>
              </c:ext>
            </c:extLst>
          </c:dPt>
          <c:dPt>
            <c:idx val="89"/>
            <c:bubble3D val="0"/>
            <c:extLst>
              <c:ext xmlns:c16="http://schemas.microsoft.com/office/drawing/2014/chart" uri="{C3380CC4-5D6E-409C-BE32-E72D297353CC}">
                <c16:uniqueId val="{00000065-477A-5B4E-936E-4C31D32CA2C3}"/>
              </c:ext>
            </c:extLst>
          </c:dPt>
          <c:dPt>
            <c:idx val="90"/>
            <c:bubble3D val="0"/>
            <c:extLst>
              <c:ext xmlns:c16="http://schemas.microsoft.com/office/drawing/2014/chart" uri="{C3380CC4-5D6E-409C-BE32-E72D297353CC}">
                <c16:uniqueId val="{00000066-477A-5B4E-936E-4C31D32CA2C3}"/>
              </c:ext>
            </c:extLst>
          </c:dPt>
          <c:dPt>
            <c:idx val="91"/>
            <c:bubble3D val="0"/>
            <c:extLst>
              <c:ext xmlns:c16="http://schemas.microsoft.com/office/drawing/2014/chart" uri="{C3380CC4-5D6E-409C-BE32-E72D297353CC}">
                <c16:uniqueId val="{00000067-477A-5B4E-936E-4C31D32CA2C3}"/>
              </c:ext>
            </c:extLst>
          </c:dPt>
          <c:dPt>
            <c:idx val="92"/>
            <c:bubble3D val="0"/>
            <c:extLst>
              <c:ext xmlns:c16="http://schemas.microsoft.com/office/drawing/2014/chart" uri="{C3380CC4-5D6E-409C-BE32-E72D297353CC}">
                <c16:uniqueId val="{00000068-477A-5B4E-936E-4C31D32CA2C3}"/>
              </c:ext>
            </c:extLst>
          </c:dPt>
          <c:dPt>
            <c:idx val="93"/>
            <c:bubble3D val="0"/>
            <c:extLst>
              <c:ext xmlns:c16="http://schemas.microsoft.com/office/drawing/2014/chart" uri="{C3380CC4-5D6E-409C-BE32-E72D297353CC}">
                <c16:uniqueId val="{00000069-477A-5B4E-936E-4C31D32CA2C3}"/>
              </c:ext>
            </c:extLst>
          </c:dPt>
          <c:dPt>
            <c:idx val="94"/>
            <c:bubble3D val="0"/>
            <c:extLst>
              <c:ext xmlns:c16="http://schemas.microsoft.com/office/drawing/2014/chart" uri="{C3380CC4-5D6E-409C-BE32-E72D297353CC}">
                <c16:uniqueId val="{0000006A-477A-5B4E-936E-4C31D32CA2C3}"/>
              </c:ext>
            </c:extLst>
          </c:dPt>
          <c:dPt>
            <c:idx val="95"/>
            <c:bubble3D val="0"/>
            <c:extLst>
              <c:ext xmlns:c16="http://schemas.microsoft.com/office/drawing/2014/chart" uri="{C3380CC4-5D6E-409C-BE32-E72D297353CC}">
                <c16:uniqueId val="{0000006B-477A-5B4E-936E-4C31D32CA2C3}"/>
              </c:ext>
            </c:extLst>
          </c:dPt>
          <c:dPt>
            <c:idx val="96"/>
            <c:bubble3D val="0"/>
            <c:extLst>
              <c:ext xmlns:c16="http://schemas.microsoft.com/office/drawing/2014/chart" uri="{C3380CC4-5D6E-409C-BE32-E72D297353CC}">
                <c16:uniqueId val="{0000006C-477A-5B4E-936E-4C31D32CA2C3}"/>
              </c:ext>
            </c:extLst>
          </c:dPt>
          <c:dPt>
            <c:idx val="97"/>
            <c:bubble3D val="0"/>
            <c:extLst>
              <c:ext xmlns:c16="http://schemas.microsoft.com/office/drawing/2014/chart" uri="{C3380CC4-5D6E-409C-BE32-E72D297353CC}">
                <c16:uniqueId val="{0000006D-477A-5B4E-936E-4C31D32CA2C3}"/>
              </c:ext>
            </c:extLst>
          </c:dPt>
          <c:dLbls>
            <c:spPr>
              <a:noFill/>
              <a:ln>
                <a:noFill/>
              </a:ln>
              <a:effectLst/>
            </c:spPr>
            <c:showLegendKey val="0"/>
            <c:showVal val="0"/>
            <c:showCatName val="1"/>
            <c:showSerName val="0"/>
            <c:showPercent val="0"/>
            <c:showBubbleSize val="0"/>
            <c:showLeaderLines val="1"/>
            <c:extLst>
              <c:ext xmlns:c15="http://schemas.microsoft.com/office/drawing/2012/chart" uri="{CE6537A1-D6FC-4f65-9D91-7224C49458BB}"/>
            </c:extLst>
          </c:dLbls>
          <c:cat>
            <c:strRef>
              <c:f>Stocks!$C$23:$C$120</c:f>
              <c:strCache>
                <c:ptCount val="13"/>
                <c:pt idx="0">
                  <c:v>AAPL</c:v>
                </c:pt>
                <c:pt idx="1">
                  <c:v>GOOG</c:v>
                </c:pt>
                <c:pt idx="2">
                  <c:v>SPY</c:v>
                </c:pt>
                <c:pt idx="3">
                  <c:v>MSFT</c:v>
                </c:pt>
                <c:pt idx="4">
                  <c:v>JNJ</c:v>
                </c:pt>
                <c:pt idx="5">
                  <c:v>NVDA</c:v>
                </c:pt>
                <c:pt idx="6">
                  <c:v>UNH</c:v>
                </c:pt>
                <c:pt idx="7">
                  <c:v>JPM</c:v>
                </c:pt>
                <c:pt idx="8">
                  <c:v>XOM</c:v>
                </c:pt>
                <c:pt idx="9">
                  <c:v>SNAP</c:v>
                </c:pt>
                <c:pt idx="10">
                  <c:v>META</c:v>
                </c:pt>
                <c:pt idx="11">
                  <c:v>DG</c:v>
                </c:pt>
                <c:pt idx="12">
                  <c:v>GME</c:v>
                </c:pt>
              </c:strCache>
            </c:strRef>
          </c:cat>
          <c:val>
            <c:numRef>
              <c:f>Stocks!$H$23:$H$120</c:f>
              <c:numCache>
                <c:formatCode>0.00</c:formatCode>
                <c:ptCount val="98"/>
                <c:pt idx="0">
                  <c:v>21390.98</c:v>
                </c:pt>
                <c:pt idx="1">
                  <c:v>19304</c:v>
                </c:pt>
                <c:pt idx="2">
                  <c:v>31831</c:v>
                </c:pt>
                <c:pt idx="3">
                  <c:v>51159.5</c:v>
                </c:pt>
                <c:pt idx="4">
                  <c:v>16646</c:v>
                </c:pt>
                <c:pt idx="5">
                  <c:v>17556.809999999998</c:v>
                </c:pt>
                <c:pt idx="6">
                  <c:v>28124</c:v>
                </c:pt>
                <c:pt idx="7">
                  <c:v>32750.300000000003</c:v>
                </c:pt>
                <c:pt idx="8">
                  <c:v>5577.5</c:v>
                </c:pt>
                <c:pt idx="9">
                  <c:v>9630.1</c:v>
                </c:pt>
                <c:pt idx="10">
                  <c:v>35749.495000000003</c:v>
                </c:pt>
                <c:pt idx="11">
                  <c:v>10549</c:v>
                </c:pt>
                <c:pt idx="12">
                  <c:v>310000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numCache>
            </c:numRef>
          </c:val>
          <c:extLst>
            <c:ext xmlns:c16="http://schemas.microsoft.com/office/drawing/2014/chart" uri="{C3380CC4-5D6E-409C-BE32-E72D297353CC}">
              <c16:uniqueId val="{0000006E-477A-5B4E-936E-4C31D32CA2C3}"/>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1600" b="1" i="0">
              <a:solidFill>
                <a:srgbClr val="000000"/>
              </a:solidFill>
              <a:latin typeface="Aria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2</xdr:row>
      <xdr:rowOff>0</xdr:rowOff>
    </xdr:from>
    <xdr:to>
      <xdr:col>43</xdr:col>
      <xdr:colOff>165100</xdr:colOff>
      <xdr:row>39</xdr:row>
      <xdr:rowOff>139700</xdr:rowOff>
    </xdr:to>
    <xdr:pic>
      <xdr:nvPicPr>
        <xdr:cNvPr id="37" name="DG Candlestick Chart with RSI">
          <a:extLst>
            <a:ext uri="{FF2B5EF4-FFF2-40B4-BE49-F238E27FC236}">
              <a16:creationId xmlns:a16="http://schemas.microsoft.com/office/drawing/2014/main" id="{75B6B78C-3A8D-5B48-D3A6-379963D834D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02900" y="266700"/>
          <a:ext cx="16357600" cy="7213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126999</xdr:colOff>
      <xdr:row>7</xdr:row>
      <xdr:rowOff>18143</xdr:rowOff>
    </xdr:from>
    <xdr:ext cx="7139216" cy="2821213"/>
    <xdr:graphicFrame macro="">
      <xdr:nvGraphicFramePr>
        <xdr:cNvPr id="2" name="Chart 1" title="Chart">
          <a:extLst>
            <a:ext uri="{FF2B5EF4-FFF2-40B4-BE49-F238E27FC236}">
              <a16:creationId xmlns:a16="http://schemas.microsoft.com/office/drawing/2014/main" id="{D667C911-60E3-C445-8248-C5FB888CF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0</xdr:col>
      <xdr:colOff>0</xdr:colOff>
      <xdr:row>24</xdr:row>
      <xdr:rowOff>0</xdr:rowOff>
    </xdr:from>
    <xdr:to>
      <xdr:col>3</xdr:col>
      <xdr:colOff>1422400</xdr:colOff>
      <xdr:row>47</xdr:row>
      <xdr:rowOff>0</xdr:rowOff>
    </xdr:to>
    <xdr:pic>
      <xdr:nvPicPr>
        <xdr:cNvPr id="4" name="VaR_Hist">
          <a:extLst>
            <a:ext uri="{FF2B5EF4-FFF2-40B4-BE49-F238E27FC236}">
              <a16:creationId xmlns:a16="http://schemas.microsoft.com/office/drawing/2014/main" id="{93BA46BD-75EC-315B-22DD-113CE38356CD}"/>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51400"/>
          <a:ext cx="5842000" cy="4381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10583</xdr:rowOff>
    </xdr:from>
    <xdr:ext cx="5654675" cy="3667125"/>
    <xdr:graphicFrame macro="">
      <xdr:nvGraphicFramePr>
        <xdr:cNvPr id="2" name="Chart 3" title="Chart">
          <a:extLst>
            <a:ext uri="{FF2B5EF4-FFF2-40B4-BE49-F238E27FC236}">
              <a16:creationId xmlns:a16="http://schemas.microsoft.com/office/drawing/2014/main" id="{E351A0FE-2FE7-B94D-8D19-6265C55FB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444500</xdr:colOff>
      <xdr:row>0</xdr:row>
      <xdr:rowOff>38100</xdr:rowOff>
    </xdr:from>
    <xdr:ext cx="9572625" cy="3771900"/>
    <xdr:graphicFrame macro="">
      <xdr:nvGraphicFramePr>
        <xdr:cNvPr id="3" name="Chart 4" title="Chart">
          <a:extLst>
            <a:ext uri="{FF2B5EF4-FFF2-40B4-BE49-F238E27FC236}">
              <a16:creationId xmlns:a16="http://schemas.microsoft.com/office/drawing/2014/main" id="{F74A5368-DC3A-824F-BB6F-9F51D4CAD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3</xdr:col>
      <xdr:colOff>647700</xdr:colOff>
      <xdr:row>32</xdr:row>
      <xdr:rowOff>12700</xdr:rowOff>
    </xdr:to>
    <xdr:pic>
      <xdr:nvPicPr>
        <xdr:cNvPr id="90" name="PortfolioOptimization">
          <a:extLst>
            <a:ext uri="{FF2B5EF4-FFF2-40B4-BE49-F238E27FC236}">
              <a16:creationId xmlns:a16="http://schemas.microsoft.com/office/drawing/2014/main" id="{A63FDDFB-E2EC-3981-F28A-AC7D608CCCB4}"/>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38300"/>
          <a:ext cx="6350000" cy="3810000"/>
        </a:xfrm>
        <a:prstGeom prst="rect">
          <a:avLst/>
        </a:prstGeom>
      </xdr:spPr>
    </xdr:pic>
    <xdr:clientData/>
  </xdr:twoCellAnchor>
  <xdr:twoCellAnchor editAs="oneCell">
    <xdr:from>
      <xdr:col>12</xdr:col>
      <xdr:colOff>0</xdr:colOff>
      <xdr:row>3</xdr:row>
      <xdr:rowOff>0</xdr:rowOff>
    </xdr:from>
    <xdr:to>
      <xdr:col>18</xdr:col>
      <xdr:colOff>838200</xdr:colOff>
      <xdr:row>37</xdr:row>
      <xdr:rowOff>38100</xdr:rowOff>
    </xdr:to>
    <xdr:pic>
      <xdr:nvPicPr>
        <xdr:cNvPr id="92" name="PortfolioSnapshot">
          <a:extLst>
            <a:ext uri="{FF2B5EF4-FFF2-40B4-BE49-F238E27FC236}">
              <a16:creationId xmlns:a16="http://schemas.microsoft.com/office/drawing/2014/main" id="{A3AEB598-FC4A-F0FE-45DD-5BD52D0872DD}"/>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335000" y="584200"/>
          <a:ext cx="11430000" cy="5715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28</xdr:col>
      <xdr:colOff>444500</xdr:colOff>
      <xdr:row>23</xdr:row>
      <xdr:rowOff>63500</xdr:rowOff>
    </xdr:to>
    <xdr:pic>
      <xdr:nvPicPr>
        <xdr:cNvPr id="11" name="RegressionChart">
          <a:extLst>
            <a:ext uri="{FF2B5EF4-FFF2-40B4-BE49-F238E27FC236}">
              <a16:creationId xmlns:a16="http://schemas.microsoft.com/office/drawing/2014/main" id="{63255D98-14C3-A5AF-6BF2-2AC6DF1451D6}"/>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06300" y="381000"/>
          <a:ext cx="7213600" cy="5384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14</xdr:col>
      <xdr:colOff>609600</xdr:colOff>
      <xdr:row>22</xdr:row>
      <xdr:rowOff>114300</xdr:rowOff>
    </xdr:to>
    <xdr:pic>
      <xdr:nvPicPr>
        <xdr:cNvPr id="31" name="histogram">
          <a:extLst>
            <a:ext uri="{FF2B5EF4-FFF2-40B4-BE49-F238E27FC236}">
              <a16:creationId xmlns:a16="http://schemas.microsoft.com/office/drawing/2014/main" id="{C025CEF3-A063-31F1-3146-D4D7E4BE27F9}"/>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0900" y="0"/>
          <a:ext cx="7213600" cy="4457700"/>
        </a:xfrm>
        <a:prstGeom prst="rect">
          <a:avLst/>
        </a:prstGeom>
      </xdr:spPr>
    </xdr:pic>
    <xdr:clientData/>
  </xdr:twoCellAnchor>
  <xdr:twoCellAnchor editAs="oneCell">
    <xdr:from>
      <xdr:col>5</xdr:col>
      <xdr:colOff>635000</xdr:colOff>
      <xdr:row>27</xdr:row>
      <xdr:rowOff>38100</xdr:rowOff>
    </xdr:from>
    <xdr:to>
      <xdr:col>18</xdr:col>
      <xdr:colOff>774700</xdr:colOff>
      <xdr:row>65</xdr:row>
      <xdr:rowOff>63500</xdr:rowOff>
    </xdr:to>
    <xdr:pic>
      <xdr:nvPicPr>
        <xdr:cNvPr id="33" name="simulation_paths">
          <a:extLst>
            <a:ext uri="{FF2B5EF4-FFF2-40B4-BE49-F238E27FC236}">
              <a16:creationId xmlns:a16="http://schemas.microsoft.com/office/drawing/2014/main" id="{6A8ACF19-6807-CE7A-D725-B1F47B455045}"/>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40400" y="5207000"/>
          <a:ext cx="10871200" cy="6299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0</xdr:colOff>
      <xdr:row>149</xdr:row>
      <xdr:rowOff>0</xdr:rowOff>
    </xdr:from>
    <xdr:to>
      <xdr:col>15</xdr:col>
      <xdr:colOff>190500</xdr:colOff>
      <xdr:row>171</xdr:row>
      <xdr:rowOff>12700</xdr:rowOff>
    </xdr:to>
    <xdr:pic>
      <xdr:nvPicPr>
        <xdr:cNvPr id="5" name="Picture 4">
          <a:extLst>
            <a:ext uri="{FF2B5EF4-FFF2-40B4-BE49-F238E27FC236}">
              <a16:creationId xmlns:a16="http://schemas.microsoft.com/office/drawing/2014/main" id="{A900FAAA-E68B-C48B-71B2-AE1265D16A63}"/>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5300" y="26517600"/>
          <a:ext cx="7620000" cy="381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11</xdr:col>
      <xdr:colOff>63500</xdr:colOff>
      <xdr:row>47</xdr:row>
      <xdr:rowOff>114300</xdr:rowOff>
    </xdr:to>
    <xdr:pic>
      <xdr:nvPicPr>
        <xdr:cNvPr id="3" name="OptionChart">
          <a:extLst>
            <a:ext uri="{FF2B5EF4-FFF2-40B4-BE49-F238E27FC236}">
              <a16:creationId xmlns:a16="http://schemas.microsoft.com/office/drawing/2014/main" id="{989E5B17-13D5-E4D7-85B9-EF516D203B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365500"/>
          <a:ext cx="9144000" cy="4572000"/>
        </a:xfrm>
        <a:prstGeom prst="rect">
          <a:avLst/>
        </a:prstGeom>
      </xdr:spPr>
    </xdr:pic>
    <xdr:clientData/>
  </xdr:twoCellAnchor>
  <xdr:twoCellAnchor editAs="oneCell">
    <xdr:from>
      <xdr:col>11</xdr:col>
      <xdr:colOff>0</xdr:colOff>
      <xdr:row>20</xdr:row>
      <xdr:rowOff>0</xdr:rowOff>
    </xdr:from>
    <xdr:to>
      <xdr:col>19</xdr:col>
      <xdr:colOff>711200</xdr:colOff>
      <xdr:row>47</xdr:row>
      <xdr:rowOff>114300</xdr:rowOff>
    </xdr:to>
    <xdr:pic>
      <xdr:nvPicPr>
        <xdr:cNvPr id="5" name="IVSkewChart">
          <a:extLst>
            <a:ext uri="{FF2B5EF4-FFF2-40B4-BE49-F238E27FC236}">
              <a16:creationId xmlns:a16="http://schemas.microsoft.com/office/drawing/2014/main" id="{2F154A11-6846-3023-441D-A007DD9C06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80500" y="3365500"/>
          <a:ext cx="7315200" cy="4572000"/>
        </a:xfrm>
        <a:prstGeom prst="rect">
          <a:avLst/>
        </a:prstGeom>
      </xdr:spPr>
    </xdr:pic>
    <xdr:clientData/>
  </xdr:twoCellAnchor>
  <xdr:twoCellAnchor editAs="oneCell">
    <xdr:from>
      <xdr:col>20</xdr:col>
      <xdr:colOff>0</xdr:colOff>
      <xdr:row>20</xdr:row>
      <xdr:rowOff>0</xdr:rowOff>
    </xdr:from>
    <xdr:to>
      <xdr:col>31</xdr:col>
      <xdr:colOff>63500</xdr:colOff>
      <xdr:row>53</xdr:row>
      <xdr:rowOff>38100</xdr:rowOff>
    </xdr:to>
    <xdr:pic>
      <xdr:nvPicPr>
        <xdr:cNvPr id="7" name="IVSurfaceChart">
          <a:extLst>
            <a:ext uri="{FF2B5EF4-FFF2-40B4-BE49-F238E27FC236}">
              <a16:creationId xmlns:a16="http://schemas.microsoft.com/office/drawing/2014/main" id="{5E60F5D2-C003-57A1-3420-E4FB307C6F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510000" y="3365500"/>
          <a:ext cx="9144000" cy="548640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43">
  <rv s="0">
    <v>https://www.bing.com/financeapi/forcetrigger?t=a1qyvh&amp;q=XNYS%3aDG&amp;form=skydnc</v>
    <v>Learn more on Bing</v>
  </rv>
  <rv s="1">
    <v>0</v>
    <v>DOLLAR GENERAL CORPORATION (XNYS:DG)</v>
    <v>2</v>
    <v>3</v>
    <v>Finance</v>
    <v>4</v>
    <v>en-GB</v>
    <v>a1qyvh</v>
    <v>268435456</v>
    <v>1</v>
    <v>Powered by Refinitiv</v>
    <v>126.98</v>
    <v>66.430000000000007</v>
    <v>0.30990000000000001</v>
    <v>-2.0699999999999998</v>
    <v>-1.9245000000000002E-2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107.05500000000001</v>
    <v>Diversified Retail</v>
    <v>Stock</v>
    <v>45866.742435832813</v>
    <v>0</v>
    <v>104.7</v>
    <v>23215247594</v>
    <v>DOLLAR GENERAL CORPORATION</v>
    <v>DOLLAR GENERAL CORPORATION</v>
    <v>107.01</v>
    <v>20.119</v>
    <v>107.56</v>
    <v>105.49</v>
    <v>220070600</v>
    <v>DG</v>
    <v>DOLLAR GENERAL CORPORATION (XNYS:DG)</v>
    <v>1181438</v>
    <v>2853208</v>
    <v>1998</v>
  </rv>
  <rv s="2">
    <v>1</v>
  </rv>
  <rv s="0">
    <v>https://www.bing.com/financeapi/forcetrigger?t=a1mou2&amp;q=XNAS%3aAAPL&amp;form=skydnc</v>
    <v>Learn more on Bing</v>
  </rv>
  <rv s="1">
    <v>0</v>
    <v>APPLE INC. (XNAS:AAPL)</v>
    <v>2</v>
    <v>3</v>
    <v>Finance</v>
    <v>4</v>
    <v>en-GB</v>
    <v>a1mou2</v>
    <v>268435456</v>
    <v>1</v>
    <v>Powered by Refinitiv</v>
    <v>260.10000000000002</v>
    <v>169.21010000000001</v>
    <v>1.1671</v>
    <v>2.98E-2</v>
    <v>1.393E-4</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214.845</v>
    <v>Computers, Phones &amp; Household Electronics</v>
    <v>Stock</v>
    <v>45866.742481573434</v>
    <v>3</v>
    <v>213.41499999999999</v>
    <v>3194920408134</v>
    <v>APPLE INC.</v>
    <v>APPLE INC.</v>
    <v>214</v>
    <v>30.212800000000001</v>
    <v>213.88</v>
    <v>213.90979999999999</v>
    <v>14935830000</v>
    <v>AAPL</v>
    <v>APPLE INC. (XNAS:AAPL)</v>
    <v>19068751</v>
    <v>53062930</v>
    <v>1977</v>
  </rv>
  <rv s="2">
    <v>4</v>
  </rv>
  <rv s="0">
    <v>https://www.bing.com/financeapi/forcetrigger?t=a1u3p2&amp;q=XNAS%3aGOOG&amp;form=skydnc</v>
    <v>Learn more on Bing</v>
  </rv>
  <rv s="1">
    <v>0</v>
    <v>ALPHABET INC. (XNAS:GOOG)</v>
    <v>2</v>
    <v>3</v>
    <v>Finance</v>
    <v>4</v>
    <v>en-GB</v>
    <v>a1u3p2</v>
    <v>268435456</v>
    <v>1</v>
    <v>Powered by Refinitiv</v>
    <v>208.7</v>
    <v>142.66</v>
    <v>1.0173000000000001</v>
    <v>-1.04</v>
    <v>-5.359E-3</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187103</v>
    <v>Nasdaq Stock Market</v>
    <v>XNAS</v>
    <v>XNAS</v>
    <v>1600 Amphitheatre Parkway, MOUNTAIN VIEW, CA, 94043 US</v>
    <v>194.82</v>
    <v>Software &amp; IT Services</v>
    <v>Stock</v>
    <v>45866.742456955471</v>
    <v>6</v>
    <v>191.85499999999999</v>
    <v>2341206000000</v>
    <v>ALPHABET INC.</v>
    <v>ALPHABET INC.</v>
    <v>194.35</v>
    <v>20.565000000000001</v>
    <v>194.08</v>
    <v>193.04</v>
    <v>12094000000</v>
    <v>GOOG</v>
    <v>ALPHABET INC. (XNAS:GOOG)</v>
    <v>16917826</v>
    <v>29629358</v>
    <v>2015</v>
  </rv>
  <rv s="2">
    <v>7</v>
  </rv>
  <rv s="0">
    <v>https://www.bing.com/financeapi/forcetrigger?t=a23hqh&amp;q=ARCX%3aSPY&amp;form=skydnc</v>
    <v>Learn more on Bing</v>
  </rv>
  <rv s="3">
    <v>5</v>
    <v>SPDR S&amp;P 500 (ARCX:SPY)</v>
    <v>6</v>
    <v>7</v>
    <v>Finance</v>
    <v>8</v>
    <v>en-GB</v>
    <v>a23hqh</v>
    <v>268435456</v>
    <v>1</v>
    <v>Powered by Refinitiv</v>
    <v>638.04</v>
    <v>481.8</v>
    <v>0.99850000000000005</v>
    <v>-0.48</v>
    <v>-7.5339999999999999E-4</v>
    <v>USD</v>
    <v>NYSE Arca</v>
    <v>ARCX</v>
    <v>9.4499999999999998E-4</v>
    <v>638.04</v>
    <v>ETF</v>
    <v>45866.742486006253</v>
    <v>9</v>
    <v>636.16</v>
    <v>636784246028.79004</v>
    <v>SPDR S&amp;P 500</v>
    <v>637.79999999999995</v>
    <v>637.1</v>
    <v>636.62</v>
    <v>SPY</v>
    <v>SPDR S&amp;P 500 (ARCX:SPY)</v>
    <v>29321485</v>
    <v>66206349</v>
  </rv>
  <rv s="2">
    <v>10</v>
  </rv>
  <rv s="0">
    <v>http://en.wikipedia.org/wiki/Public_domain</v>
    <v>Public domain</v>
  </rv>
  <rv s="0">
    <v>https://en.wikipedia.org/wiki/Microsoft</v>
    <v>Wikipedia</v>
  </rv>
  <rv s="4">
    <v>12</v>
    <v>13</v>
  </rv>
  <rv s="5">
    <v>13</v>
    <v>https://www.bing.com/th?id=AMMS_e6e837c7bf3a77408619758b7447855a&amp;qlt=95</v>
    <v>14</v>
    <v>0</v>
    <v>https://www.bing.com/images/search?form=xlimg&amp;q=microsoft</v>
    <v>Image of MICROSOFT CORPORATION</v>
  </rv>
  <rv s="0">
    <v>https://www.bing.com/financeapi/forcetrigger?t=a1xzim&amp;q=XNAS%3aMSFT&amp;form=skydnc</v>
    <v>Learn more on Bing</v>
  </rv>
  <rv s="6">
    <v>9</v>
    <v>MICROSOFT CORPORATION (XNAS:MSFT)</v>
    <v>11</v>
    <v>12</v>
    <v>Finance</v>
    <v>4</v>
    <v>en-GB</v>
    <v>a1xzim</v>
    <v>268435456</v>
    <v>1</v>
    <v>Powered by Refinitiv</v>
    <v>518.29</v>
    <v>344.79</v>
    <v>1.0508</v>
    <v>-2.1150000000000002</v>
    <v>-4.117E-3</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515</v>
    <v>15</v>
    <v>Software &amp; IT Services</v>
    <v>Stock</v>
    <v>45866.742468865625</v>
    <v>16</v>
    <v>511.11</v>
    <v>3802452347680</v>
    <v>MICROSOFT CORPORATION</v>
    <v>MICROSOFT CORPORATION</v>
    <v>514.04999999999995</v>
    <v>39.537500000000001</v>
    <v>513.71</v>
    <v>511.59500000000003</v>
    <v>7432544000</v>
    <v>MSFT</v>
    <v>MICROSOFT CORPORATION (XNAS:MSFT)</v>
    <v>7297718</v>
    <v>18993670</v>
    <v>1993</v>
  </rv>
  <rv s="2">
    <v>17</v>
  </rv>
  <rv s="0">
    <v>https://www.bing.com/financeapi/forcetrigger?t=a1w8ec&amp;q=XNYS%3aJNJ&amp;form=skydnc</v>
    <v>Learn more on Bing</v>
  </rv>
  <rv s="1">
    <v>0</v>
    <v>JOHNSON &amp; JOHNSON (XNYS:JNJ)</v>
    <v>2</v>
    <v>3</v>
    <v>Finance</v>
    <v>4</v>
    <v>en-GB</v>
    <v>a1w8ec</v>
    <v>268435456</v>
    <v>1</v>
    <v>Powered by Refinitiv</v>
    <v>169.99</v>
    <v>140.68</v>
    <v>0.40670000000000001</v>
    <v>-1.84</v>
    <v>-1.0933E-2</v>
    <v>USD</v>
    <v>Johnson &amp; Johnson and its subsidiaries are engaged in the research and development, manufacture, and sale of a range of products in the healthcare field. The Company's primary focus is products related to human health and well-being. The Company operates through two segments: Innovative Medicine and MedTech. The Innovative Medicine segment is focused on various therapeutic areas, including immunology, infectious diseases, neuroscience, oncology, pulmonary hypertension, and cardiovascular and metabolism. Medicines in this segment are distributed directly to retailers, wholesalers, distributors, hospitals, and healthcare professionals for prescription use. The MedTech segment includes a broad portfolio of products used in the orthopedic, surgery, cardiovascular, and vision fields. These products are distributed to wholesalers, hospitals and retailers, and used principally in the professional fields by physicians, nurses, hospitals, eyecare professionals, and clinics.</v>
    <v>138100</v>
    <v>New York Stock Exchange</v>
    <v>XNYS</v>
    <v>XNYS</v>
    <v>One Johnson &amp; Johnson Plaza, NEW BRUNSWICK, NJ, 08933 US</v>
    <v>167.94</v>
    <v>Pharmaceuticals</v>
    <v>Stock</v>
    <v>45866.742451400001</v>
    <v>19</v>
    <v>166.04</v>
    <v>400892109940</v>
    <v>JOHNSON &amp; JOHNSON</v>
    <v>JOHNSON &amp; JOHNSON</v>
    <v>167.79</v>
    <v>17.805299999999999</v>
    <v>168.3</v>
    <v>166.46</v>
    <v>2408339000</v>
    <v>JNJ</v>
    <v>JOHNSON &amp; JOHNSON (XNYS:JNJ)</v>
    <v>2748687</v>
    <v>9105117</v>
    <v>1887</v>
  </rv>
  <rv s="2">
    <v>20</v>
  </rv>
  <rv s="0">
    <v>https://www.bing.com/financeapi/forcetrigger?t=a1yv52&amp;q=XNAS%3aNVDA&amp;form=skydnc</v>
    <v>Learn more on Bing</v>
  </rv>
  <rv s="1">
    <v>0</v>
    <v>NVIDIA CORPORATION (XNAS:NVDA)</v>
    <v>2</v>
    <v>3</v>
    <v>Finance</v>
    <v>4</v>
    <v>en-GB</v>
    <v>a1yv52</v>
    <v>268435456</v>
    <v>1</v>
    <v>Powered by Refinitiv</v>
    <v>175.6951</v>
    <v>86.62</v>
    <v>2.1412</v>
    <v>2.0680999999999998</v>
    <v>1.192E-2</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175.6951</v>
    <v>Semiconductors &amp; Semiconductor Equipment</v>
    <v>Stock</v>
    <v>45866.742446654687</v>
    <v>22</v>
    <v>173.97</v>
    <v>4283861639999</v>
    <v>NVIDIA CORPORATION</v>
    <v>NVIDIA CORPORATION</v>
    <v>174</v>
    <v>56.552799999999998</v>
    <v>173.5</v>
    <v>175.56809999999999</v>
    <v>24400000000</v>
    <v>NVDA</v>
    <v>NVIDIA CORPORATION (XNAS:NVDA)</v>
    <v>78438237</v>
    <v>176665763</v>
    <v>1998</v>
  </rv>
  <rv s="2">
    <v>23</v>
  </rv>
  <rv s="0">
    <v>https://www.bing.com/financeapi/forcetrigger?t=a24xlh&amp;q=XNYS%3aUNH&amp;form=skydnc</v>
    <v>Learn more on Bing</v>
  </rv>
  <rv s="1">
    <v>0</v>
    <v>UNITEDHEALTH GROUP INCORPORATED (XNYS:UNH)</v>
    <v>2</v>
    <v>3</v>
    <v>Finance</v>
    <v>4</v>
    <v>en-GB</v>
    <v>a24xlh</v>
    <v>268435456</v>
    <v>1</v>
    <v>Powered by Refinitiv</v>
    <v>630.73</v>
    <v>248.88</v>
    <v>0.44080000000000003</v>
    <v>0.18</v>
    <v>6.4039999999999995E-4</v>
    <v>USD</v>
    <v>UnitedHealth Group Incorporated is a healthcare company. The Company operates two businesses, Optum and UnitedHealthcare. Optum serves the healthcare marketplace, including patients and consumers, payers, care providers, employers, governments and life sciences companies, through its Optum Health, Optum Insight and Optum Rx businesses. UnitedHealthcare offers a full range of health benefits, simplifying the healthcare experience and providing affordable solutions. The Company’s segments include Optum Health, Optum Insight, Optum Rx and UnitedHealthcare. The UnitedHealthcare segment includes UnitedHealthcare Employer &amp; Individual, which serves consumers and employers; UnitedHealthcare Medicare &amp; Retirement delivers health and well-being benefits to seniors and other Medicare-eligible consumers; and UnitedHealthcare Community &amp; State serves consumers who are economically disadvantaged, the medically underserved and those without the benefit of employer sponsored health benefits coverage.</v>
    <v>400000</v>
    <v>New York Stock Exchange</v>
    <v>XNYS</v>
    <v>XNYS</v>
    <v>1 HEALTH DRIVE, EDEN PRAIRIE, MN, 55344 US</v>
    <v>285</v>
    <v>Healthcare Providers &amp; Services</v>
    <v>Stock</v>
    <v>45866.742462742972</v>
    <v>25</v>
    <v>281.22000000000003</v>
    <v>255124166096</v>
    <v>UNITEDHEALTH GROUP INCORPORATED</v>
    <v>UNITEDHEALTH GROUP INCORPORATED</v>
    <v>283.60000000000002</v>
    <v>11.7704</v>
    <v>281.06</v>
    <v>281.24</v>
    <v>907140400</v>
    <v>UNH</v>
    <v>UNITEDHEALTH GROUP INCORPORATED (XNYS:UNH)</v>
    <v>8129388</v>
    <v>12639438</v>
    <v>2015</v>
  </rv>
  <rv s="2">
    <v>26</v>
  </rv>
  <rv s="0">
    <v>https://www.bing.com/financeapi/forcetrigger?t=a1waa2&amp;q=XNYS%3aJPM&amp;form=skydnc</v>
    <v>Learn more on Bing</v>
  </rv>
  <rv s="1">
    <v>0</v>
    <v>JPMORGAN CHASE &amp; CO. (XNYS:JPM)</v>
    <v>2</v>
    <v>3</v>
    <v>Finance</v>
    <v>4</v>
    <v>en-GB</v>
    <v>a1waa2</v>
    <v>268435456</v>
    <v>1</v>
    <v>Powered by Refinitiv</v>
    <v>299.5899</v>
    <v>190.9</v>
    <v>1.1063000000000001</v>
    <v>-0.89</v>
    <v>-2.98E-3</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317160</v>
    <v>New York Stock Exchange</v>
    <v>XNYS</v>
    <v>XNYS</v>
    <v>383 Madison Avenue, NEW YORK, NY, 10179-0001 US</v>
    <v>299.43</v>
    <v>Banking Services</v>
    <v>Stock</v>
    <v>45866.742435046093</v>
    <v>28</v>
    <v>297.26</v>
    <v>827419656620</v>
    <v>JPMORGAN CHASE &amp; CO.</v>
    <v>JPMORGAN CHASE &amp; CO.</v>
    <v>297.26</v>
    <v>15.2758</v>
    <v>298.62</v>
    <v>297.73</v>
    <v>2779094000</v>
    <v>JPM</v>
    <v>JPMORGAN CHASE &amp; CO. (XNYS:JPM)</v>
    <v>2951169</v>
    <v>9598720</v>
    <v>1968</v>
  </rv>
  <rv s="2">
    <v>29</v>
  </rv>
  <rv s="0">
    <v>https://www.bing.com/financeapi/forcetrigger?t=a269ec&amp;q=XNYS%3aXOM&amp;form=skydnc</v>
    <v>Learn more on Bing</v>
  </rv>
  <rv s="1">
    <v>0</v>
    <v>EXXON MOBIL CORPORATION (XNYS:XOM)</v>
    <v>2</v>
    <v>3</v>
    <v>Finance</v>
    <v>4</v>
    <v>en-GB</v>
    <v>a269ec</v>
    <v>268435456</v>
    <v>1</v>
    <v>Powered by Refinitiv</v>
    <v>126.34</v>
    <v>97.8</v>
    <v>0.50090000000000001</v>
    <v>1.1499999999999999</v>
    <v>1.0417000000000001E-2</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112.1078</v>
    <v>Oil &amp; Gas</v>
    <v>Stock</v>
    <v>45866.742433298437</v>
    <v>31</v>
    <v>110.84</v>
    <v>480780500000</v>
    <v>EXXON MOBIL CORPORATION</v>
    <v>EXXON MOBIL CORPORATION</v>
    <v>110.93</v>
    <v>14.769600000000001</v>
    <v>110.4</v>
    <v>111.55</v>
    <v>4310000000</v>
    <v>XOM</v>
    <v>EXXON MOBIL CORPORATION (XNYS:XOM)</v>
    <v>5388499</v>
    <v>16959210</v>
    <v>1882</v>
  </rv>
  <rv s="2">
    <v>32</v>
  </rv>
  <rv s="0">
    <v>https://www.bing.com/financeapi/forcetrigger?t=a237m7&amp;q=XNYS%3aSNAP&amp;form=skydnc</v>
    <v>Learn more on Bing</v>
  </rv>
  <rv s="1">
    <v>0</v>
    <v>SNAP INC. (XNYS:SNAP)</v>
    <v>2</v>
    <v>3</v>
    <v>Finance</v>
    <v>4</v>
    <v>en-GB</v>
    <v>a237m7</v>
    <v>268435456</v>
    <v>1</v>
    <v>Powered by Refinitiv</v>
    <v>13.95</v>
    <v>7.08</v>
    <v>0.63109999999999999</v>
    <v>-0.1399</v>
    <v>-1.4319E-2</v>
    <v>USD</v>
    <v>Snap Inc. is a technology company. Its flagship product, Snapchat, is a visual messaging application that enhances relationships with friends, family, and the world. Snapchat is the Company's core mobile device application and contains five tabs, complemented by additional tools that function outside the application. Snapchatters can interact with any or all the five tabs. Additionally, it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The Company also offers Snapchat for Web, a browser-based product that brings Snapchats calling and messaging capabilities to the Web. Its advertising products include AR Ads and Snap Ads. Snap Ads include Single Image or Video Ads, Story Ads, Collection Ads, Dynamic Ads, Commercials, and Sponsored Snaps.</v>
    <v>4911</v>
    <v>New York Stock Exchange</v>
    <v>XNYS</v>
    <v>XNYS</v>
    <v>3000 31st Street, SANTA MONICA, CA, 90405 US</v>
    <v>9.9</v>
    <v>Software &amp; IT Services</v>
    <v>Stock</v>
    <v>45866.742453853905</v>
    <v>34</v>
    <v>9.59</v>
    <v>16201198735</v>
    <v>SNAP INC.</v>
    <v>SNAP INC.</v>
    <v>9.89</v>
    <v>0</v>
    <v>9.77</v>
    <v>9.6301000000000005</v>
    <v>1682350000</v>
    <v>SNAP</v>
    <v>SNAP INC. (XNYS:SNAP)</v>
    <v>12759216</v>
    <v>37969231</v>
    <v>2012</v>
  </rv>
  <rv s="2">
    <v>35</v>
  </rv>
  <rv s="0">
    <v>https://www.bing.com/financeapi/forcetrigger?t=a1slm7&amp;q=XNAS%3aMETA&amp;form=skydnc</v>
    <v>Learn more on Bing</v>
  </rv>
  <rv s="1">
    <v>0</v>
    <v>Meta Platforms, Inc. (XNAS:META)</v>
    <v>2</v>
    <v>3</v>
    <v>Finance</v>
    <v>4</v>
    <v>en-GB</v>
    <v>a1slm7</v>
    <v>268435456</v>
    <v>1</v>
    <v>Powered by Refinitiv</v>
    <v>747.9</v>
    <v>450.8</v>
    <v>1.2614000000000001</v>
    <v>2.3098999999999998</v>
    <v>3.241E-3</v>
    <v>USD</v>
    <v>Meta Platforms, Inc. is building human connections, powered by artificial intelligence and immersive technologies. The Company's products enable people to connect and share with friends and family through mobile devices, personal computers, virtual reality (VR) and mixed reality (MR) headsets, augmented reality (AR), and wearables. It also helps people discover and learn about what is going on in the world around them, enabling people to share their experiences, ideas, photos, videos, and other content with audiences ranging from their closest family members and friends to the public at large. The Company's segments include Family of Apps (FoA) and Reality Labs (RL). FoA segment includes Facebook, Instagram, Messenger, WhatsApp and Threads. RL segment includes its virtual, augmented, and mixed reality related consumer hardware, software and content. Its product offerings in VR include its Meta Quest devices, as well as software and content available through the Meta Horizon Store.</v>
    <v>76834</v>
    <v>Nasdaq Stock Market</v>
    <v>XNAS</v>
    <v>XNAS</v>
    <v>1 Meta Way, MENLO PARK, CA, 94025 US</v>
    <v>724.73519999999996</v>
    <v>Software &amp; IT Services</v>
    <v>Stock</v>
    <v>45866.742435057815</v>
    <v>37</v>
    <v>714.26</v>
    <v>1797718410297</v>
    <v>Meta Platforms, Inc.</v>
    <v>Meta Platforms, Inc.</v>
    <v>715</v>
    <v>27.339500000000001</v>
    <v>712.68</v>
    <v>714.98990000000003</v>
    <v>2514327000</v>
    <v>META</v>
    <v>Meta Platforms, Inc. (XNAS:META)</v>
    <v>5451317</v>
    <v>11605024</v>
    <v>2004</v>
  </rv>
  <rv s="2">
    <v>38</v>
  </rv>
  <rv s="0">
    <v>https://www.bing.com/financeapi/forcetrigger?t=afb7zr&amp;q=XFRA%3aGME&amp;form=skydnc</v>
    <v>Learn more on Bing</v>
  </rv>
  <rv s="1">
    <v>0</v>
    <v>Geratherm Medical AG (XFRA:GME)</v>
    <v>2</v>
    <v>14</v>
    <v>Finance</v>
    <v>15</v>
    <v>en-GB</v>
    <v>afb7zr</v>
    <v>268435456</v>
    <v>1</v>
    <v>Powered by Refinitiv</v>
    <v>13</v>
    <v>2.5</v>
    <v>0.55510000000000004</v>
    <v>-0.25</v>
    <v>-7.4626999999999999E-2</v>
    <v>EUR</v>
    <v>Geratherm Medical AG is a Germany-based medical technology. The Company operates through four segments: Healthcare Diagnostic, Medical Warming Systems, Cardio/Stroke and Respiratory. The Healthcare Diagnostic segment provides analog and digital products for measuring body temperature, blood pressure monitors and other products for measuring temperature, as well as related accessories. The Medical Warming Systems provides solutions for temperature management at all stages in the pre-clinical and clinical care of the patients, such as rescue situations and operations. The Cardio/Stroke segment comprises products for preventing strokes. The Respiratory segment focuses on the development and production of products for pulmonary functional diagnostics.</v>
    <v>155</v>
    <v>Deutsche Boerse AG</v>
    <v>XFRA</v>
    <v>XFRA</v>
    <v>Fahrenheitstrasse 1, GESCHWENDA, THUERINGEN, 99331 DE</v>
    <v>3.1</v>
    <v>Healthcare Equipment &amp; Supplies</v>
    <v>Stock</v>
    <v>45866.650694444441</v>
    <v>40</v>
    <v>3.1</v>
    <v>18075900</v>
    <v>Geratherm Medical AG</v>
    <v>Geratherm Medical AG</v>
    <v>3.1</v>
    <v>51.666699999999999</v>
    <v>3.35</v>
    <v>3.1</v>
    <v>5411950</v>
    <v>GME</v>
    <v>Geratherm Medical AG (XFRA:GME)</v>
    <v>400</v>
    <v>200</v>
    <v>2000</v>
  </rv>
  <rv s="2">
    <v>41</v>
  </rv>
</rvData>
</file>

<file path=xl/richData/rdrichvaluestructure.xml><?xml version="1.0" encoding="utf-8"?>
<rvStructures xmlns="http://schemas.microsoft.com/office/spreadsheetml/2017/richdata" count="7">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3">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spbArrays>
  <spbData count="16">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0">
      <v>1</v>
      <v>Name</v>
      <v>LearnMoreOnLink</v>
    </spb>
    <spb s="5">
      <v>1</v>
      <v>1</v>
      <v>1</v>
    </spb>
    <spb s="6">
      <v>1</v>
      <v>2</v>
      <v>1</v>
      <v>3</v>
      <v>1</v>
      <v>1</v>
      <v>1</v>
      <v>4</v>
      <v>5</v>
      <v>6</v>
      <v>1</v>
      <v>1</v>
      <v>5</v>
      <v>1</v>
      <v>4</v>
      <v>7</v>
      <v>9</v>
    </spb>
    <spb s="7">
      <v>Real-Time Nasdaq Last Sale</v>
      <v>from previous close</v>
      <v>Source: Nasdaq Last Sale</v>
      <v>from previous close</v>
      <v>GMT</v>
    </spb>
    <spb s="0">
      <v>2</v>
      <v>Name</v>
      <v>LearnMoreOnLink</v>
    </spb>
    <spb s="8">
      <v>0</v>
      <v>0</v>
    </spb>
    <spb s="9">
      <v>10</v>
      <v>1</v>
      <v>1</v>
      <v>1</v>
      <v>1</v>
    </spb>
    <spb s="10">
      <v>1</v>
      <v>2</v>
      <v>2</v>
      <v>1</v>
      <v>3</v>
      <v>1</v>
      <v>10</v>
      <v>1</v>
      <v>1</v>
      <v>4</v>
      <v>4</v>
      <v>5</v>
      <v>6</v>
      <v>1</v>
      <v>1</v>
      <v>1</v>
      <v>4</v>
      <v>7</v>
      <v>8</v>
      <v>9</v>
      <v>4</v>
    </spb>
    <spb s="11">
      <v>Powered by Refinitiv</v>
    </spb>
    <spb s="3">
      <v>11</v>
      <v>2</v>
      <v>2</v>
      <v>11</v>
      <v>3</v>
      <v>11</v>
      <v>11</v>
      <v>11</v>
      <v>4</v>
      <v>4</v>
      <v>5</v>
      <v>12</v>
      <v>11</v>
      <v>11</v>
      <v>11</v>
      <v>4</v>
      <v>7</v>
      <v>8</v>
      <v>9</v>
      <v>4</v>
    </spb>
    <spb s="12">
      <v>Delayed 15 minutes</v>
      <v>from previous close</v>
      <v>from previous close</v>
      <v>GMT</v>
    </spb>
  </spbData>
</supportingPropertyBags>
</file>

<file path=xl/richData/rdsupportingpropertybagstructure.xml><?xml version="1.0" encoding="utf-8"?>
<spbStructures xmlns="http://schemas.microsoft.com/office/spreadsheetml/2017/richdata2" count="1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Price" t="s"/>
    <k n="Change" t="s"/>
    <k n="Change (%)"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rpv i="2">1</rpv>
    </rSty>
    <rSty dxfid="1">
      <rpv i="0">_([$€-x-euro2] * #,##0.00_);_([$€-x-euro2] * (#,##0.00);_([$€-x-euro2] * "-"??_);_(@_)</rpv>
    </rSty>
    <rSty dxfid="1">
      <rpv i="0">_([$€-x-euro2] * #,##0_);_([$€-x-euro2] * (#,##0);_([$€-x-euro2] * "-"_);_(@_)</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0C9D3FB-9316-294E-93E3-B415559ECD58}">
  <we:reference id="wa200003692" version="1.0.0.1" store="en-US" storeType="OMEX"/>
  <we:alternateReferences>
    <we:reference id="WA200003692" version="1.0.0.1" store=""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75634-2364-42AC-B23E-E72428ACB4D4}">
  <sheetPr codeName="Sheet1"/>
  <dimension ref="A1:AP277"/>
  <sheetViews>
    <sheetView topLeftCell="V91" workbookViewId="0">
      <selection activeCell="W115" sqref="W115"/>
    </sheetView>
  </sheetViews>
  <sheetFormatPr baseColWidth="10" defaultColWidth="8.83203125" defaultRowHeight="13"/>
  <cols>
    <col min="1" max="1" width="28.83203125" bestFit="1" customWidth="1"/>
    <col min="2" max="2" width="17" bestFit="1" customWidth="1"/>
    <col min="3" max="3" width="18" bestFit="1" customWidth="1"/>
    <col min="4" max="4" width="30.1640625" bestFit="1" customWidth="1"/>
    <col min="5" max="5" width="36.5" bestFit="1" customWidth="1"/>
    <col min="6" max="6" width="29.5" bestFit="1" customWidth="1"/>
    <col min="7" max="7" width="24.33203125" bestFit="1" customWidth="1"/>
    <col min="8" max="8" width="36.5" bestFit="1" customWidth="1"/>
    <col min="9" max="9" width="24.6640625" bestFit="1" customWidth="1"/>
    <col min="10" max="10" width="27.83203125" bestFit="1" customWidth="1"/>
    <col min="11" max="11" width="36.5" bestFit="1" customWidth="1"/>
    <col min="12" max="12" width="30.6640625" bestFit="1" customWidth="1"/>
    <col min="13" max="13" width="32.6640625" bestFit="1" customWidth="1"/>
    <col min="14" max="14" width="22.6640625" bestFit="1" customWidth="1"/>
    <col min="15" max="16" width="36.5" bestFit="1" customWidth="1"/>
    <col min="17" max="17" width="31.5" bestFit="1" customWidth="1"/>
    <col min="18" max="18" width="36.5" bestFit="1" customWidth="1"/>
    <col min="19" max="19" width="22.5" bestFit="1" customWidth="1"/>
    <col min="20" max="21" width="28.5" bestFit="1" customWidth="1"/>
    <col min="22" max="24" width="36.5" bestFit="1" customWidth="1"/>
    <col min="25" max="25" width="32.83203125" bestFit="1" customWidth="1"/>
    <col min="26" max="26" width="35.5" bestFit="1" customWidth="1"/>
    <col min="27" max="28" width="36.5" bestFit="1" customWidth="1"/>
    <col min="29" max="29" width="32.83203125" bestFit="1" customWidth="1"/>
    <col min="30" max="30" width="33.1640625" bestFit="1" customWidth="1"/>
    <col min="31" max="31" width="32.83203125" bestFit="1" customWidth="1"/>
    <col min="32" max="32" width="22.1640625" bestFit="1" customWidth="1"/>
    <col min="33" max="33" width="25.1640625" bestFit="1" customWidth="1"/>
    <col min="34" max="34" width="24.1640625" bestFit="1" customWidth="1"/>
    <col min="35" max="35" width="23.5" bestFit="1" customWidth="1"/>
    <col min="36" max="36" width="21.5" bestFit="1" customWidth="1"/>
    <col min="37" max="37" width="25.1640625" bestFit="1" customWidth="1"/>
    <col min="38" max="38" width="31.5" bestFit="1" customWidth="1"/>
    <col min="39" max="39" width="13.5" bestFit="1" customWidth="1"/>
    <col min="40" max="40" width="16.33203125" bestFit="1" customWidth="1"/>
    <col min="41" max="41" width="14.1640625" bestFit="1" customWidth="1"/>
    <col min="42" max="42" width="31.5" bestFit="1" customWidth="1"/>
  </cols>
  <sheetData>
    <row r="1" spans="1:42" ht="17">
      <c r="A1" s="8" t="s">
        <v>13</v>
      </c>
      <c r="B1" s="8"/>
      <c r="C1" s="8"/>
      <c r="D1" s="8"/>
      <c r="E1" s="10" t="s">
        <v>14</v>
      </c>
      <c r="F1" s="8" t="s">
        <v>15</v>
      </c>
      <c r="G1" s="8" t="s">
        <v>16</v>
      </c>
      <c r="H1" s="8" t="s">
        <v>17</v>
      </c>
      <c r="I1" s="8" t="s">
        <v>18</v>
      </c>
      <c r="J1" s="8" t="s">
        <v>19</v>
      </c>
      <c r="K1" s="10" t="s">
        <v>20</v>
      </c>
      <c r="L1" s="8" t="s">
        <v>21</v>
      </c>
      <c r="M1" s="8" t="s">
        <v>22</v>
      </c>
      <c r="N1" s="8" t="s">
        <v>23</v>
      </c>
      <c r="O1" s="10" t="s">
        <v>24</v>
      </c>
      <c r="P1" s="10" t="s">
        <v>25</v>
      </c>
      <c r="Q1" s="8" t="s">
        <v>26</v>
      </c>
      <c r="R1" s="10" t="s">
        <v>27</v>
      </c>
      <c r="S1" s="8" t="s">
        <v>28</v>
      </c>
      <c r="T1" s="8" t="s">
        <v>29</v>
      </c>
      <c r="U1" s="8" t="s">
        <v>30</v>
      </c>
      <c r="V1" s="10" t="s">
        <v>31</v>
      </c>
      <c r="W1" s="10" t="s">
        <v>32</v>
      </c>
      <c r="X1" s="10" t="s">
        <v>33</v>
      </c>
      <c r="Y1" s="8" t="s">
        <v>34</v>
      </c>
      <c r="Z1" s="8" t="s">
        <v>35</v>
      </c>
      <c r="AA1" s="10" t="s">
        <v>36</v>
      </c>
      <c r="AB1" s="10" t="s">
        <v>37</v>
      </c>
      <c r="AC1" s="8" t="s">
        <v>38</v>
      </c>
      <c r="AD1" s="8" t="s">
        <v>39</v>
      </c>
      <c r="AE1" s="8"/>
      <c r="AF1" s="8"/>
      <c r="AG1" s="8"/>
      <c r="AH1" s="8"/>
      <c r="AI1" s="8"/>
      <c r="AJ1" s="8"/>
      <c r="AK1" s="8"/>
      <c r="AL1" s="8"/>
      <c r="AM1" s="8"/>
      <c r="AN1" s="8"/>
      <c r="AO1" s="8"/>
      <c r="AP1" s="8"/>
    </row>
    <row r="2" spans="1:42" ht="17">
      <c r="A2" s="8" t="s">
        <v>40</v>
      </c>
      <c r="B2" s="8" t="s">
        <v>15</v>
      </c>
      <c r="C2" s="8" t="s">
        <v>16</v>
      </c>
      <c r="D2" s="8" t="s">
        <v>17</v>
      </c>
      <c r="E2" s="10" t="s">
        <v>41</v>
      </c>
      <c r="F2" s="8" t="s">
        <v>42</v>
      </c>
      <c r="G2" s="8">
        <v>2265601000</v>
      </c>
      <c r="H2" s="8">
        <v>3854532000</v>
      </c>
      <c r="I2" s="8">
        <v>1588931000</v>
      </c>
      <c r="J2" s="8">
        <v>1588931000</v>
      </c>
      <c r="K2" s="10">
        <v>-763108000</v>
      </c>
      <c r="L2" s="8">
        <v>1693679000</v>
      </c>
      <c r="M2" s="8" t="s">
        <v>43</v>
      </c>
      <c r="N2" s="8">
        <v>3028709000</v>
      </c>
      <c r="O2" s="10" t="s">
        <v>43</v>
      </c>
      <c r="P2" s="10">
        <v>-379434000</v>
      </c>
      <c r="Q2" s="8" t="s">
        <v>43</v>
      </c>
      <c r="R2" s="10">
        <v>379434000</v>
      </c>
      <c r="S2" s="8" t="s">
        <v>43</v>
      </c>
      <c r="T2" s="8" t="s">
        <v>43</v>
      </c>
      <c r="U2" s="8" t="s">
        <v>43</v>
      </c>
      <c r="V2" s="10">
        <v>409582000</v>
      </c>
      <c r="W2" s="11">
        <v>-1168000000</v>
      </c>
      <c r="X2" s="10">
        <v>-158402000</v>
      </c>
      <c r="Y2" s="8" t="s">
        <v>43</v>
      </c>
      <c r="Z2" s="9">
        <v>-1009000000</v>
      </c>
      <c r="AA2" s="10" t="s">
        <v>43</v>
      </c>
      <c r="AB2" s="10">
        <v>-788462000</v>
      </c>
      <c r="AC2" s="8">
        <v>-378880000</v>
      </c>
      <c r="AD2" s="9">
        <v>-1010000000</v>
      </c>
      <c r="AE2" s="8"/>
      <c r="AF2" s="8"/>
      <c r="AG2" s="8"/>
      <c r="AH2" s="8"/>
      <c r="AI2" s="8"/>
      <c r="AJ2" s="8"/>
      <c r="AK2" s="8"/>
      <c r="AL2" s="8"/>
      <c r="AM2" s="8"/>
      <c r="AN2" s="8"/>
      <c r="AO2" s="8"/>
      <c r="AP2" s="8"/>
    </row>
    <row r="3" spans="1:42" ht="17">
      <c r="A3" s="8" t="s">
        <v>41</v>
      </c>
      <c r="B3" s="8" t="s">
        <v>42</v>
      </c>
      <c r="C3" s="8">
        <v>2265601000</v>
      </c>
      <c r="D3" s="8">
        <v>3854532000</v>
      </c>
      <c r="E3" s="10" t="s">
        <v>44</v>
      </c>
      <c r="F3" s="8" t="s">
        <v>42</v>
      </c>
      <c r="G3" s="8">
        <v>2256791000</v>
      </c>
      <c r="H3" s="8">
        <v>3751025000</v>
      </c>
      <c r="I3" s="8">
        <v>1494234000</v>
      </c>
      <c r="J3" s="8">
        <v>1494234000</v>
      </c>
      <c r="K3" s="10">
        <v>-797311000</v>
      </c>
      <c r="L3" s="8">
        <v>1656171000</v>
      </c>
      <c r="M3" s="8" t="s">
        <v>43</v>
      </c>
      <c r="N3" s="8">
        <v>3054102000</v>
      </c>
      <c r="O3" s="10" t="s">
        <v>43</v>
      </c>
      <c r="P3" s="10">
        <v>-389775000</v>
      </c>
      <c r="Q3" s="8" t="s">
        <v>43</v>
      </c>
      <c r="R3" s="10">
        <v>389775000</v>
      </c>
      <c r="S3" s="8" t="s">
        <v>43</v>
      </c>
      <c r="T3" s="8" t="s">
        <v>43</v>
      </c>
      <c r="U3" s="8" t="s">
        <v>43</v>
      </c>
      <c r="V3" s="10">
        <v>428483000</v>
      </c>
      <c r="W3" s="11">
        <v>-1163000000</v>
      </c>
      <c r="X3" s="10">
        <v>-62338000</v>
      </c>
      <c r="Y3" s="8" t="s">
        <v>43</v>
      </c>
      <c r="Z3" s="9">
        <v>-1100000000</v>
      </c>
      <c r="AA3" s="10" t="s">
        <v>43</v>
      </c>
      <c r="AB3" s="10">
        <v>-772902000</v>
      </c>
      <c r="AC3" s="8">
        <v>-344419000</v>
      </c>
      <c r="AD3" s="9">
        <v>-1103000000</v>
      </c>
      <c r="AE3" s="8"/>
      <c r="AF3" s="8"/>
      <c r="AG3" s="8"/>
      <c r="AH3" s="8"/>
      <c r="AI3" s="8"/>
      <c r="AJ3" s="8"/>
      <c r="AK3" s="8"/>
      <c r="AL3" s="8"/>
      <c r="AM3" s="8"/>
      <c r="AN3" s="8"/>
      <c r="AO3" s="8"/>
      <c r="AP3" s="8"/>
    </row>
    <row r="4" spans="1:42" ht="17">
      <c r="A4" s="8" t="s">
        <v>45</v>
      </c>
      <c r="B4" s="8" t="s">
        <v>42</v>
      </c>
      <c r="C4" s="8">
        <v>2256791000</v>
      </c>
      <c r="D4" s="8">
        <v>3751025000</v>
      </c>
      <c r="E4" s="10" t="s">
        <v>46</v>
      </c>
      <c r="F4" s="8" t="s">
        <v>42</v>
      </c>
      <c r="G4" s="8">
        <v>2431957000</v>
      </c>
      <c r="H4" s="8">
        <v>3912283000</v>
      </c>
      <c r="I4" s="8">
        <v>1480326000</v>
      </c>
      <c r="J4" s="8">
        <v>1480326000</v>
      </c>
      <c r="K4" s="10">
        <v>366043000</v>
      </c>
      <c r="L4" s="8">
        <v>1592946000</v>
      </c>
      <c r="M4" s="8" t="s">
        <v>43</v>
      </c>
      <c r="N4" s="8">
        <v>2063608000</v>
      </c>
      <c r="O4" s="10" t="s">
        <v>43</v>
      </c>
      <c r="P4" s="10">
        <v>-341674000</v>
      </c>
      <c r="Q4" s="8" t="s">
        <v>43</v>
      </c>
      <c r="R4" s="10">
        <v>341674000</v>
      </c>
      <c r="S4" s="8" t="s">
        <v>43</v>
      </c>
      <c r="T4" s="8" t="s">
        <v>43</v>
      </c>
      <c r="U4" s="8" t="s">
        <v>43</v>
      </c>
      <c r="V4" s="10">
        <v>445664000</v>
      </c>
      <c r="W4" s="10">
        <v>-257951000</v>
      </c>
      <c r="X4" s="10">
        <v>4719000</v>
      </c>
      <c r="Y4" s="8" t="s">
        <v>43</v>
      </c>
      <c r="Z4" s="8">
        <v>-262670000</v>
      </c>
      <c r="AA4" s="10" t="s">
        <v>43</v>
      </c>
      <c r="AB4" s="10">
        <v>391655000</v>
      </c>
      <c r="AC4" s="8">
        <v>837319000</v>
      </c>
      <c r="AD4" s="8">
        <v>-262670000</v>
      </c>
      <c r="AE4" s="8"/>
      <c r="AF4" s="8"/>
      <c r="AG4" s="8"/>
      <c r="AH4" s="8"/>
      <c r="AI4" s="8"/>
      <c r="AJ4" s="8"/>
      <c r="AK4" s="8"/>
      <c r="AL4" s="8"/>
      <c r="AM4" s="8"/>
      <c r="AN4" s="8"/>
      <c r="AO4" s="8"/>
      <c r="AP4" s="8"/>
    </row>
    <row r="5" spans="1:42" ht="17">
      <c r="A5" s="8" t="s">
        <v>40</v>
      </c>
      <c r="B5" s="8" t="s">
        <v>42</v>
      </c>
      <c r="C5" s="8">
        <v>2431957000</v>
      </c>
      <c r="D5" s="8">
        <v>3912283000</v>
      </c>
      <c r="E5" s="10" t="s">
        <v>47</v>
      </c>
      <c r="F5" s="8" t="s">
        <v>42</v>
      </c>
      <c r="G5" s="8">
        <v>2233683000</v>
      </c>
      <c r="H5" s="8">
        <v>3558340000</v>
      </c>
      <c r="I5" s="8">
        <v>1324657000</v>
      </c>
      <c r="J5" s="8">
        <v>1324657000</v>
      </c>
      <c r="K5" s="10">
        <v>226682000</v>
      </c>
      <c r="L5" s="8">
        <v>1519355000</v>
      </c>
      <c r="M5" s="8" t="s">
        <v>43</v>
      </c>
      <c r="N5" s="8">
        <v>2021092000</v>
      </c>
      <c r="O5" s="10" t="s">
        <v>43</v>
      </c>
      <c r="P5" s="10">
        <v>-332384000</v>
      </c>
      <c r="Q5" s="8" t="s">
        <v>43</v>
      </c>
      <c r="R5" s="10">
        <v>332384000</v>
      </c>
      <c r="S5" s="8" t="s">
        <v>43</v>
      </c>
      <c r="T5" s="8">
        <v>27529000</v>
      </c>
      <c r="U5" s="8" t="s">
        <v>43</v>
      </c>
      <c r="V5" s="10">
        <v>469417000</v>
      </c>
      <c r="W5" s="10">
        <v>-149998000</v>
      </c>
      <c r="X5" s="10">
        <v>8391000</v>
      </c>
      <c r="Y5" s="8" t="s">
        <v>43</v>
      </c>
      <c r="Z5" s="8">
        <v>-158389000</v>
      </c>
      <c r="AA5" s="10" t="s">
        <v>43</v>
      </c>
      <c r="AB5" s="10">
        <v>239432000</v>
      </c>
      <c r="AC5" s="8">
        <v>708849000</v>
      </c>
      <c r="AD5" s="8">
        <v>-158389000</v>
      </c>
      <c r="AE5" s="8"/>
      <c r="AF5" s="8"/>
      <c r="AG5" s="8"/>
      <c r="AH5" s="8"/>
      <c r="AI5" s="8"/>
      <c r="AJ5" s="8"/>
      <c r="AK5" s="8"/>
      <c r="AL5" s="8"/>
      <c r="AM5" s="8"/>
      <c r="AN5" s="8"/>
      <c r="AO5" s="8"/>
      <c r="AP5" s="8"/>
    </row>
    <row r="6" spans="1:42" ht="17">
      <c r="A6" s="8" t="s">
        <v>47</v>
      </c>
      <c r="B6" s="8" t="s">
        <v>42</v>
      </c>
      <c r="C6" s="8">
        <v>2233683000</v>
      </c>
      <c r="D6" s="8">
        <v>3558340000</v>
      </c>
      <c r="E6" s="10" t="s">
        <v>48</v>
      </c>
      <c r="F6" s="8" t="s">
        <v>42</v>
      </c>
      <c r="G6" s="8">
        <v>1785070000</v>
      </c>
      <c r="H6" s="8">
        <v>2948218000</v>
      </c>
      <c r="I6" s="8">
        <v>1163148000</v>
      </c>
      <c r="J6" s="8">
        <v>1163148000</v>
      </c>
      <c r="K6" s="10">
        <v>1749226000</v>
      </c>
      <c r="L6" s="8">
        <v>1225097000</v>
      </c>
      <c r="M6" s="8" t="s">
        <v>43</v>
      </c>
      <c r="N6" s="8">
        <v>1783942000</v>
      </c>
      <c r="O6" s="10" t="s">
        <v>43</v>
      </c>
      <c r="P6" s="10">
        <v>-343745000</v>
      </c>
      <c r="Q6" s="8" t="s">
        <v>43</v>
      </c>
      <c r="R6" s="10">
        <v>343745000</v>
      </c>
      <c r="S6" s="8" t="s">
        <v>43</v>
      </c>
      <c r="T6" s="8">
        <v>-9346000</v>
      </c>
      <c r="U6" s="8" t="s">
        <v>43</v>
      </c>
      <c r="V6" s="10">
        <v>402929000</v>
      </c>
      <c r="W6" s="11">
        <v>-2099000000</v>
      </c>
      <c r="X6" s="10">
        <v>-183623000</v>
      </c>
      <c r="Y6" s="8" t="s">
        <v>43</v>
      </c>
      <c r="Z6" s="9">
        <v>-1915000000</v>
      </c>
      <c r="AA6" s="10" t="s">
        <v>43</v>
      </c>
      <c r="AB6" s="10">
        <v>8114000</v>
      </c>
      <c r="AC6" s="8">
        <v>411043000</v>
      </c>
      <c r="AD6" s="9">
        <v>-1915000000</v>
      </c>
      <c r="AE6" s="8"/>
      <c r="AF6" s="8"/>
      <c r="AG6" s="8"/>
      <c r="AH6" s="8"/>
      <c r="AI6" s="8"/>
      <c r="AJ6" s="8"/>
      <c r="AK6" s="8"/>
      <c r="AL6" s="8"/>
      <c r="AM6" s="8"/>
      <c r="AN6" s="8"/>
      <c r="AO6" s="8"/>
      <c r="AP6" s="8"/>
    </row>
    <row r="7" spans="1:42" ht="17">
      <c r="A7" s="8" t="s">
        <v>49</v>
      </c>
      <c r="B7" s="8" t="s">
        <v>42</v>
      </c>
      <c r="C7" s="8">
        <v>1785070000</v>
      </c>
      <c r="D7" s="8">
        <v>2948218000</v>
      </c>
      <c r="E7" s="10" t="s">
        <v>50</v>
      </c>
      <c r="F7" s="8" t="s">
        <v>42</v>
      </c>
      <c r="G7" s="8">
        <v>2213965000</v>
      </c>
      <c r="H7" s="8">
        <v>3683527000</v>
      </c>
      <c r="I7" s="8">
        <v>1469562000</v>
      </c>
      <c r="J7" s="8">
        <v>1469562000</v>
      </c>
      <c r="K7" s="10">
        <v>606212000</v>
      </c>
      <c r="L7" s="8">
        <v>1607753000</v>
      </c>
      <c r="M7" s="8" t="s">
        <v>43</v>
      </c>
      <c r="N7" s="8">
        <v>1607753000</v>
      </c>
      <c r="O7" s="10" t="s">
        <v>43</v>
      </c>
      <c r="P7" s="10" t="s">
        <v>43</v>
      </c>
      <c r="Q7" s="8" t="s">
        <v>43</v>
      </c>
      <c r="R7" s="10">
        <v>266274000</v>
      </c>
      <c r="S7" s="8" t="s">
        <v>43</v>
      </c>
      <c r="T7" s="8" t="s">
        <v>43</v>
      </c>
      <c r="U7" s="8" t="s">
        <v>43</v>
      </c>
      <c r="V7" s="10">
        <v>302457000</v>
      </c>
      <c r="W7" s="10">
        <v>9652475000</v>
      </c>
      <c r="X7" s="10">
        <v>59186000</v>
      </c>
      <c r="Y7" s="8" t="s">
        <v>43</v>
      </c>
      <c r="Z7" s="8">
        <v>9593289000</v>
      </c>
      <c r="AA7" s="10" t="s">
        <v>43</v>
      </c>
      <c r="AB7" s="10">
        <v>602454000</v>
      </c>
      <c r="AC7" s="8">
        <v>904911000</v>
      </c>
      <c r="AD7" s="8">
        <v>9471158000</v>
      </c>
      <c r="AE7" s="8"/>
      <c r="AF7" s="8"/>
      <c r="AG7" s="8"/>
      <c r="AH7" s="8"/>
      <c r="AI7" s="8"/>
      <c r="AJ7" s="8"/>
      <c r="AK7" s="8"/>
      <c r="AL7" s="8"/>
      <c r="AM7" s="8"/>
      <c r="AN7" s="8"/>
      <c r="AO7" s="8"/>
      <c r="AP7" s="8"/>
    </row>
    <row r="8" spans="1:42" ht="17">
      <c r="A8" s="8" t="s">
        <v>40</v>
      </c>
      <c r="B8" s="8" t="s">
        <v>42</v>
      </c>
      <c r="C8" s="8">
        <v>2213965000</v>
      </c>
      <c r="D8" s="8">
        <v>3683527000</v>
      </c>
      <c r="E8" s="10" t="s">
        <v>51</v>
      </c>
      <c r="F8" s="8" t="s">
        <v>42</v>
      </c>
      <c r="G8" s="8">
        <v>3792832000</v>
      </c>
      <c r="H8" s="8">
        <v>6325780000</v>
      </c>
      <c r="I8" s="8">
        <v>2532948000</v>
      </c>
      <c r="J8" s="8">
        <v>2532948000</v>
      </c>
      <c r="K8" s="10">
        <v>980518000</v>
      </c>
      <c r="L8" s="8">
        <v>1896503000</v>
      </c>
      <c r="M8" s="8" t="s">
        <v>43</v>
      </c>
      <c r="N8" s="8">
        <v>2771392000</v>
      </c>
      <c r="O8" s="10" t="s">
        <v>43</v>
      </c>
      <c r="P8" s="10">
        <v>-722931000</v>
      </c>
      <c r="Q8" s="8" t="s">
        <v>43</v>
      </c>
      <c r="R8" s="10">
        <v>722931000</v>
      </c>
      <c r="S8" s="8" t="s">
        <v>43</v>
      </c>
      <c r="T8" s="8" t="s">
        <v>43</v>
      </c>
      <c r="U8" s="8" t="s">
        <v>43</v>
      </c>
      <c r="V8" s="10">
        <v>211951000</v>
      </c>
      <c r="W8" s="10">
        <v>-156288000</v>
      </c>
      <c r="X8" s="10">
        <v>46351000</v>
      </c>
      <c r="Y8" s="8" t="s">
        <v>43</v>
      </c>
      <c r="Z8" s="8">
        <v>-202639000</v>
      </c>
      <c r="AA8" s="10" t="s">
        <v>43</v>
      </c>
      <c r="AB8" s="10">
        <v>726527000</v>
      </c>
      <c r="AC8" s="8">
        <v>938478000</v>
      </c>
      <c r="AD8" s="8">
        <v>-201910000</v>
      </c>
      <c r="AE8" s="8"/>
      <c r="AF8" s="8"/>
      <c r="AG8" s="8"/>
      <c r="AH8" s="8"/>
      <c r="AI8" s="8"/>
      <c r="AJ8" s="8"/>
      <c r="AK8" s="8"/>
      <c r="AL8" s="8"/>
      <c r="AM8" s="8"/>
      <c r="AN8" s="8"/>
      <c r="AO8" s="8"/>
      <c r="AP8" s="8"/>
    </row>
    <row r="9" spans="1:42" ht="17">
      <c r="A9" s="8" t="s">
        <v>51</v>
      </c>
      <c r="B9" s="8" t="s">
        <v>42</v>
      </c>
      <c r="C9" s="8">
        <v>3792832000</v>
      </c>
      <c r="D9" s="8">
        <v>6325780000</v>
      </c>
      <c r="E9" s="10" t="s">
        <v>52</v>
      </c>
      <c r="F9" s="8" t="s">
        <v>42</v>
      </c>
      <c r="G9" s="8">
        <v>3709272000</v>
      </c>
      <c r="H9" s="8">
        <v>6170994000</v>
      </c>
      <c r="I9" s="8">
        <v>2461722000</v>
      </c>
      <c r="J9" s="8">
        <v>2461722000</v>
      </c>
      <c r="K9" s="10">
        <v>969938000</v>
      </c>
      <c r="L9" s="8">
        <v>1851646000</v>
      </c>
      <c r="M9" s="8" t="s">
        <v>43</v>
      </c>
      <c r="N9" s="8">
        <v>2729135000</v>
      </c>
      <c r="O9" s="10" t="s">
        <v>43</v>
      </c>
      <c r="P9" s="11">
        <v>-1866000000</v>
      </c>
      <c r="Q9" s="8" t="s">
        <v>43</v>
      </c>
      <c r="R9" s="10">
        <v>1865584000</v>
      </c>
      <c r="S9" s="8" t="s">
        <v>43</v>
      </c>
      <c r="T9" s="8" t="s">
        <v>43</v>
      </c>
      <c r="U9" s="8" t="s">
        <v>43</v>
      </c>
      <c r="V9" s="10">
        <v>601295000</v>
      </c>
      <c r="W9" s="10">
        <v>-917424000</v>
      </c>
      <c r="X9" s="10">
        <v>-457406000</v>
      </c>
      <c r="Y9" s="8" t="s">
        <v>43</v>
      </c>
      <c r="Z9" s="8">
        <v>-460018000</v>
      </c>
      <c r="AA9" s="10" t="s">
        <v>43</v>
      </c>
      <c r="AB9" s="10">
        <v>948019000</v>
      </c>
      <c r="AC9" s="8">
        <v>1549314000</v>
      </c>
      <c r="AD9" s="8">
        <v>-393891000</v>
      </c>
      <c r="AE9" s="8"/>
      <c r="AF9" s="8"/>
      <c r="AG9" s="8"/>
      <c r="AH9" s="8"/>
      <c r="AI9" s="8"/>
      <c r="AJ9" s="8"/>
      <c r="AK9" s="8"/>
      <c r="AL9" s="8"/>
      <c r="AM9" s="8"/>
      <c r="AN9" s="8"/>
      <c r="AO9" s="8"/>
      <c r="AP9" s="8"/>
    </row>
    <row r="10" spans="1:42" ht="17">
      <c r="A10" s="8" t="s">
        <v>53</v>
      </c>
      <c r="B10" s="8" t="s">
        <v>42</v>
      </c>
      <c r="C10" s="8">
        <v>3709272000</v>
      </c>
      <c r="D10" s="8">
        <v>6170994000</v>
      </c>
      <c r="E10" s="10" t="s">
        <v>54</v>
      </c>
      <c r="F10" s="8" t="s">
        <v>42</v>
      </c>
      <c r="G10" s="8">
        <v>3861286000</v>
      </c>
      <c r="H10" s="8">
        <v>6273573000</v>
      </c>
      <c r="I10" s="8">
        <v>2412287000</v>
      </c>
      <c r="J10" s="8">
        <v>2412287000</v>
      </c>
      <c r="K10" s="10">
        <v>1504691000</v>
      </c>
      <c r="L10" s="8">
        <v>1725899000</v>
      </c>
      <c r="M10" s="8" t="s">
        <v>43</v>
      </c>
      <c r="N10" s="8">
        <v>2348595000</v>
      </c>
      <c r="O10" s="10" t="s">
        <v>43</v>
      </c>
      <c r="P10" s="11">
        <v>-1850000000</v>
      </c>
      <c r="Q10" s="8" t="s">
        <v>43</v>
      </c>
      <c r="R10" s="10">
        <v>1850119000</v>
      </c>
      <c r="S10" s="8" t="s">
        <v>43</v>
      </c>
      <c r="T10" s="8" t="s">
        <v>43</v>
      </c>
      <c r="U10" s="8" t="s">
        <v>43</v>
      </c>
      <c r="V10" s="10">
        <v>635227000</v>
      </c>
      <c r="W10" s="10">
        <v>-290477000</v>
      </c>
      <c r="X10" s="10">
        <v>-50474000</v>
      </c>
      <c r="Y10" s="8" t="s">
        <v>43</v>
      </c>
      <c r="Z10" s="8">
        <v>-240003000</v>
      </c>
      <c r="AA10" s="10" t="s">
        <v>43</v>
      </c>
      <c r="AB10" s="10">
        <v>1157802000</v>
      </c>
      <c r="AC10" s="8">
        <v>1793029000</v>
      </c>
      <c r="AD10" s="8">
        <v>-296318000</v>
      </c>
      <c r="AE10" s="8"/>
      <c r="AF10" s="8"/>
      <c r="AG10" s="8"/>
      <c r="AH10" s="8"/>
      <c r="AI10" s="8"/>
      <c r="AJ10" s="8"/>
      <c r="AK10" s="8"/>
      <c r="AL10" s="8"/>
      <c r="AM10" s="8"/>
      <c r="AN10" s="8"/>
      <c r="AO10" s="8"/>
      <c r="AP10" s="8"/>
    </row>
    <row r="11" spans="1:42" ht="17">
      <c r="A11" s="8" t="s">
        <v>40</v>
      </c>
      <c r="B11" s="8" t="s">
        <v>42</v>
      </c>
      <c r="C11" s="8">
        <v>3861286000</v>
      </c>
      <c r="D11" s="8">
        <v>6273573000</v>
      </c>
      <c r="E11" s="10" t="s">
        <v>55</v>
      </c>
      <c r="F11" s="8" t="s">
        <v>42</v>
      </c>
      <c r="G11" s="8">
        <v>3768171000</v>
      </c>
      <c r="H11" s="8">
        <v>6241516000</v>
      </c>
      <c r="I11" s="8">
        <v>2473345000</v>
      </c>
      <c r="J11" s="8">
        <v>2473345000</v>
      </c>
      <c r="K11" s="10">
        <v>1149431000</v>
      </c>
      <c r="L11" s="8">
        <v>1701555000</v>
      </c>
      <c r="M11" s="8" t="s">
        <v>43</v>
      </c>
      <c r="N11" s="8">
        <v>2597109000</v>
      </c>
      <c r="O11" s="10" t="s">
        <v>43</v>
      </c>
      <c r="P11" s="10" t="s">
        <v>43</v>
      </c>
      <c r="Q11" s="8" t="s">
        <v>43</v>
      </c>
      <c r="R11" s="10">
        <v>1805496000</v>
      </c>
      <c r="S11" s="8" t="s">
        <v>43</v>
      </c>
      <c r="T11" s="8" t="s">
        <v>43</v>
      </c>
      <c r="U11" s="8" t="s">
        <v>43</v>
      </c>
      <c r="V11" s="10">
        <v>673991000</v>
      </c>
      <c r="W11" s="10">
        <v>-650533000</v>
      </c>
      <c r="X11" s="10">
        <v>86957000</v>
      </c>
      <c r="Y11" s="8" t="s">
        <v>43</v>
      </c>
      <c r="Z11" s="8">
        <v>-737634000</v>
      </c>
      <c r="AA11" s="10" t="s">
        <v>43</v>
      </c>
      <c r="AB11" s="10">
        <v>1106532000</v>
      </c>
      <c r="AC11" s="8">
        <v>1780523000</v>
      </c>
      <c r="AD11" s="8">
        <v>-754621000</v>
      </c>
      <c r="AE11" s="8"/>
      <c r="AF11" s="8"/>
      <c r="AG11" s="8"/>
      <c r="AH11" s="8"/>
      <c r="AI11" s="8"/>
      <c r="AJ11" s="8"/>
      <c r="AK11" s="8"/>
      <c r="AL11" s="8"/>
      <c r="AM11" s="8"/>
      <c r="AN11" s="8"/>
      <c r="AO11" s="8"/>
      <c r="AP11" s="8"/>
    </row>
    <row r="12" spans="1:42" ht="17">
      <c r="A12" s="8" t="s">
        <v>55</v>
      </c>
      <c r="B12" s="8" t="s">
        <v>42</v>
      </c>
      <c r="C12" s="8">
        <v>3768171000</v>
      </c>
      <c r="D12" s="8">
        <v>6241516000</v>
      </c>
      <c r="E12" s="10" t="s">
        <v>56</v>
      </c>
      <c r="F12" s="8" t="s">
        <v>42</v>
      </c>
      <c r="G12" s="8">
        <v>3784168000</v>
      </c>
      <c r="H12" s="8">
        <v>6318533000</v>
      </c>
      <c r="I12" s="8">
        <v>2534365000</v>
      </c>
      <c r="J12" s="8">
        <v>2534365000</v>
      </c>
      <c r="K12" s="10">
        <v>1081586000</v>
      </c>
      <c r="L12" s="8">
        <v>1687208000</v>
      </c>
      <c r="M12" s="8" t="s">
        <v>43</v>
      </c>
      <c r="N12" s="8">
        <v>2678406000</v>
      </c>
      <c r="O12" s="10" t="s">
        <v>43</v>
      </c>
      <c r="P12" s="10" t="s">
        <v>43</v>
      </c>
      <c r="Q12" s="8" t="s">
        <v>43</v>
      </c>
      <c r="R12" s="10">
        <v>1741596000</v>
      </c>
      <c r="S12" s="8" t="s">
        <v>43</v>
      </c>
      <c r="T12" s="8" t="s">
        <v>43</v>
      </c>
      <c r="U12" s="8" t="s">
        <v>43</v>
      </c>
      <c r="V12" s="10">
        <v>710898000</v>
      </c>
      <c r="W12" s="10">
        <v>-703669000</v>
      </c>
      <c r="X12" s="10">
        <v>58489000</v>
      </c>
      <c r="Y12" s="8" t="s">
        <v>43</v>
      </c>
      <c r="Z12" s="8">
        <v>-846524000</v>
      </c>
      <c r="AA12" s="10" t="s">
        <v>43</v>
      </c>
      <c r="AB12" s="10">
        <v>1123450000</v>
      </c>
      <c r="AC12" s="8">
        <v>1834348000</v>
      </c>
      <c r="AD12" s="8">
        <v>-793761000</v>
      </c>
      <c r="AE12" s="8"/>
      <c r="AF12" s="8"/>
      <c r="AG12" s="8"/>
      <c r="AH12" s="8"/>
      <c r="AI12" s="8"/>
      <c r="AJ12" s="8"/>
      <c r="AK12" s="8"/>
      <c r="AL12" s="8"/>
      <c r="AM12" s="8"/>
      <c r="AN12" s="8"/>
      <c r="AO12" s="8"/>
      <c r="AP12" s="8"/>
    </row>
    <row r="13" spans="1:42" ht="17">
      <c r="A13" s="8" t="s">
        <v>57</v>
      </c>
      <c r="B13" s="8" t="s">
        <v>42</v>
      </c>
      <c r="C13" s="8">
        <v>3784168000</v>
      </c>
      <c r="D13" s="8">
        <v>6318533000</v>
      </c>
      <c r="E13" s="10" t="s">
        <v>58</v>
      </c>
      <c r="F13" s="8" t="s">
        <v>42</v>
      </c>
      <c r="G13" s="8">
        <v>3699625000</v>
      </c>
      <c r="H13" s="8">
        <v>6243044000</v>
      </c>
      <c r="I13" s="8">
        <v>2543419000</v>
      </c>
      <c r="J13" s="8">
        <v>2543419000</v>
      </c>
      <c r="K13" s="10">
        <v>1000782000</v>
      </c>
      <c r="L13" s="8">
        <v>1649861000</v>
      </c>
      <c r="M13" s="8" t="s">
        <v>43</v>
      </c>
      <c r="N13" s="8">
        <v>2681873000</v>
      </c>
      <c r="O13" s="10" t="s">
        <v>43</v>
      </c>
      <c r="P13" s="10" t="s">
        <v>43</v>
      </c>
      <c r="Q13" s="8" t="s">
        <v>43</v>
      </c>
      <c r="R13" s="10">
        <v>1649451000</v>
      </c>
      <c r="S13" s="8" t="s">
        <v>43</v>
      </c>
      <c r="T13" s="8" t="s">
        <v>43</v>
      </c>
      <c r="U13" s="8" t="s">
        <v>43</v>
      </c>
      <c r="V13" s="10">
        <v>730828000</v>
      </c>
      <c r="W13" s="10">
        <v>-705334000</v>
      </c>
      <c r="X13" s="10">
        <v>-121817000</v>
      </c>
      <c r="Y13" s="8" t="s">
        <v>43</v>
      </c>
      <c r="Z13" s="8" t="s">
        <v>43</v>
      </c>
      <c r="AA13" s="10" t="s">
        <v>43</v>
      </c>
      <c r="AB13" s="10">
        <v>1052654000</v>
      </c>
      <c r="AC13" s="8">
        <v>1783482000</v>
      </c>
      <c r="AD13" s="8">
        <v>-606883000</v>
      </c>
      <c r="AE13" s="8"/>
      <c r="AF13" s="8"/>
      <c r="AG13" s="8"/>
      <c r="AH13" s="8"/>
      <c r="AI13" s="8"/>
      <c r="AJ13" s="8"/>
      <c r="AK13" s="8"/>
      <c r="AL13" s="8"/>
      <c r="AM13" s="8"/>
      <c r="AN13" s="8"/>
      <c r="AO13" s="8"/>
      <c r="AP13" s="8"/>
    </row>
    <row r="14" spans="1:42" ht="17">
      <c r="A14" s="8" t="s">
        <v>40</v>
      </c>
      <c r="B14" s="8" t="s">
        <v>42</v>
      </c>
      <c r="C14" s="8">
        <v>3699625000</v>
      </c>
      <c r="D14" s="8">
        <v>6243044000</v>
      </c>
      <c r="E14" s="10" t="s">
        <v>59</v>
      </c>
      <c r="F14" s="8" t="s">
        <v>42</v>
      </c>
      <c r="G14" s="8">
        <v>3750334000</v>
      </c>
      <c r="H14" s="8">
        <v>6246884000</v>
      </c>
      <c r="I14" s="8">
        <v>2496550000</v>
      </c>
      <c r="J14" s="8">
        <v>2496550000</v>
      </c>
      <c r="K14" s="10">
        <v>1070050000</v>
      </c>
      <c r="L14" s="8">
        <v>1673447000</v>
      </c>
      <c r="M14" s="8" t="s">
        <v>43</v>
      </c>
      <c r="N14" s="8">
        <v>2642633000</v>
      </c>
      <c r="O14" s="10" t="s">
        <v>43</v>
      </c>
      <c r="P14" s="10" t="s">
        <v>43</v>
      </c>
      <c r="Q14" s="8" t="s">
        <v>43</v>
      </c>
      <c r="R14" s="10">
        <v>1549023000</v>
      </c>
      <c r="S14" s="8" t="s">
        <v>43</v>
      </c>
      <c r="T14" s="8" t="s">
        <v>43</v>
      </c>
      <c r="U14" s="8" t="s">
        <v>43</v>
      </c>
      <c r="V14" s="10">
        <v>729285000</v>
      </c>
      <c r="W14" s="10">
        <v>-719469000</v>
      </c>
      <c r="X14" s="10">
        <v>-308279000</v>
      </c>
      <c r="Y14" s="8" t="s">
        <v>43</v>
      </c>
      <c r="Z14" s="8" t="s">
        <v>43</v>
      </c>
      <c r="AA14" s="10" t="s">
        <v>43</v>
      </c>
      <c r="AB14" s="10">
        <v>829554000</v>
      </c>
      <c r="AC14" s="8">
        <v>1558839000</v>
      </c>
      <c r="AD14" s="8">
        <v>-424479000</v>
      </c>
      <c r="AE14" s="8"/>
      <c r="AF14" s="8"/>
      <c r="AG14" s="8"/>
      <c r="AH14" s="8"/>
      <c r="AI14" s="8"/>
      <c r="AJ14" s="8"/>
      <c r="AK14" s="8"/>
      <c r="AL14" s="8"/>
      <c r="AM14" s="8"/>
      <c r="AN14" s="8"/>
      <c r="AO14" s="8"/>
      <c r="AP14" s="8"/>
    </row>
    <row r="15" spans="1:42" ht="17">
      <c r="A15" s="8" t="s">
        <v>59</v>
      </c>
      <c r="B15" s="8" t="s">
        <v>42</v>
      </c>
      <c r="C15" s="8">
        <v>3750334000</v>
      </c>
      <c r="D15" s="8">
        <v>6246884000</v>
      </c>
      <c r="E15" s="10" t="s">
        <v>60</v>
      </c>
      <c r="F15" s="8" t="s">
        <v>42</v>
      </c>
      <c r="G15" s="8">
        <v>3657316000</v>
      </c>
      <c r="H15" s="8">
        <v>6161352000</v>
      </c>
      <c r="I15" s="8">
        <v>2504036000</v>
      </c>
      <c r="J15" s="8">
        <v>2504036000</v>
      </c>
      <c r="K15" s="10">
        <v>1054724000</v>
      </c>
      <c r="L15" s="8">
        <v>1844354000</v>
      </c>
      <c r="M15" s="8" t="s">
        <v>43</v>
      </c>
      <c r="N15" s="8">
        <v>2620342000</v>
      </c>
      <c r="O15" s="10" t="s">
        <v>43</v>
      </c>
      <c r="P15" s="10" t="s">
        <v>43</v>
      </c>
      <c r="Q15" s="8" t="s">
        <v>43</v>
      </c>
      <c r="R15" s="10">
        <v>1466246000</v>
      </c>
      <c r="S15" s="8" t="s">
        <v>43</v>
      </c>
      <c r="T15" s="8" t="s">
        <v>43</v>
      </c>
      <c r="U15" s="8" t="s">
        <v>43</v>
      </c>
      <c r="V15" s="10">
        <v>763306000</v>
      </c>
      <c r="W15" s="10">
        <v>-394007000</v>
      </c>
      <c r="X15" s="10">
        <v>-125978000</v>
      </c>
      <c r="Y15" s="8" t="s">
        <v>43</v>
      </c>
      <c r="Z15" s="8" t="s">
        <v>43</v>
      </c>
      <c r="AA15" s="10" t="s">
        <v>43</v>
      </c>
      <c r="AB15" s="10">
        <v>1072239000</v>
      </c>
      <c r="AC15" s="8">
        <v>1835545000</v>
      </c>
      <c r="AD15" s="8">
        <v>-302094000</v>
      </c>
      <c r="AE15" s="8"/>
      <c r="AF15" s="8"/>
      <c r="AG15" s="8"/>
      <c r="AH15" s="8"/>
      <c r="AI15" s="8"/>
      <c r="AJ15" s="8"/>
      <c r="AK15" s="8"/>
      <c r="AL15" s="8"/>
      <c r="AM15" s="8"/>
      <c r="AN15" s="8"/>
      <c r="AO15" s="8"/>
      <c r="AP15" s="8"/>
    </row>
    <row r="16" spans="1:42" ht="17">
      <c r="A16" s="8" t="s">
        <v>61</v>
      </c>
      <c r="B16" s="8" t="s">
        <v>42</v>
      </c>
      <c r="C16" s="8">
        <v>3657316000</v>
      </c>
      <c r="D16" s="8">
        <v>6161352000</v>
      </c>
      <c r="E16" s="10" t="s">
        <v>62</v>
      </c>
      <c r="F16" s="8" t="s">
        <v>42</v>
      </c>
      <c r="G16" s="8">
        <v>3139476000</v>
      </c>
      <c r="H16" s="8">
        <v>5865685000</v>
      </c>
      <c r="I16" s="8">
        <v>2726209000</v>
      </c>
      <c r="J16" s="8">
        <v>2726209000</v>
      </c>
      <c r="K16" s="10">
        <v>864841000</v>
      </c>
      <c r="L16" s="8">
        <v>1509692000</v>
      </c>
      <c r="M16" s="8" t="s">
        <v>43</v>
      </c>
      <c r="N16" s="8">
        <v>2259271000</v>
      </c>
      <c r="O16" s="10" t="s">
        <v>43</v>
      </c>
      <c r="P16" s="10" t="s">
        <v>43</v>
      </c>
      <c r="Q16" s="8" t="s">
        <v>43</v>
      </c>
      <c r="R16" s="10">
        <v>1533341000</v>
      </c>
      <c r="S16" s="8" t="s">
        <v>43</v>
      </c>
      <c r="T16" s="8" t="s">
        <v>43</v>
      </c>
      <c r="U16" s="8" t="s">
        <v>43</v>
      </c>
      <c r="V16" s="10">
        <v>732869000</v>
      </c>
      <c r="W16" s="10">
        <v>-622833000</v>
      </c>
      <c r="X16" s="10">
        <v>-159980000</v>
      </c>
      <c r="Y16" s="8" t="s">
        <v>43</v>
      </c>
      <c r="Z16" s="8" t="s">
        <v>43</v>
      </c>
      <c r="AA16" s="10" t="s">
        <v>43</v>
      </c>
      <c r="AB16" s="10">
        <v>910508000</v>
      </c>
      <c r="AC16" s="8">
        <v>1643377000</v>
      </c>
      <c r="AD16" s="8">
        <v>-479089000</v>
      </c>
      <c r="AE16" s="8"/>
      <c r="AF16" s="8"/>
      <c r="AG16" s="8"/>
      <c r="AH16" s="8"/>
      <c r="AI16" s="8"/>
      <c r="AJ16" s="8"/>
      <c r="AK16" s="8"/>
      <c r="AL16" s="8"/>
      <c r="AM16" s="8"/>
      <c r="AN16" s="8"/>
      <c r="AO16" s="8"/>
      <c r="AP16" s="8"/>
    </row>
    <row r="17" spans="1:42" ht="17">
      <c r="A17" s="8" t="s">
        <v>40</v>
      </c>
      <c r="B17" s="8" t="s">
        <v>42</v>
      </c>
      <c r="C17" s="8">
        <v>3139476000</v>
      </c>
      <c r="D17" s="8">
        <v>5865685000</v>
      </c>
      <c r="E17" s="10" t="s">
        <v>63</v>
      </c>
      <c r="F17" s="8" t="s">
        <v>42</v>
      </c>
      <c r="G17" s="8">
        <v>2714682000</v>
      </c>
      <c r="H17" s="8">
        <v>5551909000</v>
      </c>
      <c r="I17" s="8">
        <v>2837227000</v>
      </c>
      <c r="J17" s="8">
        <v>2837227000</v>
      </c>
      <c r="K17" s="11">
        <v>-3687000000</v>
      </c>
      <c r="L17" s="8">
        <v>1466593000</v>
      </c>
      <c r="M17" s="8" t="s">
        <v>43</v>
      </c>
      <c r="N17" s="8">
        <v>2181230000</v>
      </c>
      <c r="O17" s="10" t="s">
        <v>43</v>
      </c>
      <c r="P17" s="10" t="s">
        <v>43</v>
      </c>
      <c r="Q17" s="8" t="s">
        <v>43</v>
      </c>
      <c r="R17" s="10">
        <v>1500866000</v>
      </c>
      <c r="S17" s="8" t="s">
        <v>43</v>
      </c>
      <c r="T17" s="8" t="s">
        <v>43</v>
      </c>
      <c r="U17" s="8" t="s">
        <v>43</v>
      </c>
      <c r="V17" s="10">
        <v>765474000</v>
      </c>
      <c r="W17" s="11">
        <v>-4542000000</v>
      </c>
      <c r="X17" s="10">
        <v>-493320000</v>
      </c>
      <c r="Y17" s="8" t="s">
        <v>43</v>
      </c>
      <c r="Z17" s="8" t="s">
        <v>43</v>
      </c>
      <c r="AA17" s="10" t="s">
        <v>43</v>
      </c>
      <c r="AB17" s="11">
        <v>-3041000000</v>
      </c>
      <c r="AC17" s="9">
        <v>-2276000000</v>
      </c>
      <c r="AD17" s="9">
        <v>-4034000000</v>
      </c>
      <c r="AE17" s="8"/>
      <c r="AF17" s="8"/>
      <c r="AG17" s="8"/>
      <c r="AH17" s="8"/>
      <c r="AI17" s="8"/>
      <c r="AJ17" s="8"/>
      <c r="AK17" s="8"/>
      <c r="AL17" s="8"/>
      <c r="AM17" s="8"/>
      <c r="AN17" s="8"/>
      <c r="AO17" s="8"/>
      <c r="AP17" s="8"/>
    </row>
    <row r="18" spans="1:42" ht="17">
      <c r="A18" s="8" t="s">
        <v>63</v>
      </c>
      <c r="B18" s="8" t="s">
        <v>42</v>
      </c>
      <c r="C18" s="8">
        <v>2714682000</v>
      </c>
      <c r="D18" s="8">
        <v>5551909000</v>
      </c>
      <c r="E18" s="10" t="s">
        <v>64</v>
      </c>
      <c r="F18" s="8" t="s">
        <v>42</v>
      </c>
      <c r="G18" s="8">
        <v>3556294000</v>
      </c>
      <c r="H18" s="8">
        <v>6688683000</v>
      </c>
      <c r="I18" s="8">
        <v>3132389000</v>
      </c>
      <c r="J18" s="8">
        <v>3132389000</v>
      </c>
      <c r="K18" s="11">
        <v>-4366000000</v>
      </c>
      <c r="L18" s="8">
        <v>1829246000</v>
      </c>
      <c r="M18" s="8" t="s">
        <v>43</v>
      </c>
      <c r="N18" s="8">
        <v>2554108000</v>
      </c>
      <c r="O18" s="10" t="s">
        <v>43</v>
      </c>
      <c r="P18" s="10" t="s">
        <v>43</v>
      </c>
      <c r="Q18" s="8" t="s">
        <v>43</v>
      </c>
      <c r="R18" s="10">
        <v>928978000</v>
      </c>
      <c r="S18" s="8" t="s">
        <v>43</v>
      </c>
      <c r="T18" s="8" t="s">
        <v>43</v>
      </c>
      <c r="U18" s="8" t="s">
        <v>43</v>
      </c>
      <c r="V18" s="10">
        <v>696830000</v>
      </c>
      <c r="W18" s="11">
        <v>-5151000000</v>
      </c>
      <c r="X18" s="10">
        <v>-524040000</v>
      </c>
      <c r="Y18" s="8" t="s">
        <v>43</v>
      </c>
      <c r="Z18" s="8" t="s">
        <v>43</v>
      </c>
      <c r="AA18" s="10" t="s">
        <v>43</v>
      </c>
      <c r="AB18" s="11">
        <v>-4741000000</v>
      </c>
      <c r="AC18" s="9">
        <v>-4045000000</v>
      </c>
      <c r="AD18" s="9">
        <v>-4005000000</v>
      </c>
      <c r="AE18" s="8"/>
      <c r="AF18" s="8"/>
      <c r="AG18" s="8"/>
      <c r="AH18" s="8"/>
      <c r="AI18" s="8"/>
      <c r="AJ18" s="8"/>
      <c r="AK18" s="8"/>
      <c r="AL18" s="8"/>
      <c r="AM18" s="8"/>
      <c r="AN18" s="8"/>
      <c r="AO18" s="8"/>
      <c r="AP18" s="8"/>
    </row>
    <row r="19" spans="1:42" ht="17">
      <c r="A19" s="8" t="s">
        <v>64</v>
      </c>
      <c r="B19" s="8" t="s">
        <v>42</v>
      </c>
      <c r="C19" s="8">
        <v>3556294000</v>
      </c>
      <c r="D19" s="8">
        <v>6688683000</v>
      </c>
      <c r="E19" s="10" t="s">
        <v>65</v>
      </c>
      <c r="F19" s="8">
        <v>3132389000</v>
      </c>
      <c r="G19" s="9">
        <v>-4366000000</v>
      </c>
      <c r="H19" s="8">
        <v>1829246000</v>
      </c>
      <c r="I19" s="8" t="s">
        <v>43</v>
      </c>
      <c r="J19" s="8">
        <v>2554108000</v>
      </c>
      <c r="K19" s="10" t="s">
        <v>43</v>
      </c>
      <c r="L19" s="8" t="s">
        <v>43</v>
      </c>
      <c r="M19" s="8" t="s">
        <v>43</v>
      </c>
      <c r="N19" s="8">
        <v>928978000</v>
      </c>
      <c r="O19" s="10" t="s">
        <v>43</v>
      </c>
      <c r="P19" s="10" t="s">
        <v>43</v>
      </c>
      <c r="Q19" s="8" t="s">
        <v>43</v>
      </c>
      <c r="R19" s="10">
        <v>696830000</v>
      </c>
      <c r="S19" s="9">
        <v>-5151000000</v>
      </c>
      <c r="T19" s="8">
        <v>-524040000</v>
      </c>
      <c r="U19" s="8" t="s">
        <v>43</v>
      </c>
      <c r="V19" s="10" t="s">
        <v>43</v>
      </c>
      <c r="W19" s="10" t="s">
        <v>43</v>
      </c>
      <c r="X19" s="11">
        <v>-4741000000</v>
      </c>
      <c r="Y19" s="9">
        <v>-4045000000</v>
      </c>
      <c r="Z19" s="9">
        <v>-4005000000</v>
      </c>
      <c r="AA19" s="10" t="s">
        <v>43</v>
      </c>
      <c r="AB19" s="11">
        <v>-4741000000</v>
      </c>
      <c r="AC19" s="9">
        <v>-4045000000</v>
      </c>
      <c r="AD19" s="9">
        <v>-4005000000</v>
      </c>
      <c r="AE19" s="8"/>
      <c r="AF19" s="8"/>
      <c r="AG19" s="8"/>
      <c r="AH19" s="8"/>
      <c r="AI19" s="8"/>
      <c r="AJ19" s="8"/>
      <c r="AK19" s="8"/>
      <c r="AL19" s="8"/>
      <c r="AM19" s="8"/>
      <c r="AN19" s="8"/>
      <c r="AO19" s="8"/>
      <c r="AP19" s="8"/>
    </row>
    <row r="20" spans="1:42" ht="17">
      <c r="A20" s="8"/>
      <c r="B20" s="8"/>
      <c r="C20" s="8"/>
      <c r="D20" s="8"/>
      <c r="E20" s="10" t="s">
        <v>66</v>
      </c>
      <c r="F20" s="8" t="s">
        <v>42</v>
      </c>
      <c r="G20" s="8">
        <v>5598000000</v>
      </c>
      <c r="H20" s="9">
        <v>19315000000</v>
      </c>
      <c r="I20" s="9">
        <v>13717000000</v>
      </c>
      <c r="J20" s="9">
        <v>13717000000</v>
      </c>
      <c r="K20" s="10">
        <v>2453000000</v>
      </c>
      <c r="L20" s="8">
        <v>2433000000</v>
      </c>
      <c r="M20" s="8">
        <v>712000000</v>
      </c>
      <c r="N20" s="8">
        <v>3145000000</v>
      </c>
      <c r="O20" s="10" t="s">
        <v>43</v>
      </c>
      <c r="P20" s="10" t="s">
        <v>43</v>
      </c>
      <c r="Q20" s="8" t="s">
        <v>43</v>
      </c>
      <c r="R20" s="10">
        <v>365000000</v>
      </c>
      <c r="S20" s="8" t="s">
        <v>43</v>
      </c>
      <c r="T20" s="8" t="s">
        <v>43</v>
      </c>
      <c r="U20" s="8" t="s">
        <v>43</v>
      </c>
      <c r="V20" s="10">
        <v>225000000</v>
      </c>
      <c r="W20" s="10">
        <v>2818000000</v>
      </c>
      <c r="X20" s="10">
        <v>829000000</v>
      </c>
      <c r="Y20" s="8" t="s">
        <v>43</v>
      </c>
      <c r="Z20" s="8" t="s">
        <v>43</v>
      </c>
      <c r="AA20" s="10" t="s">
        <v>43</v>
      </c>
      <c r="AB20" s="10">
        <v>2453000000</v>
      </c>
      <c r="AC20" s="8">
        <v>2678000000</v>
      </c>
      <c r="AD20" s="8">
        <v>1989000000</v>
      </c>
      <c r="AE20" s="8"/>
      <c r="AF20" s="8"/>
      <c r="AG20" s="8"/>
      <c r="AH20" s="8"/>
      <c r="AI20" s="8"/>
      <c r="AJ20" s="8"/>
      <c r="AK20" s="8"/>
      <c r="AL20" s="8"/>
      <c r="AM20" s="8"/>
      <c r="AN20" s="8"/>
      <c r="AO20" s="8"/>
      <c r="AP20" s="8"/>
    </row>
    <row r="21" spans="1:42" ht="17">
      <c r="A21" s="8" t="s">
        <v>45</v>
      </c>
      <c r="B21" s="8"/>
      <c r="C21" s="8"/>
      <c r="D21" s="8"/>
      <c r="E21" s="10" t="s">
        <v>67</v>
      </c>
      <c r="F21" s="8" t="s">
        <v>42</v>
      </c>
      <c r="G21" s="8">
        <v>4042000000</v>
      </c>
      <c r="H21" s="9">
        <v>13931000000</v>
      </c>
      <c r="I21" s="8">
        <v>9889000000</v>
      </c>
      <c r="J21" s="8">
        <v>9889000000</v>
      </c>
      <c r="K21" s="10">
        <v>1643000000</v>
      </c>
      <c r="L21" s="8">
        <v>1859000000</v>
      </c>
      <c r="M21" s="8">
        <v>535000000</v>
      </c>
      <c r="N21" s="8">
        <v>2399000000</v>
      </c>
      <c r="O21" s="10" t="s">
        <v>43</v>
      </c>
      <c r="P21" s="10" t="s">
        <v>43</v>
      </c>
      <c r="Q21" s="8" t="s">
        <v>43</v>
      </c>
      <c r="R21" s="10">
        <v>165000000</v>
      </c>
      <c r="S21" s="8" t="s">
        <v>43</v>
      </c>
      <c r="T21" s="8" t="s">
        <v>43</v>
      </c>
      <c r="U21" s="8" t="s">
        <v>43</v>
      </c>
      <c r="V21" s="10">
        <v>179000000</v>
      </c>
      <c r="W21" s="10">
        <v>1815000000</v>
      </c>
      <c r="X21" s="10">
        <v>480000000</v>
      </c>
      <c r="Y21" s="8" t="s">
        <v>43</v>
      </c>
      <c r="Z21" s="8" t="s">
        <v>43</v>
      </c>
      <c r="AA21" s="10" t="s">
        <v>43</v>
      </c>
      <c r="AB21" s="10">
        <v>1643000000</v>
      </c>
      <c r="AC21" s="8">
        <v>1822000000</v>
      </c>
      <c r="AD21" s="8">
        <v>1328000000</v>
      </c>
      <c r="AE21" s="8"/>
      <c r="AF21" s="8"/>
      <c r="AG21" s="8"/>
      <c r="AH21" s="8"/>
      <c r="AI21" s="8"/>
      <c r="AJ21" s="8"/>
      <c r="AK21" s="8"/>
      <c r="AL21" s="8"/>
      <c r="AM21" s="8"/>
      <c r="AN21" s="8"/>
      <c r="AO21" s="8"/>
      <c r="AP21" s="8"/>
    </row>
    <row r="22" spans="1:42" ht="17">
      <c r="A22" s="8" t="s">
        <v>14</v>
      </c>
      <c r="B22" s="8" t="s">
        <v>15</v>
      </c>
      <c r="C22" s="8" t="s">
        <v>16</v>
      </c>
      <c r="D22" s="8" t="s">
        <v>17</v>
      </c>
      <c r="E22" s="10" t="s">
        <v>18</v>
      </c>
      <c r="F22" s="8" t="s">
        <v>19</v>
      </c>
      <c r="G22" s="8" t="s">
        <v>20</v>
      </c>
      <c r="H22" s="8" t="s">
        <v>21</v>
      </c>
      <c r="I22" s="8" t="s">
        <v>22</v>
      </c>
      <c r="J22" s="8" t="s">
        <v>23</v>
      </c>
      <c r="K22" s="10" t="s">
        <v>24</v>
      </c>
      <c r="L22" s="8" t="s">
        <v>25</v>
      </c>
      <c r="M22" s="8" t="s">
        <v>26</v>
      </c>
      <c r="N22" s="8" t="s">
        <v>27</v>
      </c>
      <c r="O22" s="10" t="s">
        <v>28</v>
      </c>
      <c r="P22" s="10" t="s">
        <v>29</v>
      </c>
      <c r="Q22" s="8" t="s">
        <v>30</v>
      </c>
      <c r="R22" s="10" t="s">
        <v>31</v>
      </c>
      <c r="S22" s="8" t="s">
        <v>32</v>
      </c>
      <c r="T22" s="8" t="s">
        <v>33</v>
      </c>
      <c r="U22" s="8" t="s">
        <v>34</v>
      </c>
      <c r="V22" s="10" t="s">
        <v>35</v>
      </c>
      <c r="W22" s="10" t="s">
        <v>36</v>
      </c>
      <c r="X22" s="10" t="s">
        <v>37</v>
      </c>
      <c r="Y22" s="8" t="s">
        <v>38</v>
      </c>
      <c r="Z22" s="8" t="s">
        <v>39</v>
      </c>
      <c r="AA22" s="10"/>
      <c r="AB22" s="10"/>
      <c r="AC22" s="8"/>
      <c r="AD22" s="8"/>
      <c r="AE22" s="8"/>
      <c r="AF22" s="8"/>
      <c r="AG22" s="8"/>
      <c r="AH22" s="8"/>
      <c r="AI22" s="8"/>
      <c r="AJ22" s="8"/>
      <c r="AK22" s="8"/>
      <c r="AL22" s="8"/>
      <c r="AM22" s="8"/>
      <c r="AN22" s="8"/>
      <c r="AO22" s="8"/>
      <c r="AP22" s="8"/>
    </row>
    <row r="23" spans="1:42" ht="17">
      <c r="A23" s="8" t="s">
        <v>68</v>
      </c>
      <c r="B23" s="8" t="s">
        <v>42</v>
      </c>
      <c r="C23" s="8">
        <v>450775000</v>
      </c>
      <c r="D23" s="8">
        <v>807101000</v>
      </c>
      <c r="E23" s="10">
        <v>356326000</v>
      </c>
      <c r="F23" s="8">
        <v>356326000</v>
      </c>
      <c r="G23" s="8">
        <v>-25434000</v>
      </c>
      <c r="H23" s="8">
        <v>380794000</v>
      </c>
      <c r="I23" s="8" t="s">
        <v>43</v>
      </c>
      <c r="J23" s="8">
        <v>476209000</v>
      </c>
      <c r="K23" s="10" t="s">
        <v>43</v>
      </c>
      <c r="L23" s="8">
        <v>-100386000</v>
      </c>
      <c r="M23" s="8" t="s">
        <v>43</v>
      </c>
      <c r="N23" s="8">
        <v>100386000</v>
      </c>
      <c r="O23" s="10" t="s">
        <v>43</v>
      </c>
      <c r="P23" s="10" t="s">
        <v>43</v>
      </c>
      <c r="Q23" s="8" t="s">
        <v>43</v>
      </c>
      <c r="R23" s="10">
        <v>91901000</v>
      </c>
      <c r="S23" s="8">
        <v>-145524000</v>
      </c>
      <c r="T23" s="8">
        <v>135359000</v>
      </c>
      <c r="U23" s="8" t="s">
        <v>43</v>
      </c>
      <c r="V23" s="10">
        <v>-280883000</v>
      </c>
      <c r="W23" s="10" t="s">
        <v>43</v>
      </c>
      <c r="X23" s="10">
        <v>-45138000</v>
      </c>
      <c r="Y23" s="8">
        <v>46763000</v>
      </c>
      <c r="Z23" s="8">
        <v>-281224000</v>
      </c>
      <c r="AA23" s="10" t="s">
        <v>69</v>
      </c>
      <c r="AB23" s="10" t="s">
        <v>70</v>
      </c>
      <c r="AC23" s="8" t="s">
        <v>71</v>
      </c>
      <c r="AD23" s="8" t="s">
        <v>72</v>
      </c>
      <c r="AE23" s="8" t="s">
        <v>73</v>
      </c>
      <c r="AF23" s="8" t="s">
        <v>74</v>
      </c>
      <c r="AG23" s="8" t="s">
        <v>75</v>
      </c>
      <c r="AH23" s="8" t="s">
        <v>76</v>
      </c>
      <c r="AI23" s="8" t="s">
        <v>77</v>
      </c>
      <c r="AJ23" s="8" t="s">
        <v>78</v>
      </c>
      <c r="AK23" s="8" t="s">
        <v>79</v>
      </c>
      <c r="AL23" s="8" t="s">
        <v>80</v>
      </c>
      <c r="AM23" s="8" t="s">
        <v>81</v>
      </c>
      <c r="AN23" s="8" t="s">
        <v>82</v>
      </c>
      <c r="AO23" s="8" t="s">
        <v>83</v>
      </c>
      <c r="AP23" s="8" t="s">
        <v>84</v>
      </c>
    </row>
    <row r="24" spans="1:42" ht="17">
      <c r="A24" s="8" t="s">
        <v>41</v>
      </c>
      <c r="B24" s="8" t="s">
        <v>42</v>
      </c>
      <c r="C24" s="8">
        <v>662492000</v>
      </c>
      <c r="D24" s="8">
        <v>1118269000</v>
      </c>
      <c r="E24" s="10" t="s">
        <v>65</v>
      </c>
      <c r="F24" s="8">
        <v>455777000</v>
      </c>
      <c r="G24" s="8">
        <v>104547000</v>
      </c>
      <c r="H24" s="8">
        <v>458088000</v>
      </c>
      <c r="I24" s="8" t="s">
        <v>43</v>
      </c>
      <c r="J24" s="8">
        <v>557945000</v>
      </c>
      <c r="K24" s="10" t="s">
        <v>43</v>
      </c>
      <c r="L24" s="8">
        <v>-92627000</v>
      </c>
      <c r="M24" s="8" t="s">
        <v>43</v>
      </c>
      <c r="N24" s="8">
        <v>92627000</v>
      </c>
      <c r="O24" s="10" t="s">
        <v>43</v>
      </c>
      <c r="P24" s="10" t="s">
        <v>43</v>
      </c>
      <c r="Q24" s="8" t="s">
        <v>43</v>
      </c>
      <c r="R24" s="10">
        <v>98733000</v>
      </c>
      <c r="S24" s="8">
        <v>-102688000</v>
      </c>
      <c r="T24" s="8">
        <v>-134616000</v>
      </c>
      <c r="U24" s="8" t="s">
        <v>43</v>
      </c>
      <c r="V24" s="10">
        <v>31928000</v>
      </c>
      <c r="W24" s="10" t="s">
        <v>43</v>
      </c>
      <c r="X24" s="10">
        <v>-10061000</v>
      </c>
      <c r="Y24" s="8">
        <v>88672000</v>
      </c>
      <c r="Z24" s="8">
        <v>31490000</v>
      </c>
      <c r="AA24" s="10" t="s">
        <v>43</v>
      </c>
      <c r="AB24" s="10" t="s">
        <v>43</v>
      </c>
      <c r="AC24" s="8">
        <v>92017000</v>
      </c>
      <c r="AD24" s="8">
        <v>6073196000</v>
      </c>
      <c r="AE24" s="8">
        <v>786102000</v>
      </c>
      <c r="AF24" s="8">
        <v>5048968000</v>
      </c>
      <c r="AG24" s="8">
        <v>22501000</v>
      </c>
      <c r="AH24" s="8" t="s">
        <v>43</v>
      </c>
      <c r="AI24" s="8">
        <v>5857571000</v>
      </c>
      <c r="AJ24" s="8">
        <v>370654000</v>
      </c>
      <c r="AK24" s="8">
        <v>204744000</v>
      </c>
      <c r="AL24" s="9">
        <v>-1377000000</v>
      </c>
      <c r="AM24" s="8" t="s">
        <v>43</v>
      </c>
      <c r="AN24" s="9">
        <v>-4340000000</v>
      </c>
      <c r="AO24" s="8">
        <v>149000</v>
      </c>
      <c r="AP24" s="8">
        <v>151272000</v>
      </c>
    </row>
    <row r="25" spans="1:42" ht="17">
      <c r="A25" s="8" t="s">
        <v>85</v>
      </c>
      <c r="B25" s="8" t="s">
        <v>42</v>
      </c>
      <c r="C25" s="8">
        <v>598388000</v>
      </c>
      <c r="D25" s="8">
        <v>1008133000</v>
      </c>
      <c r="E25" s="10" t="s">
        <v>65</v>
      </c>
      <c r="F25" s="8">
        <v>409745000</v>
      </c>
      <c r="G25" s="8">
        <v>76720000</v>
      </c>
      <c r="H25" s="8">
        <v>418833000</v>
      </c>
      <c r="I25" s="8" t="s">
        <v>43</v>
      </c>
      <c r="J25" s="8">
        <v>521668000</v>
      </c>
      <c r="K25" s="10" t="s">
        <v>43</v>
      </c>
      <c r="L25" s="8">
        <v>-95715000</v>
      </c>
      <c r="M25" s="8" t="s">
        <v>43</v>
      </c>
      <c r="N25" s="8">
        <v>95715000</v>
      </c>
      <c r="O25" s="10" t="s">
        <v>43</v>
      </c>
      <c r="P25" s="10" t="s">
        <v>43</v>
      </c>
      <c r="Q25" s="8" t="s">
        <v>43</v>
      </c>
      <c r="R25" s="10">
        <v>101331000</v>
      </c>
      <c r="S25" s="8">
        <v>-20490000</v>
      </c>
      <c r="T25" s="8">
        <v>20835000</v>
      </c>
      <c r="U25" s="8" t="s">
        <v>43</v>
      </c>
      <c r="V25" s="10">
        <v>-41325000</v>
      </c>
      <c r="W25" s="10" t="s">
        <v>43</v>
      </c>
      <c r="X25" s="10">
        <v>75225000</v>
      </c>
      <c r="Y25" s="8">
        <v>176556000</v>
      </c>
      <c r="Z25" s="8">
        <v>-41265000</v>
      </c>
      <c r="AA25" s="10" t="s">
        <v>43</v>
      </c>
      <c r="AB25" s="10" t="s">
        <v>43</v>
      </c>
      <c r="AC25" s="8">
        <v>74172000</v>
      </c>
      <c r="AD25" s="8">
        <v>6488933000</v>
      </c>
      <c r="AE25" s="8">
        <v>836652000</v>
      </c>
      <c r="AF25" s="8">
        <v>5214810000</v>
      </c>
      <c r="AG25" s="8">
        <v>340000</v>
      </c>
      <c r="AH25" s="8" t="s">
        <v>43</v>
      </c>
      <c r="AI25" s="8">
        <v>6051802000</v>
      </c>
      <c r="AJ25" s="8">
        <v>379562000</v>
      </c>
      <c r="AK25" s="8">
        <v>171535000</v>
      </c>
      <c r="AL25" s="8">
        <v>-394155000</v>
      </c>
      <c r="AM25" s="8" t="s">
        <v>43</v>
      </c>
      <c r="AN25" s="9">
        <v>-3330000000</v>
      </c>
      <c r="AO25" s="8">
        <v>146000</v>
      </c>
      <c r="AP25" s="8">
        <v>149255000</v>
      </c>
    </row>
    <row r="26" spans="1:42" ht="17">
      <c r="A26" s="8" t="s">
        <v>86</v>
      </c>
      <c r="B26" s="8" t="s">
        <v>42</v>
      </c>
      <c r="C26" s="8">
        <v>547043000</v>
      </c>
      <c r="D26" s="8">
        <v>929092000</v>
      </c>
      <c r="E26" s="10" t="s">
        <v>65</v>
      </c>
      <c r="F26" s="8">
        <v>382049000</v>
      </c>
      <c r="G26" s="8">
        <v>-909667000</v>
      </c>
      <c r="H26" s="8">
        <v>431614000</v>
      </c>
      <c r="I26" s="8" t="s">
        <v>43</v>
      </c>
      <c r="J26" s="8">
        <v>1456710000</v>
      </c>
      <c r="K26" s="10" t="s">
        <v>43</v>
      </c>
      <c r="L26" s="8">
        <v>-95577000</v>
      </c>
      <c r="M26" s="8" t="s">
        <v>43</v>
      </c>
      <c r="N26" s="8">
        <v>95577000</v>
      </c>
      <c r="O26" s="10" t="s">
        <v>43</v>
      </c>
      <c r="P26" s="10" t="s">
        <v>43</v>
      </c>
      <c r="Q26" s="8" t="s">
        <v>43</v>
      </c>
      <c r="R26" s="10">
        <v>104356000</v>
      </c>
      <c r="S26" s="9">
        <v>-1006000000</v>
      </c>
      <c r="T26" s="8">
        <v>-23959000</v>
      </c>
      <c r="U26" s="8" t="s">
        <v>43</v>
      </c>
      <c r="V26" s="10">
        <v>-981989000</v>
      </c>
      <c r="W26" s="10" t="s">
        <v>43</v>
      </c>
      <c r="X26" s="10">
        <v>-910371000</v>
      </c>
      <c r="Y26" s="8">
        <v>-806015000</v>
      </c>
      <c r="Z26" s="8">
        <v>-981658000</v>
      </c>
      <c r="AA26" s="10" t="s">
        <v>43</v>
      </c>
      <c r="AB26" s="10" t="s">
        <v>43</v>
      </c>
      <c r="AC26" s="8">
        <v>140712000</v>
      </c>
      <c r="AD26" s="8">
        <v>6820200000</v>
      </c>
      <c r="AE26" s="8">
        <v>918942000</v>
      </c>
      <c r="AF26" s="8">
        <v>5413503000</v>
      </c>
      <c r="AG26" s="8">
        <v>664000</v>
      </c>
      <c r="AH26" s="8" t="s">
        <v>43</v>
      </c>
      <c r="AI26" s="8">
        <v>6333109000</v>
      </c>
      <c r="AJ26" s="8">
        <v>249544000</v>
      </c>
      <c r="AK26" s="8">
        <v>73332000</v>
      </c>
      <c r="AL26" s="8">
        <v>684500000</v>
      </c>
      <c r="AM26" s="8" t="s">
        <v>43</v>
      </c>
      <c r="AN26" s="9">
        <v>-2227000000</v>
      </c>
      <c r="AO26" s="8">
        <v>144000</v>
      </c>
      <c r="AP26" s="8">
        <v>148058000</v>
      </c>
    </row>
    <row r="27" spans="1:42" ht="17">
      <c r="A27" s="8" t="s">
        <v>87</v>
      </c>
      <c r="B27" s="8" t="s">
        <v>42</v>
      </c>
      <c r="C27" s="8">
        <v>352516000</v>
      </c>
      <c r="D27" s="8">
        <v>799038000</v>
      </c>
      <c r="E27" s="10" t="s">
        <v>65</v>
      </c>
      <c r="F27" s="8">
        <v>446522000</v>
      </c>
      <c r="G27" s="8">
        <v>-9025000</v>
      </c>
      <c r="H27" s="8">
        <v>385144000</v>
      </c>
      <c r="I27" s="8" t="s">
        <v>43</v>
      </c>
      <c r="J27" s="8">
        <v>361541000</v>
      </c>
      <c r="K27" s="10" t="s">
        <v>43</v>
      </c>
      <c r="L27" s="8">
        <v>-95515000</v>
      </c>
      <c r="M27" s="8" t="s">
        <v>43</v>
      </c>
      <c r="N27" s="8">
        <v>95515000</v>
      </c>
      <c r="O27" s="10" t="s">
        <v>43</v>
      </c>
      <c r="P27" s="10" t="s">
        <v>43</v>
      </c>
      <c r="Q27" s="8" t="s">
        <v>43</v>
      </c>
      <c r="R27" s="10">
        <v>105162000</v>
      </c>
      <c r="S27" s="8">
        <v>-38770000</v>
      </c>
      <c r="T27" s="8">
        <v>-20662000</v>
      </c>
      <c r="U27" s="8" t="s">
        <v>43</v>
      </c>
      <c r="V27" s="10">
        <v>-18108000</v>
      </c>
      <c r="W27" s="10" t="s">
        <v>43</v>
      </c>
      <c r="X27" s="10">
        <v>56745000</v>
      </c>
      <c r="Y27" s="8">
        <v>161907000</v>
      </c>
      <c r="Z27" s="8">
        <v>-18508000</v>
      </c>
      <c r="AA27" s="10" t="s">
        <v>43</v>
      </c>
      <c r="AB27" s="10" t="s">
        <v>43</v>
      </c>
      <c r="AC27" s="8">
        <v>177843000</v>
      </c>
      <c r="AD27" s="8">
        <v>7116800000</v>
      </c>
      <c r="AE27" s="8">
        <v>827399000</v>
      </c>
      <c r="AF27" s="8">
        <v>5738195000</v>
      </c>
      <c r="AG27" s="8">
        <v>673000</v>
      </c>
      <c r="AH27" s="8" t="s">
        <v>43</v>
      </c>
      <c r="AI27" s="8">
        <v>6566267000</v>
      </c>
      <c r="AJ27" s="8">
        <v>243858000</v>
      </c>
      <c r="AK27" s="8">
        <v>80897000</v>
      </c>
      <c r="AL27" s="8">
        <v>915800000</v>
      </c>
      <c r="AM27" s="8">
        <v>-6282000</v>
      </c>
      <c r="AN27" s="9">
        <v>-1963000000</v>
      </c>
      <c r="AO27" s="8">
        <v>142000</v>
      </c>
      <c r="AP27" s="8">
        <v>146726000</v>
      </c>
    </row>
    <row r="28" spans="1:42" ht="17">
      <c r="A28" s="8" t="s">
        <v>44</v>
      </c>
      <c r="B28" s="8" t="s">
        <v>42</v>
      </c>
      <c r="C28" s="8">
        <v>546772000</v>
      </c>
      <c r="D28" s="8">
        <v>1066783000</v>
      </c>
      <c r="E28" s="10" t="s">
        <v>65</v>
      </c>
      <c r="F28" s="8">
        <v>520011000</v>
      </c>
      <c r="G28" s="8">
        <v>94687000</v>
      </c>
      <c r="H28" s="8">
        <v>465969000</v>
      </c>
      <c r="I28" s="8" t="s">
        <v>43</v>
      </c>
      <c r="J28" s="8">
        <v>452085000</v>
      </c>
      <c r="K28" s="10" t="s">
        <v>43</v>
      </c>
      <c r="L28" s="8">
        <v>-96116000</v>
      </c>
      <c r="M28" s="8" t="s">
        <v>43</v>
      </c>
      <c r="N28" s="8">
        <v>96116000</v>
      </c>
      <c r="O28" s="10" t="s">
        <v>43</v>
      </c>
      <c r="P28" s="10" t="s">
        <v>43</v>
      </c>
      <c r="Q28" s="8" t="s">
        <v>43</v>
      </c>
      <c r="R28" s="10">
        <v>105455000</v>
      </c>
      <c r="S28" s="8">
        <v>-18850000</v>
      </c>
      <c r="T28" s="8">
        <v>-32825000</v>
      </c>
      <c r="U28" s="8" t="s">
        <v>43</v>
      </c>
      <c r="V28" s="10">
        <v>13975000</v>
      </c>
      <c r="W28" s="10" t="s">
        <v>43</v>
      </c>
      <c r="X28" s="10">
        <v>77266000</v>
      </c>
      <c r="Y28" s="8">
        <v>182721000</v>
      </c>
      <c r="Z28" s="8">
        <v>13123000</v>
      </c>
      <c r="AA28" s="10" t="s">
        <v>43</v>
      </c>
      <c r="AB28" s="10" t="s">
        <v>43</v>
      </c>
      <c r="AC28" s="8">
        <v>187781000</v>
      </c>
      <c r="AD28" s="8">
        <v>7469200000</v>
      </c>
      <c r="AE28" s="8">
        <v>840994000</v>
      </c>
      <c r="AF28" s="8">
        <v>5982155000</v>
      </c>
      <c r="AG28" s="8">
        <v>34775000</v>
      </c>
      <c r="AH28" s="8" t="s">
        <v>43</v>
      </c>
      <c r="AI28" s="8">
        <v>6857924000</v>
      </c>
      <c r="AJ28" s="8">
        <v>180699000</v>
      </c>
      <c r="AK28" s="8">
        <v>131217000</v>
      </c>
      <c r="AL28" s="8">
        <v>1050800000</v>
      </c>
      <c r="AM28" s="8">
        <v>-3199000</v>
      </c>
      <c r="AN28" s="9">
        <v>-1804000000</v>
      </c>
      <c r="AO28" s="8">
        <v>72000</v>
      </c>
      <c r="AP28" s="8">
        <v>145979000</v>
      </c>
    </row>
    <row r="29" spans="1:42" ht="17">
      <c r="A29" s="8" t="s">
        <v>88</v>
      </c>
      <c r="B29" s="8" t="s">
        <v>42</v>
      </c>
      <c r="C29" s="8">
        <v>572992000</v>
      </c>
      <c r="D29" s="8">
        <v>952989000</v>
      </c>
      <c r="E29" s="10" t="s">
        <v>65</v>
      </c>
      <c r="F29" s="8">
        <v>379997000</v>
      </c>
      <c r="G29" s="8">
        <v>68965000</v>
      </c>
      <c r="H29" s="8">
        <v>393628000</v>
      </c>
      <c r="I29" s="8" t="s">
        <v>43</v>
      </c>
      <c r="J29" s="8">
        <v>393628000</v>
      </c>
      <c r="K29" s="10" t="s">
        <v>43</v>
      </c>
      <c r="L29" s="8">
        <v>-99509000</v>
      </c>
      <c r="M29" s="8" t="s">
        <v>43</v>
      </c>
      <c r="N29" s="8">
        <v>99509000</v>
      </c>
      <c r="O29" s="10" t="s">
        <v>43</v>
      </c>
      <c r="P29" s="10" t="s">
        <v>43</v>
      </c>
      <c r="Q29" s="8" t="s">
        <v>43</v>
      </c>
      <c r="R29" s="10">
        <v>106451000</v>
      </c>
      <c r="S29" s="8">
        <v>-18230000</v>
      </c>
      <c r="T29" s="8">
        <v>9261000</v>
      </c>
      <c r="U29" s="8" t="s">
        <v>43</v>
      </c>
      <c r="V29" s="10">
        <v>-8969000</v>
      </c>
      <c r="W29" s="10" t="s">
        <v>43</v>
      </c>
      <c r="X29" s="10">
        <v>81279000</v>
      </c>
      <c r="Y29" s="8">
        <v>187730000</v>
      </c>
      <c r="Z29" s="8">
        <v>-27491000</v>
      </c>
      <c r="AA29" s="10" t="s">
        <v>43</v>
      </c>
      <c r="AB29" s="10" t="s">
        <v>43</v>
      </c>
      <c r="AC29" s="8">
        <v>164424000</v>
      </c>
      <c r="AD29" s="8">
        <v>7417200000</v>
      </c>
      <c r="AE29" s="8">
        <v>873959000</v>
      </c>
      <c r="AF29" s="8">
        <v>5756504000</v>
      </c>
      <c r="AG29" s="8">
        <v>8912000</v>
      </c>
      <c r="AH29" s="8" t="s">
        <v>43</v>
      </c>
      <c r="AI29" s="8">
        <v>6639375000</v>
      </c>
      <c r="AJ29" s="8">
        <v>228223000</v>
      </c>
      <c r="AK29" s="8">
        <v>20457000</v>
      </c>
      <c r="AL29" s="8">
        <v>2945400000</v>
      </c>
      <c r="AM29" s="8" t="s">
        <v>43</v>
      </c>
      <c r="AN29" s="8">
        <v>112548000</v>
      </c>
      <c r="AO29" s="8">
        <v>65000</v>
      </c>
      <c r="AP29" s="8">
        <v>64553039</v>
      </c>
    </row>
    <row r="30" spans="1:42" ht="17">
      <c r="A30" s="8" t="s">
        <v>89</v>
      </c>
      <c r="B30" s="8" t="s">
        <v>42</v>
      </c>
      <c r="C30" s="8">
        <v>564953000</v>
      </c>
      <c r="D30" s="8">
        <v>920014000</v>
      </c>
      <c r="E30" s="10" t="s">
        <v>65</v>
      </c>
      <c r="F30" s="8">
        <v>355061000</v>
      </c>
      <c r="G30" s="8">
        <v>63376000</v>
      </c>
      <c r="H30" s="8">
        <v>393773000</v>
      </c>
      <c r="I30" s="8" t="s">
        <v>43</v>
      </c>
      <c r="J30" s="8">
        <v>501577000</v>
      </c>
      <c r="K30" s="10" t="s">
        <v>43</v>
      </c>
      <c r="L30" s="8">
        <v>-98693000</v>
      </c>
      <c r="M30" s="8" t="s">
        <v>43</v>
      </c>
      <c r="N30" s="8">
        <v>98693000</v>
      </c>
      <c r="O30" s="10" t="s">
        <v>43</v>
      </c>
      <c r="P30" s="10">
        <v>16548000</v>
      </c>
      <c r="Q30" s="8" t="s">
        <v>43</v>
      </c>
      <c r="R30" s="10">
        <v>108065000</v>
      </c>
      <c r="S30" s="8">
        <v>-979339000</v>
      </c>
      <c r="T30" s="8">
        <v>-96357000</v>
      </c>
      <c r="U30" s="8" t="s">
        <v>43</v>
      </c>
      <c r="V30" s="10">
        <v>-882982000</v>
      </c>
      <c r="W30" s="10" t="s">
        <v>43</v>
      </c>
      <c r="X30" s="10">
        <v>-880646000</v>
      </c>
      <c r="Y30" s="8">
        <v>-772581000</v>
      </c>
      <c r="Z30" s="8">
        <v>-884470000</v>
      </c>
      <c r="AA30" s="10" t="s">
        <v>43</v>
      </c>
      <c r="AB30" s="10" t="s">
        <v>43</v>
      </c>
      <c r="AC30" s="8">
        <v>46105000</v>
      </c>
      <c r="AD30" s="9">
        <v>22582000000</v>
      </c>
      <c r="AE30" s="8" t="s">
        <v>43</v>
      </c>
      <c r="AF30" s="8">
        <v>5277108000</v>
      </c>
      <c r="AG30" s="8">
        <v>46332000</v>
      </c>
      <c r="AH30" s="8" t="s">
        <v>43</v>
      </c>
      <c r="AI30" s="8">
        <v>5323440000</v>
      </c>
      <c r="AJ30" s="8">
        <v>1152109000</v>
      </c>
      <c r="AK30" s="9">
        <v>16614000000</v>
      </c>
      <c r="AL30" s="9">
        <v>-11590000000</v>
      </c>
      <c r="AM30" s="8" t="s">
        <v>43</v>
      </c>
      <c r="AN30" s="9">
        <v>-13350000000</v>
      </c>
      <c r="AO30" s="8">
        <v>92000</v>
      </c>
      <c r="AP30" s="8">
        <v>85412000</v>
      </c>
    </row>
    <row r="31" spans="1:42" ht="17">
      <c r="A31" s="8" t="s">
        <v>90</v>
      </c>
      <c r="B31" s="8" t="s">
        <v>42</v>
      </c>
      <c r="C31" s="8">
        <v>466619000</v>
      </c>
      <c r="D31" s="8">
        <v>811239000</v>
      </c>
      <c r="E31" s="10" t="s">
        <v>65</v>
      </c>
      <c r="F31" s="8">
        <v>344620000</v>
      </c>
      <c r="G31" s="8">
        <v>-44974000</v>
      </c>
      <c r="H31" s="8">
        <v>402801000</v>
      </c>
      <c r="I31" s="8" t="s">
        <v>43</v>
      </c>
      <c r="J31" s="8">
        <v>511534000</v>
      </c>
      <c r="K31" s="10" t="s">
        <v>43</v>
      </c>
      <c r="L31" s="8">
        <v>-95457000</v>
      </c>
      <c r="M31" s="8" t="s">
        <v>43</v>
      </c>
      <c r="N31" s="8">
        <v>95457000</v>
      </c>
      <c r="O31" s="10" t="s">
        <v>43</v>
      </c>
      <c r="P31" s="10">
        <v>-1939000</v>
      </c>
      <c r="Q31" s="8" t="s">
        <v>43</v>
      </c>
      <c r="R31" s="10">
        <v>108512000</v>
      </c>
      <c r="S31" s="8">
        <v>-146258000</v>
      </c>
      <c r="T31" s="8">
        <v>76105000</v>
      </c>
      <c r="U31" s="8" t="s">
        <v>43</v>
      </c>
      <c r="V31" s="10">
        <v>-222363000</v>
      </c>
      <c r="W31" s="10" t="s">
        <v>43</v>
      </c>
      <c r="X31" s="10">
        <v>-50801000</v>
      </c>
      <c r="Y31" s="8">
        <v>57711000</v>
      </c>
      <c r="Z31" s="8">
        <v>-222363000</v>
      </c>
      <c r="AA31" s="10" t="s">
        <v>43</v>
      </c>
      <c r="AB31" s="10" t="s">
        <v>43</v>
      </c>
      <c r="AC31" s="9">
        <v>14972000000</v>
      </c>
      <c r="AD31" s="8">
        <v>7233289000</v>
      </c>
      <c r="AE31" s="8" t="s">
        <v>43</v>
      </c>
      <c r="AF31" s="8">
        <v>5676814000</v>
      </c>
      <c r="AG31" s="9">
        <v>14972000000</v>
      </c>
      <c r="AH31" s="8" t="s">
        <v>43</v>
      </c>
      <c r="AI31" s="9">
        <v>20649000000</v>
      </c>
      <c r="AJ31" s="8">
        <v>1037230000</v>
      </c>
      <c r="AK31" s="8">
        <v>152598000</v>
      </c>
      <c r="AL31" s="9">
        <v>-11370000000</v>
      </c>
      <c r="AM31" s="8" t="s">
        <v>43</v>
      </c>
      <c r="AN31" s="9">
        <v>-13130000000</v>
      </c>
      <c r="AO31" s="8">
        <v>92000</v>
      </c>
      <c r="AP31" s="8">
        <v>84967000</v>
      </c>
    </row>
    <row r="32" spans="1:42" ht="17">
      <c r="A32" s="8" t="s">
        <v>46</v>
      </c>
      <c r="B32" s="8" t="s">
        <v>42</v>
      </c>
      <c r="C32" s="8">
        <v>713189000</v>
      </c>
      <c r="D32" s="8">
        <v>1125890000</v>
      </c>
      <c r="E32" s="10" t="s">
        <v>65</v>
      </c>
      <c r="F32" s="8">
        <v>412701000</v>
      </c>
      <c r="G32" s="8">
        <v>172843000</v>
      </c>
      <c r="H32" s="8">
        <v>429653000</v>
      </c>
      <c r="I32" s="8" t="s">
        <v>43</v>
      </c>
      <c r="J32" s="8">
        <v>540186000</v>
      </c>
      <c r="K32" s="10" t="s">
        <v>43</v>
      </c>
      <c r="L32" s="8">
        <v>-93071000</v>
      </c>
      <c r="M32" s="8" t="s">
        <v>43</v>
      </c>
      <c r="N32" s="8">
        <v>93071000</v>
      </c>
      <c r="O32" s="10" t="s">
        <v>43</v>
      </c>
      <c r="P32" s="10" t="s">
        <v>43</v>
      </c>
      <c r="Q32" s="8" t="s">
        <v>43</v>
      </c>
      <c r="R32" s="10">
        <v>111520000</v>
      </c>
      <c r="S32" s="8">
        <v>90397000</v>
      </c>
      <c r="T32" s="8">
        <v>9734000</v>
      </c>
      <c r="U32" s="8" t="s">
        <v>43</v>
      </c>
      <c r="V32" s="10">
        <v>80663000</v>
      </c>
      <c r="W32" s="10" t="s">
        <v>43</v>
      </c>
      <c r="X32" s="10">
        <v>170324000</v>
      </c>
      <c r="Y32" s="8">
        <v>281844000</v>
      </c>
      <c r="Z32" s="8">
        <v>79881000</v>
      </c>
      <c r="AA32" s="10" t="s">
        <v>43</v>
      </c>
      <c r="AB32" s="10" t="s">
        <v>43</v>
      </c>
      <c r="AC32" s="8">
        <v>342908000</v>
      </c>
      <c r="AD32" s="9">
        <v>22051000000</v>
      </c>
      <c r="AE32" s="8" t="s">
        <v>43</v>
      </c>
      <c r="AF32" s="9">
        <v>20022000000</v>
      </c>
      <c r="AG32" s="8">
        <v>342908000</v>
      </c>
      <c r="AH32" s="8" t="s">
        <v>43</v>
      </c>
      <c r="AI32" s="9">
        <v>20365000000</v>
      </c>
      <c r="AJ32" s="8">
        <v>988963000</v>
      </c>
      <c r="AK32" s="8">
        <v>154132000</v>
      </c>
      <c r="AL32" s="9">
        <v>-11020000000</v>
      </c>
      <c r="AM32" s="8" t="s">
        <v>43</v>
      </c>
      <c r="AN32" s="9">
        <v>-12730000000</v>
      </c>
      <c r="AO32" s="8">
        <v>91000</v>
      </c>
      <c r="AP32" s="8">
        <v>84569000</v>
      </c>
    </row>
    <row r="33" spans="1:42" ht="17">
      <c r="A33" s="8" t="s">
        <v>91</v>
      </c>
      <c r="B33" s="8" t="s">
        <v>42</v>
      </c>
      <c r="C33" s="8">
        <v>617211000</v>
      </c>
      <c r="D33" s="8">
        <v>988930000</v>
      </c>
      <c r="E33" s="10" t="s">
        <v>65</v>
      </c>
      <c r="F33" s="8">
        <v>371719000</v>
      </c>
      <c r="G33" s="8">
        <v>97850000</v>
      </c>
      <c r="H33" s="8">
        <v>399892000</v>
      </c>
      <c r="I33" s="8" t="s">
        <v>43</v>
      </c>
      <c r="J33" s="8">
        <v>518648000</v>
      </c>
      <c r="K33" s="10" t="s">
        <v>43</v>
      </c>
      <c r="L33" s="8">
        <v>-87890000</v>
      </c>
      <c r="M33" s="8" t="s">
        <v>43</v>
      </c>
      <c r="N33" s="8">
        <v>87890000</v>
      </c>
      <c r="O33" s="10" t="s">
        <v>43</v>
      </c>
      <c r="P33" s="10">
        <v>2713000</v>
      </c>
      <c r="Q33" s="8" t="s">
        <v>43</v>
      </c>
      <c r="R33" s="10">
        <v>109305000</v>
      </c>
      <c r="S33" s="8">
        <v>-296364000</v>
      </c>
      <c r="T33" s="8">
        <v>13412000</v>
      </c>
      <c r="U33" s="8" t="s">
        <v>43</v>
      </c>
      <c r="V33" s="10">
        <v>-309776000</v>
      </c>
      <c r="W33" s="10" t="s">
        <v>43</v>
      </c>
      <c r="X33" s="10">
        <v>-208474000</v>
      </c>
      <c r="Y33" s="8">
        <v>-99169000</v>
      </c>
      <c r="Z33" s="8">
        <v>-309776000</v>
      </c>
      <c r="AA33" s="10" t="s">
        <v>43</v>
      </c>
      <c r="AB33" s="10" t="s">
        <v>43</v>
      </c>
      <c r="AC33" s="8">
        <v>-931522000</v>
      </c>
      <c r="AD33" s="9">
        <v>22769000000</v>
      </c>
      <c r="AE33" s="8" t="s">
        <v>43</v>
      </c>
      <c r="AF33" s="9">
        <v>20539000000</v>
      </c>
      <c r="AG33" s="8">
        <v>181512000</v>
      </c>
      <c r="AH33" s="8" t="s">
        <v>43</v>
      </c>
      <c r="AI33" s="9">
        <v>20869000000</v>
      </c>
      <c r="AJ33" s="8">
        <v>1113516000</v>
      </c>
      <c r="AK33" s="8" t="s">
        <v>43</v>
      </c>
      <c r="AL33" s="9">
        <v>-10780000000</v>
      </c>
      <c r="AM33" s="8" t="s">
        <v>43</v>
      </c>
      <c r="AN33" s="9">
        <v>-12440000000</v>
      </c>
      <c r="AO33" s="8">
        <v>90000</v>
      </c>
      <c r="AP33" s="8">
        <v>84278000</v>
      </c>
    </row>
    <row r="34" spans="1:42" ht="17">
      <c r="A34" s="8" t="s">
        <v>92</v>
      </c>
      <c r="B34" s="8" t="s">
        <v>42</v>
      </c>
      <c r="C34" s="8">
        <v>588623000</v>
      </c>
      <c r="D34" s="8">
        <v>954005000</v>
      </c>
      <c r="E34" s="10" t="s">
        <v>65</v>
      </c>
      <c r="F34" s="8">
        <v>365382000</v>
      </c>
      <c r="G34" s="8">
        <v>82869000</v>
      </c>
      <c r="H34" s="8">
        <v>379057000</v>
      </c>
      <c r="I34" s="8" t="s">
        <v>43</v>
      </c>
      <c r="J34" s="8">
        <v>505509000</v>
      </c>
      <c r="K34" s="10" t="s">
        <v>43</v>
      </c>
      <c r="L34" s="8">
        <v>-81494000</v>
      </c>
      <c r="M34" s="8" t="s">
        <v>43</v>
      </c>
      <c r="N34" s="8">
        <v>81494000</v>
      </c>
      <c r="O34" s="10" t="s">
        <v>43</v>
      </c>
      <c r="P34" s="10">
        <v>15589000</v>
      </c>
      <c r="Q34" s="8" t="s">
        <v>43</v>
      </c>
      <c r="R34" s="10">
        <v>110788000</v>
      </c>
      <c r="S34" s="8">
        <v>16964000</v>
      </c>
      <c r="T34" s="8">
        <v>1782000</v>
      </c>
      <c r="U34" s="8" t="s">
        <v>43</v>
      </c>
      <c r="V34" s="10">
        <v>15182000</v>
      </c>
      <c r="W34" s="10" t="s">
        <v>43</v>
      </c>
      <c r="X34" s="10">
        <v>98778000</v>
      </c>
      <c r="Y34" s="8">
        <v>209566000</v>
      </c>
      <c r="Z34" s="8">
        <v>14401000</v>
      </c>
      <c r="AA34" s="10" t="s">
        <v>43</v>
      </c>
      <c r="AB34" s="10" t="s">
        <v>43</v>
      </c>
      <c r="AC34" s="9">
        <v>-1046000000</v>
      </c>
      <c r="AD34" s="9">
        <v>22341000000</v>
      </c>
      <c r="AE34" s="8" t="s">
        <v>43</v>
      </c>
      <c r="AF34" s="9">
        <v>20322000000</v>
      </c>
      <c r="AG34" s="8">
        <v>3604000</v>
      </c>
      <c r="AH34" s="8" t="s">
        <v>43</v>
      </c>
      <c r="AI34" s="9">
        <v>20326000000</v>
      </c>
      <c r="AJ34" s="8">
        <v>1052375000</v>
      </c>
      <c r="AK34" s="8" t="s">
        <v>43</v>
      </c>
      <c r="AL34" s="9">
        <v>-9889000000</v>
      </c>
      <c r="AM34" s="8" t="s">
        <v>43</v>
      </c>
      <c r="AN34" s="9">
        <v>-11680000000</v>
      </c>
      <c r="AO34" s="8">
        <v>89000</v>
      </c>
      <c r="AP34" s="8">
        <v>83941000</v>
      </c>
    </row>
    <row r="35" spans="1:42" ht="17">
      <c r="A35" s="8" t="s">
        <v>93</v>
      </c>
      <c r="B35" s="8" t="s">
        <v>42</v>
      </c>
      <c r="C35" s="8">
        <v>512934000</v>
      </c>
      <c r="D35" s="8">
        <v>843458000</v>
      </c>
      <c r="E35" s="10" t="s">
        <v>65</v>
      </c>
      <c r="F35" s="8">
        <v>330524000</v>
      </c>
      <c r="G35" s="8">
        <v>12335000</v>
      </c>
      <c r="H35" s="8">
        <v>384344000</v>
      </c>
      <c r="I35" s="8" t="s">
        <v>43</v>
      </c>
      <c r="J35" s="8">
        <v>499265000</v>
      </c>
      <c r="K35" s="10" t="s">
        <v>43</v>
      </c>
      <c r="L35" s="8">
        <v>-79219000</v>
      </c>
      <c r="M35" s="8" t="s">
        <v>43</v>
      </c>
      <c r="N35" s="8">
        <v>79219000</v>
      </c>
      <c r="O35" s="10" t="s">
        <v>43</v>
      </c>
      <c r="P35" s="10">
        <v>-2064000</v>
      </c>
      <c r="Q35" s="8" t="s">
        <v>43</v>
      </c>
      <c r="R35" s="10">
        <v>114051000</v>
      </c>
      <c r="S35" s="8">
        <v>-68948000</v>
      </c>
      <c r="T35" s="8">
        <v>-20209000</v>
      </c>
      <c r="U35" s="8" t="s">
        <v>43</v>
      </c>
      <c r="V35" s="10">
        <v>-48739000</v>
      </c>
      <c r="W35" s="10" t="s">
        <v>43</v>
      </c>
      <c r="X35" s="10">
        <v>14253000</v>
      </c>
      <c r="Y35" s="8">
        <v>128304000</v>
      </c>
      <c r="Z35" s="8">
        <v>-48739000</v>
      </c>
      <c r="AA35" s="10" t="s">
        <v>43</v>
      </c>
      <c r="AB35" s="10" t="s">
        <v>43</v>
      </c>
      <c r="AC35" s="8">
        <v>-536465000</v>
      </c>
      <c r="AD35" s="9">
        <v>22034000000</v>
      </c>
      <c r="AE35" s="8" t="s">
        <v>43</v>
      </c>
      <c r="AF35" s="8" t="s">
        <v>43</v>
      </c>
      <c r="AG35" s="8" t="s">
        <v>43</v>
      </c>
      <c r="AH35" s="8" t="s">
        <v>43</v>
      </c>
      <c r="AI35" s="9">
        <v>20484000000</v>
      </c>
      <c r="AJ35" s="8">
        <v>1002054000</v>
      </c>
      <c r="AK35" s="8" t="s">
        <v>43</v>
      </c>
      <c r="AL35" s="9">
        <v>-8942000000</v>
      </c>
      <c r="AM35" s="8" t="s">
        <v>43</v>
      </c>
      <c r="AN35" s="9">
        <v>-10890000000</v>
      </c>
      <c r="AO35" s="8">
        <v>89000</v>
      </c>
      <c r="AP35" s="8">
        <v>83364000</v>
      </c>
    </row>
    <row r="36" spans="1:42" ht="17">
      <c r="A36" s="8" t="s">
        <v>47</v>
      </c>
      <c r="B36" s="8" t="s">
        <v>42</v>
      </c>
      <c r="C36" s="8">
        <v>676456000</v>
      </c>
      <c r="D36" s="8">
        <v>1062019000</v>
      </c>
      <c r="E36" s="10" t="s">
        <v>65</v>
      </c>
      <c r="F36" s="8">
        <v>385563000</v>
      </c>
      <c r="G36" s="8">
        <v>122976000</v>
      </c>
      <c r="H36" s="8">
        <v>414299000</v>
      </c>
      <c r="I36" s="8" t="s">
        <v>43</v>
      </c>
      <c r="J36" s="8">
        <v>545137000</v>
      </c>
      <c r="K36" s="10" t="s">
        <v>43</v>
      </c>
      <c r="L36" s="8">
        <v>-79895000</v>
      </c>
      <c r="M36" s="8" t="s">
        <v>43</v>
      </c>
      <c r="N36" s="8">
        <v>79895000</v>
      </c>
      <c r="O36" s="10" t="s">
        <v>43</v>
      </c>
      <c r="P36" s="10">
        <v>27000</v>
      </c>
      <c r="Q36" s="8" t="s">
        <v>43</v>
      </c>
      <c r="R36" s="10">
        <v>126009000</v>
      </c>
      <c r="S36" s="8">
        <v>43108000</v>
      </c>
      <c r="T36" s="8">
        <v>-68846000</v>
      </c>
      <c r="U36" s="8" t="s">
        <v>43</v>
      </c>
      <c r="V36" s="10">
        <v>111954000</v>
      </c>
      <c r="W36" s="10" t="s">
        <v>43</v>
      </c>
      <c r="X36" s="10">
        <v>135389000</v>
      </c>
      <c r="Y36" s="8">
        <v>261398000</v>
      </c>
      <c r="Z36" s="8">
        <v>111630000</v>
      </c>
      <c r="AA36" s="10" t="s">
        <v>43</v>
      </c>
      <c r="AB36" s="10" t="s">
        <v>43</v>
      </c>
      <c r="AC36" s="8">
        <v>-571807000</v>
      </c>
      <c r="AD36" s="9">
        <v>22506000000</v>
      </c>
      <c r="AE36" s="8" t="s">
        <v>43</v>
      </c>
      <c r="AF36" s="8" t="s">
        <v>43</v>
      </c>
      <c r="AG36" s="8" t="s">
        <v>43</v>
      </c>
      <c r="AH36" s="8" t="s">
        <v>43</v>
      </c>
      <c r="AI36" s="9">
        <v>20747000000</v>
      </c>
      <c r="AJ36" s="8">
        <v>1094516000</v>
      </c>
      <c r="AK36" s="8" t="s">
        <v>43</v>
      </c>
      <c r="AL36" s="9">
        <v>-8299000000</v>
      </c>
      <c r="AM36" s="8" t="s">
        <v>43</v>
      </c>
      <c r="AN36" s="9">
        <v>-10280000000</v>
      </c>
      <c r="AO36" s="8">
        <v>87000</v>
      </c>
      <c r="AP36" s="8">
        <v>82745000</v>
      </c>
    </row>
    <row r="37" spans="1:42" ht="17">
      <c r="A37" s="8" t="s">
        <v>94</v>
      </c>
      <c r="B37" s="8" t="s">
        <v>42</v>
      </c>
      <c r="C37" s="8">
        <v>602285000</v>
      </c>
      <c r="D37" s="8">
        <v>928051000</v>
      </c>
      <c r="E37" s="10" t="s">
        <v>65</v>
      </c>
      <c r="F37" s="8">
        <v>325766000</v>
      </c>
      <c r="G37" s="8">
        <v>80111000</v>
      </c>
      <c r="H37" s="8">
        <v>390086000</v>
      </c>
      <c r="I37" s="8" t="s">
        <v>43</v>
      </c>
      <c r="J37" s="8">
        <v>510527000</v>
      </c>
      <c r="K37" s="10" t="s">
        <v>43</v>
      </c>
      <c r="L37" s="8">
        <v>-82481000</v>
      </c>
      <c r="M37" s="8" t="s">
        <v>43</v>
      </c>
      <c r="N37" s="8">
        <v>82481000</v>
      </c>
      <c r="O37" s="10" t="s">
        <v>43</v>
      </c>
      <c r="P37" s="10">
        <v>-21104000</v>
      </c>
      <c r="Q37" s="8" t="s">
        <v>43</v>
      </c>
      <c r="R37" s="10">
        <v>108100000</v>
      </c>
      <c r="S37" s="8">
        <v>-23474000</v>
      </c>
      <c r="T37" s="8">
        <v>-27147000</v>
      </c>
      <c r="U37" s="8" t="s">
        <v>43</v>
      </c>
      <c r="V37" s="10">
        <v>3673000</v>
      </c>
      <c r="W37" s="10" t="s">
        <v>43</v>
      </c>
      <c r="X37" s="10">
        <v>59007000</v>
      </c>
      <c r="Y37" s="8">
        <v>167107000</v>
      </c>
      <c r="Z37" s="8">
        <v>3180000</v>
      </c>
      <c r="AA37" s="10" t="s">
        <v>43</v>
      </c>
      <c r="AB37" s="10" t="s">
        <v>43</v>
      </c>
      <c r="AC37" s="8">
        <v>268638000</v>
      </c>
      <c r="AD37" s="9">
        <v>22585000000</v>
      </c>
      <c r="AE37" s="8" t="s">
        <v>43</v>
      </c>
      <c r="AF37" s="8" t="s">
        <v>43</v>
      </c>
      <c r="AG37" s="8" t="s">
        <v>43</v>
      </c>
      <c r="AH37" s="8" t="s">
        <v>43</v>
      </c>
      <c r="AI37" s="9">
        <v>20207000000</v>
      </c>
      <c r="AJ37" s="8">
        <v>895513000</v>
      </c>
      <c r="AK37" s="8" t="s">
        <v>43</v>
      </c>
      <c r="AL37" s="9">
        <v>-7994000000</v>
      </c>
      <c r="AM37" s="8" t="s">
        <v>43</v>
      </c>
      <c r="AN37" s="9">
        <v>-9857000000</v>
      </c>
      <c r="AO37" s="8">
        <v>83000</v>
      </c>
      <c r="AP37" s="8">
        <v>82487000</v>
      </c>
    </row>
    <row r="38" spans="1:42" ht="17">
      <c r="A38" s="8" t="s">
        <v>95</v>
      </c>
      <c r="B38" s="8" t="s">
        <v>42</v>
      </c>
      <c r="C38" s="8">
        <v>541090000</v>
      </c>
      <c r="D38" s="8">
        <v>861605000</v>
      </c>
      <c r="E38" s="10" t="s">
        <v>65</v>
      </c>
      <c r="F38" s="8">
        <v>320515000</v>
      </c>
      <c r="G38" s="8">
        <v>28126000</v>
      </c>
      <c r="H38" s="8">
        <v>372640000</v>
      </c>
      <c r="I38" s="8" t="s">
        <v>43</v>
      </c>
      <c r="J38" s="8">
        <v>512964000</v>
      </c>
      <c r="K38" s="10" t="s">
        <v>43</v>
      </c>
      <c r="L38" s="8">
        <v>-84887000</v>
      </c>
      <c r="M38" s="8" t="s">
        <v>43</v>
      </c>
      <c r="N38" s="8">
        <v>84887000</v>
      </c>
      <c r="O38" s="10" t="s">
        <v>43</v>
      </c>
      <c r="P38" s="10">
        <v>49250000</v>
      </c>
      <c r="Q38" s="8" t="s">
        <v>43</v>
      </c>
      <c r="R38" s="10">
        <v>127945000</v>
      </c>
      <c r="S38" s="8">
        <v>-7511000</v>
      </c>
      <c r="T38" s="8">
        <v>24449000</v>
      </c>
      <c r="U38" s="8" t="s">
        <v>43</v>
      </c>
      <c r="V38" s="10">
        <v>-31960000</v>
      </c>
      <c r="W38" s="10" t="s">
        <v>43</v>
      </c>
      <c r="X38" s="10">
        <v>40505000</v>
      </c>
      <c r="Y38" s="8">
        <v>168450000</v>
      </c>
      <c r="Z38" s="8">
        <v>-32286000</v>
      </c>
      <c r="AA38" s="10" t="s">
        <v>43</v>
      </c>
      <c r="AB38" s="10" t="s">
        <v>43</v>
      </c>
      <c r="AC38" s="8">
        <v>867735000</v>
      </c>
      <c r="AD38" s="9">
        <v>22566000000</v>
      </c>
      <c r="AE38" s="8" t="s">
        <v>43</v>
      </c>
      <c r="AF38" s="8" t="s">
        <v>43</v>
      </c>
      <c r="AG38" s="8" t="s">
        <v>43</v>
      </c>
      <c r="AH38" s="8" t="s">
        <v>43</v>
      </c>
      <c r="AI38" s="9">
        <v>20607000000</v>
      </c>
      <c r="AJ38" s="8">
        <v>970288000</v>
      </c>
      <c r="AK38" s="8" t="s">
        <v>43</v>
      </c>
      <c r="AL38" s="9">
        <v>-7696000000</v>
      </c>
      <c r="AM38" s="8" t="s">
        <v>43</v>
      </c>
      <c r="AN38" s="9">
        <v>-9555000000</v>
      </c>
      <c r="AO38" s="8">
        <v>83000</v>
      </c>
      <c r="AP38" s="8">
        <v>81653000</v>
      </c>
    </row>
    <row r="39" spans="1:42" ht="17">
      <c r="A39" s="8" t="s">
        <v>96</v>
      </c>
      <c r="B39" s="8" t="s">
        <v>42</v>
      </c>
      <c r="C39" s="8">
        <v>413852000</v>
      </c>
      <c r="D39" s="8">
        <v>706665000</v>
      </c>
      <c r="E39" s="10" t="s">
        <v>65</v>
      </c>
      <c r="F39" s="8">
        <v>292813000</v>
      </c>
      <c r="G39" s="8">
        <v>-76356000</v>
      </c>
      <c r="H39" s="8">
        <v>342330000</v>
      </c>
      <c r="I39" s="8" t="s">
        <v>43</v>
      </c>
      <c r="J39" s="8">
        <v>452464000</v>
      </c>
      <c r="K39" s="10" t="s">
        <v>43</v>
      </c>
      <c r="L39" s="8">
        <v>-85121000</v>
      </c>
      <c r="M39" s="8" t="s">
        <v>43</v>
      </c>
      <c r="N39" s="8">
        <v>85121000</v>
      </c>
      <c r="O39" s="10" t="s">
        <v>43</v>
      </c>
      <c r="P39" s="10">
        <v>-644000</v>
      </c>
      <c r="Q39" s="8" t="s">
        <v>43</v>
      </c>
      <c r="R39" s="10">
        <v>107363000</v>
      </c>
      <c r="S39" s="8">
        <v>-162121000</v>
      </c>
      <c r="T39" s="8">
        <v>79935000</v>
      </c>
      <c r="U39" s="8" t="s">
        <v>43</v>
      </c>
      <c r="V39" s="10">
        <v>-242056000</v>
      </c>
      <c r="W39" s="10" t="s">
        <v>43</v>
      </c>
      <c r="X39" s="10">
        <v>-77000000</v>
      </c>
      <c r="Y39" s="8">
        <v>30363000</v>
      </c>
      <c r="Z39" s="8">
        <v>-241723000</v>
      </c>
      <c r="AA39" s="10" t="s">
        <v>43</v>
      </c>
      <c r="AB39" s="10" t="s">
        <v>43</v>
      </c>
      <c r="AC39" s="8">
        <v>398779000</v>
      </c>
      <c r="AD39" s="9">
        <v>22892000000</v>
      </c>
      <c r="AE39" s="8" t="s">
        <v>43</v>
      </c>
      <c r="AF39" s="8" t="s">
        <v>43</v>
      </c>
      <c r="AG39" s="8" t="s">
        <v>43</v>
      </c>
      <c r="AH39" s="8" t="s">
        <v>43</v>
      </c>
      <c r="AI39" s="9">
        <v>20702000000</v>
      </c>
      <c r="AJ39" s="8">
        <v>863547000</v>
      </c>
      <c r="AK39" s="8" t="s">
        <v>43</v>
      </c>
      <c r="AL39" s="9">
        <v>-6845000000</v>
      </c>
      <c r="AM39" s="8" t="s">
        <v>43</v>
      </c>
      <c r="AN39" s="9">
        <v>-9076000000</v>
      </c>
      <c r="AO39" s="8">
        <v>82000</v>
      </c>
      <c r="AP39" s="8">
        <v>81296000</v>
      </c>
    </row>
    <row r="40" spans="1:42" ht="17">
      <c r="A40" s="8" t="s">
        <v>48</v>
      </c>
      <c r="B40" s="8" t="s">
        <v>42</v>
      </c>
      <c r="C40" s="8">
        <v>600599000</v>
      </c>
      <c r="D40" s="8">
        <v>935530000</v>
      </c>
      <c r="E40" s="10" t="s">
        <v>65</v>
      </c>
      <c r="F40" s="8">
        <v>334931000</v>
      </c>
      <c r="G40" s="8">
        <v>112847000</v>
      </c>
      <c r="H40" s="8">
        <v>327156000</v>
      </c>
      <c r="I40" s="8" t="s">
        <v>43</v>
      </c>
      <c r="J40" s="8">
        <v>482235000</v>
      </c>
      <c r="K40" s="10" t="s">
        <v>43</v>
      </c>
      <c r="L40" s="8">
        <v>-86131000</v>
      </c>
      <c r="M40" s="8" t="s">
        <v>43</v>
      </c>
      <c r="N40" s="8">
        <v>86131000</v>
      </c>
      <c r="O40" s="10" t="s">
        <v>43</v>
      </c>
      <c r="P40" s="10" t="s">
        <v>43</v>
      </c>
      <c r="Q40" s="8" t="s">
        <v>43</v>
      </c>
      <c r="R40" s="10">
        <v>103435000</v>
      </c>
      <c r="S40" s="8">
        <v>28801000</v>
      </c>
      <c r="T40" s="8">
        <v>25858000</v>
      </c>
      <c r="U40" s="8" t="s">
        <v>43</v>
      </c>
      <c r="V40" s="10">
        <v>2943000</v>
      </c>
      <c r="W40" s="10" t="s">
        <v>43</v>
      </c>
      <c r="X40" s="10">
        <v>124646000</v>
      </c>
      <c r="Y40" s="8">
        <v>228081000</v>
      </c>
      <c r="Z40" s="8">
        <v>3466000</v>
      </c>
      <c r="AA40" s="10" t="s">
        <v>43</v>
      </c>
      <c r="AB40" s="10" t="s">
        <v>43</v>
      </c>
      <c r="AC40" s="8">
        <v>562923000</v>
      </c>
      <c r="AD40" s="9">
        <v>21770000000</v>
      </c>
      <c r="AE40" s="8" t="s">
        <v>43</v>
      </c>
      <c r="AF40" s="8" t="s">
        <v>43</v>
      </c>
      <c r="AG40" s="8" t="s">
        <v>43</v>
      </c>
      <c r="AH40" s="8" t="s">
        <v>43</v>
      </c>
      <c r="AI40" s="9">
        <v>19504000000</v>
      </c>
      <c r="AJ40" s="8">
        <v>974630000</v>
      </c>
      <c r="AK40" s="8" t="s">
        <v>43</v>
      </c>
      <c r="AL40" s="9">
        <v>-2916000000</v>
      </c>
      <c r="AM40" s="8" t="s">
        <v>43</v>
      </c>
      <c r="AN40" s="9">
        <v>-5042000000</v>
      </c>
      <c r="AO40" s="8">
        <v>82000</v>
      </c>
      <c r="AP40" s="8">
        <v>323487000</v>
      </c>
    </row>
    <row r="41" spans="1:42" ht="17">
      <c r="A41" s="8" t="s">
        <v>97</v>
      </c>
      <c r="B41" s="8" t="s">
        <v>42</v>
      </c>
      <c r="C41" s="8">
        <v>467687000</v>
      </c>
      <c r="D41" s="8">
        <v>744406000</v>
      </c>
      <c r="E41" s="10">
        <v>276719000</v>
      </c>
      <c r="F41" s="8">
        <v>276719000</v>
      </c>
      <c r="G41" s="8">
        <v>39395000</v>
      </c>
      <c r="H41" s="8">
        <v>292581000</v>
      </c>
      <c r="I41" s="8" t="s">
        <v>43</v>
      </c>
      <c r="J41" s="8">
        <v>428292000</v>
      </c>
      <c r="K41" s="10" t="s">
        <v>43</v>
      </c>
      <c r="L41" s="8">
        <v>-85562000</v>
      </c>
      <c r="M41" s="8" t="s">
        <v>43</v>
      </c>
      <c r="N41" s="8">
        <v>85562000</v>
      </c>
      <c r="O41" s="10" t="s">
        <v>43</v>
      </c>
      <c r="P41" s="10" t="s">
        <v>43</v>
      </c>
      <c r="Q41" s="8" t="s">
        <v>43</v>
      </c>
      <c r="R41" s="10">
        <v>99379000</v>
      </c>
      <c r="S41" s="8">
        <v>-47340000</v>
      </c>
      <c r="T41" s="8">
        <v>-15228000</v>
      </c>
      <c r="U41" s="8" t="s">
        <v>43</v>
      </c>
      <c r="V41" s="10">
        <v>-32112000</v>
      </c>
      <c r="W41" s="10" t="s">
        <v>43</v>
      </c>
      <c r="X41" s="10">
        <v>41070000</v>
      </c>
      <c r="Y41" s="8">
        <v>140449000</v>
      </c>
      <c r="Z41" s="8">
        <v>-32112000</v>
      </c>
      <c r="AA41" s="10"/>
      <c r="AB41" s="10"/>
      <c r="AC41" s="8"/>
      <c r="AD41" s="8"/>
      <c r="AE41" s="8"/>
      <c r="AF41" s="8"/>
      <c r="AG41" s="8"/>
      <c r="AH41" s="8"/>
      <c r="AI41" s="8"/>
      <c r="AJ41" s="8"/>
      <c r="AK41" s="8"/>
      <c r="AL41" s="8"/>
      <c r="AM41" s="8"/>
      <c r="AN41" s="8"/>
      <c r="AO41" s="8"/>
      <c r="AP41" s="8"/>
    </row>
    <row r="42" spans="1:42" ht="17">
      <c r="A42" s="8" t="s">
        <v>98</v>
      </c>
      <c r="B42" s="8" t="s">
        <v>42</v>
      </c>
      <c r="C42" s="8">
        <v>237782000</v>
      </c>
      <c r="D42" s="8">
        <v>487648000</v>
      </c>
      <c r="E42" s="10">
        <v>249866000</v>
      </c>
      <c r="F42" s="8">
        <v>249866000</v>
      </c>
      <c r="G42" s="8">
        <v>-159087000</v>
      </c>
      <c r="H42" s="8">
        <v>261219000</v>
      </c>
      <c r="I42" s="8" t="s">
        <v>43</v>
      </c>
      <c r="J42" s="8">
        <v>391491000</v>
      </c>
      <c r="K42" s="10" t="s">
        <v>43</v>
      </c>
      <c r="L42" s="8">
        <v>-81963000</v>
      </c>
      <c r="M42" s="8" t="s">
        <v>43</v>
      </c>
      <c r="N42" s="8">
        <v>81963000</v>
      </c>
      <c r="O42" s="10" t="s">
        <v>43</v>
      </c>
      <c r="P42" s="10" t="s">
        <v>43</v>
      </c>
      <c r="Q42" s="8" t="s">
        <v>43</v>
      </c>
      <c r="R42" s="10">
        <v>103347000</v>
      </c>
      <c r="S42" s="8">
        <v>-241059000</v>
      </c>
      <c r="T42" s="8">
        <v>-43742000</v>
      </c>
      <c r="U42" s="8" t="s">
        <v>43</v>
      </c>
      <c r="V42" s="10">
        <v>-197317000</v>
      </c>
      <c r="W42" s="10" t="s">
        <v>43</v>
      </c>
      <c r="X42" s="10">
        <v>-159096000</v>
      </c>
      <c r="Y42" s="8">
        <v>-55749000</v>
      </c>
      <c r="Z42" s="8">
        <v>-197317000</v>
      </c>
      <c r="AA42" s="10"/>
      <c r="AB42" s="10"/>
      <c r="AC42" s="8"/>
      <c r="AD42" s="8"/>
      <c r="AE42" s="8"/>
      <c r="AF42" s="8"/>
      <c r="AG42" s="8"/>
      <c r="AH42" s="8"/>
      <c r="AI42" s="8"/>
      <c r="AJ42" s="8"/>
      <c r="AK42" s="8"/>
      <c r="AL42" s="8"/>
      <c r="AM42" s="8"/>
      <c r="AN42" s="8"/>
      <c r="AO42" s="8"/>
      <c r="AP42" s="8"/>
    </row>
    <row r="43" spans="1:42" ht="17">
      <c r="A43" s="8" t="s">
        <v>99</v>
      </c>
      <c r="B43" s="8" t="s">
        <v>42</v>
      </c>
      <c r="C43" s="8">
        <v>479002000</v>
      </c>
      <c r="D43" s="8">
        <v>780634000</v>
      </c>
      <c r="E43" s="10">
        <v>301632000</v>
      </c>
      <c r="F43" s="8">
        <v>301632000</v>
      </c>
      <c r="G43" s="9">
        <v>-1731000000</v>
      </c>
      <c r="H43" s="8">
        <v>344141000</v>
      </c>
      <c r="I43" s="8" t="s">
        <v>43</v>
      </c>
      <c r="J43" s="8">
        <v>481924000</v>
      </c>
      <c r="K43" s="10" t="s">
        <v>43</v>
      </c>
      <c r="L43" s="8">
        <v>-90089000</v>
      </c>
      <c r="M43" s="8" t="s">
        <v>43</v>
      </c>
      <c r="N43" s="8">
        <v>90089000</v>
      </c>
      <c r="O43" s="10" t="s">
        <v>43</v>
      </c>
      <c r="P43" s="10" t="s">
        <v>43</v>
      </c>
      <c r="Q43" s="8" t="s">
        <v>43</v>
      </c>
      <c r="R43" s="10">
        <v>96768000</v>
      </c>
      <c r="S43" s="9">
        <v>-1839000000</v>
      </c>
      <c r="T43" s="8">
        <v>-150511000</v>
      </c>
      <c r="U43" s="8" t="s">
        <v>43</v>
      </c>
      <c r="V43" s="11">
        <v>-1689000000</v>
      </c>
      <c r="W43" s="10" t="s">
        <v>43</v>
      </c>
      <c r="X43" s="11">
        <v>-1749000000</v>
      </c>
      <c r="Y43" s="9">
        <v>-1652000000</v>
      </c>
      <c r="Z43" s="9">
        <v>-1689000000</v>
      </c>
      <c r="AA43" s="10"/>
      <c r="AB43" s="10"/>
      <c r="AC43" s="8"/>
      <c r="AD43" s="8"/>
      <c r="AE43" s="8"/>
      <c r="AF43" s="8"/>
      <c r="AG43" s="8"/>
      <c r="AH43" s="8"/>
      <c r="AI43" s="8"/>
      <c r="AJ43" s="8"/>
      <c r="AK43" s="8"/>
      <c r="AL43" s="8"/>
      <c r="AM43" s="8"/>
      <c r="AN43" s="8"/>
      <c r="AO43" s="8"/>
      <c r="AP43" s="8"/>
    </row>
    <row r="44" spans="1:42" ht="34">
      <c r="A44" s="8" t="s">
        <v>50</v>
      </c>
      <c r="B44" s="8" t="s">
        <v>42</v>
      </c>
      <c r="C44" s="8">
        <v>693925000</v>
      </c>
      <c r="D44" s="8">
        <v>1026072000</v>
      </c>
      <c r="E44" s="10">
        <v>332147000</v>
      </c>
      <c r="F44" s="8">
        <v>332147000</v>
      </c>
      <c r="G44" s="8">
        <v>165126000</v>
      </c>
      <c r="H44" s="8">
        <v>368313000</v>
      </c>
      <c r="I44" s="8" t="s">
        <v>43</v>
      </c>
      <c r="J44" s="8">
        <v>528799000</v>
      </c>
      <c r="K44" s="10" t="s">
        <v>43</v>
      </c>
      <c r="L44" s="8">
        <v>-96095000</v>
      </c>
      <c r="M44" s="8" t="s">
        <v>43</v>
      </c>
      <c r="N44" s="8">
        <v>139078000</v>
      </c>
      <c r="O44" s="10" t="s">
        <v>43</v>
      </c>
      <c r="P44" s="10" t="s">
        <v>43</v>
      </c>
      <c r="Q44" s="8" t="s">
        <v>43</v>
      </c>
      <c r="R44" s="10">
        <v>94972000</v>
      </c>
      <c r="S44" s="8">
        <v>49462000</v>
      </c>
      <c r="T44" s="8">
        <v>-12670000</v>
      </c>
      <c r="U44" s="8" t="s">
        <v>43</v>
      </c>
      <c r="V44" s="10">
        <v>62132000</v>
      </c>
      <c r="W44" s="10" t="s">
        <v>43</v>
      </c>
      <c r="X44" s="10">
        <v>164910000</v>
      </c>
      <c r="Y44" s="8">
        <v>259882000</v>
      </c>
      <c r="Z44" s="8">
        <v>61381000</v>
      </c>
      <c r="AA44" s="10" t="s">
        <v>100</v>
      </c>
      <c r="AB44" s="10" t="s">
        <v>101</v>
      </c>
      <c r="AC44" s="8" t="s">
        <v>102</v>
      </c>
      <c r="AD44" s="8" t="s">
        <v>103</v>
      </c>
      <c r="AE44" s="8" t="s">
        <v>104</v>
      </c>
      <c r="AF44" s="8" t="s">
        <v>105</v>
      </c>
      <c r="AG44" s="8" t="s">
        <v>39</v>
      </c>
      <c r="AH44" s="8"/>
      <c r="AI44" s="8"/>
      <c r="AJ44" s="8"/>
      <c r="AK44" s="8"/>
      <c r="AL44" s="8"/>
      <c r="AM44" s="8"/>
      <c r="AN44" s="8"/>
      <c r="AO44" s="8"/>
      <c r="AP44" s="8"/>
    </row>
    <row r="45" spans="1:42" ht="17">
      <c r="A45" s="8" t="s">
        <v>106</v>
      </c>
      <c r="B45" s="8" t="s">
        <v>42</v>
      </c>
      <c r="C45" s="8">
        <v>657367000</v>
      </c>
      <c r="D45" s="8">
        <v>948338000</v>
      </c>
      <c r="E45" s="10" t="s">
        <v>65</v>
      </c>
      <c r="F45" s="8">
        <v>290971000</v>
      </c>
      <c r="G45" s="8">
        <v>140822000</v>
      </c>
      <c r="H45" s="8">
        <v>341353000</v>
      </c>
      <c r="I45" s="8" t="s">
        <v>43</v>
      </c>
      <c r="J45" s="8">
        <v>516545000</v>
      </c>
      <c r="K45" s="10" t="s">
        <v>43</v>
      </c>
      <c r="L45" s="8">
        <v>-100967000</v>
      </c>
      <c r="M45" s="8" t="s">
        <v>43</v>
      </c>
      <c r="N45" s="8">
        <v>109955000</v>
      </c>
      <c r="O45" s="10" t="s">
        <v>43</v>
      </c>
      <c r="P45" s="10" t="s">
        <v>43</v>
      </c>
      <c r="Q45" s="8" t="s">
        <v>43</v>
      </c>
      <c r="R45" s="10">
        <v>95268000</v>
      </c>
      <c r="S45" s="8">
        <v>29132000</v>
      </c>
      <c r="T45" s="8">
        <v>16758000</v>
      </c>
      <c r="U45" s="8" t="s">
        <v>43</v>
      </c>
      <c r="V45" s="10">
        <v>12374000</v>
      </c>
      <c r="W45" s="10" t="s">
        <v>43</v>
      </c>
      <c r="X45" s="10">
        <v>140822000</v>
      </c>
      <c r="Y45" s="8">
        <v>236090000</v>
      </c>
      <c r="Z45" s="8">
        <v>12374000</v>
      </c>
      <c r="AA45" s="10" t="s">
        <v>43</v>
      </c>
      <c r="AB45" s="10" t="s">
        <v>43</v>
      </c>
      <c r="AC45" s="8" t="s">
        <v>43</v>
      </c>
      <c r="AD45" s="8" t="s">
        <v>43</v>
      </c>
      <c r="AE45" s="8" t="s">
        <v>43</v>
      </c>
      <c r="AF45" s="8" t="s">
        <v>43</v>
      </c>
      <c r="AG45" s="9">
        <v>-1009000000</v>
      </c>
      <c r="AH45" s="8"/>
      <c r="AI45" s="8"/>
      <c r="AJ45" s="8"/>
      <c r="AK45" s="8"/>
      <c r="AL45" s="8"/>
      <c r="AM45" s="8"/>
      <c r="AN45" s="8"/>
      <c r="AO45" s="8"/>
      <c r="AP45" s="8"/>
    </row>
    <row r="46" spans="1:42" ht="17">
      <c r="A46" s="8" t="s">
        <v>107</v>
      </c>
      <c r="B46" s="8" t="s">
        <v>42</v>
      </c>
      <c r="C46" s="8">
        <v>594682000</v>
      </c>
      <c r="D46" s="8">
        <v>891764000</v>
      </c>
      <c r="E46" s="10" t="s">
        <v>65</v>
      </c>
      <c r="F46" s="8">
        <v>297082000</v>
      </c>
      <c r="G46" s="8">
        <v>181239000</v>
      </c>
      <c r="H46" s="8">
        <v>41324000</v>
      </c>
      <c r="I46" s="8" t="s">
        <v>43</v>
      </c>
      <c r="J46" s="8">
        <v>328200000</v>
      </c>
      <c r="K46" s="10" t="s">
        <v>43</v>
      </c>
      <c r="L46" s="8" t="s">
        <v>43</v>
      </c>
      <c r="M46" s="8" t="s">
        <v>43</v>
      </c>
      <c r="N46" s="8">
        <v>10613000</v>
      </c>
      <c r="O46" s="10" t="s">
        <v>43</v>
      </c>
      <c r="P46" s="10" t="s">
        <v>43</v>
      </c>
      <c r="Q46" s="8" t="s">
        <v>43</v>
      </c>
      <c r="R46" s="10">
        <v>73927000</v>
      </c>
      <c r="S46" s="8">
        <v>108971000</v>
      </c>
      <c r="T46" s="8">
        <v>-142032000</v>
      </c>
      <c r="U46" s="8" t="s">
        <v>43</v>
      </c>
      <c r="V46" s="10">
        <v>9484830000</v>
      </c>
      <c r="W46" s="10" t="s">
        <v>43</v>
      </c>
      <c r="X46" s="10">
        <v>181579000</v>
      </c>
      <c r="Y46" s="8">
        <v>255506000</v>
      </c>
      <c r="Z46" s="8">
        <v>251003000</v>
      </c>
      <c r="AA46" s="10" t="s">
        <v>43</v>
      </c>
      <c r="AB46" s="10" t="s">
        <v>43</v>
      </c>
      <c r="AC46" s="8" t="s">
        <v>43</v>
      </c>
      <c r="AD46" s="8" t="s">
        <v>43</v>
      </c>
      <c r="AE46" s="8" t="s">
        <v>43</v>
      </c>
      <c r="AF46" s="8" t="s">
        <v>43</v>
      </c>
      <c r="AG46" s="9">
        <v>-1103000000</v>
      </c>
      <c r="AH46" s="8"/>
      <c r="AI46" s="8"/>
      <c r="AJ46" s="8"/>
      <c r="AK46" s="8"/>
      <c r="AL46" s="8"/>
      <c r="AM46" s="8"/>
      <c r="AN46" s="8"/>
      <c r="AO46" s="8"/>
      <c r="AP46" s="8"/>
    </row>
    <row r="47" spans="1:42" ht="17">
      <c r="A47" s="8" t="s">
        <v>108</v>
      </c>
      <c r="B47" s="8" t="s">
        <v>42</v>
      </c>
      <c r="C47" s="8">
        <v>528682000</v>
      </c>
      <c r="D47" s="8">
        <v>795797000</v>
      </c>
      <c r="E47" s="10" t="s">
        <v>65</v>
      </c>
      <c r="F47" s="8">
        <v>267115000</v>
      </c>
      <c r="G47" s="8">
        <v>19149000</v>
      </c>
      <c r="H47" s="8">
        <v>332980000</v>
      </c>
      <c r="I47" s="8" t="s">
        <v>43</v>
      </c>
      <c r="J47" s="8">
        <v>418151000</v>
      </c>
      <c r="K47" s="10" t="s">
        <v>43</v>
      </c>
      <c r="L47" s="8">
        <v>-114764000</v>
      </c>
      <c r="M47" s="8" t="s">
        <v>43</v>
      </c>
      <c r="N47" s="8">
        <v>712000</v>
      </c>
      <c r="O47" s="10" t="s">
        <v>43</v>
      </c>
      <c r="P47" s="10" t="s">
        <v>43</v>
      </c>
      <c r="Q47" s="8" t="s">
        <v>43</v>
      </c>
      <c r="R47" s="10">
        <v>38290000</v>
      </c>
      <c r="S47" s="8">
        <v>-28052000</v>
      </c>
      <c r="T47" s="8">
        <v>-61194000</v>
      </c>
      <c r="U47" s="8" t="s">
        <v>43</v>
      </c>
      <c r="V47" s="10">
        <v>-135601000</v>
      </c>
      <c r="W47" s="10" t="s">
        <v>43</v>
      </c>
      <c r="X47" s="10">
        <v>110678000</v>
      </c>
      <c r="Y47" s="8">
        <v>148968000</v>
      </c>
      <c r="Z47" s="8">
        <v>33142000</v>
      </c>
      <c r="AA47" s="10" t="s">
        <v>43</v>
      </c>
      <c r="AB47" s="10" t="s">
        <v>43</v>
      </c>
      <c r="AC47" s="8" t="s">
        <v>43</v>
      </c>
      <c r="AD47" s="8" t="s">
        <v>43</v>
      </c>
      <c r="AE47" s="8" t="s">
        <v>43</v>
      </c>
      <c r="AF47" s="8" t="s">
        <v>43</v>
      </c>
      <c r="AG47" s="8">
        <v>-262670000</v>
      </c>
      <c r="AH47" s="8"/>
      <c r="AI47" s="8"/>
      <c r="AJ47" s="8"/>
      <c r="AK47" s="8"/>
      <c r="AL47" s="8"/>
      <c r="AM47" s="8"/>
      <c r="AN47" s="8"/>
      <c r="AO47" s="8"/>
      <c r="AP47" s="8"/>
    </row>
    <row r="48" spans="1:42" ht="17">
      <c r="A48" s="8" t="s">
        <v>51</v>
      </c>
      <c r="B48" s="8" t="s">
        <v>42</v>
      </c>
      <c r="C48" s="8">
        <v>1108837000</v>
      </c>
      <c r="D48" s="8">
        <v>1772525000</v>
      </c>
      <c r="E48" s="10" t="s">
        <v>65</v>
      </c>
      <c r="F48" s="8">
        <v>663688000</v>
      </c>
      <c r="G48" s="8">
        <v>387222000</v>
      </c>
      <c r="H48" s="8">
        <v>514269000</v>
      </c>
      <c r="I48" s="8" t="s">
        <v>43</v>
      </c>
      <c r="J48" s="8">
        <v>721615000</v>
      </c>
      <c r="K48" s="10" t="s">
        <v>43</v>
      </c>
      <c r="L48" s="8" t="s">
        <v>43</v>
      </c>
      <c r="M48" s="8" t="s">
        <v>43</v>
      </c>
      <c r="N48" s="8">
        <v>97679000</v>
      </c>
      <c r="O48" s="10" t="s">
        <v>43</v>
      </c>
      <c r="P48" s="10" t="s">
        <v>43</v>
      </c>
      <c r="Q48" s="8" t="s">
        <v>43</v>
      </c>
      <c r="R48" s="10">
        <v>111125000</v>
      </c>
      <c r="S48" s="8">
        <v>224071000</v>
      </c>
      <c r="T48" s="8">
        <v>-837000</v>
      </c>
      <c r="U48" s="8" t="s">
        <v>43</v>
      </c>
      <c r="V48" s="10">
        <v>224908000</v>
      </c>
      <c r="W48" s="10" t="s">
        <v>43</v>
      </c>
      <c r="X48" s="10">
        <v>321750000</v>
      </c>
      <c r="Y48" s="8">
        <v>432875000</v>
      </c>
      <c r="Z48" s="8">
        <v>214905000</v>
      </c>
      <c r="AA48" s="10" t="s">
        <v>43</v>
      </c>
      <c r="AB48" s="10" t="s">
        <v>43</v>
      </c>
      <c r="AC48" s="8" t="s">
        <v>43</v>
      </c>
      <c r="AD48" s="8" t="s">
        <v>43</v>
      </c>
      <c r="AE48" s="8">
        <v>-368341000</v>
      </c>
      <c r="AF48" s="8" t="s">
        <v>43</v>
      </c>
      <c r="AG48" s="8">
        <v>-158389000</v>
      </c>
      <c r="AH48" s="8"/>
      <c r="AI48" s="8"/>
      <c r="AJ48" s="8"/>
      <c r="AK48" s="8"/>
      <c r="AL48" s="8"/>
      <c r="AM48" s="8"/>
      <c r="AN48" s="8"/>
      <c r="AO48" s="8"/>
      <c r="AP48" s="8"/>
    </row>
    <row r="49" spans="1:42" ht="17">
      <c r="A49" s="8" t="s">
        <v>109</v>
      </c>
      <c r="B49" s="8" t="s">
        <v>42</v>
      </c>
      <c r="C49" s="8">
        <v>952501000</v>
      </c>
      <c r="D49" s="8">
        <v>1582765000</v>
      </c>
      <c r="E49" s="10" t="s">
        <v>65</v>
      </c>
      <c r="F49" s="8">
        <v>630264000</v>
      </c>
      <c r="G49" s="8">
        <v>247292000</v>
      </c>
      <c r="H49" s="8">
        <v>457757000</v>
      </c>
      <c r="I49" s="8" t="s">
        <v>43</v>
      </c>
      <c r="J49" s="8">
        <v>664287000</v>
      </c>
      <c r="K49" s="10" t="s">
        <v>43</v>
      </c>
      <c r="L49" s="8" t="s">
        <v>43</v>
      </c>
      <c r="M49" s="8" t="s">
        <v>43</v>
      </c>
      <c r="N49" s="8">
        <v>99255000</v>
      </c>
      <c r="O49" s="10" t="s">
        <v>43</v>
      </c>
      <c r="P49" s="10" t="s">
        <v>43</v>
      </c>
      <c r="Q49" s="8" t="s">
        <v>43</v>
      </c>
      <c r="R49" s="10">
        <v>120700000</v>
      </c>
      <c r="S49" s="8">
        <v>89552000</v>
      </c>
      <c r="T49" s="8">
        <v>17769000</v>
      </c>
      <c r="U49" s="8" t="s">
        <v>43</v>
      </c>
      <c r="V49" s="10">
        <v>71783000</v>
      </c>
      <c r="W49" s="10" t="s">
        <v>43</v>
      </c>
      <c r="X49" s="10">
        <v>188807000</v>
      </c>
      <c r="Y49" s="8">
        <v>309507000</v>
      </c>
      <c r="Z49" s="8">
        <v>70078000</v>
      </c>
      <c r="AA49" s="10" t="s">
        <v>43</v>
      </c>
      <c r="AB49" s="10" t="s">
        <v>43</v>
      </c>
      <c r="AC49" s="8" t="s">
        <v>43</v>
      </c>
      <c r="AD49" s="8" t="s">
        <v>43</v>
      </c>
      <c r="AE49" s="8">
        <v>309312000</v>
      </c>
      <c r="AF49" s="8" t="s">
        <v>43</v>
      </c>
      <c r="AG49" s="9">
        <v>-1915000000</v>
      </c>
      <c r="AH49" s="8"/>
      <c r="AI49" s="8"/>
      <c r="AJ49" s="8"/>
      <c r="AK49" s="8"/>
      <c r="AL49" s="8"/>
      <c r="AM49" s="8"/>
      <c r="AN49" s="8"/>
      <c r="AO49" s="8"/>
      <c r="AP49" s="8"/>
    </row>
    <row r="50" spans="1:42" ht="17">
      <c r="A50" s="8" t="s">
        <v>110</v>
      </c>
      <c r="B50" s="8" t="s">
        <v>42</v>
      </c>
      <c r="C50" s="8">
        <v>964201000</v>
      </c>
      <c r="D50" s="8">
        <v>1600842000</v>
      </c>
      <c r="E50" s="10" t="s">
        <v>65</v>
      </c>
      <c r="F50" s="8">
        <v>636641000</v>
      </c>
      <c r="G50" s="8">
        <v>285152000</v>
      </c>
      <c r="H50" s="8">
        <v>451490000</v>
      </c>
      <c r="I50" s="8" t="s">
        <v>43</v>
      </c>
      <c r="J50" s="8">
        <v>679049000</v>
      </c>
      <c r="K50" s="10" t="s">
        <v>43</v>
      </c>
      <c r="L50" s="8" t="s">
        <v>43</v>
      </c>
      <c r="M50" s="8" t="s">
        <v>43</v>
      </c>
      <c r="N50" s="8">
        <v>107600000</v>
      </c>
      <c r="O50" s="10" t="s">
        <v>43</v>
      </c>
      <c r="P50" s="10" t="s">
        <v>43</v>
      </c>
      <c r="Q50" s="8" t="s">
        <v>43</v>
      </c>
      <c r="R50" s="10">
        <v>147644000</v>
      </c>
      <c r="S50" s="8">
        <v>80495000</v>
      </c>
      <c r="T50" s="8">
        <v>146785000</v>
      </c>
      <c r="U50" s="8" t="s">
        <v>43</v>
      </c>
      <c r="V50" s="10">
        <v>-66290000</v>
      </c>
      <c r="W50" s="10" t="s">
        <v>43</v>
      </c>
      <c r="X50" s="10">
        <v>181239000</v>
      </c>
      <c r="Y50" s="8">
        <v>328883000</v>
      </c>
      <c r="Z50" s="8">
        <v>-69899000</v>
      </c>
      <c r="AA50" s="10" t="s">
        <v>43</v>
      </c>
      <c r="AB50" s="10" t="s">
        <v>43</v>
      </c>
      <c r="AC50" s="8" t="s">
        <v>43</v>
      </c>
      <c r="AD50" s="8" t="s">
        <v>43</v>
      </c>
      <c r="AE50" s="8" t="s">
        <v>43</v>
      </c>
      <c r="AF50" s="8" t="s">
        <v>43</v>
      </c>
      <c r="AG50" s="9">
        <v>11297000000</v>
      </c>
      <c r="AH50" s="8"/>
      <c r="AI50" s="8"/>
      <c r="AJ50" s="8"/>
      <c r="AK50" s="8"/>
      <c r="AL50" s="8"/>
      <c r="AM50" s="8"/>
      <c r="AN50" s="8"/>
      <c r="AO50" s="8"/>
      <c r="AP50" s="8"/>
    </row>
    <row r="51" spans="1:42" ht="17">
      <c r="A51" s="8" t="s">
        <v>111</v>
      </c>
      <c r="B51" s="8" t="s">
        <v>42</v>
      </c>
      <c r="C51" s="8">
        <v>768693000</v>
      </c>
      <c r="D51" s="8">
        <v>1369961000</v>
      </c>
      <c r="E51" s="10" t="s">
        <v>65</v>
      </c>
      <c r="F51" s="8">
        <v>601268000</v>
      </c>
      <c r="G51" s="8">
        <v>62252000</v>
      </c>
      <c r="H51" s="8">
        <v>472987000</v>
      </c>
      <c r="I51" s="8" t="s">
        <v>43</v>
      </c>
      <c r="J51" s="8">
        <v>706441000</v>
      </c>
      <c r="K51" s="10" t="s">
        <v>43</v>
      </c>
      <c r="L51" s="8" t="s">
        <v>43</v>
      </c>
      <c r="M51" s="8" t="s">
        <v>43</v>
      </c>
      <c r="N51" s="8">
        <v>418397000</v>
      </c>
      <c r="O51" s="10" t="s">
        <v>43</v>
      </c>
      <c r="P51" s="10" t="s">
        <v>43</v>
      </c>
      <c r="Q51" s="8" t="s">
        <v>43</v>
      </c>
      <c r="R51" s="10">
        <v>151434000</v>
      </c>
      <c r="S51" s="8">
        <v>-548916000</v>
      </c>
      <c r="T51" s="8">
        <v>-117366000</v>
      </c>
      <c r="U51" s="8" t="s">
        <v>43</v>
      </c>
      <c r="V51" s="10" t="s">
        <v>43</v>
      </c>
      <c r="W51" s="10" t="s">
        <v>43</v>
      </c>
      <c r="X51" s="10">
        <v>-130519000</v>
      </c>
      <c r="Y51" s="8">
        <v>20915000</v>
      </c>
      <c r="Z51" s="8">
        <v>-415653000</v>
      </c>
      <c r="AA51" s="10" t="s">
        <v>43</v>
      </c>
      <c r="AB51" s="10" t="s">
        <v>43</v>
      </c>
      <c r="AC51" s="8" t="s">
        <v>43</v>
      </c>
      <c r="AD51" s="8" t="s">
        <v>43</v>
      </c>
      <c r="AE51" s="8" t="s">
        <v>43</v>
      </c>
      <c r="AF51" s="8" t="s">
        <v>43</v>
      </c>
      <c r="AG51" s="8">
        <v>-202639000</v>
      </c>
      <c r="AH51" s="8"/>
      <c r="AI51" s="8"/>
      <c r="AJ51" s="8"/>
      <c r="AK51" s="8"/>
      <c r="AL51" s="8"/>
      <c r="AM51" s="8"/>
      <c r="AN51" s="8"/>
      <c r="AO51" s="8"/>
      <c r="AP51" s="8"/>
    </row>
    <row r="52" spans="1:42" ht="17">
      <c r="A52" s="8" t="s">
        <v>52</v>
      </c>
      <c r="B52" s="8" t="s">
        <v>42</v>
      </c>
      <c r="C52" s="8">
        <v>1059700000</v>
      </c>
      <c r="D52" s="8">
        <v>1713888000</v>
      </c>
      <c r="E52" s="10" t="s">
        <v>65</v>
      </c>
      <c r="F52" s="8">
        <v>654188000</v>
      </c>
      <c r="G52" s="8">
        <v>319480000</v>
      </c>
      <c r="H52" s="8">
        <v>515083000</v>
      </c>
      <c r="I52" s="8" t="s">
        <v>43</v>
      </c>
      <c r="J52" s="8">
        <v>740220000</v>
      </c>
      <c r="K52" s="10" t="s">
        <v>43</v>
      </c>
      <c r="L52" s="8" t="s">
        <v>43</v>
      </c>
      <c r="M52" s="8" t="s">
        <v>43</v>
      </c>
      <c r="N52" s="8">
        <v>476837000</v>
      </c>
      <c r="O52" s="10" t="s">
        <v>43</v>
      </c>
      <c r="P52" s="10" t="s">
        <v>43</v>
      </c>
      <c r="Q52" s="8" t="s">
        <v>43</v>
      </c>
      <c r="R52" s="10">
        <v>157645000</v>
      </c>
      <c r="S52" s="8" t="s">
        <v>43</v>
      </c>
      <c r="T52" s="8">
        <v>-507549000</v>
      </c>
      <c r="U52" s="8" t="s">
        <v>43</v>
      </c>
      <c r="V52" s="10" t="s">
        <v>43</v>
      </c>
      <c r="W52" s="10" t="s">
        <v>43</v>
      </c>
      <c r="X52" s="10">
        <v>-165786000</v>
      </c>
      <c r="Y52" s="8">
        <v>477125000</v>
      </c>
      <c r="Z52" s="8">
        <v>416538000</v>
      </c>
      <c r="AA52" s="10" t="s">
        <v>43</v>
      </c>
      <c r="AB52" s="10" t="s">
        <v>43</v>
      </c>
      <c r="AC52" s="8" t="s">
        <v>43</v>
      </c>
      <c r="AD52" s="8" t="s">
        <v>43</v>
      </c>
      <c r="AE52" s="8" t="s">
        <v>43</v>
      </c>
      <c r="AF52" s="8" t="s">
        <v>43</v>
      </c>
      <c r="AG52" s="8">
        <v>-460018000</v>
      </c>
      <c r="AH52" s="8"/>
      <c r="AI52" s="8"/>
      <c r="AJ52" s="8"/>
      <c r="AK52" s="8"/>
      <c r="AL52" s="8"/>
      <c r="AM52" s="8"/>
      <c r="AN52" s="8"/>
      <c r="AO52" s="8"/>
      <c r="AP52" s="8"/>
    </row>
    <row r="53" spans="1:42" ht="17">
      <c r="A53" s="8" t="s">
        <v>112</v>
      </c>
      <c r="B53" s="8" t="s">
        <v>42</v>
      </c>
      <c r="C53" s="8">
        <v>915521000</v>
      </c>
      <c r="D53" s="8">
        <v>1537416000</v>
      </c>
      <c r="E53" s="10" t="s">
        <v>65</v>
      </c>
      <c r="F53" s="8">
        <v>621895000</v>
      </c>
      <c r="G53" s="8">
        <v>228305000</v>
      </c>
      <c r="H53" s="8">
        <v>438654000</v>
      </c>
      <c r="I53" s="8" t="s">
        <v>43</v>
      </c>
      <c r="J53" s="8">
        <v>679585000</v>
      </c>
      <c r="K53" s="10" t="s">
        <v>43</v>
      </c>
      <c r="L53" s="8" t="s">
        <v>43</v>
      </c>
      <c r="M53" s="8" t="s">
        <v>43</v>
      </c>
      <c r="N53" s="8">
        <v>470250000</v>
      </c>
      <c r="O53" s="10" t="s">
        <v>43</v>
      </c>
      <c r="P53" s="10" t="s">
        <v>43</v>
      </c>
      <c r="Q53" s="8" t="s">
        <v>43</v>
      </c>
      <c r="R53" s="10">
        <v>149749000</v>
      </c>
      <c r="S53" s="8">
        <v>-244133000</v>
      </c>
      <c r="T53" s="8">
        <v>2051000</v>
      </c>
      <c r="U53" s="8" t="s">
        <v>43</v>
      </c>
      <c r="V53" s="10">
        <v>-250415000</v>
      </c>
      <c r="W53" s="10" t="s">
        <v>43</v>
      </c>
      <c r="X53" s="10">
        <v>245389000</v>
      </c>
      <c r="Y53" s="8">
        <v>395138000</v>
      </c>
      <c r="Z53" s="8">
        <v>-248177000</v>
      </c>
      <c r="AA53" s="10" t="s">
        <v>43</v>
      </c>
      <c r="AB53" s="10" t="s">
        <v>43</v>
      </c>
      <c r="AC53" s="8" t="s">
        <v>43</v>
      </c>
      <c r="AD53" s="8" t="s">
        <v>43</v>
      </c>
      <c r="AE53" s="8" t="s">
        <v>43</v>
      </c>
      <c r="AF53" s="8" t="s">
        <v>43</v>
      </c>
      <c r="AG53" s="8">
        <v>-240003000</v>
      </c>
      <c r="AH53" s="8"/>
      <c r="AI53" s="8"/>
      <c r="AJ53" s="8"/>
      <c r="AK53" s="8"/>
      <c r="AL53" s="8"/>
      <c r="AM53" s="8"/>
      <c r="AN53" s="8"/>
      <c r="AO53" s="8"/>
      <c r="AP53" s="8"/>
    </row>
    <row r="54" spans="1:42" ht="17">
      <c r="A54" s="8" t="s">
        <v>113</v>
      </c>
      <c r="B54" s="8" t="s">
        <v>42</v>
      </c>
      <c r="C54" s="8">
        <v>975991000</v>
      </c>
      <c r="D54" s="8">
        <v>1590368000</v>
      </c>
      <c r="E54" s="10" t="s">
        <v>65</v>
      </c>
      <c r="F54" s="8">
        <v>614377000</v>
      </c>
      <c r="G54" s="8">
        <v>310664000</v>
      </c>
      <c r="H54" s="8">
        <v>447290000</v>
      </c>
      <c r="I54" s="8" t="s">
        <v>43</v>
      </c>
      <c r="J54" s="8">
        <v>665327000</v>
      </c>
      <c r="K54" s="10" t="s">
        <v>43</v>
      </c>
      <c r="L54" s="8" t="s">
        <v>43</v>
      </c>
      <c r="M54" s="8" t="s">
        <v>43</v>
      </c>
      <c r="N54" s="8">
        <v>463160000</v>
      </c>
      <c r="O54" s="10" t="s">
        <v>43</v>
      </c>
      <c r="P54" s="10" t="s">
        <v>43</v>
      </c>
      <c r="Q54" s="8" t="s">
        <v>43</v>
      </c>
      <c r="R54" s="10">
        <v>147795000</v>
      </c>
      <c r="S54" s="8">
        <v>-150609000</v>
      </c>
      <c r="T54" s="8">
        <v>17408000</v>
      </c>
      <c r="U54" s="8" t="s">
        <v>43</v>
      </c>
      <c r="V54" s="10">
        <v>-173797000</v>
      </c>
      <c r="W54" s="10" t="s">
        <v>43</v>
      </c>
      <c r="X54" s="10">
        <v>300903000</v>
      </c>
      <c r="Y54" s="8">
        <v>448698000</v>
      </c>
      <c r="Z54" s="8">
        <v>-174037000</v>
      </c>
      <c r="AA54" s="10" t="s">
        <v>43</v>
      </c>
      <c r="AB54" s="10" t="s">
        <v>43</v>
      </c>
      <c r="AC54" s="8">
        <v>-42797000</v>
      </c>
      <c r="AD54" s="8" t="s">
        <v>43</v>
      </c>
      <c r="AE54" s="8" t="s">
        <v>43</v>
      </c>
      <c r="AF54" s="8" t="s">
        <v>43</v>
      </c>
      <c r="AG54" s="8">
        <v>-737490000</v>
      </c>
      <c r="AH54" s="8"/>
      <c r="AI54" s="8"/>
      <c r="AJ54" s="8"/>
      <c r="AK54" s="8"/>
      <c r="AL54" s="8"/>
      <c r="AM54" s="8"/>
      <c r="AN54" s="8"/>
      <c r="AO54" s="8"/>
      <c r="AP54" s="8"/>
    </row>
    <row r="55" spans="1:42" ht="17">
      <c r="A55" s="8" t="s">
        <v>114</v>
      </c>
      <c r="B55" s="8" t="s">
        <v>42</v>
      </c>
      <c r="C55" s="8">
        <v>758060000</v>
      </c>
      <c r="D55" s="8">
        <v>1329322000</v>
      </c>
      <c r="E55" s="10" t="s">
        <v>65</v>
      </c>
      <c r="F55" s="8">
        <v>571262000</v>
      </c>
      <c r="G55" s="8">
        <v>114057000</v>
      </c>
      <c r="H55" s="8">
        <v>450619000</v>
      </c>
      <c r="I55" s="8" t="s">
        <v>43</v>
      </c>
      <c r="J55" s="8">
        <v>644003000</v>
      </c>
      <c r="K55" s="10" t="s">
        <v>43</v>
      </c>
      <c r="L55" s="8" t="s">
        <v>43</v>
      </c>
      <c r="M55" s="8" t="s">
        <v>43</v>
      </c>
      <c r="N55" s="8">
        <v>455337000</v>
      </c>
      <c r="O55" s="10" t="s">
        <v>43</v>
      </c>
      <c r="P55" s="10" t="s">
        <v>43</v>
      </c>
      <c r="Q55" s="8" t="s">
        <v>43</v>
      </c>
      <c r="R55" s="10">
        <v>146106000</v>
      </c>
      <c r="S55" s="8">
        <v>-356896000</v>
      </c>
      <c r="T55" s="8">
        <v>30684000</v>
      </c>
      <c r="U55" s="8" t="s">
        <v>43</v>
      </c>
      <c r="V55" s="10">
        <v>-388457000</v>
      </c>
      <c r="W55" s="10" t="s">
        <v>43</v>
      </c>
      <c r="X55" s="10">
        <v>98441000</v>
      </c>
      <c r="Y55" s="8">
        <v>244547000</v>
      </c>
      <c r="Z55" s="8">
        <v>-388215000</v>
      </c>
      <c r="AA55" s="10" t="s">
        <v>43</v>
      </c>
      <c r="AB55" s="10" t="s">
        <v>43</v>
      </c>
      <c r="AC55" s="8">
        <v>-48750000</v>
      </c>
      <c r="AD55" s="8" t="s">
        <v>43</v>
      </c>
      <c r="AE55" s="8" t="s">
        <v>43</v>
      </c>
      <c r="AF55" s="8" t="s">
        <v>43</v>
      </c>
      <c r="AG55" s="8">
        <v>-762158000</v>
      </c>
      <c r="AH55" s="8"/>
      <c r="AI55" s="8"/>
      <c r="AJ55" s="8"/>
      <c r="AK55" s="8"/>
      <c r="AL55" s="8"/>
      <c r="AM55" s="8"/>
      <c r="AN55" s="8"/>
      <c r="AO55" s="8"/>
      <c r="AP55" s="8"/>
    </row>
    <row r="56" spans="1:42" ht="17">
      <c r="A56" s="8" t="s">
        <v>54</v>
      </c>
      <c r="B56" s="8" t="s">
        <v>42</v>
      </c>
      <c r="C56" s="8">
        <v>1090024000</v>
      </c>
      <c r="D56" s="8">
        <v>1721118000</v>
      </c>
      <c r="E56" s="10" t="s">
        <v>65</v>
      </c>
      <c r="F56" s="8">
        <v>631094000</v>
      </c>
      <c r="G56" s="8">
        <v>531871000</v>
      </c>
      <c r="H56" s="8">
        <v>444050000</v>
      </c>
      <c r="I56" s="8" t="s">
        <v>43</v>
      </c>
      <c r="J56" s="8">
        <v>558153000</v>
      </c>
      <c r="K56" s="10" t="s">
        <v>43</v>
      </c>
      <c r="L56" s="8" t="s">
        <v>43</v>
      </c>
      <c r="M56" s="8" t="s">
        <v>43</v>
      </c>
      <c r="N56" s="8">
        <v>460189000</v>
      </c>
      <c r="O56" s="10" t="s">
        <v>43</v>
      </c>
      <c r="P56" s="10" t="s">
        <v>43</v>
      </c>
      <c r="Q56" s="8" t="s">
        <v>43</v>
      </c>
      <c r="R56" s="10">
        <v>159174000</v>
      </c>
      <c r="S56" s="8">
        <v>30687000</v>
      </c>
      <c r="T56" s="8">
        <v>-92717000</v>
      </c>
      <c r="U56" s="8" t="s">
        <v>43</v>
      </c>
      <c r="V56" s="10">
        <v>90272000</v>
      </c>
      <c r="W56" s="10" t="s">
        <v>43</v>
      </c>
      <c r="X56" s="10">
        <v>415764000</v>
      </c>
      <c r="Y56" s="8">
        <v>574938000</v>
      </c>
      <c r="Z56" s="8">
        <v>106042000</v>
      </c>
      <c r="AA56" s="10" t="s">
        <v>43</v>
      </c>
      <c r="AB56" s="10" t="s">
        <v>43</v>
      </c>
      <c r="AC56" s="8" t="s">
        <v>43</v>
      </c>
      <c r="AD56" s="8" t="s">
        <v>43</v>
      </c>
      <c r="AE56" s="8" t="s">
        <v>43</v>
      </c>
      <c r="AF56" s="8" t="s">
        <v>43</v>
      </c>
      <c r="AG56" s="8">
        <v>-583517000</v>
      </c>
      <c r="AH56" s="8"/>
      <c r="AI56" s="8"/>
      <c r="AJ56" s="8"/>
      <c r="AK56" s="8"/>
      <c r="AL56" s="8"/>
      <c r="AM56" s="8"/>
      <c r="AN56" s="8"/>
      <c r="AO56" s="8"/>
      <c r="AP56" s="8"/>
    </row>
    <row r="57" spans="1:42" ht="17">
      <c r="A57" s="8" t="s">
        <v>115</v>
      </c>
      <c r="B57" s="8" t="s">
        <v>42</v>
      </c>
      <c r="C57" s="8">
        <v>974842000</v>
      </c>
      <c r="D57" s="8">
        <v>1570418000</v>
      </c>
      <c r="E57" s="10" t="s">
        <v>65</v>
      </c>
      <c r="F57" s="8">
        <v>595576000</v>
      </c>
      <c r="G57" s="8">
        <v>299405000</v>
      </c>
      <c r="H57" s="8">
        <v>421700000</v>
      </c>
      <c r="I57" s="8" t="s">
        <v>43</v>
      </c>
      <c r="J57" s="8">
        <v>667437000</v>
      </c>
      <c r="K57" s="10" t="s">
        <v>43</v>
      </c>
      <c r="L57" s="8" t="s">
        <v>43</v>
      </c>
      <c r="M57" s="8" t="s">
        <v>43</v>
      </c>
      <c r="N57" s="8">
        <v>459852000</v>
      </c>
      <c r="O57" s="10" t="s">
        <v>43</v>
      </c>
      <c r="P57" s="10" t="s">
        <v>43</v>
      </c>
      <c r="Q57" s="8" t="s">
        <v>43</v>
      </c>
      <c r="R57" s="10">
        <v>158453000</v>
      </c>
      <c r="S57" s="8">
        <v>-22864000</v>
      </c>
      <c r="T57" s="8">
        <v>5613000</v>
      </c>
      <c r="U57" s="8" t="s">
        <v>43</v>
      </c>
      <c r="V57" s="10" t="s">
        <v>43</v>
      </c>
      <c r="W57" s="10" t="s">
        <v>43</v>
      </c>
      <c r="X57" s="10">
        <v>313857000</v>
      </c>
      <c r="Y57" s="8">
        <v>472310000</v>
      </c>
      <c r="Z57" s="8">
        <v>-34951000</v>
      </c>
      <c r="AA57" s="10" t="s">
        <v>43</v>
      </c>
      <c r="AB57" s="10" t="s">
        <v>43</v>
      </c>
      <c r="AC57" s="8" t="s">
        <v>43</v>
      </c>
      <c r="AD57" s="8" t="s">
        <v>43</v>
      </c>
      <c r="AE57" s="8" t="s">
        <v>43</v>
      </c>
      <c r="AF57" s="8" t="s">
        <v>43</v>
      </c>
      <c r="AG57" s="8">
        <v>-411190000</v>
      </c>
      <c r="AH57" s="8"/>
      <c r="AI57" s="8"/>
      <c r="AJ57" s="8"/>
      <c r="AK57" s="8"/>
      <c r="AL57" s="8"/>
      <c r="AM57" s="8"/>
      <c r="AN57" s="8"/>
      <c r="AO57" s="8"/>
      <c r="AP57" s="8"/>
    </row>
    <row r="58" spans="1:42" ht="17">
      <c r="A58" s="8" t="s">
        <v>116</v>
      </c>
      <c r="B58" s="8" t="s">
        <v>42</v>
      </c>
      <c r="C58" s="8">
        <v>1001286000</v>
      </c>
      <c r="D58" s="8">
        <v>1618532000</v>
      </c>
      <c r="E58" s="10" t="s">
        <v>65</v>
      </c>
      <c r="F58" s="8">
        <v>617246000</v>
      </c>
      <c r="G58" s="8">
        <v>252721000</v>
      </c>
      <c r="H58" s="8">
        <v>434581000</v>
      </c>
      <c r="I58" s="8" t="s">
        <v>43</v>
      </c>
      <c r="J58" s="8">
        <v>748565000</v>
      </c>
      <c r="K58" s="10" t="s">
        <v>43</v>
      </c>
      <c r="L58" s="8" t="s">
        <v>43</v>
      </c>
      <c r="M58" s="8" t="s">
        <v>43</v>
      </c>
      <c r="N58" s="8">
        <v>465991000</v>
      </c>
      <c r="O58" s="10" t="s">
        <v>43</v>
      </c>
      <c r="P58" s="10" t="s">
        <v>43</v>
      </c>
      <c r="Q58" s="8" t="s">
        <v>43</v>
      </c>
      <c r="R58" s="10">
        <v>162144000</v>
      </c>
      <c r="S58" s="8">
        <v>-248899000</v>
      </c>
      <c r="T58" s="8">
        <v>27137000</v>
      </c>
      <c r="U58" s="8" t="s">
        <v>43</v>
      </c>
      <c r="V58" s="10" t="s">
        <v>43</v>
      </c>
      <c r="W58" s="10" t="s">
        <v>43</v>
      </c>
      <c r="X58" s="10">
        <v>316214000</v>
      </c>
      <c r="Y58" s="8">
        <v>478358000</v>
      </c>
      <c r="Z58" s="8">
        <v>-278894000</v>
      </c>
      <c r="AA58" s="10" t="s">
        <v>43</v>
      </c>
      <c r="AB58" s="10" t="s">
        <v>43</v>
      </c>
      <c r="AC58" s="8" t="s">
        <v>43</v>
      </c>
      <c r="AD58" s="8" t="s">
        <v>43</v>
      </c>
      <c r="AE58" s="8" t="s">
        <v>43</v>
      </c>
      <c r="AF58" s="8" t="s">
        <v>43</v>
      </c>
      <c r="AG58" s="8">
        <v>-268029000</v>
      </c>
      <c r="AH58" s="8"/>
      <c r="AI58" s="8"/>
      <c r="AJ58" s="8"/>
      <c r="AK58" s="8"/>
      <c r="AL58" s="8"/>
      <c r="AM58" s="8"/>
      <c r="AN58" s="8"/>
      <c r="AO58" s="8"/>
      <c r="AP58" s="8"/>
    </row>
    <row r="59" spans="1:42" ht="17">
      <c r="A59" s="8" t="s">
        <v>117</v>
      </c>
      <c r="B59" s="8" t="s">
        <v>42</v>
      </c>
      <c r="C59" s="8">
        <v>795134000</v>
      </c>
      <c r="D59" s="8">
        <v>1363505000</v>
      </c>
      <c r="E59" s="10" t="s">
        <v>65</v>
      </c>
      <c r="F59" s="8">
        <v>568371000</v>
      </c>
      <c r="G59" s="8">
        <v>420694000</v>
      </c>
      <c r="H59" s="8">
        <v>425568000</v>
      </c>
      <c r="I59" s="8" t="s">
        <v>43</v>
      </c>
      <c r="J59" s="8">
        <v>374440000</v>
      </c>
      <c r="K59" s="10" t="s">
        <v>43</v>
      </c>
      <c r="L59" s="8" t="s">
        <v>43</v>
      </c>
      <c r="M59" s="8" t="s">
        <v>43</v>
      </c>
      <c r="N59" s="8">
        <v>463950000</v>
      </c>
      <c r="O59" s="10" t="s">
        <v>43</v>
      </c>
      <c r="P59" s="10" t="s">
        <v>43</v>
      </c>
      <c r="Q59" s="8" t="s">
        <v>43</v>
      </c>
      <c r="R59" s="10">
        <v>155456000</v>
      </c>
      <c r="S59" s="8">
        <v>-49401000</v>
      </c>
      <c r="T59" s="8">
        <v>9493000</v>
      </c>
      <c r="U59" s="8" t="s">
        <v>43</v>
      </c>
      <c r="V59" s="10" t="s">
        <v>43</v>
      </c>
      <c r="W59" s="10" t="s">
        <v>43</v>
      </c>
      <c r="X59" s="10">
        <v>148914000</v>
      </c>
      <c r="Y59" s="8">
        <v>304370000</v>
      </c>
      <c r="Z59" s="8">
        <v>-88515000</v>
      </c>
      <c r="AA59" s="10" t="s">
        <v>43</v>
      </c>
      <c r="AB59" s="10" t="s">
        <v>43</v>
      </c>
      <c r="AC59" s="8" t="s">
        <v>43</v>
      </c>
      <c r="AD59" s="8" t="s">
        <v>43</v>
      </c>
      <c r="AE59" s="8" t="s">
        <v>43</v>
      </c>
      <c r="AF59" s="8" t="s">
        <v>43</v>
      </c>
      <c r="AG59" s="8">
        <v>-462853000</v>
      </c>
      <c r="AH59" s="8"/>
      <c r="AI59" s="8"/>
      <c r="AJ59" s="8"/>
      <c r="AK59" s="8"/>
      <c r="AL59" s="8"/>
      <c r="AM59" s="8"/>
      <c r="AN59" s="8"/>
      <c r="AO59" s="8"/>
      <c r="AP59" s="8"/>
    </row>
    <row r="60" spans="1:42" ht="17">
      <c r="A60" s="8" t="s">
        <v>55</v>
      </c>
      <c r="B60" s="8" t="s">
        <v>42</v>
      </c>
      <c r="C60" s="8">
        <v>1065860000</v>
      </c>
      <c r="D60" s="8">
        <v>1717579000</v>
      </c>
      <c r="E60" s="10" t="s">
        <v>65</v>
      </c>
      <c r="F60" s="8">
        <v>651719000</v>
      </c>
      <c r="G60" s="8">
        <v>376964000</v>
      </c>
      <c r="H60" s="8">
        <v>432237000</v>
      </c>
      <c r="I60" s="8" t="s">
        <v>43</v>
      </c>
      <c r="J60" s="8">
        <v>688896000</v>
      </c>
      <c r="K60" s="10" t="s">
        <v>43</v>
      </c>
      <c r="L60" s="8" t="s">
        <v>43</v>
      </c>
      <c r="M60" s="8" t="s">
        <v>43</v>
      </c>
      <c r="N60" s="8">
        <v>456847000</v>
      </c>
      <c r="O60" s="10" t="s">
        <v>43</v>
      </c>
      <c r="P60" s="10" t="s">
        <v>43</v>
      </c>
      <c r="Q60" s="8" t="s">
        <v>43</v>
      </c>
      <c r="R60" s="10">
        <v>168824000</v>
      </c>
      <c r="S60" s="8">
        <v>-84639000</v>
      </c>
      <c r="T60" s="8">
        <v>5434000</v>
      </c>
      <c r="U60" s="8" t="s">
        <v>43</v>
      </c>
      <c r="V60" s="10" t="s">
        <v>43</v>
      </c>
      <c r="W60" s="10" t="s">
        <v>43</v>
      </c>
      <c r="X60" s="10">
        <v>386568000</v>
      </c>
      <c r="Y60" s="8">
        <v>555392000</v>
      </c>
      <c r="Z60" s="8">
        <v>-93272000</v>
      </c>
      <c r="AA60" s="10" t="s">
        <v>43</v>
      </c>
      <c r="AB60" s="10" t="s">
        <v>43</v>
      </c>
      <c r="AC60" s="8">
        <v>-184000</v>
      </c>
      <c r="AD60" s="8" t="s">
        <v>43</v>
      </c>
      <c r="AE60" s="8" t="s">
        <v>43</v>
      </c>
      <c r="AF60" s="8" t="s">
        <v>43</v>
      </c>
      <c r="AG60" s="9">
        <v>-4049000000</v>
      </c>
      <c r="AH60" s="8"/>
      <c r="AI60" s="8"/>
      <c r="AJ60" s="8"/>
      <c r="AK60" s="8"/>
      <c r="AL60" s="8"/>
      <c r="AM60" s="8"/>
      <c r="AN60" s="8"/>
      <c r="AO60" s="8"/>
      <c r="AP60" s="8"/>
    </row>
    <row r="61" spans="1:42" ht="17">
      <c r="A61" s="8" t="s">
        <v>118</v>
      </c>
      <c r="B61" s="8" t="s">
        <v>42</v>
      </c>
      <c r="C61" s="8">
        <v>951672000</v>
      </c>
      <c r="D61" s="8">
        <v>1579514000</v>
      </c>
      <c r="E61" s="10" t="s">
        <v>65</v>
      </c>
      <c r="F61" s="8">
        <v>627842000</v>
      </c>
      <c r="G61" s="8">
        <v>267126000</v>
      </c>
      <c r="H61" s="8">
        <v>428967000</v>
      </c>
      <c r="I61" s="8" t="s">
        <v>43</v>
      </c>
      <c r="J61" s="8">
        <v>662915000</v>
      </c>
      <c r="K61" s="10" t="s">
        <v>43</v>
      </c>
      <c r="L61" s="8" t="s">
        <v>43</v>
      </c>
      <c r="M61" s="8" t="s">
        <v>43</v>
      </c>
      <c r="N61" s="8">
        <v>453921000</v>
      </c>
      <c r="O61" s="10" t="s">
        <v>43</v>
      </c>
      <c r="P61" s="10" t="s">
        <v>43</v>
      </c>
      <c r="Q61" s="8" t="s">
        <v>43</v>
      </c>
      <c r="R61" s="10">
        <v>166320000</v>
      </c>
      <c r="S61" s="8">
        <v>-210628000</v>
      </c>
      <c r="T61" s="8">
        <v>2841000</v>
      </c>
      <c r="U61" s="8" t="s">
        <v>43</v>
      </c>
      <c r="V61" s="10" t="s">
        <v>43</v>
      </c>
      <c r="W61" s="10" t="s">
        <v>43</v>
      </c>
      <c r="X61" s="10">
        <v>298843000</v>
      </c>
      <c r="Y61" s="8">
        <v>465163000</v>
      </c>
      <c r="Z61" s="8">
        <v>-221917000</v>
      </c>
      <c r="AA61" s="10" t="s">
        <v>43</v>
      </c>
      <c r="AB61" s="10" t="s">
        <v>43</v>
      </c>
      <c r="AC61" s="8">
        <v>-3828000</v>
      </c>
      <c r="AD61" s="8" t="s">
        <v>43</v>
      </c>
      <c r="AE61" s="8" t="s">
        <v>43</v>
      </c>
      <c r="AF61" s="8" t="s">
        <v>43</v>
      </c>
      <c r="AG61" s="9">
        <v>-4627000000</v>
      </c>
      <c r="AH61" s="8"/>
      <c r="AI61" s="8"/>
      <c r="AJ61" s="8"/>
      <c r="AK61" s="8"/>
      <c r="AL61" s="8"/>
      <c r="AM61" s="8"/>
      <c r="AN61" s="8"/>
      <c r="AO61" s="8"/>
      <c r="AP61" s="8"/>
    </row>
    <row r="62" spans="1:42" ht="17">
      <c r="A62" s="8" t="s">
        <v>119</v>
      </c>
      <c r="B62" s="8" t="s">
        <v>42</v>
      </c>
      <c r="C62" s="8">
        <v>984594000</v>
      </c>
      <c r="D62" s="8">
        <v>1599859000</v>
      </c>
      <c r="E62" s="10">
        <v>615265000</v>
      </c>
      <c r="F62" s="8">
        <v>615265000</v>
      </c>
      <c r="G62" s="8">
        <v>412199000</v>
      </c>
      <c r="H62" s="8">
        <v>424163000</v>
      </c>
      <c r="I62" s="8" t="s">
        <v>43</v>
      </c>
      <c r="J62" s="8">
        <v>572395000</v>
      </c>
      <c r="K62" s="10" t="s">
        <v>43</v>
      </c>
      <c r="L62" s="8" t="s">
        <v>43</v>
      </c>
      <c r="M62" s="8" t="s">
        <v>43</v>
      </c>
      <c r="N62" s="8">
        <v>452957000</v>
      </c>
      <c r="O62" s="10" t="s">
        <v>43</v>
      </c>
      <c r="P62" s="10" t="s">
        <v>43</v>
      </c>
      <c r="Q62" s="8" t="s">
        <v>43</v>
      </c>
      <c r="R62" s="10">
        <v>168394000</v>
      </c>
      <c r="S62" s="8">
        <v>-25237000</v>
      </c>
      <c r="T62" s="8">
        <v>22077000</v>
      </c>
      <c r="U62" s="8" t="s">
        <v>43</v>
      </c>
      <c r="V62" s="10" t="s">
        <v>43</v>
      </c>
      <c r="W62" s="10" t="s">
        <v>43</v>
      </c>
      <c r="X62" s="10">
        <v>318445000</v>
      </c>
      <c r="Y62" s="8">
        <v>486839000</v>
      </c>
      <c r="Z62" s="8">
        <v>-54466000</v>
      </c>
      <c r="AA62" s="10"/>
      <c r="AB62" s="10"/>
      <c r="AC62" s="8"/>
      <c r="AD62" s="8"/>
      <c r="AE62" s="8"/>
      <c r="AF62" s="8"/>
      <c r="AG62" s="8"/>
      <c r="AH62" s="8"/>
      <c r="AI62" s="8"/>
      <c r="AJ62" s="8"/>
      <c r="AK62" s="8"/>
      <c r="AL62" s="8"/>
      <c r="AM62" s="8"/>
      <c r="AN62" s="8"/>
      <c r="AO62" s="8"/>
      <c r="AP62" s="8"/>
    </row>
    <row r="63" spans="1:42" ht="17">
      <c r="A63" s="8" t="s">
        <v>120</v>
      </c>
      <c r="B63" s="8" t="s">
        <v>42</v>
      </c>
      <c r="C63" s="8">
        <v>766045000</v>
      </c>
      <c r="D63" s="8">
        <v>1344564000</v>
      </c>
      <c r="E63" s="10">
        <v>578519000</v>
      </c>
      <c r="F63" s="8">
        <v>578519000</v>
      </c>
      <c r="G63" s="8">
        <v>93142000</v>
      </c>
      <c r="H63" s="8">
        <v>416188000</v>
      </c>
      <c r="I63" s="8" t="s">
        <v>43</v>
      </c>
      <c r="J63" s="8">
        <v>672903000</v>
      </c>
      <c r="K63" s="10" t="s">
        <v>43</v>
      </c>
      <c r="L63" s="8" t="s">
        <v>43</v>
      </c>
      <c r="M63" s="8" t="s">
        <v>43</v>
      </c>
      <c r="N63" s="8">
        <v>441771000</v>
      </c>
      <c r="O63" s="10" t="s">
        <v>43</v>
      </c>
      <c r="P63" s="10" t="s">
        <v>43</v>
      </c>
      <c r="Q63" s="8" t="s">
        <v>43</v>
      </c>
      <c r="R63" s="10">
        <v>170453000</v>
      </c>
      <c r="S63" s="8">
        <v>-330029000</v>
      </c>
      <c r="T63" s="8">
        <v>56605000</v>
      </c>
      <c r="U63" s="8" t="s">
        <v>43</v>
      </c>
      <c r="V63" s="10" t="s">
        <v>43</v>
      </c>
      <c r="W63" s="10" t="s">
        <v>43</v>
      </c>
      <c r="X63" s="10">
        <v>103242000</v>
      </c>
      <c r="Y63" s="8">
        <v>273695000</v>
      </c>
      <c r="Z63" s="8">
        <v>-384966000</v>
      </c>
      <c r="AA63" s="10"/>
      <c r="AB63" s="10"/>
      <c r="AC63" s="8"/>
      <c r="AD63" s="8"/>
      <c r="AE63" s="8"/>
      <c r="AF63" s="8"/>
      <c r="AG63" s="8"/>
      <c r="AH63" s="8"/>
      <c r="AI63" s="8"/>
      <c r="AJ63" s="8"/>
      <c r="AK63" s="8"/>
      <c r="AL63" s="8"/>
      <c r="AM63" s="8"/>
      <c r="AN63" s="8"/>
      <c r="AO63" s="8"/>
      <c r="AP63" s="8"/>
    </row>
    <row r="64" spans="1:42" ht="17">
      <c r="A64" s="8" t="s">
        <v>56</v>
      </c>
      <c r="B64" s="8" t="s">
        <v>42</v>
      </c>
      <c r="C64" s="8">
        <v>1067130000</v>
      </c>
      <c r="D64" s="8">
        <v>1715797000</v>
      </c>
      <c r="E64" s="10">
        <v>648667000</v>
      </c>
      <c r="F64" s="8">
        <v>648667000</v>
      </c>
      <c r="G64" s="8">
        <v>347770000</v>
      </c>
      <c r="H64" s="8">
        <v>421116000</v>
      </c>
      <c r="I64" s="8" t="s">
        <v>43</v>
      </c>
      <c r="J64" s="8">
        <v>700121000</v>
      </c>
      <c r="K64" s="10" t="s">
        <v>43</v>
      </c>
      <c r="L64" s="8" t="s">
        <v>43</v>
      </c>
      <c r="M64" s="8" t="s">
        <v>43</v>
      </c>
      <c r="N64" s="8">
        <v>437261000</v>
      </c>
      <c r="O64" s="10" t="s">
        <v>43</v>
      </c>
      <c r="P64" s="10" t="s">
        <v>43</v>
      </c>
      <c r="Q64" s="8" t="s">
        <v>43</v>
      </c>
      <c r="R64" s="10">
        <v>186100000</v>
      </c>
      <c r="S64" s="8">
        <v>-83818000</v>
      </c>
      <c r="T64" s="8">
        <v>-33653000</v>
      </c>
      <c r="U64" s="8" t="s">
        <v>43</v>
      </c>
      <c r="V64" s="10" t="s">
        <v>43</v>
      </c>
      <c r="W64" s="10" t="s">
        <v>43</v>
      </c>
      <c r="X64" s="10">
        <v>380906000</v>
      </c>
      <c r="Y64" s="8">
        <v>567006000</v>
      </c>
      <c r="Z64" s="8">
        <v>-68089000</v>
      </c>
      <c r="AA64" s="10"/>
      <c r="AB64" s="10"/>
      <c r="AC64" s="8"/>
      <c r="AD64" s="8"/>
      <c r="AE64" s="8"/>
      <c r="AF64" s="8"/>
      <c r="AG64" s="8"/>
      <c r="AH64" s="8"/>
      <c r="AI64" s="8"/>
      <c r="AJ64" s="8"/>
      <c r="AK64" s="8"/>
      <c r="AL64" s="8"/>
      <c r="AM64" s="8"/>
      <c r="AN64" s="8"/>
      <c r="AO64" s="8"/>
      <c r="AP64" s="8"/>
    </row>
    <row r="65" spans="1:42" ht="17">
      <c r="A65" s="8" t="s">
        <v>121</v>
      </c>
      <c r="B65" s="8" t="s">
        <v>42</v>
      </c>
      <c r="C65" s="8">
        <v>984053000</v>
      </c>
      <c r="D65" s="8">
        <v>1630034000</v>
      </c>
      <c r="E65" s="10">
        <v>645981000</v>
      </c>
      <c r="F65" s="8">
        <v>645981000</v>
      </c>
      <c r="G65" s="8">
        <v>347436000</v>
      </c>
      <c r="H65" s="8">
        <v>429687000</v>
      </c>
      <c r="I65" s="8" t="s">
        <v>43</v>
      </c>
      <c r="J65" s="8">
        <v>636582000</v>
      </c>
      <c r="K65" s="10" t="s">
        <v>43</v>
      </c>
      <c r="L65" s="8" t="s">
        <v>43</v>
      </c>
      <c r="M65" s="8" t="s">
        <v>43</v>
      </c>
      <c r="N65" s="8">
        <v>432616000</v>
      </c>
      <c r="O65" s="10" t="s">
        <v>43</v>
      </c>
      <c r="P65" s="10" t="s">
        <v>43</v>
      </c>
      <c r="Q65" s="8" t="s">
        <v>43</v>
      </c>
      <c r="R65" s="10">
        <v>175865000</v>
      </c>
      <c r="S65" s="8">
        <v>-83448000</v>
      </c>
      <c r="T65" s="8">
        <v>24376000</v>
      </c>
      <c r="U65" s="8" t="s">
        <v>43</v>
      </c>
      <c r="V65" s="10" t="s">
        <v>43</v>
      </c>
      <c r="W65" s="10" t="s">
        <v>43</v>
      </c>
      <c r="X65" s="10">
        <v>321771000</v>
      </c>
      <c r="Y65" s="8">
        <v>497636000</v>
      </c>
      <c r="Z65" s="8">
        <v>-114852000</v>
      </c>
      <c r="AA65" s="10"/>
      <c r="AB65" s="10"/>
      <c r="AC65" s="8"/>
      <c r="AD65" s="8"/>
      <c r="AE65" s="8"/>
      <c r="AF65" s="8"/>
      <c r="AG65" s="8"/>
      <c r="AH65" s="8"/>
      <c r="AI65" s="8"/>
      <c r="AJ65" s="8"/>
      <c r="AK65" s="8"/>
      <c r="AL65" s="8"/>
      <c r="AM65" s="8"/>
      <c r="AN65" s="8"/>
      <c r="AO65" s="8"/>
      <c r="AP65" s="8"/>
    </row>
    <row r="66" spans="1:42" ht="17">
      <c r="A66" s="8" t="s">
        <v>122</v>
      </c>
      <c r="B66" s="8" t="s">
        <v>42</v>
      </c>
      <c r="C66" s="8">
        <v>986932000</v>
      </c>
      <c r="D66" s="8">
        <v>1630154000</v>
      </c>
      <c r="E66" s="10">
        <v>643222000</v>
      </c>
      <c r="F66" s="8">
        <v>643222000</v>
      </c>
      <c r="G66" s="8">
        <v>303567000</v>
      </c>
      <c r="H66" s="8">
        <v>420577000</v>
      </c>
      <c r="I66" s="8" t="s">
        <v>43</v>
      </c>
      <c r="J66" s="8">
        <v>678463000</v>
      </c>
      <c r="K66" s="10" t="s">
        <v>43</v>
      </c>
      <c r="L66" s="8" t="s">
        <v>43</v>
      </c>
      <c r="M66" s="8" t="s">
        <v>43</v>
      </c>
      <c r="N66" s="8">
        <v>440605000</v>
      </c>
      <c r="O66" s="10" t="s">
        <v>43</v>
      </c>
      <c r="P66" s="10" t="s">
        <v>43</v>
      </c>
      <c r="Q66" s="8" t="s">
        <v>43</v>
      </c>
      <c r="R66" s="10">
        <v>174062000</v>
      </c>
      <c r="S66" s="8">
        <v>-172400000</v>
      </c>
      <c r="T66" s="8">
        <v>-621000</v>
      </c>
      <c r="U66" s="8" t="s">
        <v>43</v>
      </c>
      <c r="V66" s="10" t="s">
        <v>43</v>
      </c>
      <c r="W66" s="10" t="s">
        <v>43</v>
      </c>
      <c r="X66" s="10">
        <v>330597000</v>
      </c>
      <c r="Y66" s="8">
        <v>504659000</v>
      </c>
      <c r="Z66" s="8">
        <v>-186631000</v>
      </c>
      <c r="AA66" s="10"/>
      <c r="AB66" s="10"/>
      <c r="AC66" s="8"/>
      <c r="AD66" s="8"/>
      <c r="AE66" s="8"/>
      <c r="AF66" s="8"/>
      <c r="AG66" s="8"/>
      <c r="AH66" s="8"/>
      <c r="AI66" s="8"/>
      <c r="AJ66" s="8"/>
      <c r="AK66" s="8"/>
      <c r="AL66" s="8"/>
      <c r="AM66" s="8"/>
      <c r="AN66" s="8"/>
      <c r="AO66" s="8"/>
      <c r="AP66" s="8"/>
    </row>
    <row r="67" spans="1:42" ht="17">
      <c r="A67" s="8" t="s">
        <v>123</v>
      </c>
      <c r="B67" s="8" t="s">
        <v>42</v>
      </c>
      <c r="C67" s="8">
        <v>746052000</v>
      </c>
      <c r="D67" s="8">
        <v>1342548000</v>
      </c>
      <c r="E67" s="10">
        <v>596496000</v>
      </c>
      <c r="F67" s="8">
        <v>596496000</v>
      </c>
      <c r="G67" s="8">
        <v>82813000</v>
      </c>
      <c r="H67" s="8">
        <v>415828000</v>
      </c>
      <c r="I67" s="8" t="s">
        <v>43</v>
      </c>
      <c r="J67" s="8">
        <v>663239000</v>
      </c>
      <c r="K67" s="10" t="s">
        <v>43</v>
      </c>
      <c r="L67" s="8" t="s">
        <v>43</v>
      </c>
      <c r="M67" s="8" t="s">
        <v>43</v>
      </c>
      <c r="N67" s="8">
        <v>431114000</v>
      </c>
      <c r="O67" s="10" t="s">
        <v>43</v>
      </c>
      <c r="P67" s="10" t="s">
        <v>43</v>
      </c>
      <c r="Q67" s="8" t="s">
        <v>43</v>
      </c>
      <c r="R67" s="10">
        <v>174871000</v>
      </c>
      <c r="S67" s="8">
        <v>-364002000</v>
      </c>
      <c r="T67" s="8">
        <v>68388000</v>
      </c>
      <c r="U67" s="8" t="s">
        <v>43</v>
      </c>
      <c r="V67" s="10" t="s">
        <v>43</v>
      </c>
      <c r="W67" s="10" t="s">
        <v>43</v>
      </c>
      <c r="X67" s="10">
        <v>93648000</v>
      </c>
      <c r="Y67" s="8">
        <v>268519000</v>
      </c>
      <c r="Z67" s="8">
        <v>-424190000</v>
      </c>
      <c r="AA67" s="10"/>
      <c r="AB67" s="10"/>
      <c r="AC67" s="8"/>
      <c r="AD67" s="8"/>
      <c r="AE67" s="8"/>
      <c r="AF67" s="8"/>
      <c r="AG67" s="8"/>
      <c r="AH67" s="8"/>
      <c r="AI67" s="8"/>
      <c r="AJ67" s="8"/>
      <c r="AK67" s="8"/>
      <c r="AL67" s="8"/>
      <c r="AM67" s="8"/>
      <c r="AN67" s="8"/>
      <c r="AO67" s="8"/>
      <c r="AP67" s="8"/>
    </row>
    <row r="68" spans="1:42" ht="17">
      <c r="A68" s="8" t="s">
        <v>58</v>
      </c>
      <c r="B68" s="8" t="s">
        <v>42</v>
      </c>
      <c r="C68" s="8">
        <v>991069000</v>
      </c>
      <c r="D68" s="8">
        <v>1694367000</v>
      </c>
      <c r="E68" s="10">
        <v>703298000</v>
      </c>
      <c r="F68" s="8">
        <v>703298000</v>
      </c>
      <c r="G68" s="8">
        <v>332526000</v>
      </c>
      <c r="H68" s="8">
        <v>392637000</v>
      </c>
      <c r="I68" s="8" t="s">
        <v>43</v>
      </c>
      <c r="J68" s="8">
        <v>641573000</v>
      </c>
      <c r="K68" s="10" t="s">
        <v>43</v>
      </c>
      <c r="L68" s="8" t="s">
        <v>43</v>
      </c>
      <c r="M68" s="8" t="s">
        <v>43</v>
      </c>
      <c r="N68" s="8">
        <v>418014000</v>
      </c>
      <c r="O68" s="10" t="s">
        <v>43</v>
      </c>
      <c r="P68" s="10" t="s">
        <v>43</v>
      </c>
      <c r="Q68" s="8" t="s">
        <v>43</v>
      </c>
      <c r="R68" s="10">
        <v>191582000</v>
      </c>
      <c r="S68" s="8">
        <v>-265400000</v>
      </c>
      <c r="T68" s="8">
        <v>36833000</v>
      </c>
      <c r="U68" s="8" t="s">
        <v>43</v>
      </c>
      <c r="V68" s="10" t="s">
        <v>43</v>
      </c>
      <c r="W68" s="10" t="s">
        <v>43</v>
      </c>
      <c r="X68" s="10">
        <v>353692000</v>
      </c>
      <c r="Y68" s="8">
        <v>545274000</v>
      </c>
      <c r="Z68" s="8">
        <v>-309227000</v>
      </c>
      <c r="AA68" s="10"/>
      <c r="AB68" s="10"/>
      <c r="AC68" s="8"/>
      <c r="AD68" s="8"/>
      <c r="AE68" s="8"/>
      <c r="AF68" s="8"/>
      <c r="AG68" s="8"/>
      <c r="AH68" s="8"/>
      <c r="AI68" s="8"/>
      <c r="AJ68" s="8"/>
      <c r="AK68" s="8"/>
      <c r="AL68" s="8"/>
      <c r="AM68" s="8"/>
      <c r="AN68" s="8"/>
      <c r="AO68" s="8"/>
      <c r="AP68" s="8"/>
    </row>
    <row r="69" spans="1:42" ht="17">
      <c r="A69" s="8" t="s">
        <v>124</v>
      </c>
      <c r="B69" s="8" t="s">
        <v>42</v>
      </c>
      <c r="C69" s="8">
        <v>963650000</v>
      </c>
      <c r="D69" s="8">
        <v>1587522000</v>
      </c>
      <c r="E69" s="10">
        <v>623872000</v>
      </c>
      <c r="F69" s="8">
        <v>623872000</v>
      </c>
      <c r="G69" s="8">
        <v>266707000</v>
      </c>
      <c r="H69" s="8">
        <v>433595000</v>
      </c>
      <c r="I69" s="8" t="s">
        <v>43</v>
      </c>
      <c r="J69" s="8">
        <v>696943000</v>
      </c>
      <c r="K69" s="10" t="s">
        <v>43</v>
      </c>
      <c r="L69" s="8" t="s">
        <v>43</v>
      </c>
      <c r="M69" s="8" t="s">
        <v>43</v>
      </c>
      <c r="N69" s="8">
        <v>438404000</v>
      </c>
      <c r="O69" s="10" t="s">
        <v>43</v>
      </c>
      <c r="P69" s="10" t="s">
        <v>43</v>
      </c>
      <c r="Q69" s="8" t="s">
        <v>43</v>
      </c>
      <c r="R69" s="10">
        <v>177330000</v>
      </c>
      <c r="S69" s="8">
        <v>-165974000</v>
      </c>
      <c r="T69" s="8">
        <v>-73802000</v>
      </c>
      <c r="U69" s="8" t="s">
        <v>43</v>
      </c>
      <c r="V69" s="10" t="s">
        <v>43</v>
      </c>
      <c r="W69" s="10" t="s">
        <v>43</v>
      </c>
      <c r="X69" s="10">
        <v>292007000</v>
      </c>
      <c r="Y69" s="8">
        <v>469337000</v>
      </c>
      <c r="Z69" s="8">
        <v>-101855000</v>
      </c>
      <c r="AA69" s="10"/>
      <c r="AB69" s="10"/>
      <c r="AC69" s="8"/>
      <c r="AD69" s="8"/>
      <c r="AE69" s="8"/>
      <c r="AF69" s="8"/>
      <c r="AG69" s="8"/>
      <c r="AH69" s="8"/>
      <c r="AI69" s="8"/>
      <c r="AJ69" s="8"/>
      <c r="AK69" s="8"/>
      <c r="AL69" s="8"/>
      <c r="AM69" s="8"/>
      <c r="AN69" s="8"/>
      <c r="AO69" s="8"/>
      <c r="AP69" s="8"/>
    </row>
    <row r="70" spans="1:42" ht="17">
      <c r="A70" s="8" t="s">
        <v>125</v>
      </c>
      <c r="B70" s="8" t="s">
        <v>42</v>
      </c>
      <c r="C70" s="8">
        <v>994819000</v>
      </c>
      <c r="D70" s="8">
        <v>1618097000</v>
      </c>
      <c r="E70" s="10">
        <v>623278000</v>
      </c>
      <c r="F70" s="8">
        <v>623278000</v>
      </c>
      <c r="G70" s="8">
        <v>320221000</v>
      </c>
      <c r="H70" s="8">
        <v>418420000</v>
      </c>
      <c r="I70" s="8" t="s">
        <v>43</v>
      </c>
      <c r="J70" s="8">
        <v>674598000</v>
      </c>
      <c r="K70" s="10" t="s">
        <v>43</v>
      </c>
      <c r="L70" s="8" t="s">
        <v>43</v>
      </c>
      <c r="M70" s="8" t="s">
        <v>43</v>
      </c>
      <c r="N70" s="8">
        <v>407508000</v>
      </c>
      <c r="O70" s="10" t="s">
        <v>43</v>
      </c>
      <c r="P70" s="10" t="s">
        <v>43</v>
      </c>
      <c r="Q70" s="8" t="s">
        <v>43</v>
      </c>
      <c r="R70" s="10">
        <v>179734000</v>
      </c>
      <c r="S70" s="8">
        <v>31484000</v>
      </c>
      <c r="T70" s="8">
        <v>11477000</v>
      </c>
      <c r="U70" s="8" t="s">
        <v>43</v>
      </c>
      <c r="V70" s="10" t="s">
        <v>43</v>
      </c>
      <c r="W70" s="10" t="s">
        <v>43</v>
      </c>
      <c r="X70" s="10">
        <v>438992000</v>
      </c>
      <c r="Y70" s="8">
        <v>618726000</v>
      </c>
      <c r="Z70" s="8">
        <v>7202000</v>
      </c>
      <c r="AA70" s="10"/>
      <c r="AB70" s="10"/>
      <c r="AC70" s="8"/>
      <c r="AD70" s="8"/>
      <c r="AE70" s="8"/>
      <c r="AF70" s="8"/>
      <c r="AG70" s="8"/>
      <c r="AH70" s="8"/>
      <c r="AI70" s="8"/>
      <c r="AJ70" s="8"/>
      <c r="AK70" s="8"/>
      <c r="AL70" s="8"/>
      <c r="AM70" s="8"/>
      <c r="AN70" s="8"/>
      <c r="AO70" s="8"/>
      <c r="AP70" s="8"/>
    </row>
    <row r="71" spans="1:42" ht="17">
      <c r="A71" s="8" t="s">
        <v>126</v>
      </c>
      <c r="B71" s="8" t="s">
        <v>42</v>
      </c>
      <c r="C71" s="8">
        <v>748192000</v>
      </c>
      <c r="D71" s="8">
        <v>1343058000</v>
      </c>
      <c r="E71" s="10">
        <v>594866000</v>
      </c>
      <c r="F71" s="8">
        <v>594866000</v>
      </c>
      <c r="G71" s="8">
        <v>81328000</v>
      </c>
      <c r="H71" s="8">
        <v>406435000</v>
      </c>
      <c r="I71" s="8" t="s">
        <v>43</v>
      </c>
      <c r="J71" s="8">
        <v>666864000</v>
      </c>
      <c r="K71" s="10" t="s">
        <v>43</v>
      </c>
      <c r="L71" s="8" t="s">
        <v>43</v>
      </c>
      <c r="M71" s="8" t="s">
        <v>43</v>
      </c>
      <c r="N71" s="8">
        <v>385525000</v>
      </c>
      <c r="O71" s="10" t="s">
        <v>43</v>
      </c>
      <c r="P71" s="10" t="s">
        <v>43</v>
      </c>
      <c r="Q71" s="8" t="s">
        <v>43</v>
      </c>
      <c r="R71" s="10">
        <v>182182000</v>
      </c>
      <c r="S71" s="8">
        <v>-305444000</v>
      </c>
      <c r="T71" s="8">
        <v>-96325000</v>
      </c>
      <c r="U71" s="8" t="s">
        <v>43</v>
      </c>
      <c r="V71" s="10" t="s">
        <v>43</v>
      </c>
      <c r="W71" s="10" t="s">
        <v>43</v>
      </c>
      <c r="X71" s="10">
        <v>80081000</v>
      </c>
      <c r="Y71" s="8">
        <v>262263000</v>
      </c>
      <c r="Z71" s="8">
        <v>-203003000</v>
      </c>
      <c r="AA71" s="10"/>
      <c r="AB71" s="10"/>
      <c r="AC71" s="8"/>
      <c r="AD71" s="8"/>
      <c r="AE71" s="8"/>
      <c r="AF71" s="8"/>
      <c r="AG71" s="8"/>
      <c r="AH71" s="8"/>
      <c r="AI71" s="8"/>
      <c r="AJ71" s="8"/>
      <c r="AK71" s="8"/>
      <c r="AL71" s="8"/>
      <c r="AM71" s="8"/>
      <c r="AN71" s="8"/>
      <c r="AO71" s="8"/>
      <c r="AP71" s="8"/>
    </row>
    <row r="72" spans="1:42" ht="17">
      <c r="A72" s="8" t="s">
        <v>59</v>
      </c>
      <c r="B72" s="8" t="s">
        <v>42</v>
      </c>
      <c r="C72" s="8">
        <v>1045841000</v>
      </c>
      <c r="D72" s="8">
        <v>1696336000</v>
      </c>
      <c r="E72" s="10">
        <v>650495000</v>
      </c>
      <c r="F72" s="8">
        <v>650495000</v>
      </c>
      <c r="G72" s="8">
        <v>310726000</v>
      </c>
      <c r="H72" s="8">
        <v>220674000</v>
      </c>
      <c r="I72" s="8" t="s">
        <v>43</v>
      </c>
      <c r="J72" s="8">
        <v>697464000</v>
      </c>
      <c r="K72" s="10" t="s">
        <v>43</v>
      </c>
      <c r="L72" s="8" t="s">
        <v>43</v>
      </c>
      <c r="M72" s="8" t="s">
        <v>43</v>
      </c>
      <c r="N72" s="8">
        <v>400930000</v>
      </c>
      <c r="O72" s="10" t="s">
        <v>43</v>
      </c>
      <c r="P72" s="10" t="s">
        <v>43</v>
      </c>
      <c r="Q72" s="8" t="s">
        <v>43</v>
      </c>
      <c r="R72" s="10">
        <v>189730000</v>
      </c>
      <c r="S72" s="8">
        <v>-325768000</v>
      </c>
      <c r="T72" s="8">
        <v>-128986000</v>
      </c>
      <c r="U72" s="8" t="s">
        <v>43</v>
      </c>
      <c r="V72" s="10" t="s">
        <v>43</v>
      </c>
      <c r="W72" s="10" t="s">
        <v>43</v>
      </c>
      <c r="X72" s="10">
        <v>358288000</v>
      </c>
      <c r="Y72" s="8">
        <v>548018000</v>
      </c>
      <c r="Z72" s="8">
        <v>-191264000</v>
      </c>
      <c r="AA72" s="10"/>
      <c r="AB72" s="10"/>
      <c r="AC72" s="8"/>
      <c r="AD72" s="8"/>
      <c r="AE72" s="8"/>
      <c r="AF72" s="8"/>
      <c r="AG72" s="8"/>
      <c r="AH72" s="8"/>
      <c r="AI72" s="8"/>
      <c r="AJ72" s="8"/>
      <c r="AK72" s="8"/>
      <c r="AL72" s="8"/>
      <c r="AM72" s="8"/>
      <c r="AN72" s="8"/>
      <c r="AO72" s="8"/>
      <c r="AP72" s="8"/>
    </row>
    <row r="73" spans="1:42" ht="17">
      <c r="A73" s="8" t="s">
        <v>127</v>
      </c>
      <c r="B73" s="8" t="s">
        <v>42</v>
      </c>
      <c r="C73" s="8">
        <v>962805000</v>
      </c>
      <c r="D73" s="8">
        <v>1587331000</v>
      </c>
      <c r="E73" s="10">
        <v>624526000</v>
      </c>
      <c r="F73" s="8">
        <v>624526000</v>
      </c>
      <c r="G73" s="8">
        <v>331907000</v>
      </c>
      <c r="H73" s="8">
        <v>490666000</v>
      </c>
      <c r="I73" s="8" t="s">
        <v>43</v>
      </c>
      <c r="J73" s="8">
        <v>630898000</v>
      </c>
      <c r="K73" s="10" t="s">
        <v>43</v>
      </c>
      <c r="L73" s="8" t="s">
        <v>43</v>
      </c>
      <c r="M73" s="8" t="s">
        <v>43</v>
      </c>
      <c r="N73" s="8">
        <v>388210000</v>
      </c>
      <c r="O73" s="10" t="s">
        <v>43</v>
      </c>
      <c r="P73" s="10" t="s">
        <v>43</v>
      </c>
      <c r="Q73" s="8" t="s">
        <v>43</v>
      </c>
      <c r="R73" s="10">
        <v>182350000</v>
      </c>
      <c r="S73" s="8">
        <v>-51816000</v>
      </c>
      <c r="T73" s="8">
        <v>-13232000</v>
      </c>
      <c r="U73" s="8" t="s">
        <v>43</v>
      </c>
      <c r="V73" s="10" t="s">
        <v>43</v>
      </c>
      <c r="W73" s="10" t="s">
        <v>43</v>
      </c>
      <c r="X73" s="10">
        <v>336394000</v>
      </c>
      <c r="Y73" s="8">
        <v>518744000</v>
      </c>
      <c r="Z73" s="8">
        <v>-50561000</v>
      </c>
      <c r="AA73" s="10"/>
      <c r="AB73" s="10"/>
      <c r="AC73" s="8"/>
      <c r="AD73" s="8"/>
      <c r="AE73" s="8"/>
      <c r="AF73" s="8"/>
      <c r="AG73" s="8"/>
      <c r="AH73" s="8"/>
      <c r="AI73" s="8"/>
      <c r="AJ73" s="8"/>
      <c r="AK73" s="8"/>
      <c r="AL73" s="8"/>
      <c r="AM73" s="8"/>
      <c r="AN73" s="8"/>
      <c r="AO73" s="8"/>
      <c r="AP73" s="8"/>
    </row>
    <row r="74" spans="1:42" ht="17">
      <c r="A74" s="8" t="s">
        <v>128</v>
      </c>
      <c r="B74" s="8" t="s">
        <v>42</v>
      </c>
      <c r="C74" s="8">
        <v>995399000</v>
      </c>
      <c r="D74" s="8">
        <v>1602494000</v>
      </c>
      <c r="E74" s="10">
        <v>607095000</v>
      </c>
      <c r="F74" s="8">
        <v>607095000</v>
      </c>
      <c r="G74" s="8">
        <v>346196000</v>
      </c>
      <c r="H74" s="8">
        <v>469281000</v>
      </c>
      <c r="I74" s="8" t="s">
        <v>43</v>
      </c>
      <c r="J74" s="8">
        <v>649203000</v>
      </c>
      <c r="K74" s="10" t="s">
        <v>43</v>
      </c>
      <c r="L74" s="8" t="s">
        <v>43</v>
      </c>
      <c r="M74" s="8" t="s">
        <v>43</v>
      </c>
      <c r="N74" s="8">
        <v>385867000</v>
      </c>
      <c r="O74" s="10" t="s">
        <v>43</v>
      </c>
      <c r="P74" s="10" t="s">
        <v>43</v>
      </c>
      <c r="Q74" s="8" t="s">
        <v>43</v>
      </c>
      <c r="R74" s="10">
        <v>181839000</v>
      </c>
      <c r="S74" s="8">
        <v>-36372000</v>
      </c>
      <c r="T74" s="8">
        <v>-8663000</v>
      </c>
      <c r="U74" s="8" t="s">
        <v>43</v>
      </c>
      <c r="V74" s="10" t="s">
        <v>43</v>
      </c>
      <c r="W74" s="10" t="s">
        <v>43</v>
      </c>
      <c r="X74" s="10">
        <v>238814000</v>
      </c>
      <c r="Y74" s="8">
        <v>420653000</v>
      </c>
      <c r="Z74" s="8">
        <v>-39025000</v>
      </c>
      <c r="AA74" s="10"/>
      <c r="AB74" s="10"/>
      <c r="AC74" s="8"/>
      <c r="AD74" s="8"/>
      <c r="AE74" s="8"/>
      <c r="AF74" s="8"/>
      <c r="AG74" s="8"/>
      <c r="AH74" s="8"/>
      <c r="AI74" s="8"/>
      <c r="AJ74" s="8"/>
      <c r="AK74" s="8"/>
      <c r="AL74" s="8"/>
      <c r="AM74" s="8"/>
      <c r="AN74" s="8"/>
      <c r="AO74" s="8"/>
      <c r="AP74" s="8"/>
    </row>
    <row r="75" spans="1:42" ht="17">
      <c r="A75" s="8" t="s">
        <v>129</v>
      </c>
      <c r="B75" s="8" t="s">
        <v>42</v>
      </c>
      <c r="C75" s="8">
        <v>746289000</v>
      </c>
      <c r="D75" s="8">
        <v>1360723000</v>
      </c>
      <c r="E75" s="10">
        <v>614434000</v>
      </c>
      <c r="F75" s="8">
        <v>614434000</v>
      </c>
      <c r="G75" s="8">
        <v>81221000</v>
      </c>
      <c r="H75" s="8">
        <v>492826000</v>
      </c>
      <c r="I75" s="8" t="s">
        <v>43</v>
      </c>
      <c r="J75" s="8">
        <v>665068000</v>
      </c>
      <c r="K75" s="10" t="s">
        <v>43</v>
      </c>
      <c r="L75" s="8" t="s">
        <v>43</v>
      </c>
      <c r="M75" s="8" t="s">
        <v>43</v>
      </c>
      <c r="N75" s="8">
        <v>374016000</v>
      </c>
      <c r="O75" s="10" t="s">
        <v>43</v>
      </c>
      <c r="P75" s="10" t="s">
        <v>43</v>
      </c>
      <c r="Q75" s="8" t="s">
        <v>43</v>
      </c>
      <c r="R75" s="10">
        <v>175366000</v>
      </c>
      <c r="S75" s="8">
        <v>-305513000</v>
      </c>
      <c r="T75" s="8">
        <v>-157398000</v>
      </c>
      <c r="U75" s="8" t="s">
        <v>43</v>
      </c>
      <c r="V75" s="10" t="s">
        <v>43</v>
      </c>
      <c r="W75" s="10" t="s">
        <v>43</v>
      </c>
      <c r="X75" s="10">
        <v>-37665000</v>
      </c>
      <c r="Y75" s="8">
        <v>137701000</v>
      </c>
      <c r="Z75" s="8">
        <v>-143629000</v>
      </c>
      <c r="AA75" s="10"/>
      <c r="AB75" s="10"/>
      <c r="AC75" s="8"/>
      <c r="AD75" s="8"/>
      <c r="AE75" s="8"/>
      <c r="AF75" s="8"/>
      <c r="AG75" s="8"/>
      <c r="AH75" s="8"/>
      <c r="AI75" s="8"/>
      <c r="AJ75" s="8"/>
      <c r="AK75" s="8"/>
      <c r="AL75" s="8"/>
      <c r="AM75" s="8"/>
      <c r="AN75" s="8"/>
      <c r="AO75" s="8"/>
      <c r="AP75" s="8"/>
    </row>
    <row r="76" spans="1:42" ht="17">
      <c r="A76" s="8" t="s">
        <v>60</v>
      </c>
      <c r="B76" s="8" t="s">
        <v>42</v>
      </c>
      <c r="C76" s="8">
        <v>989337000</v>
      </c>
      <c r="D76" s="8">
        <v>1652788000</v>
      </c>
      <c r="E76" s="10">
        <v>663451000</v>
      </c>
      <c r="F76" s="8">
        <v>663451000</v>
      </c>
      <c r="G76" s="8">
        <v>330224000</v>
      </c>
      <c r="H76" s="8">
        <v>458306000</v>
      </c>
      <c r="I76" s="8" t="s">
        <v>43</v>
      </c>
      <c r="J76" s="8">
        <v>676863000</v>
      </c>
      <c r="K76" s="10" t="s">
        <v>43</v>
      </c>
      <c r="L76" s="8" t="s">
        <v>43</v>
      </c>
      <c r="M76" s="8" t="s">
        <v>43</v>
      </c>
      <c r="N76" s="8">
        <v>368397000</v>
      </c>
      <c r="O76" s="10" t="s">
        <v>43</v>
      </c>
      <c r="P76" s="10" t="s">
        <v>43</v>
      </c>
      <c r="Q76" s="8" t="s">
        <v>43</v>
      </c>
      <c r="R76" s="10">
        <v>192422000</v>
      </c>
      <c r="S76" s="8">
        <v>-34868000</v>
      </c>
      <c r="T76" s="8">
        <v>-3468000</v>
      </c>
      <c r="U76" s="8" t="s">
        <v>43</v>
      </c>
      <c r="V76" s="10" t="s">
        <v>43</v>
      </c>
      <c r="W76" s="10" t="s">
        <v>43</v>
      </c>
      <c r="X76" s="10">
        <v>-216137000</v>
      </c>
      <c r="Y76" s="8">
        <v>-23715000</v>
      </c>
      <c r="Z76" s="8">
        <v>-43027000</v>
      </c>
      <c r="AA76" s="10"/>
      <c r="AB76" s="10"/>
      <c r="AC76" s="8"/>
      <c r="AD76" s="8"/>
      <c r="AE76" s="8"/>
      <c r="AF76" s="8"/>
      <c r="AG76" s="8"/>
      <c r="AH76" s="8"/>
      <c r="AI76" s="8"/>
      <c r="AJ76" s="8"/>
      <c r="AK76" s="8"/>
      <c r="AL76" s="8"/>
      <c r="AM76" s="8"/>
      <c r="AN76" s="8"/>
      <c r="AO76" s="8"/>
      <c r="AP76" s="8"/>
    </row>
    <row r="77" spans="1:42" ht="17">
      <c r="A77" s="8" t="s">
        <v>130</v>
      </c>
      <c r="B77" s="8" t="s">
        <v>42</v>
      </c>
      <c r="C77" s="8">
        <v>947289000</v>
      </c>
      <c r="D77" s="8">
        <v>1583352000</v>
      </c>
      <c r="E77" s="10">
        <v>636063000</v>
      </c>
      <c r="F77" s="8">
        <v>636063000</v>
      </c>
      <c r="G77" s="8">
        <v>268760000</v>
      </c>
      <c r="H77" s="8">
        <v>474507000</v>
      </c>
      <c r="I77" s="8" t="s">
        <v>43</v>
      </c>
      <c r="J77" s="8">
        <v>678529000</v>
      </c>
      <c r="K77" s="10" t="s">
        <v>43</v>
      </c>
      <c r="L77" s="8" t="s">
        <v>43</v>
      </c>
      <c r="M77" s="8" t="s">
        <v>43</v>
      </c>
      <c r="N77" s="8">
        <v>369233000</v>
      </c>
      <c r="O77" s="10" t="s">
        <v>43</v>
      </c>
      <c r="P77" s="10" t="s">
        <v>43</v>
      </c>
      <c r="Q77" s="8" t="s">
        <v>43</v>
      </c>
      <c r="R77" s="10">
        <v>197532000</v>
      </c>
      <c r="S77" s="8">
        <v>-87956000</v>
      </c>
      <c r="T77" s="8">
        <v>-20665000</v>
      </c>
      <c r="U77" s="8" t="s">
        <v>43</v>
      </c>
      <c r="V77" s="10" t="s">
        <v>43</v>
      </c>
      <c r="W77" s="10" t="s">
        <v>43</v>
      </c>
      <c r="X77" s="10">
        <v>137992000</v>
      </c>
      <c r="Y77" s="8">
        <v>335524000</v>
      </c>
      <c r="Z77" s="8">
        <v>-74056000</v>
      </c>
      <c r="AA77" s="10"/>
      <c r="AB77" s="10"/>
      <c r="AC77" s="8"/>
      <c r="AD77" s="8"/>
      <c r="AE77" s="8"/>
      <c r="AF77" s="8"/>
      <c r="AG77" s="8"/>
      <c r="AH77" s="8"/>
      <c r="AI77" s="8"/>
      <c r="AJ77" s="8"/>
      <c r="AK77" s="8"/>
      <c r="AL77" s="8"/>
      <c r="AM77" s="8"/>
      <c r="AN77" s="8"/>
      <c r="AO77" s="8"/>
      <c r="AP77" s="8"/>
    </row>
    <row r="78" spans="1:42" ht="17">
      <c r="A78" s="8" t="s">
        <v>131</v>
      </c>
      <c r="B78" s="8" t="s">
        <v>42</v>
      </c>
      <c r="C78" s="8">
        <v>962046000</v>
      </c>
      <c r="D78" s="8">
        <v>1604386000</v>
      </c>
      <c r="E78" s="10">
        <v>642340000</v>
      </c>
      <c r="F78" s="8">
        <v>642340000</v>
      </c>
      <c r="G78" s="8">
        <v>311037000</v>
      </c>
      <c r="H78" s="8">
        <v>464597000</v>
      </c>
      <c r="I78" s="8" t="s">
        <v>43</v>
      </c>
      <c r="J78" s="8">
        <v>651009000</v>
      </c>
      <c r="K78" s="10" t="s">
        <v>43</v>
      </c>
      <c r="L78" s="8" t="s">
        <v>43</v>
      </c>
      <c r="M78" s="8" t="s">
        <v>43</v>
      </c>
      <c r="N78" s="8">
        <v>358950000</v>
      </c>
      <c r="O78" s="10" t="s">
        <v>43</v>
      </c>
      <c r="P78" s="10" t="s">
        <v>43</v>
      </c>
      <c r="Q78" s="8" t="s">
        <v>43</v>
      </c>
      <c r="R78" s="10">
        <v>189641000</v>
      </c>
      <c r="S78" s="8">
        <v>-47159000</v>
      </c>
      <c r="T78" s="8">
        <v>-9184000</v>
      </c>
      <c r="U78" s="8" t="s">
        <v>43</v>
      </c>
      <c r="V78" s="10" t="s">
        <v>43</v>
      </c>
      <c r="W78" s="10" t="s">
        <v>43</v>
      </c>
      <c r="X78" s="10">
        <v>178636000</v>
      </c>
      <c r="Y78" s="8">
        <v>368277000</v>
      </c>
      <c r="Z78" s="8">
        <v>-53179000</v>
      </c>
      <c r="AA78" s="10"/>
      <c r="AB78" s="10"/>
      <c r="AC78" s="8"/>
      <c r="AD78" s="8"/>
      <c r="AE78" s="8"/>
      <c r="AF78" s="8"/>
      <c r="AG78" s="8"/>
      <c r="AH78" s="8"/>
      <c r="AI78" s="8"/>
      <c r="AJ78" s="8"/>
      <c r="AK78" s="8"/>
      <c r="AL78" s="8"/>
      <c r="AM78" s="8"/>
      <c r="AN78" s="8"/>
      <c r="AO78" s="8"/>
      <c r="AP78" s="8"/>
    </row>
    <row r="79" spans="1:42" ht="17">
      <c r="A79" s="8" t="s">
        <v>132</v>
      </c>
      <c r="B79" s="8" t="s">
        <v>42</v>
      </c>
      <c r="C79" s="8">
        <v>672224000</v>
      </c>
      <c r="D79" s="8">
        <v>1320826000</v>
      </c>
      <c r="E79" s="10">
        <v>648602000</v>
      </c>
      <c r="F79" s="8">
        <v>648602000</v>
      </c>
      <c r="G79" s="8">
        <v>144703000</v>
      </c>
      <c r="H79" s="8">
        <v>360524000</v>
      </c>
      <c r="I79" s="8" t="s">
        <v>43</v>
      </c>
      <c r="J79" s="8">
        <v>527521000</v>
      </c>
      <c r="K79" s="10" t="s">
        <v>43</v>
      </c>
      <c r="L79" s="8" t="s">
        <v>43</v>
      </c>
      <c r="M79" s="8" t="s">
        <v>43</v>
      </c>
      <c r="N79" s="8">
        <v>369666000</v>
      </c>
      <c r="O79" s="10" t="s">
        <v>43</v>
      </c>
      <c r="P79" s="10" t="s">
        <v>43</v>
      </c>
      <c r="Q79" s="8" t="s">
        <v>43</v>
      </c>
      <c r="R79" s="10">
        <v>183711000</v>
      </c>
      <c r="S79" s="8">
        <v>-224024000</v>
      </c>
      <c r="T79" s="8">
        <v>-92661000</v>
      </c>
      <c r="U79" s="8" t="s">
        <v>43</v>
      </c>
      <c r="V79" s="10" t="s">
        <v>43</v>
      </c>
      <c r="W79" s="10" t="s">
        <v>43</v>
      </c>
      <c r="X79" s="10">
        <v>14278000</v>
      </c>
      <c r="Y79" s="8">
        <v>197989000</v>
      </c>
      <c r="Z79" s="8">
        <v>-131832000</v>
      </c>
      <c r="AA79" s="10"/>
      <c r="AB79" s="10"/>
      <c r="AC79" s="8"/>
      <c r="AD79" s="8"/>
      <c r="AE79" s="8"/>
      <c r="AF79" s="8"/>
      <c r="AG79" s="8"/>
      <c r="AH79" s="8"/>
      <c r="AI79" s="8"/>
      <c r="AJ79" s="8"/>
      <c r="AK79" s="8"/>
      <c r="AL79" s="8"/>
      <c r="AM79" s="8"/>
      <c r="AN79" s="8"/>
      <c r="AO79" s="8"/>
      <c r="AP79" s="8"/>
    </row>
    <row r="80" spans="1:42" ht="17">
      <c r="A80" s="8" t="s">
        <v>62</v>
      </c>
      <c r="B80" s="8" t="s">
        <v>42</v>
      </c>
      <c r="C80" s="8">
        <v>912268000</v>
      </c>
      <c r="D80" s="8">
        <v>1634551000</v>
      </c>
      <c r="E80" s="10">
        <v>722283000</v>
      </c>
      <c r="F80" s="8">
        <v>722283000</v>
      </c>
      <c r="G80" s="8">
        <v>301235000</v>
      </c>
      <c r="H80" s="8">
        <v>418204000</v>
      </c>
      <c r="I80" s="8" t="s">
        <v>43</v>
      </c>
      <c r="J80" s="8">
        <v>640715000</v>
      </c>
      <c r="K80" s="10" t="s">
        <v>43</v>
      </c>
      <c r="L80" s="8" t="s">
        <v>43</v>
      </c>
      <c r="M80" s="8" t="s">
        <v>43</v>
      </c>
      <c r="N80" s="8">
        <v>372770000</v>
      </c>
      <c r="O80" s="10" t="s">
        <v>43</v>
      </c>
      <c r="P80" s="10" t="s">
        <v>43</v>
      </c>
      <c r="Q80" s="8" t="s">
        <v>43</v>
      </c>
      <c r="R80" s="10">
        <v>183278000</v>
      </c>
      <c r="S80" s="8">
        <v>-86028000</v>
      </c>
      <c r="T80" s="8">
        <v>-30401000</v>
      </c>
      <c r="U80" s="8" t="s">
        <v>43</v>
      </c>
      <c r="V80" s="10" t="s">
        <v>43</v>
      </c>
      <c r="W80" s="10" t="s">
        <v>43</v>
      </c>
      <c r="X80" s="10">
        <v>-159297000</v>
      </c>
      <c r="Y80" s="8">
        <v>23981000</v>
      </c>
      <c r="Z80" s="8">
        <v>-62666000</v>
      </c>
      <c r="AA80" s="10"/>
      <c r="AB80" s="10"/>
      <c r="AC80" s="8"/>
      <c r="AD80" s="8"/>
      <c r="AE80" s="8"/>
      <c r="AF80" s="8"/>
      <c r="AG80" s="8"/>
      <c r="AH80" s="8"/>
      <c r="AI80" s="8"/>
      <c r="AJ80" s="8"/>
      <c r="AK80" s="8"/>
      <c r="AL80" s="8"/>
      <c r="AM80" s="8"/>
      <c r="AN80" s="8"/>
      <c r="AO80" s="8"/>
      <c r="AP80" s="8"/>
    </row>
    <row r="81" spans="1:42" ht="17">
      <c r="A81" s="8" t="s">
        <v>133</v>
      </c>
      <c r="B81" s="8" t="s">
        <v>42</v>
      </c>
      <c r="C81" s="8">
        <v>800289000</v>
      </c>
      <c r="D81" s="8">
        <v>1477347000</v>
      </c>
      <c r="E81" s="10">
        <v>677058000</v>
      </c>
      <c r="F81" s="8">
        <v>677058000</v>
      </c>
      <c r="G81" s="8">
        <v>221096000</v>
      </c>
      <c r="H81" s="8">
        <v>365555000</v>
      </c>
      <c r="I81" s="8" t="s">
        <v>43</v>
      </c>
      <c r="J81" s="8">
        <v>520075000</v>
      </c>
      <c r="K81" s="10" t="s">
        <v>43</v>
      </c>
      <c r="L81" s="8" t="s">
        <v>43</v>
      </c>
      <c r="M81" s="8" t="s">
        <v>43</v>
      </c>
      <c r="N81" s="8">
        <v>389197000</v>
      </c>
      <c r="O81" s="10" t="s">
        <v>43</v>
      </c>
      <c r="P81" s="10" t="s">
        <v>43</v>
      </c>
      <c r="Q81" s="8" t="s">
        <v>43</v>
      </c>
      <c r="R81" s="10">
        <v>184079000</v>
      </c>
      <c r="S81" s="8">
        <v>-170807000</v>
      </c>
      <c r="T81" s="8">
        <v>-20415000</v>
      </c>
      <c r="U81" s="8" t="s">
        <v>43</v>
      </c>
      <c r="V81" s="10" t="s">
        <v>43</v>
      </c>
      <c r="W81" s="10" t="s">
        <v>43</v>
      </c>
      <c r="X81" s="10">
        <v>218390000</v>
      </c>
      <c r="Y81" s="8">
        <v>402469000</v>
      </c>
      <c r="Z81" s="8">
        <v>-154685000</v>
      </c>
      <c r="AA81" s="10"/>
      <c r="AB81" s="10"/>
      <c r="AC81" s="8"/>
      <c r="AD81" s="8"/>
      <c r="AE81" s="8"/>
      <c r="AF81" s="8"/>
      <c r="AG81" s="8"/>
      <c r="AH81" s="8"/>
      <c r="AI81" s="8"/>
      <c r="AJ81" s="8"/>
      <c r="AK81" s="8"/>
      <c r="AL81" s="8"/>
      <c r="AM81" s="8"/>
      <c r="AN81" s="8"/>
      <c r="AO81" s="8"/>
      <c r="AP81" s="8"/>
    </row>
    <row r="82" spans="1:42" ht="17">
      <c r="A82" s="8" t="s">
        <v>134</v>
      </c>
      <c r="B82" s="8" t="s">
        <v>42</v>
      </c>
      <c r="C82" s="8">
        <v>824984000</v>
      </c>
      <c r="D82" s="8">
        <v>1490009000</v>
      </c>
      <c r="E82" s="10">
        <v>665025000</v>
      </c>
      <c r="F82" s="8">
        <v>665025000</v>
      </c>
      <c r="G82" s="8">
        <v>267433000</v>
      </c>
      <c r="H82" s="8">
        <v>376637000</v>
      </c>
      <c r="I82" s="8" t="s">
        <v>43</v>
      </c>
      <c r="J82" s="8">
        <v>564079000</v>
      </c>
      <c r="K82" s="10" t="s">
        <v>43</v>
      </c>
      <c r="L82" s="8" t="s">
        <v>43</v>
      </c>
      <c r="M82" s="8" t="s">
        <v>43</v>
      </c>
      <c r="N82" s="8">
        <v>385579000</v>
      </c>
      <c r="O82" s="10" t="s">
        <v>43</v>
      </c>
      <c r="P82" s="10" t="s">
        <v>43</v>
      </c>
      <c r="Q82" s="8" t="s">
        <v>43</v>
      </c>
      <c r="R82" s="10">
        <v>184178000</v>
      </c>
      <c r="S82" s="8">
        <v>-115186000</v>
      </c>
      <c r="T82" s="8">
        <v>-37979000</v>
      </c>
      <c r="U82" s="8" t="s">
        <v>43</v>
      </c>
      <c r="V82" s="10" t="s">
        <v>43</v>
      </c>
      <c r="W82" s="10" t="s">
        <v>43</v>
      </c>
      <c r="X82" s="10">
        <v>150324000</v>
      </c>
      <c r="Y82" s="8">
        <v>334502000</v>
      </c>
      <c r="Z82" s="8">
        <v>-86324000</v>
      </c>
      <c r="AA82" s="10"/>
      <c r="AB82" s="10"/>
      <c r="AC82" s="8"/>
      <c r="AD82" s="8"/>
      <c r="AE82" s="8"/>
      <c r="AF82" s="8"/>
      <c r="AG82" s="8"/>
      <c r="AH82" s="8"/>
      <c r="AI82" s="8"/>
      <c r="AJ82" s="8"/>
      <c r="AK82" s="8"/>
      <c r="AL82" s="8"/>
      <c r="AM82" s="8"/>
      <c r="AN82" s="8"/>
      <c r="AO82" s="8"/>
      <c r="AP82" s="8"/>
    </row>
    <row r="83" spans="1:42" ht="17">
      <c r="A83" s="8" t="s">
        <v>135</v>
      </c>
      <c r="B83" s="8" t="s">
        <v>42</v>
      </c>
      <c r="C83" s="8">
        <v>601935000</v>
      </c>
      <c r="D83" s="8">
        <v>1263778000</v>
      </c>
      <c r="E83" s="10">
        <v>661843000</v>
      </c>
      <c r="F83" s="8">
        <v>661843000</v>
      </c>
      <c r="G83" s="8">
        <v>75077000</v>
      </c>
      <c r="H83" s="8">
        <v>349296000</v>
      </c>
      <c r="I83" s="8" t="s">
        <v>43</v>
      </c>
      <c r="J83" s="8">
        <v>534402000</v>
      </c>
      <c r="K83" s="10" t="s">
        <v>43</v>
      </c>
      <c r="L83" s="8" t="s">
        <v>43</v>
      </c>
      <c r="M83" s="8" t="s">
        <v>43</v>
      </c>
      <c r="N83" s="8">
        <v>385795000</v>
      </c>
      <c r="O83" s="10" t="s">
        <v>43</v>
      </c>
      <c r="P83" s="10" t="s">
        <v>43</v>
      </c>
      <c r="Q83" s="8" t="s">
        <v>43</v>
      </c>
      <c r="R83" s="10">
        <v>181334000</v>
      </c>
      <c r="S83" s="8">
        <v>-250812000</v>
      </c>
      <c r="T83" s="8">
        <v>-71185000</v>
      </c>
      <c r="U83" s="8" t="s">
        <v>43</v>
      </c>
      <c r="V83" s="10" t="s">
        <v>43</v>
      </c>
      <c r="W83" s="10" t="s">
        <v>43</v>
      </c>
      <c r="X83" s="10">
        <v>134983000</v>
      </c>
      <c r="Y83" s="8">
        <v>316317000</v>
      </c>
      <c r="Z83" s="8">
        <v>-175414000</v>
      </c>
      <c r="AA83" s="10"/>
      <c r="AB83" s="10"/>
      <c r="AC83" s="8"/>
      <c r="AD83" s="8"/>
      <c r="AE83" s="8"/>
      <c r="AF83" s="8"/>
      <c r="AG83" s="8"/>
      <c r="AH83" s="8"/>
      <c r="AI83" s="8"/>
      <c r="AJ83" s="8"/>
      <c r="AK83" s="8"/>
      <c r="AL83" s="8"/>
      <c r="AM83" s="8"/>
      <c r="AN83" s="8"/>
      <c r="AO83" s="8"/>
      <c r="AP83" s="8"/>
    </row>
    <row r="84" spans="1:42" ht="17">
      <c r="A84" s="8" t="s">
        <v>63</v>
      </c>
      <c r="B84" s="8" t="s">
        <v>42</v>
      </c>
      <c r="C84" s="8">
        <v>563060000</v>
      </c>
      <c r="D84" s="8">
        <v>1512084000</v>
      </c>
      <c r="E84" s="10">
        <v>949024000</v>
      </c>
      <c r="F84" s="8">
        <v>949024000</v>
      </c>
      <c r="G84" s="8">
        <v>62079000</v>
      </c>
      <c r="H84" s="8">
        <v>213999000</v>
      </c>
      <c r="I84" s="8" t="s">
        <v>43</v>
      </c>
      <c r="J84" s="8">
        <v>387649000</v>
      </c>
      <c r="K84" s="10" t="s">
        <v>43</v>
      </c>
      <c r="L84" s="8" t="s">
        <v>43</v>
      </c>
      <c r="M84" s="8" t="s">
        <v>43</v>
      </c>
      <c r="N84" s="8">
        <v>359874000</v>
      </c>
      <c r="O84" s="10" t="s">
        <v>43</v>
      </c>
      <c r="P84" s="10" t="s">
        <v>43</v>
      </c>
      <c r="Q84" s="8" t="s">
        <v>43</v>
      </c>
      <c r="R84" s="10">
        <v>191480000</v>
      </c>
      <c r="S84" s="8">
        <v>-267811000</v>
      </c>
      <c r="T84" s="8">
        <v>-417478000</v>
      </c>
      <c r="U84" s="8" t="s">
        <v>43</v>
      </c>
      <c r="V84" s="10" t="s">
        <v>43</v>
      </c>
      <c r="W84" s="10" t="s">
        <v>43</v>
      </c>
      <c r="X84" s="10">
        <v>90837000</v>
      </c>
      <c r="Y84" s="8">
        <v>282317000</v>
      </c>
      <c r="Z84" s="8">
        <v>147390000</v>
      </c>
      <c r="AA84" s="10"/>
      <c r="AB84" s="10"/>
      <c r="AC84" s="8"/>
      <c r="AD84" s="8"/>
      <c r="AE84" s="8"/>
      <c r="AF84" s="8"/>
      <c r="AG84" s="8"/>
      <c r="AH84" s="8"/>
      <c r="AI84" s="8"/>
      <c r="AJ84" s="8"/>
      <c r="AK84" s="8"/>
      <c r="AL84" s="8"/>
      <c r="AM84" s="8"/>
      <c r="AN84" s="8"/>
      <c r="AO84" s="8"/>
      <c r="AP84" s="8"/>
    </row>
    <row r="85" spans="1:42" ht="17">
      <c r="A85" s="8" t="s">
        <v>136</v>
      </c>
      <c r="B85" s="8" t="s">
        <v>42</v>
      </c>
      <c r="C85" s="8">
        <v>761195000</v>
      </c>
      <c r="D85" s="8">
        <v>1393973000</v>
      </c>
      <c r="E85" s="10">
        <v>632778000</v>
      </c>
      <c r="F85" s="8">
        <v>632778000</v>
      </c>
      <c r="G85" s="8">
        <v>155631000</v>
      </c>
      <c r="H85" s="8">
        <v>79723000</v>
      </c>
      <c r="I85" s="8" t="s">
        <v>43</v>
      </c>
      <c r="J85" s="8">
        <v>608370000</v>
      </c>
      <c r="K85" s="10" t="s">
        <v>43</v>
      </c>
      <c r="L85" s="8" t="s">
        <v>43</v>
      </c>
      <c r="M85" s="8" t="s">
        <v>43</v>
      </c>
      <c r="N85" s="8">
        <v>369314000</v>
      </c>
      <c r="O85" s="10" t="s">
        <v>43</v>
      </c>
      <c r="P85" s="10" t="s">
        <v>43</v>
      </c>
      <c r="Q85" s="8" t="s">
        <v>43</v>
      </c>
      <c r="R85" s="10">
        <v>190189000</v>
      </c>
      <c r="S85" s="8">
        <v>-3553000</v>
      </c>
      <c r="T85" s="8">
        <v>89118000</v>
      </c>
      <c r="U85" s="8" t="s">
        <v>43</v>
      </c>
      <c r="V85" s="10" t="s">
        <v>43</v>
      </c>
      <c r="W85" s="10" t="s">
        <v>43</v>
      </c>
      <c r="X85" s="10">
        <v>365761000</v>
      </c>
      <c r="Y85" s="8">
        <v>555950000</v>
      </c>
      <c r="Z85" s="8">
        <v>-89855000</v>
      </c>
      <c r="AA85" s="10"/>
      <c r="AB85" s="10"/>
      <c r="AC85" s="8"/>
      <c r="AD85" s="8"/>
      <c r="AE85" s="8"/>
      <c r="AF85" s="8"/>
      <c r="AG85" s="8"/>
      <c r="AH85" s="8"/>
      <c r="AI85" s="8"/>
      <c r="AJ85" s="8"/>
      <c r="AK85" s="8"/>
      <c r="AL85" s="8"/>
      <c r="AM85" s="8"/>
      <c r="AN85" s="8"/>
      <c r="AO85" s="8"/>
      <c r="AP85" s="8"/>
    </row>
    <row r="86" spans="1:42" ht="17">
      <c r="A86" s="8" t="s">
        <v>137</v>
      </c>
      <c r="B86" s="8" t="s">
        <v>42</v>
      </c>
      <c r="C86" s="8">
        <v>750702000</v>
      </c>
      <c r="D86" s="8">
        <v>1437865000</v>
      </c>
      <c r="E86" s="10">
        <v>687163000</v>
      </c>
      <c r="F86" s="8">
        <v>687163000</v>
      </c>
      <c r="G86" s="9">
        <v>-3891000000</v>
      </c>
      <c r="H86" s="8">
        <v>360558000</v>
      </c>
      <c r="I86" s="8" t="s">
        <v>43</v>
      </c>
      <c r="J86" s="8">
        <v>600320000</v>
      </c>
      <c r="K86" s="10" t="s">
        <v>43</v>
      </c>
      <c r="L86" s="8" t="s">
        <v>43</v>
      </c>
      <c r="M86" s="8" t="s">
        <v>43</v>
      </c>
      <c r="N86" s="8">
        <v>384625000</v>
      </c>
      <c r="O86" s="10" t="s">
        <v>43</v>
      </c>
      <c r="P86" s="10" t="s">
        <v>43</v>
      </c>
      <c r="Q86" s="8" t="s">
        <v>43</v>
      </c>
      <c r="R86" s="10">
        <v>208246000</v>
      </c>
      <c r="S86" s="9">
        <v>-3863000000</v>
      </c>
      <c r="T86" s="8">
        <v>-184552000</v>
      </c>
      <c r="U86" s="8" t="s">
        <v>43</v>
      </c>
      <c r="V86" s="10" t="s">
        <v>43</v>
      </c>
      <c r="W86" s="10" t="s">
        <v>43</v>
      </c>
      <c r="X86" s="11">
        <v>-3478000000</v>
      </c>
      <c r="Y86" s="9">
        <v>-3270000000</v>
      </c>
      <c r="Z86" s="9">
        <v>-3673000000</v>
      </c>
      <c r="AA86" s="10"/>
      <c r="AB86" s="10"/>
      <c r="AC86" s="8"/>
      <c r="AD86" s="8"/>
      <c r="AE86" s="8"/>
      <c r="AF86" s="8"/>
      <c r="AG86" s="8"/>
      <c r="AH86" s="8"/>
      <c r="AI86" s="8"/>
      <c r="AJ86" s="8"/>
      <c r="AK86" s="8"/>
      <c r="AL86" s="8"/>
      <c r="AM86" s="8"/>
      <c r="AN86" s="8"/>
      <c r="AO86" s="8"/>
      <c r="AP86" s="8"/>
    </row>
    <row r="87" spans="1:42" ht="17">
      <c r="A87" s="8" t="s">
        <v>138</v>
      </c>
      <c r="B87" s="8" t="s">
        <v>42</v>
      </c>
      <c r="C87" s="8">
        <v>542003000</v>
      </c>
      <c r="D87" s="8">
        <v>1207987000</v>
      </c>
      <c r="E87" s="10">
        <v>665984000</v>
      </c>
      <c r="F87" s="8">
        <v>665984000</v>
      </c>
      <c r="G87" s="8">
        <v>-13986000</v>
      </c>
      <c r="H87" s="8">
        <v>377536000</v>
      </c>
      <c r="I87" s="8" t="s">
        <v>43</v>
      </c>
      <c r="J87" s="8">
        <v>555989000</v>
      </c>
      <c r="K87" s="10" t="s">
        <v>43</v>
      </c>
      <c r="L87" s="8" t="s">
        <v>43</v>
      </c>
      <c r="M87" s="8" t="s">
        <v>43</v>
      </c>
      <c r="N87" s="8">
        <v>387053000</v>
      </c>
      <c r="O87" s="10" t="s">
        <v>43</v>
      </c>
      <c r="P87" s="10" t="s">
        <v>43</v>
      </c>
      <c r="Q87" s="8" t="s">
        <v>43</v>
      </c>
      <c r="R87" s="10">
        <v>175559000</v>
      </c>
      <c r="S87" s="8">
        <v>-408407000</v>
      </c>
      <c r="T87" s="8">
        <v>19592000</v>
      </c>
      <c r="U87" s="8" t="s">
        <v>43</v>
      </c>
      <c r="V87" s="10" t="s">
        <v>43</v>
      </c>
      <c r="W87" s="10" t="s">
        <v>43</v>
      </c>
      <c r="X87" s="10">
        <v>-50756000</v>
      </c>
      <c r="Y87" s="8">
        <v>124803000</v>
      </c>
      <c r="Z87" s="8">
        <v>-418217000</v>
      </c>
      <c r="AA87" s="10"/>
      <c r="AB87" s="10"/>
      <c r="AC87" s="8"/>
      <c r="AD87" s="8"/>
      <c r="AE87" s="8"/>
      <c r="AF87" s="8"/>
      <c r="AG87" s="8"/>
      <c r="AH87" s="8"/>
      <c r="AI87" s="8"/>
      <c r="AJ87" s="8"/>
      <c r="AK87" s="8"/>
      <c r="AL87" s="8"/>
      <c r="AM87" s="8"/>
      <c r="AN87" s="8"/>
      <c r="AO87" s="8"/>
      <c r="AP87" s="8"/>
    </row>
    <row r="88" spans="1:42" ht="17">
      <c r="A88" s="8" t="s">
        <v>64</v>
      </c>
      <c r="B88" s="8" t="s">
        <v>42</v>
      </c>
      <c r="C88" s="8">
        <v>656253000</v>
      </c>
      <c r="D88" s="8">
        <v>1608805000</v>
      </c>
      <c r="E88" s="10">
        <v>952552000</v>
      </c>
      <c r="F88" s="8">
        <v>952552000</v>
      </c>
      <c r="G88" s="9">
        <v>-5264000000</v>
      </c>
      <c r="H88" s="8">
        <v>64787000</v>
      </c>
      <c r="I88" s="8" t="s">
        <v>43</v>
      </c>
      <c r="J88" s="8">
        <v>608518000</v>
      </c>
      <c r="K88" s="10" t="s">
        <v>43</v>
      </c>
      <c r="L88" s="8" t="s">
        <v>43</v>
      </c>
      <c r="M88" s="8" t="s">
        <v>43</v>
      </c>
      <c r="N88" s="8">
        <v>434289000</v>
      </c>
      <c r="O88" s="10" t="s">
        <v>43</v>
      </c>
      <c r="P88" s="10" t="s">
        <v>43</v>
      </c>
      <c r="Q88" s="8" t="s">
        <v>43</v>
      </c>
      <c r="R88" s="10">
        <v>239901000</v>
      </c>
      <c r="S88" s="9">
        <v>-5669000000</v>
      </c>
      <c r="T88" s="8">
        <v>-663414000</v>
      </c>
      <c r="U88" s="8" t="s">
        <v>43</v>
      </c>
      <c r="V88" s="10" t="s">
        <v>43</v>
      </c>
      <c r="W88" s="10" t="s">
        <v>43</v>
      </c>
      <c r="X88" s="11">
        <v>-5235000000</v>
      </c>
      <c r="Y88" s="9">
        <v>-4995000000</v>
      </c>
      <c r="Z88" s="9">
        <v>-4997000000</v>
      </c>
      <c r="AA88" s="10"/>
      <c r="AB88" s="10"/>
      <c r="AC88" s="8"/>
      <c r="AD88" s="8"/>
      <c r="AE88" s="8"/>
      <c r="AF88" s="8"/>
      <c r="AG88" s="8"/>
      <c r="AH88" s="8"/>
      <c r="AI88" s="8"/>
      <c r="AJ88" s="8"/>
      <c r="AK88" s="8"/>
      <c r="AL88" s="8"/>
      <c r="AM88" s="8"/>
      <c r="AN88" s="8"/>
      <c r="AO88" s="8"/>
      <c r="AP88" s="8"/>
    </row>
    <row r="89" spans="1:42" ht="17">
      <c r="A89" s="8" t="s">
        <v>139</v>
      </c>
      <c r="B89" s="8" t="s">
        <v>42</v>
      </c>
      <c r="C89" s="8">
        <v>954188000</v>
      </c>
      <c r="D89" s="8">
        <v>1684593000</v>
      </c>
      <c r="E89" s="10">
        <v>730405000</v>
      </c>
      <c r="F89" s="8">
        <v>730405000</v>
      </c>
      <c r="G89" s="8">
        <v>201504000</v>
      </c>
      <c r="H89" s="8">
        <v>64787000</v>
      </c>
      <c r="I89" s="8" t="s">
        <v>43</v>
      </c>
      <c r="J89" s="8">
        <v>665281000</v>
      </c>
      <c r="K89" s="10" t="s">
        <v>43</v>
      </c>
      <c r="L89" s="8" t="s">
        <v>43</v>
      </c>
      <c r="M89" s="8" t="s">
        <v>43</v>
      </c>
      <c r="N89" s="8">
        <v>312511000</v>
      </c>
      <c r="O89" s="10" t="s">
        <v>43</v>
      </c>
      <c r="P89" s="10" t="s">
        <v>43</v>
      </c>
      <c r="Q89" s="8" t="s">
        <v>43</v>
      </c>
      <c r="R89" s="10">
        <v>162463000</v>
      </c>
      <c r="S89" s="8">
        <v>-128457000</v>
      </c>
      <c r="T89" s="8">
        <v>-52344000</v>
      </c>
      <c r="U89" s="8" t="s">
        <v>43</v>
      </c>
      <c r="V89" s="10" t="s">
        <v>43</v>
      </c>
      <c r="W89" s="10" t="s">
        <v>43</v>
      </c>
      <c r="X89" s="10">
        <v>184054000</v>
      </c>
      <c r="Y89" s="8">
        <v>346517000</v>
      </c>
      <c r="Z89" s="8">
        <v>-90187000</v>
      </c>
      <c r="AA89" s="10"/>
      <c r="AB89" s="10"/>
      <c r="AC89" s="8"/>
      <c r="AD89" s="8"/>
      <c r="AE89" s="8"/>
      <c r="AF89" s="8"/>
      <c r="AG89" s="8"/>
      <c r="AH89" s="8"/>
      <c r="AI89" s="8"/>
      <c r="AJ89" s="8"/>
      <c r="AK89" s="8"/>
      <c r="AL89" s="8"/>
      <c r="AM89" s="8"/>
      <c r="AN89" s="8"/>
      <c r="AO89" s="8"/>
      <c r="AP89" s="8"/>
    </row>
    <row r="90" spans="1:42" ht="17">
      <c r="A90" s="8" t="s">
        <v>140</v>
      </c>
      <c r="B90" s="8" t="s">
        <v>42</v>
      </c>
      <c r="C90" s="8">
        <v>1087593000</v>
      </c>
      <c r="D90" s="8">
        <v>1831078000</v>
      </c>
      <c r="E90" s="10">
        <v>743485000</v>
      </c>
      <c r="F90" s="8">
        <v>743485000</v>
      </c>
      <c r="G90" s="8">
        <v>461595000</v>
      </c>
      <c r="H90" s="8" t="s">
        <v>43</v>
      </c>
      <c r="I90" s="8" t="s">
        <v>43</v>
      </c>
      <c r="J90" s="8">
        <v>653250000</v>
      </c>
      <c r="K90" s="10" t="s">
        <v>43</v>
      </c>
      <c r="L90" s="8" t="s">
        <v>43</v>
      </c>
      <c r="M90" s="8" t="s">
        <v>43</v>
      </c>
      <c r="N90" s="8">
        <v>82175000</v>
      </c>
      <c r="O90" s="10" t="s">
        <v>43</v>
      </c>
      <c r="P90" s="10" t="s">
        <v>43</v>
      </c>
      <c r="Q90" s="8" t="s">
        <v>43</v>
      </c>
      <c r="R90" s="10">
        <v>142188000</v>
      </c>
      <c r="S90" s="8">
        <v>410060000</v>
      </c>
      <c r="T90" s="8">
        <v>125137000</v>
      </c>
      <c r="U90" s="8" t="s">
        <v>43</v>
      </c>
      <c r="V90" s="10" t="s">
        <v>43</v>
      </c>
      <c r="W90" s="10" t="s">
        <v>43</v>
      </c>
      <c r="X90" s="10">
        <v>492235000</v>
      </c>
      <c r="Y90" s="8">
        <v>634423000</v>
      </c>
      <c r="Z90" s="8">
        <v>282327000</v>
      </c>
      <c r="AA90" s="10"/>
      <c r="AB90" s="10"/>
      <c r="AC90" s="8"/>
      <c r="AD90" s="8"/>
      <c r="AE90" s="8"/>
      <c r="AF90" s="8"/>
      <c r="AG90" s="8"/>
      <c r="AH90" s="8"/>
      <c r="AI90" s="8"/>
      <c r="AJ90" s="8"/>
      <c r="AK90" s="8"/>
      <c r="AL90" s="8"/>
      <c r="AM90" s="8"/>
      <c r="AN90" s="8"/>
      <c r="AO90" s="8"/>
      <c r="AP90" s="8"/>
    </row>
    <row r="91" spans="1:42" ht="17">
      <c r="A91" s="8" t="s">
        <v>141</v>
      </c>
      <c r="B91" s="8" t="s">
        <v>42</v>
      </c>
      <c r="C91" s="8">
        <v>811957000</v>
      </c>
      <c r="D91" s="8">
        <v>1564207000</v>
      </c>
      <c r="E91" s="10">
        <v>752250000</v>
      </c>
      <c r="F91" s="8">
        <v>752250000</v>
      </c>
      <c r="G91" s="8">
        <v>235006000</v>
      </c>
      <c r="H91" s="8" t="s">
        <v>43</v>
      </c>
      <c r="I91" s="8" t="s">
        <v>43</v>
      </c>
      <c r="J91" s="8">
        <v>576562000</v>
      </c>
      <c r="K91" s="10" t="s">
        <v>43</v>
      </c>
      <c r="L91" s="8" t="s">
        <v>43</v>
      </c>
      <c r="M91" s="8" t="s">
        <v>43</v>
      </c>
      <c r="N91" s="8">
        <v>100003000</v>
      </c>
      <c r="O91" s="10" t="s">
        <v>43</v>
      </c>
      <c r="P91" s="10" t="s">
        <v>43</v>
      </c>
      <c r="Q91" s="8" t="s">
        <v>43</v>
      </c>
      <c r="R91" s="10">
        <v>152278000</v>
      </c>
      <c r="S91" s="8">
        <v>236361000</v>
      </c>
      <c r="T91" s="8">
        <v>66581000</v>
      </c>
      <c r="U91" s="8" t="s">
        <v>43</v>
      </c>
      <c r="V91" s="10" t="s">
        <v>43</v>
      </c>
      <c r="W91" s="10" t="s">
        <v>43</v>
      </c>
      <c r="X91" s="10">
        <v>336364000</v>
      </c>
      <c r="Y91" s="8">
        <v>488642000</v>
      </c>
      <c r="Z91" s="8">
        <v>799653000</v>
      </c>
      <c r="AA91" s="10"/>
      <c r="AB91" s="10"/>
      <c r="AC91" s="8"/>
      <c r="AD91" s="8"/>
      <c r="AE91" s="8"/>
      <c r="AF91" s="8"/>
      <c r="AG91" s="8"/>
      <c r="AH91" s="8"/>
      <c r="AI91" s="8"/>
      <c r="AJ91" s="8"/>
      <c r="AK91" s="8"/>
      <c r="AL91" s="8"/>
      <c r="AM91" s="8"/>
      <c r="AN91" s="8"/>
      <c r="AO91" s="8"/>
      <c r="AP91" s="8"/>
    </row>
    <row r="92" spans="1:42" ht="17">
      <c r="A92" s="8" t="s">
        <v>142</v>
      </c>
      <c r="B92" s="8" t="s">
        <v>42</v>
      </c>
      <c r="C92" s="8">
        <v>1125937000</v>
      </c>
      <c r="D92" s="8">
        <v>1802192000</v>
      </c>
      <c r="E92" s="10">
        <v>676255000</v>
      </c>
      <c r="F92" s="8">
        <v>676255000</v>
      </c>
      <c r="G92" s="8">
        <v>495706000</v>
      </c>
      <c r="H92" s="8">
        <v>43044000</v>
      </c>
      <c r="I92" s="8" t="s">
        <v>43</v>
      </c>
      <c r="J92" s="8">
        <v>635539000</v>
      </c>
      <c r="K92" s="10" t="s">
        <v>43</v>
      </c>
      <c r="L92" s="8" t="s">
        <v>43</v>
      </c>
      <c r="M92" s="8" t="s">
        <v>43</v>
      </c>
      <c r="N92" s="8">
        <v>116422000</v>
      </c>
      <c r="O92" s="10" t="s">
        <v>43</v>
      </c>
      <c r="P92" s="10" t="s">
        <v>43</v>
      </c>
      <c r="Q92" s="8" t="s">
        <v>43</v>
      </c>
      <c r="R92" s="10">
        <v>141309000</v>
      </c>
      <c r="S92" s="8">
        <v>390649000</v>
      </c>
      <c r="T92" s="8">
        <v>159786000</v>
      </c>
      <c r="U92" s="8" t="s">
        <v>43</v>
      </c>
      <c r="V92" s="10" t="s">
        <v>43</v>
      </c>
      <c r="W92" s="10" t="s">
        <v>43</v>
      </c>
      <c r="X92" s="10">
        <v>507071000</v>
      </c>
      <c r="Y92" s="8">
        <v>648380000</v>
      </c>
      <c r="Z92" s="8">
        <v>235990000</v>
      </c>
      <c r="AA92" s="10"/>
      <c r="AB92" s="10"/>
      <c r="AC92" s="8"/>
      <c r="AD92" s="8"/>
      <c r="AE92" s="8"/>
      <c r="AF92" s="8"/>
      <c r="AG92" s="8"/>
      <c r="AH92" s="8"/>
      <c r="AI92" s="8"/>
      <c r="AJ92" s="8"/>
      <c r="AK92" s="8"/>
      <c r="AL92" s="8"/>
      <c r="AM92" s="8"/>
      <c r="AN92" s="8"/>
      <c r="AO92" s="8"/>
      <c r="AP92" s="8"/>
    </row>
    <row r="93" spans="1:42" ht="16">
      <c r="A93" s="8"/>
      <c r="B93" s="8"/>
      <c r="C93" s="8"/>
      <c r="D93" s="8"/>
      <c r="E93" s="10"/>
      <c r="F93" s="8"/>
      <c r="G93" s="8"/>
      <c r="H93" s="8"/>
      <c r="I93" s="8"/>
      <c r="J93" s="8"/>
      <c r="K93" s="10"/>
      <c r="L93" s="8"/>
      <c r="M93" s="8"/>
      <c r="N93" s="8"/>
      <c r="O93" s="10"/>
      <c r="P93" s="10"/>
      <c r="Q93" s="8"/>
      <c r="R93" s="10"/>
      <c r="S93" s="8"/>
      <c r="T93" s="8"/>
      <c r="U93" s="8"/>
      <c r="V93" s="10"/>
      <c r="W93" s="10"/>
      <c r="X93" s="10"/>
      <c r="Y93" s="8"/>
      <c r="Z93" s="8"/>
      <c r="AA93" s="10"/>
      <c r="AB93" s="10"/>
      <c r="AC93" s="8"/>
      <c r="AD93" s="8"/>
      <c r="AE93" s="8"/>
      <c r="AF93" s="8"/>
      <c r="AG93" s="8"/>
      <c r="AH93" s="8"/>
      <c r="AI93" s="8"/>
      <c r="AJ93" s="8"/>
      <c r="AK93" s="8"/>
      <c r="AL93" s="8"/>
      <c r="AM93" s="8"/>
      <c r="AN93" s="8"/>
      <c r="AO93" s="8"/>
      <c r="AP93" s="8"/>
    </row>
    <row r="94" spans="1:42" ht="16">
      <c r="A94" s="8" t="s">
        <v>49</v>
      </c>
      <c r="B94" s="8"/>
      <c r="C94" s="8"/>
      <c r="D94" s="8"/>
      <c r="E94" s="10"/>
      <c r="F94" s="8"/>
      <c r="G94" s="8"/>
      <c r="H94" s="8"/>
      <c r="I94" s="8"/>
      <c r="J94" s="8"/>
      <c r="K94" s="10"/>
      <c r="L94" s="8"/>
      <c r="M94" s="8"/>
      <c r="N94" s="8"/>
      <c r="O94" s="10"/>
      <c r="P94" s="10"/>
      <c r="Q94" s="8"/>
      <c r="R94" s="10"/>
      <c r="S94" s="8"/>
      <c r="T94" s="8"/>
      <c r="U94" s="8"/>
      <c r="V94" s="10"/>
      <c r="W94" s="10"/>
      <c r="X94" s="10"/>
      <c r="Y94" s="8"/>
      <c r="Z94" s="8"/>
      <c r="AA94" s="10"/>
      <c r="AB94" s="10"/>
      <c r="AC94" s="8"/>
      <c r="AD94" s="8"/>
      <c r="AE94" s="8"/>
      <c r="AF94" s="8"/>
      <c r="AG94" s="8"/>
      <c r="AH94" s="8"/>
      <c r="AI94" s="8"/>
      <c r="AJ94" s="8"/>
      <c r="AK94" s="8"/>
      <c r="AL94" s="8"/>
      <c r="AM94" s="8"/>
      <c r="AN94" s="8"/>
      <c r="AO94" s="8"/>
      <c r="AP94" s="8"/>
    </row>
    <row r="95" spans="1:42" ht="17">
      <c r="A95" s="8" t="s">
        <v>14</v>
      </c>
      <c r="B95" s="8" t="s">
        <v>15</v>
      </c>
      <c r="C95" s="8" t="s">
        <v>143</v>
      </c>
      <c r="D95" s="8" t="s">
        <v>144</v>
      </c>
      <c r="E95" s="10" t="s">
        <v>145</v>
      </c>
      <c r="F95" s="8" t="s">
        <v>146</v>
      </c>
      <c r="G95" s="8" t="s">
        <v>147</v>
      </c>
      <c r="H95" s="8" t="s">
        <v>148</v>
      </c>
      <c r="I95" s="8" t="s">
        <v>149</v>
      </c>
      <c r="J95" s="8" t="s">
        <v>150</v>
      </c>
      <c r="K95" s="10" t="s">
        <v>151</v>
      </c>
      <c r="L95" s="8" t="s">
        <v>152</v>
      </c>
      <c r="M95" s="8" t="s">
        <v>153</v>
      </c>
      <c r="N95" s="8" t="s">
        <v>154</v>
      </c>
      <c r="O95" s="10" t="s">
        <v>155</v>
      </c>
      <c r="P95" s="10" t="s">
        <v>156</v>
      </c>
      <c r="Q95" s="8" t="s">
        <v>157</v>
      </c>
      <c r="R95" s="10" t="s">
        <v>158</v>
      </c>
      <c r="S95" s="8" t="s">
        <v>159</v>
      </c>
      <c r="T95" s="8" t="s">
        <v>160</v>
      </c>
      <c r="U95" s="8" t="s">
        <v>161</v>
      </c>
      <c r="V95" s="10" t="s">
        <v>162</v>
      </c>
      <c r="W95" s="10" t="s">
        <v>69</v>
      </c>
      <c r="X95" s="10" t="s">
        <v>70</v>
      </c>
      <c r="Y95" s="8" t="s">
        <v>71</v>
      </c>
      <c r="Z95" s="8" t="s">
        <v>72</v>
      </c>
      <c r="AA95" s="10" t="s">
        <v>73</v>
      </c>
      <c r="AB95" s="10" t="s">
        <v>74</v>
      </c>
      <c r="AC95" s="8" t="s">
        <v>75</v>
      </c>
      <c r="AD95" s="8" t="s">
        <v>76</v>
      </c>
      <c r="AE95" s="8" t="s">
        <v>77</v>
      </c>
      <c r="AF95" s="8" t="s">
        <v>78</v>
      </c>
      <c r="AG95" s="8" t="s">
        <v>79</v>
      </c>
      <c r="AH95" s="8" t="s">
        <v>80</v>
      </c>
      <c r="AI95" s="8" t="s">
        <v>81</v>
      </c>
      <c r="AJ95" s="8" t="s">
        <v>82</v>
      </c>
      <c r="AK95" s="8" t="s">
        <v>83</v>
      </c>
      <c r="AL95" s="8" t="s">
        <v>84</v>
      </c>
      <c r="AM95" s="8"/>
      <c r="AN95" s="8"/>
      <c r="AO95" s="8"/>
      <c r="AP95" s="8"/>
    </row>
    <row r="96" spans="1:42" ht="17">
      <c r="A96" s="8" t="s">
        <v>41</v>
      </c>
      <c r="B96" s="8" t="s">
        <v>42</v>
      </c>
      <c r="C96" s="8">
        <v>5571696000</v>
      </c>
      <c r="D96" s="8">
        <v>1361842000</v>
      </c>
      <c r="E96" s="10">
        <v>259580000</v>
      </c>
      <c r="F96" s="8">
        <v>259580000</v>
      </c>
      <c r="G96" s="8" t="s">
        <v>43</v>
      </c>
      <c r="H96" s="8">
        <v>993328000</v>
      </c>
      <c r="I96" s="8">
        <v>4209854000</v>
      </c>
      <c r="J96" s="8" t="s">
        <v>43</v>
      </c>
      <c r="K96" s="10" t="s">
        <v>43</v>
      </c>
      <c r="L96" s="8">
        <v>809928000</v>
      </c>
      <c r="M96" s="8">
        <v>809928000</v>
      </c>
      <c r="N96" s="8">
        <v>1105156000</v>
      </c>
      <c r="O96" s="10" t="s">
        <v>43</v>
      </c>
      <c r="P96" s="10" t="s">
        <v>43</v>
      </c>
      <c r="Q96" s="8" t="s">
        <v>43</v>
      </c>
      <c r="R96" s="10">
        <v>108934000</v>
      </c>
      <c r="S96" s="8" t="s">
        <v>43</v>
      </c>
      <c r="T96" s="8">
        <v>6943476000</v>
      </c>
      <c r="U96" s="8">
        <v>870280000</v>
      </c>
      <c r="V96" s="10">
        <v>253264000</v>
      </c>
      <c r="W96" s="10" t="s">
        <v>43</v>
      </c>
      <c r="X96" s="10" t="s">
        <v>43</v>
      </c>
      <c r="Y96" s="8">
        <v>92017000</v>
      </c>
      <c r="Z96" s="8">
        <v>6073196000</v>
      </c>
      <c r="AA96" s="10">
        <v>786102000</v>
      </c>
      <c r="AB96" s="10">
        <v>5048968000</v>
      </c>
      <c r="AC96" s="8">
        <v>22501000</v>
      </c>
      <c r="AD96" s="8" t="s">
        <v>43</v>
      </c>
      <c r="AE96" s="8">
        <v>5857571000</v>
      </c>
      <c r="AF96" s="8">
        <v>370654000</v>
      </c>
      <c r="AG96" s="8">
        <v>204744000</v>
      </c>
      <c r="AH96" s="9">
        <v>-1377000000</v>
      </c>
      <c r="AI96" s="8" t="s">
        <v>43</v>
      </c>
      <c r="AJ96" s="9">
        <v>-4340000000</v>
      </c>
      <c r="AK96" s="8">
        <v>149000</v>
      </c>
      <c r="AL96" s="8">
        <v>151272000</v>
      </c>
      <c r="AM96" s="8"/>
      <c r="AN96" s="8"/>
      <c r="AO96" s="8"/>
      <c r="AP96" s="8"/>
    </row>
    <row r="97" spans="1:42" ht="17">
      <c r="A97" s="8" t="s">
        <v>44</v>
      </c>
      <c r="B97" s="8" t="s">
        <v>42</v>
      </c>
      <c r="C97" s="8">
        <v>6952611000</v>
      </c>
      <c r="D97" s="8">
        <v>1506916000</v>
      </c>
      <c r="E97" s="10">
        <v>346382000</v>
      </c>
      <c r="F97" s="8">
        <v>346382000</v>
      </c>
      <c r="G97" s="8">
        <v>1</v>
      </c>
      <c r="H97" s="8">
        <v>1041214000</v>
      </c>
      <c r="I97" s="8">
        <v>5445695000</v>
      </c>
      <c r="J97" s="8" t="s">
        <v>43</v>
      </c>
      <c r="K97" s="10" t="s">
        <v>43</v>
      </c>
      <c r="L97" s="8">
        <v>2287189000</v>
      </c>
      <c r="M97" s="8">
        <v>2287189000</v>
      </c>
      <c r="N97" s="8">
        <v>1721483000</v>
      </c>
      <c r="O97" s="10" t="s">
        <v>43</v>
      </c>
      <c r="P97" s="10" t="s">
        <v>43</v>
      </c>
      <c r="Q97" s="8">
        <v>-134218001</v>
      </c>
      <c r="R97" s="10">
        <v>119320000</v>
      </c>
      <c r="S97" s="8" t="s">
        <v>43</v>
      </c>
      <c r="T97" s="8">
        <v>7337369000</v>
      </c>
      <c r="U97" s="8">
        <v>848436000</v>
      </c>
      <c r="V97" s="10">
        <v>236162000</v>
      </c>
      <c r="W97" s="10" t="s">
        <v>43</v>
      </c>
      <c r="X97" s="10" t="s">
        <v>43</v>
      </c>
      <c r="Y97" s="8">
        <v>74172000</v>
      </c>
      <c r="Z97" s="8">
        <v>6488933000</v>
      </c>
      <c r="AA97" s="10">
        <v>836652000</v>
      </c>
      <c r="AB97" s="10">
        <v>5214810000</v>
      </c>
      <c r="AC97" s="8">
        <v>340000</v>
      </c>
      <c r="AD97" s="8" t="s">
        <v>43</v>
      </c>
      <c r="AE97" s="8">
        <v>6051802000</v>
      </c>
      <c r="AF97" s="8">
        <v>379562000</v>
      </c>
      <c r="AG97" s="8">
        <v>171535000</v>
      </c>
      <c r="AH97" s="8">
        <v>-394155000</v>
      </c>
      <c r="AI97" s="8" t="s">
        <v>43</v>
      </c>
      <c r="AJ97" s="9">
        <v>-3330000000</v>
      </c>
      <c r="AK97" s="8">
        <v>146000</v>
      </c>
      <c r="AL97" s="8">
        <v>149255000</v>
      </c>
      <c r="AM97" s="8"/>
      <c r="AN97" s="8"/>
      <c r="AO97" s="8"/>
      <c r="AP97" s="8"/>
    </row>
    <row r="98" spans="1:42" ht="17">
      <c r="A98" s="8" t="s">
        <v>46</v>
      </c>
      <c r="B98" s="8" t="s">
        <v>42</v>
      </c>
      <c r="C98" s="8">
        <v>8335900000</v>
      </c>
      <c r="D98" s="8">
        <v>1472800000</v>
      </c>
      <c r="E98" s="10">
        <v>336236000</v>
      </c>
      <c r="F98" s="8">
        <v>336236000</v>
      </c>
      <c r="G98" s="8">
        <v>79119000</v>
      </c>
      <c r="H98" s="8">
        <v>1037827000</v>
      </c>
      <c r="I98" s="8">
        <v>6863100000</v>
      </c>
      <c r="J98" s="8">
        <v>1483122000</v>
      </c>
      <c r="K98" s="10" t="s">
        <v>43</v>
      </c>
      <c r="L98" s="8">
        <v>2895989000</v>
      </c>
      <c r="M98" s="8">
        <v>2895989000</v>
      </c>
      <c r="N98" s="8">
        <v>2313403000</v>
      </c>
      <c r="O98" s="10" t="s">
        <v>43</v>
      </c>
      <c r="P98" s="10" t="s">
        <v>43</v>
      </c>
      <c r="Q98" s="8" t="s">
        <v>43</v>
      </c>
      <c r="R98" s="10">
        <v>98716000</v>
      </c>
      <c r="S98" s="8" t="s">
        <v>43</v>
      </c>
      <c r="T98" s="8">
        <v>7651400000</v>
      </c>
      <c r="U98" s="8">
        <v>831200000</v>
      </c>
      <c r="V98" s="10">
        <v>240454000</v>
      </c>
      <c r="W98" s="10" t="s">
        <v>43</v>
      </c>
      <c r="X98" s="10" t="s">
        <v>43</v>
      </c>
      <c r="Y98" s="8">
        <v>140712000</v>
      </c>
      <c r="Z98" s="8">
        <v>6820200000</v>
      </c>
      <c r="AA98" s="10">
        <v>918942000</v>
      </c>
      <c r="AB98" s="10">
        <v>5413503000</v>
      </c>
      <c r="AC98" s="8">
        <v>664000</v>
      </c>
      <c r="AD98" s="8" t="s">
        <v>43</v>
      </c>
      <c r="AE98" s="8">
        <v>6333109000</v>
      </c>
      <c r="AF98" s="8">
        <v>249544000</v>
      </c>
      <c r="AG98" s="8">
        <v>73332000</v>
      </c>
      <c r="AH98" s="8">
        <v>684500000</v>
      </c>
      <c r="AI98" s="8" t="s">
        <v>43</v>
      </c>
      <c r="AJ98" s="9">
        <v>-2227000000</v>
      </c>
      <c r="AK98" s="8">
        <v>144000</v>
      </c>
      <c r="AL98" s="8">
        <v>148058000</v>
      </c>
      <c r="AM98" s="8"/>
      <c r="AN98" s="8"/>
      <c r="AO98" s="8"/>
      <c r="AP98" s="8"/>
    </row>
    <row r="99" spans="1:42" ht="17">
      <c r="A99" s="8" t="s">
        <v>47</v>
      </c>
      <c r="B99" s="8" t="s">
        <v>42</v>
      </c>
      <c r="C99" s="8">
        <v>8881300000</v>
      </c>
      <c r="D99" s="8">
        <v>1472900000</v>
      </c>
      <c r="E99" s="10">
        <v>352129000</v>
      </c>
      <c r="F99" s="8">
        <v>352129000</v>
      </c>
      <c r="G99" s="8">
        <v>3154000</v>
      </c>
      <c r="H99" s="8">
        <v>1030380000</v>
      </c>
      <c r="I99" s="8">
        <v>7408400000</v>
      </c>
      <c r="J99" s="8">
        <v>782093000</v>
      </c>
      <c r="K99" s="10" t="s">
        <v>43</v>
      </c>
      <c r="L99" s="8">
        <v>3444645000</v>
      </c>
      <c r="M99" s="8">
        <v>3444645000</v>
      </c>
      <c r="N99" s="8">
        <v>2313581000</v>
      </c>
      <c r="O99" s="10" t="s">
        <v>43</v>
      </c>
      <c r="P99" s="10">
        <v>85925000</v>
      </c>
      <c r="Q99" s="8">
        <v>-29000</v>
      </c>
      <c r="R99" s="10">
        <v>87204000</v>
      </c>
      <c r="S99" s="8" t="s">
        <v>43</v>
      </c>
      <c r="T99" s="8">
        <v>7965500000</v>
      </c>
      <c r="U99" s="8">
        <v>848700000</v>
      </c>
      <c r="V99" s="10">
        <v>206007000</v>
      </c>
      <c r="W99" s="10" t="s">
        <v>43</v>
      </c>
      <c r="X99" s="10" t="s">
        <v>43</v>
      </c>
      <c r="Y99" s="8">
        <v>177843000</v>
      </c>
      <c r="Z99" s="8">
        <v>7116800000</v>
      </c>
      <c r="AA99" s="10">
        <v>827399000</v>
      </c>
      <c r="AB99" s="10">
        <v>5738195000</v>
      </c>
      <c r="AC99" s="8">
        <v>673000</v>
      </c>
      <c r="AD99" s="8" t="s">
        <v>43</v>
      </c>
      <c r="AE99" s="8">
        <v>6566267000</v>
      </c>
      <c r="AF99" s="8">
        <v>243858000</v>
      </c>
      <c r="AG99" s="8">
        <v>80897000</v>
      </c>
      <c r="AH99" s="8">
        <v>915800000</v>
      </c>
      <c r="AI99" s="8">
        <v>-6282000</v>
      </c>
      <c r="AJ99" s="9">
        <v>-1963000000</v>
      </c>
      <c r="AK99" s="8">
        <v>142000</v>
      </c>
      <c r="AL99" s="8">
        <v>146726000</v>
      </c>
      <c r="AM99" s="8"/>
      <c r="AN99" s="8"/>
      <c r="AO99" s="8"/>
      <c r="AP99" s="8"/>
    </row>
    <row r="100" spans="1:42" ht="17">
      <c r="A100" s="8" t="s">
        <v>48</v>
      </c>
      <c r="B100" s="8" t="s">
        <v>42</v>
      </c>
      <c r="C100" s="8">
        <v>9203000000</v>
      </c>
      <c r="D100" s="8">
        <v>1619000000</v>
      </c>
      <c r="E100" s="10">
        <v>720662000</v>
      </c>
      <c r="F100" s="8">
        <v>720662000</v>
      </c>
      <c r="G100" s="8">
        <v>1153000</v>
      </c>
      <c r="H100" s="8">
        <v>813834000</v>
      </c>
      <c r="I100" s="8">
        <v>7584000000</v>
      </c>
      <c r="J100" s="8">
        <v>811702000</v>
      </c>
      <c r="K100" s="10" t="s">
        <v>43</v>
      </c>
      <c r="L100" s="8">
        <v>3694837000</v>
      </c>
      <c r="M100" s="8">
        <v>3694837000</v>
      </c>
      <c r="N100" s="8">
        <v>2145935000</v>
      </c>
      <c r="O100" s="10" t="s">
        <v>43</v>
      </c>
      <c r="P100" s="10">
        <v>70574000</v>
      </c>
      <c r="Q100" s="8">
        <v>2680000</v>
      </c>
      <c r="R100" s="10">
        <v>83327000</v>
      </c>
      <c r="S100" s="8" t="s">
        <v>43</v>
      </c>
      <c r="T100" s="8">
        <v>8152200000</v>
      </c>
      <c r="U100" s="8">
        <v>683000000</v>
      </c>
      <c r="V100" s="10">
        <v>149333000</v>
      </c>
      <c r="W100" s="10" t="s">
        <v>43</v>
      </c>
      <c r="X100" s="10" t="s">
        <v>43</v>
      </c>
      <c r="Y100" s="8">
        <v>187781000</v>
      </c>
      <c r="Z100" s="8">
        <v>7469200000</v>
      </c>
      <c r="AA100" s="10">
        <v>840994000</v>
      </c>
      <c r="AB100" s="10">
        <v>5982155000</v>
      </c>
      <c r="AC100" s="8">
        <v>34775000</v>
      </c>
      <c r="AD100" s="8" t="s">
        <v>43</v>
      </c>
      <c r="AE100" s="8">
        <v>6857924000</v>
      </c>
      <c r="AF100" s="8">
        <v>180699000</v>
      </c>
      <c r="AG100" s="8">
        <v>131217000</v>
      </c>
      <c r="AH100" s="8">
        <v>1050800000</v>
      </c>
      <c r="AI100" s="8">
        <v>-3199000</v>
      </c>
      <c r="AJ100" s="9">
        <v>-1804000000</v>
      </c>
      <c r="AK100" s="8">
        <v>72000</v>
      </c>
      <c r="AL100" s="8">
        <v>145979000</v>
      </c>
      <c r="AM100" s="8"/>
      <c r="AN100" s="8"/>
      <c r="AO100" s="8"/>
      <c r="AP100" s="8"/>
    </row>
    <row r="101" spans="1:42" ht="17">
      <c r="A101" s="8" t="s">
        <v>50</v>
      </c>
      <c r="B101" s="8" t="s">
        <v>42</v>
      </c>
      <c r="C101" s="8">
        <v>11021100000</v>
      </c>
      <c r="D101" s="8">
        <v>1416300000</v>
      </c>
      <c r="E101" s="10">
        <v>400300000</v>
      </c>
      <c r="F101" s="8">
        <v>400300000</v>
      </c>
      <c r="G101" s="8">
        <v>507000</v>
      </c>
      <c r="H101" s="8">
        <v>928714000</v>
      </c>
      <c r="I101" s="8">
        <v>9604800000</v>
      </c>
      <c r="J101" s="8">
        <v>1728638000</v>
      </c>
      <c r="K101" s="10" t="s">
        <v>43</v>
      </c>
      <c r="L101" s="8">
        <v>4454275000</v>
      </c>
      <c r="M101" s="8">
        <v>4454275000</v>
      </c>
      <c r="N101" s="8">
        <v>3325622000</v>
      </c>
      <c r="O101" s="10" t="s">
        <v>43</v>
      </c>
      <c r="P101" s="10">
        <v>30641000</v>
      </c>
      <c r="Q101" s="8">
        <v>2944000</v>
      </c>
      <c r="R101" s="10">
        <v>86827000</v>
      </c>
      <c r="S101" s="8" t="s">
        <v>43</v>
      </c>
      <c r="T101" s="8">
        <v>8075700000</v>
      </c>
      <c r="U101" s="8">
        <v>658500000</v>
      </c>
      <c r="V101" s="10">
        <v>87374000</v>
      </c>
      <c r="W101" s="10" t="s">
        <v>43</v>
      </c>
      <c r="X101" s="10" t="s">
        <v>43</v>
      </c>
      <c r="Y101" s="8">
        <v>164424000</v>
      </c>
      <c r="Z101" s="8">
        <v>7417200000</v>
      </c>
      <c r="AA101" s="10">
        <v>873959000</v>
      </c>
      <c r="AB101" s="10">
        <v>5756504000</v>
      </c>
      <c r="AC101" s="8">
        <v>8912000</v>
      </c>
      <c r="AD101" s="8" t="s">
        <v>43</v>
      </c>
      <c r="AE101" s="8">
        <v>6639375000</v>
      </c>
      <c r="AF101" s="8">
        <v>228223000</v>
      </c>
      <c r="AG101" s="8">
        <v>20457000</v>
      </c>
      <c r="AH101" s="8">
        <v>2945400000</v>
      </c>
      <c r="AI101" s="8" t="s">
        <v>43</v>
      </c>
      <c r="AJ101" s="8">
        <v>112548000</v>
      </c>
      <c r="AK101" s="8">
        <v>65000</v>
      </c>
      <c r="AL101" s="8">
        <v>64553039</v>
      </c>
      <c r="AM101" s="8"/>
      <c r="AN101" s="8"/>
      <c r="AO101" s="8"/>
      <c r="AP101" s="8"/>
    </row>
    <row r="102" spans="1:42" ht="17">
      <c r="A102" s="8" t="s">
        <v>51</v>
      </c>
      <c r="B102" s="8" t="s">
        <v>42</v>
      </c>
      <c r="C102" s="8">
        <v>12269515000</v>
      </c>
      <c r="D102" s="8">
        <v>2235017000</v>
      </c>
      <c r="E102" s="10">
        <v>406493000</v>
      </c>
      <c r="F102" s="8">
        <v>406493000</v>
      </c>
      <c r="G102" s="8">
        <v>18416000</v>
      </c>
      <c r="H102" s="8">
        <v>868861000</v>
      </c>
      <c r="I102" s="9">
        <v>10034000000</v>
      </c>
      <c r="J102" s="8">
        <v>502202000</v>
      </c>
      <c r="K102" s="10" t="s">
        <v>43</v>
      </c>
      <c r="L102" s="8">
        <v>3842362000</v>
      </c>
      <c r="M102" s="8">
        <v>3842362000</v>
      </c>
      <c r="N102" s="8">
        <v>4118756000</v>
      </c>
      <c r="O102" s="10" t="s">
        <v>43</v>
      </c>
      <c r="P102" s="10">
        <v>72805000</v>
      </c>
      <c r="Q102" s="8">
        <v>5243000</v>
      </c>
      <c r="R102" s="10">
        <v>1141764000</v>
      </c>
      <c r="S102" s="8" t="s">
        <v>43</v>
      </c>
      <c r="T102" s="9">
        <v>23830000000</v>
      </c>
      <c r="U102" s="8">
        <v>1247649000</v>
      </c>
      <c r="V102" s="10">
        <v>49435000</v>
      </c>
      <c r="W102" s="10" t="s">
        <v>43</v>
      </c>
      <c r="X102" s="10" t="s">
        <v>43</v>
      </c>
      <c r="Y102" s="8">
        <v>46105000</v>
      </c>
      <c r="Z102" s="9">
        <v>22582000000</v>
      </c>
      <c r="AA102" s="10" t="s">
        <v>43</v>
      </c>
      <c r="AB102" s="10">
        <v>5277108000</v>
      </c>
      <c r="AC102" s="8">
        <v>46332000</v>
      </c>
      <c r="AD102" s="8" t="s">
        <v>43</v>
      </c>
      <c r="AE102" s="8">
        <v>5323440000</v>
      </c>
      <c r="AF102" s="8">
        <v>1152109000</v>
      </c>
      <c r="AG102" s="9">
        <v>16614000000</v>
      </c>
      <c r="AH102" s="9">
        <v>-11590000000</v>
      </c>
      <c r="AI102" s="8" t="s">
        <v>43</v>
      </c>
      <c r="AJ102" s="9">
        <v>-13350000000</v>
      </c>
      <c r="AK102" s="8">
        <v>92000</v>
      </c>
      <c r="AL102" s="8">
        <v>85412000</v>
      </c>
      <c r="AM102" s="8"/>
      <c r="AN102" s="8"/>
      <c r="AO102" s="8"/>
      <c r="AP102" s="8"/>
    </row>
    <row r="103" spans="1:42" ht="17">
      <c r="A103" s="8" t="s">
        <v>52</v>
      </c>
      <c r="B103" s="8" t="s">
        <v>42</v>
      </c>
      <c r="C103" s="8">
        <v>12260431000</v>
      </c>
      <c r="D103" s="8">
        <v>2067347000</v>
      </c>
      <c r="E103" s="10">
        <v>267109000</v>
      </c>
      <c r="F103" s="8">
        <v>267109000</v>
      </c>
      <c r="G103" s="8">
        <v>22470000</v>
      </c>
      <c r="H103" s="8">
        <v>1508370000</v>
      </c>
      <c r="I103" s="9">
        <v>10193000000</v>
      </c>
      <c r="J103" s="8">
        <v>1884714000</v>
      </c>
      <c r="K103" s="10" t="s">
        <v>43</v>
      </c>
      <c r="L103" s="8">
        <v>3979021000</v>
      </c>
      <c r="M103" s="8">
        <v>3979021000</v>
      </c>
      <c r="N103" s="8">
        <v>4051082000</v>
      </c>
      <c r="O103" s="10" t="s">
        <v>43</v>
      </c>
      <c r="P103" s="10">
        <v>104715000</v>
      </c>
      <c r="Q103" s="8">
        <v>7516000</v>
      </c>
      <c r="R103" s="10">
        <v>269398000</v>
      </c>
      <c r="S103" s="8" t="s">
        <v>43</v>
      </c>
      <c r="T103" s="9">
        <v>23588000000</v>
      </c>
      <c r="U103" s="9">
        <v>16355000000</v>
      </c>
      <c r="V103" s="10">
        <v>163449000</v>
      </c>
      <c r="W103" s="10" t="s">
        <v>43</v>
      </c>
      <c r="X103" s="10" t="s">
        <v>43</v>
      </c>
      <c r="Y103" s="9">
        <v>14972000000</v>
      </c>
      <c r="Z103" s="8">
        <v>7233289000</v>
      </c>
      <c r="AA103" s="10" t="s">
        <v>43</v>
      </c>
      <c r="AB103" s="10">
        <v>5676814000</v>
      </c>
      <c r="AC103" s="9">
        <v>14972000000</v>
      </c>
      <c r="AD103" s="8" t="s">
        <v>43</v>
      </c>
      <c r="AE103" s="9">
        <v>20649000000</v>
      </c>
      <c r="AF103" s="8">
        <v>1037230000</v>
      </c>
      <c r="AG103" s="8">
        <v>152598000</v>
      </c>
      <c r="AH103" s="9">
        <v>-11370000000</v>
      </c>
      <c r="AI103" s="8" t="s">
        <v>43</v>
      </c>
      <c r="AJ103" s="9">
        <v>-13130000000</v>
      </c>
      <c r="AK103" s="8">
        <v>92000</v>
      </c>
      <c r="AL103" s="8">
        <v>84967000</v>
      </c>
      <c r="AM103" s="8"/>
      <c r="AN103" s="8"/>
      <c r="AO103" s="8"/>
      <c r="AP103" s="8"/>
    </row>
    <row r="104" spans="1:42" ht="17">
      <c r="A104" s="8" t="s">
        <v>54</v>
      </c>
      <c r="B104" s="8" t="s">
        <v>42</v>
      </c>
      <c r="C104" s="8">
        <v>12862247000</v>
      </c>
      <c r="D104" s="8">
        <v>2504687000</v>
      </c>
      <c r="E104" s="10">
        <v>845030000</v>
      </c>
      <c r="F104" s="8">
        <v>845030000</v>
      </c>
      <c r="G104" s="8">
        <v>22068000</v>
      </c>
      <c r="H104" s="8">
        <v>1364404000</v>
      </c>
      <c r="I104" s="9">
        <v>10358000000</v>
      </c>
      <c r="J104" s="8">
        <v>1948162000</v>
      </c>
      <c r="K104" s="10" t="s">
        <v>43</v>
      </c>
      <c r="L104" s="8">
        <v>4115373000</v>
      </c>
      <c r="M104" s="8">
        <v>4115373000</v>
      </c>
      <c r="N104" s="8">
        <v>4066575000</v>
      </c>
      <c r="O104" s="10" t="s">
        <v>43</v>
      </c>
      <c r="P104" s="10">
        <v>87858000</v>
      </c>
      <c r="Q104" s="8">
        <v>2717000</v>
      </c>
      <c r="R104" s="10">
        <v>273185000</v>
      </c>
      <c r="S104" s="8" t="s">
        <v>43</v>
      </c>
      <c r="T104" s="9">
        <v>23748000000</v>
      </c>
      <c r="U104" s="8">
        <v>1696570000</v>
      </c>
      <c r="V104" s="10">
        <v>142600000</v>
      </c>
      <c r="W104" s="10" t="s">
        <v>43</v>
      </c>
      <c r="X104" s="10" t="s">
        <v>43</v>
      </c>
      <c r="Y104" s="8">
        <v>342908000</v>
      </c>
      <c r="Z104" s="9">
        <v>22051000000</v>
      </c>
      <c r="AA104" s="10" t="s">
        <v>43</v>
      </c>
      <c r="AB104" s="11">
        <v>20022000000</v>
      </c>
      <c r="AC104" s="8">
        <v>342908000</v>
      </c>
      <c r="AD104" s="8" t="s">
        <v>43</v>
      </c>
      <c r="AE104" s="9">
        <v>20365000000</v>
      </c>
      <c r="AF104" s="8">
        <v>988963000</v>
      </c>
      <c r="AG104" s="8">
        <v>154132000</v>
      </c>
      <c r="AH104" s="9">
        <v>-11020000000</v>
      </c>
      <c r="AI104" s="8" t="s">
        <v>43</v>
      </c>
      <c r="AJ104" s="9">
        <v>-12730000000</v>
      </c>
      <c r="AK104" s="8">
        <v>91000</v>
      </c>
      <c r="AL104" s="8">
        <v>84569000</v>
      </c>
      <c r="AM104" s="8"/>
      <c r="AN104" s="8"/>
      <c r="AO104" s="8"/>
      <c r="AP104" s="8"/>
    </row>
    <row r="105" spans="1:42" ht="17">
      <c r="A105" s="8" t="s">
        <v>55</v>
      </c>
      <c r="B105" s="8" t="s">
        <v>42</v>
      </c>
      <c r="C105" s="8">
        <v>13821098000</v>
      </c>
      <c r="D105" s="8">
        <v>2810883000</v>
      </c>
      <c r="E105" s="10">
        <v>772678000</v>
      </c>
      <c r="F105" s="8">
        <v>772678000</v>
      </c>
      <c r="G105" s="8">
        <v>24833000</v>
      </c>
      <c r="H105" s="8">
        <v>1442038000</v>
      </c>
      <c r="I105" s="9">
        <v>11010000000</v>
      </c>
      <c r="J105" s="8">
        <v>2212556000</v>
      </c>
      <c r="K105" s="10" t="s">
        <v>43</v>
      </c>
      <c r="L105" s="8">
        <v>4338470000</v>
      </c>
      <c r="M105" s="8">
        <v>4338470000</v>
      </c>
      <c r="N105" s="8">
        <v>4128887000</v>
      </c>
      <c r="O105" s="10" t="s">
        <v>43</v>
      </c>
      <c r="P105" s="10">
        <v>88838000</v>
      </c>
      <c r="Q105" s="8">
        <v>3184000</v>
      </c>
      <c r="R105" s="10">
        <v>535382000</v>
      </c>
      <c r="S105" s="8" t="s">
        <v>43</v>
      </c>
      <c r="T105" s="9">
        <v>24428000000</v>
      </c>
      <c r="U105" s="8">
        <v>1659228000</v>
      </c>
      <c r="V105" s="10">
        <v>153276000</v>
      </c>
      <c r="W105" s="10" t="s">
        <v>43</v>
      </c>
      <c r="X105" s="10" t="s">
        <v>43</v>
      </c>
      <c r="Y105" s="8">
        <v>-931522000</v>
      </c>
      <c r="Z105" s="9">
        <v>22769000000</v>
      </c>
      <c r="AA105" s="10" t="s">
        <v>43</v>
      </c>
      <c r="AB105" s="11">
        <v>20539000000</v>
      </c>
      <c r="AC105" s="8">
        <v>181512000</v>
      </c>
      <c r="AD105" s="8" t="s">
        <v>43</v>
      </c>
      <c r="AE105" s="9">
        <v>20869000000</v>
      </c>
      <c r="AF105" s="8">
        <v>1113516000</v>
      </c>
      <c r="AG105" s="8" t="s">
        <v>43</v>
      </c>
      <c r="AH105" s="9">
        <v>-10780000000</v>
      </c>
      <c r="AI105" s="8" t="s">
        <v>43</v>
      </c>
      <c r="AJ105" s="9">
        <v>-12440000000</v>
      </c>
      <c r="AK105" s="8">
        <v>90000</v>
      </c>
      <c r="AL105" s="8">
        <v>84278000</v>
      </c>
      <c r="AM105" s="8"/>
      <c r="AN105" s="8"/>
      <c r="AO105" s="8"/>
      <c r="AP105" s="8"/>
    </row>
    <row r="106" spans="1:42" ht="17">
      <c r="A106" s="8" t="s">
        <v>56</v>
      </c>
      <c r="B106" s="8" t="s">
        <v>42</v>
      </c>
      <c r="C106" s="8">
        <v>14040242000</v>
      </c>
      <c r="D106" s="8">
        <v>2180143000</v>
      </c>
      <c r="E106" s="10">
        <v>457024000</v>
      </c>
      <c r="F106" s="8">
        <v>457024000</v>
      </c>
      <c r="G106" s="8">
        <v>23777000</v>
      </c>
      <c r="H106" s="8">
        <v>1395248000</v>
      </c>
      <c r="I106" s="9">
        <v>11860000000</v>
      </c>
      <c r="J106" s="8">
        <v>2699064000</v>
      </c>
      <c r="K106" s="10" t="s">
        <v>43</v>
      </c>
      <c r="L106" s="8">
        <v>4684546000</v>
      </c>
      <c r="M106" s="8">
        <v>4684546000</v>
      </c>
      <c r="N106" s="8">
        <v>4187424000</v>
      </c>
      <c r="O106" s="10" t="s">
        <v>43</v>
      </c>
      <c r="P106" s="10" t="s">
        <v>43</v>
      </c>
      <c r="Q106" s="8">
        <v>4466000</v>
      </c>
      <c r="R106" s="10">
        <v>266301000</v>
      </c>
      <c r="S106" s="8" t="s">
        <v>43</v>
      </c>
      <c r="T106" s="9">
        <v>23705000000</v>
      </c>
      <c r="U106" s="8">
        <v>1364285000</v>
      </c>
      <c r="V106" s="10">
        <v>132258000</v>
      </c>
      <c r="W106" s="10" t="s">
        <v>43</v>
      </c>
      <c r="X106" s="10" t="s">
        <v>43</v>
      </c>
      <c r="Y106" s="9">
        <v>-1046000000</v>
      </c>
      <c r="Z106" s="9">
        <v>22341000000</v>
      </c>
      <c r="AA106" s="10" t="s">
        <v>43</v>
      </c>
      <c r="AB106" s="11">
        <v>20322000000</v>
      </c>
      <c r="AC106" s="8">
        <v>3604000</v>
      </c>
      <c r="AD106" s="8" t="s">
        <v>43</v>
      </c>
      <c r="AE106" s="9">
        <v>20326000000</v>
      </c>
      <c r="AF106" s="8">
        <v>1052375000</v>
      </c>
      <c r="AG106" s="8" t="s">
        <v>43</v>
      </c>
      <c r="AH106" s="9">
        <v>-9889000000</v>
      </c>
      <c r="AI106" s="8" t="s">
        <v>43</v>
      </c>
      <c r="AJ106" s="9">
        <v>-11680000000</v>
      </c>
      <c r="AK106" s="8">
        <v>89000</v>
      </c>
      <c r="AL106" s="8">
        <v>83941000</v>
      </c>
      <c r="AM106" s="8"/>
      <c r="AN106" s="8"/>
      <c r="AO106" s="8"/>
      <c r="AP106" s="8"/>
    </row>
    <row r="107" spans="1:42" ht="17">
      <c r="A107" s="8" t="s">
        <v>58</v>
      </c>
      <c r="B107" s="8" t="s">
        <v>42</v>
      </c>
      <c r="C107" s="8">
        <v>15097302000</v>
      </c>
      <c r="D107" s="8">
        <v>2513294000</v>
      </c>
      <c r="E107" s="10">
        <v>708151000</v>
      </c>
      <c r="F107" s="8">
        <v>708151000</v>
      </c>
      <c r="G107" s="8">
        <v>26872000</v>
      </c>
      <c r="H107" s="8">
        <v>1454346000</v>
      </c>
      <c r="I107" s="9">
        <v>12584000000</v>
      </c>
      <c r="J107" s="8" t="s">
        <v>43</v>
      </c>
      <c r="K107" s="10" t="s">
        <v>43</v>
      </c>
      <c r="L107" s="8">
        <v>4950735000</v>
      </c>
      <c r="M107" s="8">
        <v>4950735000</v>
      </c>
      <c r="N107" s="8">
        <v>4202187000</v>
      </c>
      <c r="O107" s="10" t="s">
        <v>43</v>
      </c>
      <c r="P107" s="10" t="s">
        <v>43</v>
      </c>
      <c r="Q107" s="8">
        <v>5126000</v>
      </c>
      <c r="R107" s="10">
        <v>337770000</v>
      </c>
      <c r="S107" s="8" t="s">
        <v>43</v>
      </c>
      <c r="T107" s="9">
        <v>23794000000</v>
      </c>
      <c r="U107" s="8">
        <v>1759592000</v>
      </c>
      <c r="V107" s="10">
        <v>131370000</v>
      </c>
      <c r="W107" s="10" t="s">
        <v>43</v>
      </c>
      <c r="X107" s="10" t="s">
        <v>43</v>
      </c>
      <c r="Y107" s="8">
        <v>-536465000</v>
      </c>
      <c r="Z107" s="9">
        <v>22034000000</v>
      </c>
      <c r="AA107" s="10" t="s">
        <v>43</v>
      </c>
      <c r="AB107" s="10" t="s">
        <v>43</v>
      </c>
      <c r="AC107" s="8" t="s">
        <v>43</v>
      </c>
      <c r="AD107" s="8" t="s">
        <v>43</v>
      </c>
      <c r="AE107" s="9">
        <v>20484000000</v>
      </c>
      <c r="AF107" s="8">
        <v>1002054000</v>
      </c>
      <c r="AG107" s="8" t="s">
        <v>43</v>
      </c>
      <c r="AH107" s="9">
        <v>-8942000000</v>
      </c>
      <c r="AI107" s="8" t="s">
        <v>43</v>
      </c>
      <c r="AJ107" s="9">
        <v>-10890000000</v>
      </c>
      <c r="AK107" s="8">
        <v>89000</v>
      </c>
      <c r="AL107" s="8">
        <v>83364000</v>
      </c>
      <c r="AM107" s="8"/>
      <c r="AN107" s="8"/>
      <c r="AO107" s="8"/>
      <c r="AP107" s="8"/>
    </row>
    <row r="108" spans="1:42" ht="17">
      <c r="A108" s="8" t="s">
        <v>59</v>
      </c>
      <c r="B108" s="8" t="s">
        <v>42</v>
      </c>
      <c r="C108" s="8">
        <v>16292713000</v>
      </c>
      <c r="D108" s="8">
        <v>2993807000</v>
      </c>
      <c r="E108" s="10">
        <v>1225010000</v>
      </c>
      <c r="F108" s="8">
        <v>1225010000</v>
      </c>
      <c r="G108" s="8">
        <v>23110000</v>
      </c>
      <c r="H108" s="8">
        <v>1423999000</v>
      </c>
      <c r="I108" s="9">
        <v>13299000000</v>
      </c>
      <c r="J108" s="8" t="s">
        <v>43</v>
      </c>
      <c r="K108" s="10" t="s">
        <v>43</v>
      </c>
      <c r="L108" s="8">
        <v>5235491000</v>
      </c>
      <c r="M108" s="8">
        <v>5235491000</v>
      </c>
      <c r="N108" s="8">
        <v>4216085000</v>
      </c>
      <c r="O108" s="10" t="s">
        <v>43</v>
      </c>
      <c r="P108" s="10" t="s">
        <v>43</v>
      </c>
      <c r="Q108" s="8">
        <v>4223000</v>
      </c>
      <c r="R108" s="10">
        <v>291514000</v>
      </c>
      <c r="S108" s="8" t="s">
        <v>43</v>
      </c>
      <c r="T108" s="9">
        <v>24288000000</v>
      </c>
      <c r="U108" s="8">
        <v>1782142000</v>
      </c>
      <c r="V108" s="10">
        <v>133226000</v>
      </c>
      <c r="W108" s="10" t="s">
        <v>43</v>
      </c>
      <c r="X108" s="10" t="s">
        <v>43</v>
      </c>
      <c r="Y108" s="8">
        <v>-571807000</v>
      </c>
      <c r="Z108" s="9">
        <v>22506000000</v>
      </c>
      <c r="AA108" s="10" t="s">
        <v>43</v>
      </c>
      <c r="AB108" s="10" t="s">
        <v>43</v>
      </c>
      <c r="AC108" s="8" t="s">
        <v>43</v>
      </c>
      <c r="AD108" s="8" t="s">
        <v>43</v>
      </c>
      <c r="AE108" s="9">
        <v>20747000000</v>
      </c>
      <c r="AF108" s="8">
        <v>1094516000</v>
      </c>
      <c r="AG108" s="8" t="s">
        <v>43</v>
      </c>
      <c r="AH108" s="9">
        <v>-8299000000</v>
      </c>
      <c r="AI108" s="8" t="s">
        <v>43</v>
      </c>
      <c r="AJ108" s="9">
        <v>-10280000000</v>
      </c>
      <c r="AK108" s="8">
        <v>87000</v>
      </c>
      <c r="AL108" s="8">
        <v>82745000</v>
      </c>
      <c r="AM108" s="8"/>
      <c r="AN108" s="8"/>
      <c r="AO108" s="8"/>
      <c r="AP108" s="8"/>
    </row>
    <row r="109" spans="1:42" ht="17">
      <c r="A109" s="8" t="s">
        <v>60</v>
      </c>
      <c r="B109" s="8" t="s">
        <v>42</v>
      </c>
      <c r="C109" s="8">
        <v>16542039000</v>
      </c>
      <c r="D109" s="8">
        <v>2985285000</v>
      </c>
      <c r="E109" s="10">
        <v>1228682000</v>
      </c>
      <c r="F109" s="8">
        <v>1228682000</v>
      </c>
      <c r="G109" s="8">
        <v>161317000</v>
      </c>
      <c r="H109" s="8">
        <v>1404674000</v>
      </c>
      <c r="I109" s="9">
        <v>13557000000</v>
      </c>
      <c r="J109" s="8" t="s">
        <v>43</v>
      </c>
      <c r="K109" s="10" t="s">
        <v>43</v>
      </c>
      <c r="L109" s="8">
        <v>5534831000</v>
      </c>
      <c r="M109" s="8">
        <v>5534831000</v>
      </c>
      <c r="N109" s="8">
        <v>4186718000</v>
      </c>
      <c r="O109" s="10" t="s">
        <v>43</v>
      </c>
      <c r="P109" s="10" t="s">
        <v>43</v>
      </c>
      <c r="Q109" s="8" t="s">
        <v>43</v>
      </c>
      <c r="R109" s="10">
        <v>292267000</v>
      </c>
      <c r="S109" s="8" t="s">
        <v>43</v>
      </c>
      <c r="T109" s="9">
        <v>24014000000</v>
      </c>
      <c r="U109" s="8">
        <v>1428962000</v>
      </c>
      <c r="V109" s="10">
        <v>121575000</v>
      </c>
      <c r="W109" s="10" t="s">
        <v>43</v>
      </c>
      <c r="X109" s="10" t="s">
        <v>43</v>
      </c>
      <c r="Y109" s="8">
        <v>268638000</v>
      </c>
      <c r="Z109" s="9">
        <v>22585000000</v>
      </c>
      <c r="AA109" s="10" t="s">
        <v>43</v>
      </c>
      <c r="AB109" s="10" t="s">
        <v>43</v>
      </c>
      <c r="AC109" s="8" t="s">
        <v>43</v>
      </c>
      <c r="AD109" s="8" t="s">
        <v>43</v>
      </c>
      <c r="AE109" s="9">
        <v>20207000000</v>
      </c>
      <c r="AF109" s="8">
        <v>895513000</v>
      </c>
      <c r="AG109" s="8" t="s">
        <v>43</v>
      </c>
      <c r="AH109" s="9">
        <v>-7994000000</v>
      </c>
      <c r="AI109" s="8" t="s">
        <v>43</v>
      </c>
      <c r="AJ109" s="9">
        <v>-9857000000</v>
      </c>
      <c r="AK109" s="8">
        <v>83000</v>
      </c>
      <c r="AL109" s="8">
        <v>82487000</v>
      </c>
      <c r="AM109" s="8"/>
      <c r="AN109" s="8"/>
      <c r="AO109" s="8"/>
      <c r="AP109" s="8"/>
    </row>
    <row r="110" spans="1:42" ht="17">
      <c r="A110" s="8" t="s">
        <v>62</v>
      </c>
      <c r="B110" s="8" t="s">
        <v>42</v>
      </c>
      <c r="C110" s="8">
        <v>17479867000</v>
      </c>
      <c r="D110" s="8">
        <v>3622658000</v>
      </c>
      <c r="E110" s="10">
        <v>1920926000</v>
      </c>
      <c r="F110" s="8">
        <v>1920926000</v>
      </c>
      <c r="G110" s="8">
        <v>124114000</v>
      </c>
      <c r="H110" s="8">
        <v>1393365000</v>
      </c>
      <c r="I110" s="9">
        <v>13857000000</v>
      </c>
      <c r="J110" s="8" t="s">
        <v>43</v>
      </c>
      <c r="K110" s="10" t="s">
        <v>43</v>
      </c>
      <c r="L110" s="8">
        <v>5826390000</v>
      </c>
      <c r="M110" s="8">
        <v>5826390000</v>
      </c>
      <c r="N110" s="8">
        <v>4119326000</v>
      </c>
      <c r="O110" s="10" t="s">
        <v>43</v>
      </c>
      <c r="P110" s="10" t="s">
        <v>43</v>
      </c>
      <c r="Q110" s="8" t="s">
        <v>43</v>
      </c>
      <c r="R110" s="10">
        <v>285850000</v>
      </c>
      <c r="S110" s="8" t="s">
        <v>43</v>
      </c>
      <c r="T110" s="9">
        <v>24685000000</v>
      </c>
      <c r="U110" s="8">
        <v>2118064000</v>
      </c>
      <c r="V110" s="10">
        <v>127263000</v>
      </c>
      <c r="W110" s="10" t="s">
        <v>43</v>
      </c>
      <c r="X110" s="10" t="s">
        <v>43</v>
      </c>
      <c r="Y110" s="8">
        <v>867735000</v>
      </c>
      <c r="Z110" s="9">
        <v>22566000000</v>
      </c>
      <c r="AA110" s="10" t="s">
        <v>43</v>
      </c>
      <c r="AB110" s="10" t="s">
        <v>43</v>
      </c>
      <c r="AC110" s="8" t="s">
        <v>43</v>
      </c>
      <c r="AD110" s="8" t="s">
        <v>43</v>
      </c>
      <c r="AE110" s="9">
        <v>20607000000</v>
      </c>
      <c r="AF110" s="8">
        <v>970288000</v>
      </c>
      <c r="AG110" s="8" t="s">
        <v>43</v>
      </c>
      <c r="AH110" s="9">
        <v>-7696000000</v>
      </c>
      <c r="AI110" s="8" t="s">
        <v>43</v>
      </c>
      <c r="AJ110" s="9">
        <v>-9555000000</v>
      </c>
      <c r="AK110" s="8">
        <v>83000</v>
      </c>
      <c r="AL110" s="8">
        <v>81653000</v>
      </c>
      <c r="AM110" s="8"/>
      <c r="AN110" s="8"/>
      <c r="AO110" s="8"/>
      <c r="AP110" s="8"/>
    </row>
    <row r="111" spans="1:42" ht="17">
      <c r="A111" s="8" t="s">
        <v>63</v>
      </c>
      <c r="B111" s="8" t="s">
        <v>42</v>
      </c>
      <c r="C111" s="8">
        <v>18047101000</v>
      </c>
      <c r="D111" s="8">
        <v>3658845000</v>
      </c>
      <c r="E111" s="10">
        <v>1883994000</v>
      </c>
      <c r="F111" s="8">
        <v>1883994000</v>
      </c>
      <c r="G111" s="8">
        <v>81669000</v>
      </c>
      <c r="H111" s="8">
        <v>1437907000</v>
      </c>
      <c r="I111" s="9">
        <v>14388000000</v>
      </c>
      <c r="J111" s="8" t="s">
        <v>43</v>
      </c>
      <c r="K111" s="10" t="s">
        <v>43</v>
      </c>
      <c r="L111" s="8">
        <v>6161301000</v>
      </c>
      <c r="M111" s="8">
        <v>6161301000</v>
      </c>
      <c r="N111" s="8">
        <v>4125005000</v>
      </c>
      <c r="O111" s="10" t="s">
        <v>43</v>
      </c>
      <c r="P111" s="10" t="s">
        <v>43</v>
      </c>
      <c r="Q111" s="8" t="s">
        <v>43</v>
      </c>
      <c r="R111" s="10">
        <v>311106000</v>
      </c>
      <c r="S111" s="8" t="s">
        <v>43</v>
      </c>
      <c r="T111" s="9">
        <v>24436000000</v>
      </c>
      <c r="U111" s="8">
        <v>1544136000</v>
      </c>
      <c r="V111" s="10">
        <v>132193000</v>
      </c>
      <c r="W111" s="10" t="s">
        <v>43</v>
      </c>
      <c r="X111" s="10" t="s">
        <v>43</v>
      </c>
      <c r="Y111" s="8">
        <v>398779000</v>
      </c>
      <c r="Z111" s="9">
        <v>22892000000</v>
      </c>
      <c r="AA111" s="10" t="s">
        <v>43</v>
      </c>
      <c r="AB111" s="10" t="s">
        <v>43</v>
      </c>
      <c r="AC111" s="8" t="s">
        <v>43</v>
      </c>
      <c r="AD111" s="8" t="s">
        <v>43</v>
      </c>
      <c r="AE111" s="9">
        <v>20702000000</v>
      </c>
      <c r="AF111" s="8">
        <v>863547000</v>
      </c>
      <c r="AG111" s="8" t="s">
        <v>43</v>
      </c>
      <c r="AH111" s="9">
        <v>-6845000000</v>
      </c>
      <c r="AI111" s="8" t="s">
        <v>43</v>
      </c>
      <c r="AJ111" s="9">
        <v>-9076000000</v>
      </c>
      <c r="AK111" s="8">
        <v>82000</v>
      </c>
      <c r="AL111" s="8">
        <v>81296000</v>
      </c>
      <c r="AM111" s="8"/>
      <c r="AN111" s="8"/>
      <c r="AO111" s="8"/>
      <c r="AP111" s="8"/>
    </row>
    <row r="112" spans="1:42" ht="17">
      <c r="A112" s="8" t="s">
        <v>64</v>
      </c>
      <c r="B112" s="8" t="s">
        <v>42</v>
      </c>
      <c r="C112" s="8">
        <v>21125463000</v>
      </c>
      <c r="D112" s="8">
        <v>2066555000</v>
      </c>
      <c r="E112" s="10">
        <v>239846000</v>
      </c>
      <c r="F112" s="8">
        <v>239846000</v>
      </c>
      <c r="G112" s="8">
        <v>133217000</v>
      </c>
      <c r="H112" s="8">
        <v>1477919000</v>
      </c>
      <c r="I112" s="9">
        <v>19059000000</v>
      </c>
      <c r="J112" s="8" t="s">
        <v>43</v>
      </c>
      <c r="K112" s="10" t="s">
        <v>43</v>
      </c>
      <c r="L112" s="8">
        <v>7430591000</v>
      </c>
      <c r="M112" s="8">
        <v>7430591000</v>
      </c>
      <c r="N112" s="8">
        <v>7090621000</v>
      </c>
      <c r="O112" s="10" t="s">
        <v>43</v>
      </c>
      <c r="P112" s="10" t="s">
        <v>43</v>
      </c>
      <c r="Q112" s="8" t="s">
        <v>43</v>
      </c>
      <c r="R112" s="10">
        <v>348790000</v>
      </c>
      <c r="S112" s="8" t="s">
        <v>43</v>
      </c>
      <c r="T112" s="9">
        <v>23615000000</v>
      </c>
      <c r="U112" s="8">
        <v>1845946000</v>
      </c>
      <c r="V112" s="10">
        <v>155240000</v>
      </c>
      <c r="W112" s="10" t="s">
        <v>43</v>
      </c>
      <c r="X112" s="10" t="s">
        <v>43</v>
      </c>
      <c r="Y112" s="8">
        <v>562923000</v>
      </c>
      <c r="Z112" s="9">
        <v>21770000000</v>
      </c>
      <c r="AA112" s="10" t="s">
        <v>43</v>
      </c>
      <c r="AB112" s="10" t="s">
        <v>43</v>
      </c>
      <c r="AC112" s="8" t="s">
        <v>43</v>
      </c>
      <c r="AD112" s="8" t="s">
        <v>43</v>
      </c>
      <c r="AE112" s="9">
        <v>19504000000</v>
      </c>
      <c r="AF112" s="8">
        <v>974630000</v>
      </c>
      <c r="AG112" s="8" t="s">
        <v>43</v>
      </c>
      <c r="AH112" s="9">
        <v>-2916000000</v>
      </c>
      <c r="AI112" s="8" t="s">
        <v>43</v>
      </c>
      <c r="AJ112" s="9">
        <v>-5042000000</v>
      </c>
      <c r="AK112" s="8">
        <v>82000</v>
      </c>
      <c r="AL112" s="8">
        <v>323487000</v>
      </c>
      <c r="AM112" s="8"/>
      <c r="AN112" s="8"/>
      <c r="AO112" s="8"/>
      <c r="AP112" s="8"/>
    </row>
    <row r="113" spans="1:42" ht="16">
      <c r="A113" s="8"/>
      <c r="B113" s="8"/>
      <c r="C113" s="8"/>
      <c r="D113" s="8"/>
      <c r="E113" s="10"/>
      <c r="F113" s="8"/>
      <c r="G113" s="8"/>
      <c r="H113" s="8"/>
      <c r="I113" s="8"/>
      <c r="J113" s="8"/>
      <c r="K113" s="10"/>
      <c r="L113" s="8"/>
      <c r="M113" s="8"/>
      <c r="N113" s="8"/>
      <c r="O113" s="10"/>
      <c r="P113" s="10"/>
      <c r="Q113" s="8"/>
      <c r="R113" s="10"/>
      <c r="S113" s="8"/>
      <c r="T113" s="8"/>
      <c r="U113" s="8"/>
      <c r="V113" s="10"/>
      <c r="W113" s="10"/>
      <c r="X113" s="10"/>
      <c r="Y113" s="8"/>
      <c r="Z113" s="8"/>
      <c r="AA113" s="10"/>
      <c r="AB113" s="10"/>
      <c r="AC113" s="8"/>
      <c r="AD113" s="8"/>
      <c r="AE113" s="8"/>
      <c r="AF113" s="8"/>
      <c r="AG113" s="8"/>
      <c r="AH113" s="8"/>
      <c r="AI113" s="8"/>
      <c r="AJ113" s="8"/>
      <c r="AK113" s="8"/>
      <c r="AL113" s="8"/>
      <c r="AM113" s="8"/>
      <c r="AN113" s="8"/>
      <c r="AO113" s="8"/>
      <c r="AP113" s="8"/>
    </row>
    <row r="114" spans="1:42" ht="16">
      <c r="A114" s="8" t="s">
        <v>53</v>
      </c>
      <c r="B114" s="8"/>
      <c r="C114" s="8"/>
      <c r="D114" s="8"/>
      <c r="E114" s="10"/>
      <c r="F114" s="8"/>
      <c r="G114" s="8"/>
      <c r="H114" s="8"/>
      <c r="I114" s="8"/>
      <c r="J114" s="8"/>
      <c r="K114" s="10"/>
      <c r="L114" s="8"/>
      <c r="M114" s="8"/>
      <c r="N114" s="8"/>
      <c r="O114" s="10"/>
      <c r="P114" s="10"/>
      <c r="Q114" s="8"/>
      <c r="R114" s="10"/>
      <c r="S114" s="8"/>
      <c r="T114" s="8"/>
      <c r="U114" s="8"/>
      <c r="V114" s="10"/>
      <c r="W114" s="10"/>
      <c r="X114" s="10"/>
      <c r="Y114" s="8"/>
      <c r="Z114" s="8"/>
      <c r="AA114" s="10"/>
      <c r="AB114" s="10"/>
      <c r="AC114" s="8"/>
      <c r="AD114" s="8"/>
      <c r="AE114" s="8"/>
      <c r="AF114" s="8"/>
      <c r="AG114" s="8"/>
      <c r="AH114" s="8"/>
      <c r="AI114" s="8"/>
      <c r="AJ114" s="8"/>
      <c r="AK114" s="8"/>
      <c r="AL114" s="8"/>
      <c r="AM114" s="8"/>
      <c r="AN114" s="8"/>
      <c r="AO114" s="8"/>
      <c r="AP114" s="8"/>
    </row>
    <row r="115" spans="1:42" ht="17">
      <c r="A115" s="8" t="s">
        <v>14</v>
      </c>
      <c r="B115" s="8" t="s">
        <v>15</v>
      </c>
      <c r="C115" s="8" t="s">
        <v>143</v>
      </c>
      <c r="D115" s="8" t="s">
        <v>144</v>
      </c>
      <c r="E115" s="10" t="s">
        <v>145</v>
      </c>
      <c r="F115" s="8" t="s">
        <v>146</v>
      </c>
      <c r="G115" s="8" t="s">
        <v>147</v>
      </c>
      <c r="H115" s="8" t="s">
        <v>148</v>
      </c>
      <c r="I115" s="8" t="s">
        <v>149</v>
      </c>
      <c r="J115" s="8" t="s">
        <v>150</v>
      </c>
      <c r="K115" s="10" t="s">
        <v>151</v>
      </c>
      <c r="L115" s="8" t="s">
        <v>152</v>
      </c>
      <c r="M115" s="8" t="s">
        <v>153</v>
      </c>
      <c r="N115" s="8" t="s">
        <v>154</v>
      </c>
      <c r="O115" s="10" t="s">
        <v>155</v>
      </c>
      <c r="P115" s="10" t="s">
        <v>156</v>
      </c>
      <c r="Q115" s="8" t="s">
        <v>157</v>
      </c>
      <c r="R115" s="10" t="s">
        <v>158</v>
      </c>
      <c r="S115" s="8" t="s">
        <v>159</v>
      </c>
      <c r="T115" s="8" t="s">
        <v>160</v>
      </c>
      <c r="U115" s="8" t="s">
        <v>161</v>
      </c>
      <c r="V115" s="10" t="s">
        <v>162</v>
      </c>
      <c r="W115" s="10" t="s">
        <v>69</v>
      </c>
      <c r="X115" s="10" t="s">
        <v>70</v>
      </c>
      <c r="Y115" s="8" t="s">
        <v>71</v>
      </c>
      <c r="Z115" s="8" t="s">
        <v>72</v>
      </c>
      <c r="AA115" s="10" t="s">
        <v>73</v>
      </c>
      <c r="AB115" s="10" t="s">
        <v>74</v>
      </c>
      <c r="AC115" s="8" t="s">
        <v>75</v>
      </c>
      <c r="AD115" s="8" t="s">
        <v>76</v>
      </c>
      <c r="AE115" s="8" t="s">
        <v>77</v>
      </c>
      <c r="AF115" s="8" t="s">
        <v>78</v>
      </c>
      <c r="AG115" s="8" t="s">
        <v>79</v>
      </c>
      <c r="AH115" s="8" t="s">
        <v>80</v>
      </c>
      <c r="AI115" s="8" t="s">
        <v>81</v>
      </c>
      <c r="AJ115" s="8" t="s">
        <v>82</v>
      </c>
      <c r="AK115" s="8" t="s">
        <v>83</v>
      </c>
      <c r="AL115" s="8" t="s">
        <v>84</v>
      </c>
      <c r="AM115" s="8"/>
      <c r="AN115" s="8"/>
      <c r="AO115" s="8"/>
      <c r="AP115" s="8"/>
    </row>
    <row r="116" spans="1:42" ht="17">
      <c r="A116" s="8" t="s">
        <v>68</v>
      </c>
      <c r="B116" s="8" t="s">
        <v>42</v>
      </c>
      <c r="C116" s="8">
        <v>5268093000</v>
      </c>
      <c r="D116" s="8">
        <v>1159561000</v>
      </c>
      <c r="E116" s="10">
        <v>167714000</v>
      </c>
      <c r="F116" s="8">
        <v>167714000</v>
      </c>
      <c r="G116" s="8" t="s">
        <v>43</v>
      </c>
      <c r="H116" s="8">
        <v>817533000</v>
      </c>
      <c r="I116" s="8">
        <v>4108532000</v>
      </c>
      <c r="J116" s="8" t="s">
        <v>43</v>
      </c>
      <c r="K116" s="10" t="s">
        <v>43</v>
      </c>
      <c r="L116" s="8">
        <v>809928000</v>
      </c>
      <c r="M116" s="8">
        <v>809928000</v>
      </c>
      <c r="N116" s="8">
        <v>1105270000</v>
      </c>
      <c r="O116" s="10" t="s">
        <v>43</v>
      </c>
      <c r="P116" s="10" t="s">
        <v>43</v>
      </c>
      <c r="Q116" s="8" t="s">
        <v>43</v>
      </c>
      <c r="R116" s="10">
        <v>174314000</v>
      </c>
      <c r="S116" s="8" t="s">
        <v>43</v>
      </c>
      <c r="T116" s="8">
        <v>6706583000</v>
      </c>
      <c r="U116" s="8">
        <v>729832000</v>
      </c>
      <c r="V116" s="10">
        <v>209967000</v>
      </c>
      <c r="W116" s="10" t="s">
        <v>43</v>
      </c>
      <c r="X116" s="10" t="s">
        <v>43</v>
      </c>
      <c r="Y116" s="8">
        <v>91276000</v>
      </c>
      <c r="Z116" s="8">
        <v>5976751000</v>
      </c>
      <c r="AA116" s="10">
        <v>774334000</v>
      </c>
      <c r="AB116" s="10">
        <v>5032066000</v>
      </c>
      <c r="AC116" s="8">
        <v>22511000</v>
      </c>
      <c r="AD116" s="8" t="s">
        <v>43</v>
      </c>
      <c r="AE116" s="8">
        <v>5828911000</v>
      </c>
      <c r="AF116" s="8">
        <v>53072000</v>
      </c>
      <c r="AG116" s="8">
        <v>207633000</v>
      </c>
      <c r="AH116" s="9">
        <v>-1438000000</v>
      </c>
      <c r="AI116" s="8" t="s">
        <v>43</v>
      </c>
      <c r="AJ116" s="9">
        <v>-4621000000</v>
      </c>
      <c r="AK116" s="8">
        <v>149000</v>
      </c>
      <c r="AL116" s="8">
        <v>152480000</v>
      </c>
      <c r="AM116" s="8"/>
      <c r="AN116" s="8"/>
      <c r="AO116" s="8"/>
      <c r="AP116" s="8"/>
    </row>
    <row r="117" spans="1:42" ht="17">
      <c r="A117" s="8" t="s">
        <v>41</v>
      </c>
      <c r="B117" s="8" t="s">
        <v>42</v>
      </c>
      <c r="C117" s="8">
        <v>5571696000</v>
      </c>
      <c r="D117" s="8">
        <v>1361842000</v>
      </c>
      <c r="E117" s="10">
        <v>259580000</v>
      </c>
      <c r="F117" s="8">
        <v>259580000</v>
      </c>
      <c r="G117" s="8" t="s">
        <v>43</v>
      </c>
      <c r="H117" s="8">
        <v>993328000</v>
      </c>
      <c r="I117" s="8">
        <v>4209854000</v>
      </c>
      <c r="J117" s="8" t="s">
        <v>43</v>
      </c>
      <c r="K117" s="10" t="s">
        <v>43</v>
      </c>
      <c r="L117" s="8">
        <v>1737510000</v>
      </c>
      <c r="M117" s="8">
        <v>1737510000</v>
      </c>
      <c r="N117" s="8">
        <v>1105156000</v>
      </c>
      <c r="O117" s="10" t="s">
        <v>43</v>
      </c>
      <c r="P117" s="10" t="s">
        <v>43</v>
      </c>
      <c r="Q117" s="8">
        <v>0</v>
      </c>
      <c r="R117" s="10">
        <v>108934000</v>
      </c>
      <c r="S117" s="8" t="s">
        <v>43</v>
      </c>
      <c r="T117" s="8">
        <v>6943476000</v>
      </c>
      <c r="U117" s="8">
        <v>870280000</v>
      </c>
      <c r="V117" s="10">
        <v>253264000</v>
      </c>
      <c r="W117" s="10" t="s">
        <v>43</v>
      </c>
      <c r="X117" s="10" t="s">
        <v>43</v>
      </c>
      <c r="Y117" s="8">
        <v>92017000</v>
      </c>
      <c r="Z117" s="8">
        <v>6073196000</v>
      </c>
      <c r="AA117" s="10">
        <v>786102000</v>
      </c>
      <c r="AB117" s="10">
        <v>5048968000</v>
      </c>
      <c r="AC117" s="8">
        <v>22501000</v>
      </c>
      <c r="AD117" s="8" t="s">
        <v>43</v>
      </c>
      <c r="AE117" s="8">
        <v>5857571000</v>
      </c>
      <c r="AF117" s="8">
        <v>370654000</v>
      </c>
      <c r="AG117" s="8">
        <v>204744000</v>
      </c>
      <c r="AH117" s="9">
        <v>-1377000000</v>
      </c>
      <c r="AI117" s="8" t="s">
        <v>43</v>
      </c>
      <c r="AJ117" s="9">
        <v>-4340000000</v>
      </c>
      <c r="AK117" s="8">
        <v>149000</v>
      </c>
      <c r="AL117" s="8">
        <v>148759947</v>
      </c>
      <c r="AM117" s="8"/>
      <c r="AN117" s="8"/>
      <c r="AO117" s="8"/>
      <c r="AP117" s="8"/>
    </row>
    <row r="118" spans="1:42" ht="17">
      <c r="A118" s="8" t="s">
        <v>85</v>
      </c>
      <c r="B118" s="8" t="s">
        <v>42</v>
      </c>
      <c r="C118" s="8">
        <v>5779010000</v>
      </c>
      <c r="D118" s="8">
        <v>1508031000</v>
      </c>
      <c r="E118" s="10">
        <v>431764000</v>
      </c>
      <c r="F118" s="8">
        <v>431764000</v>
      </c>
      <c r="G118" s="8" t="s">
        <v>43</v>
      </c>
      <c r="H118" s="8">
        <v>894468000</v>
      </c>
      <c r="I118" s="8">
        <v>4270979000</v>
      </c>
      <c r="J118" s="8" t="s">
        <v>43</v>
      </c>
      <c r="K118" s="10" t="s">
        <v>43</v>
      </c>
      <c r="L118" s="8">
        <v>809928000</v>
      </c>
      <c r="M118" s="8">
        <v>809928000</v>
      </c>
      <c r="N118" s="8">
        <v>1105347000</v>
      </c>
      <c r="O118" s="10" t="s">
        <v>43</v>
      </c>
      <c r="P118" s="10" t="s">
        <v>43</v>
      </c>
      <c r="Q118" s="8" t="s">
        <v>43</v>
      </c>
      <c r="R118" s="10">
        <v>181799000</v>
      </c>
      <c r="S118" s="8" t="s">
        <v>43</v>
      </c>
      <c r="T118" s="8">
        <v>7188431000</v>
      </c>
      <c r="U118" s="8">
        <v>780331000</v>
      </c>
      <c r="V118" s="10">
        <v>235756000</v>
      </c>
      <c r="W118" s="10" t="s">
        <v>43</v>
      </c>
      <c r="X118" s="10" t="s">
        <v>43</v>
      </c>
      <c r="Y118" s="8">
        <v>71419000</v>
      </c>
      <c r="Z118" s="8">
        <v>6408100000</v>
      </c>
      <c r="AA118" s="10">
        <v>792094000</v>
      </c>
      <c r="AB118" s="10">
        <v>5220788000</v>
      </c>
      <c r="AC118" s="8">
        <v>1059000</v>
      </c>
      <c r="AD118" s="8" t="s">
        <v>43</v>
      </c>
      <c r="AE118" s="8">
        <v>6013941000</v>
      </c>
      <c r="AF118" s="8">
        <v>310222000</v>
      </c>
      <c r="AG118" s="8">
        <v>193062000</v>
      </c>
      <c r="AH118" s="8">
        <v>-943843000</v>
      </c>
      <c r="AI118" s="8" t="s">
        <v>43</v>
      </c>
      <c r="AJ118" s="9">
        <v>-4372000000</v>
      </c>
      <c r="AK118" s="8">
        <v>149000</v>
      </c>
      <c r="AL118" s="8">
        <v>147062951</v>
      </c>
      <c r="AM118" s="8"/>
      <c r="AN118" s="8"/>
      <c r="AO118" s="8"/>
      <c r="AP118" s="8"/>
    </row>
    <row r="119" spans="1:42" ht="17">
      <c r="A119" s="8" t="s">
        <v>86</v>
      </c>
      <c r="B119" s="8" t="s">
        <v>42</v>
      </c>
      <c r="C119" s="8">
        <v>5769168000</v>
      </c>
      <c r="D119" s="8">
        <v>1422342000</v>
      </c>
      <c r="E119" s="10">
        <v>364744000</v>
      </c>
      <c r="F119" s="8">
        <v>364744000</v>
      </c>
      <c r="G119" s="8">
        <v>1</v>
      </c>
      <c r="H119" s="8">
        <v>898496000</v>
      </c>
      <c r="I119" s="8">
        <v>4346826000</v>
      </c>
      <c r="J119" s="8" t="s">
        <v>43</v>
      </c>
      <c r="K119" s="10" t="s">
        <v>43</v>
      </c>
      <c r="L119" s="8">
        <v>1860358000</v>
      </c>
      <c r="M119" s="8">
        <v>1860358000</v>
      </c>
      <c r="N119" s="8">
        <v>1105244000</v>
      </c>
      <c r="O119" s="10" t="s">
        <v>43</v>
      </c>
      <c r="P119" s="10" t="s">
        <v>43</v>
      </c>
      <c r="Q119" s="8" t="s">
        <v>43</v>
      </c>
      <c r="R119" s="10">
        <v>159102000</v>
      </c>
      <c r="S119" s="8" t="s">
        <v>43</v>
      </c>
      <c r="T119" s="8">
        <v>7143811000</v>
      </c>
      <c r="U119" s="8">
        <v>739008000</v>
      </c>
      <c r="V119" s="10">
        <v>222115000</v>
      </c>
      <c r="W119" s="10" t="s">
        <v>43</v>
      </c>
      <c r="X119" s="10" t="s">
        <v>43</v>
      </c>
      <c r="Y119" s="8">
        <v>145755000</v>
      </c>
      <c r="Z119" s="8">
        <v>6404803000</v>
      </c>
      <c r="AA119" s="10">
        <v>809837000</v>
      </c>
      <c r="AB119" s="10">
        <v>5218194000</v>
      </c>
      <c r="AC119" s="8">
        <v>621000</v>
      </c>
      <c r="AD119" s="8" t="s">
        <v>43</v>
      </c>
      <c r="AE119" s="8">
        <v>6028652000</v>
      </c>
      <c r="AF119" s="8">
        <v>210853000</v>
      </c>
      <c r="AG119" s="8">
        <v>174589000</v>
      </c>
      <c r="AH119" s="9">
        <v>-1380000000</v>
      </c>
      <c r="AI119" s="8" t="s">
        <v>43</v>
      </c>
      <c r="AJ119" s="9">
        <v>-4330000000</v>
      </c>
      <c r="AK119" s="8">
        <v>148000</v>
      </c>
      <c r="AL119" s="8">
        <v>151137000</v>
      </c>
      <c r="AM119" s="8"/>
      <c r="AN119" s="8"/>
      <c r="AO119" s="8"/>
      <c r="AP119" s="8"/>
    </row>
    <row r="120" spans="1:42" ht="17">
      <c r="A120" s="8" t="s">
        <v>87</v>
      </c>
      <c r="B120" s="8" t="s">
        <v>42</v>
      </c>
      <c r="C120" s="8">
        <v>6758312000</v>
      </c>
      <c r="D120" s="8">
        <v>1413072000</v>
      </c>
      <c r="E120" s="10">
        <v>361403000</v>
      </c>
      <c r="F120" s="8">
        <v>361403000</v>
      </c>
      <c r="G120" s="8">
        <v>1</v>
      </c>
      <c r="H120" s="8">
        <v>878353000</v>
      </c>
      <c r="I120" s="8">
        <v>5345240000</v>
      </c>
      <c r="J120" s="8" t="s">
        <v>43</v>
      </c>
      <c r="K120" s="10" t="s">
        <v>43</v>
      </c>
      <c r="L120" s="8">
        <v>2225715000</v>
      </c>
      <c r="M120" s="8">
        <v>2225715000</v>
      </c>
      <c r="N120" s="8">
        <v>1721349000</v>
      </c>
      <c r="O120" s="10" t="s">
        <v>43</v>
      </c>
      <c r="P120" s="10" t="s">
        <v>43</v>
      </c>
      <c r="Q120" s="8" t="s">
        <v>43</v>
      </c>
      <c r="R120" s="10">
        <v>173316000</v>
      </c>
      <c r="S120" s="8" t="s">
        <v>43</v>
      </c>
      <c r="T120" s="8">
        <v>7156886000</v>
      </c>
      <c r="U120" s="8">
        <v>702058000</v>
      </c>
      <c r="V120" s="10">
        <v>215410000</v>
      </c>
      <c r="W120" s="10" t="s">
        <v>43</v>
      </c>
      <c r="X120" s="10" t="s">
        <v>43</v>
      </c>
      <c r="Y120" s="8">
        <v>74064000</v>
      </c>
      <c r="Z120" s="8">
        <v>6454828000</v>
      </c>
      <c r="AA120" s="10">
        <v>823140000</v>
      </c>
      <c r="AB120" s="10">
        <v>5216503000</v>
      </c>
      <c r="AC120" s="8">
        <v>289000</v>
      </c>
      <c r="AD120" s="8" t="s">
        <v>43</v>
      </c>
      <c r="AE120" s="8">
        <v>6039932000</v>
      </c>
      <c r="AF120" s="8">
        <v>249274000</v>
      </c>
      <c r="AG120" s="8">
        <v>173281000</v>
      </c>
      <c r="AH120" s="8">
        <v>-404974000</v>
      </c>
      <c r="AI120" s="8" t="s">
        <v>43</v>
      </c>
      <c r="AJ120" s="9">
        <v>-3349000000</v>
      </c>
      <c r="AK120" s="8">
        <v>146000</v>
      </c>
      <c r="AL120" s="8">
        <v>149795000</v>
      </c>
      <c r="AM120" s="8"/>
      <c r="AN120" s="8"/>
      <c r="AO120" s="8"/>
      <c r="AP120" s="8"/>
    </row>
    <row r="121" spans="1:42" ht="17">
      <c r="A121" s="8" t="s">
        <v>44</v>
      </c>
      <c r="B121" s="8" t="s">
        <v>42</v>
      </c>
      <c r="C121" s="8">
        <v>7419851000</v>
      </c>
      <c r="D121" s="8">
        <v>1506916000</v>
      </c>
      <c r="E121" s="10">
        <v>346382000</v>
      </c>
      <c r="F121" s="8">
        <v>346382000</v>
      </c>
      <c r="G121" s="8">
        <v>1</v>
      </c>
      <c r="H121" s="8">
        <v>1041214000</v>
      </c>
      <c r="I121" s="8">
        <v>5912935000</v>
      </c>
      <c r="J121" s="8" t="s">
        <v>43</v>
      </c>
      <c r="K121" s="10" t="s">
        <v>43</v>
      </c>
      <c r="L121" s="8">
        <v>2287189000</v>
      </c>
      <c r="M121" s="8">
        <v>2287189000</v>
      </c>
      <c r="N121" s="8">
        <v>1721483000</v>
      </c>
      <c r="O121" s="10" t="s">
        <v>43</v>
      </c>
      <c r="P121" s="10" t="s">
        <v>43</v>
      </c>
      <c r="Q121" s="8" t="s">
        <v>43</v>
      </c>
      <c r="R121" s="10">
        <v>119320000</v>
      </c>
      <c r="S121" s="8" t="s">
        <v>43</v>
      </c>
      <c r="T121" s="8">
        <v>7804609000</v>
      </c>
      <c r="U121" s="8">
        <v>848436000</v>
      </c>
      <c r="V121" s="10">
        <v>236162000</v>
      </c>
      <c r="W121" s="10" t="s">
        <v>43</v>
      </c>
      <c r="X121" s="10" t="s">
        <v>43</v>
      </c>
      <c r="Y121" s="8">
        <v>148004000</v>
      </c>
      <c r="Z121" s="8">
        <v>6956173000</v>
      </c>
      <c r="AA121" s="10">
        <v>836652000</v>
      </c>
      <c r="AB121" s="10">
        <v>5214810000</v>
      </c>
      <c r="AC121" s="8">
        <v>340000</v>
      </c>
      <c r="AD121" s="8" t="s">
        <v>43</v>
      </c>
      <c r="AE121" s="8">
        <v>6051802000</v>
      </c>
      <c r="AF121" s="8">
        <v>305730000</v>
      </c>
      <c r="AG121" s="8">
        <v>171535000</v>
      </c>
      <c r="AH121" s="8">
        <v>-394155000</v>
      </c>
      <c r="AI121" s="8" t="s">
        <v>43</v>
      </c>
      <c r="AJ121" s="9">
        <v>-3330000000</v>
      </c>
      <c r="AK121" s="8">
        <v>146000</v>
      </c>
      <c r="AL121" s="8">
        <v>144663062</v>
      </c>
      <c r="AM121" s="8"/>
      <c r="AN121" s="8"/>
      <c r="AO121" s="8"/>
      <c r="AP121" s="8"/>
    </row>
    <row r="122" spans="1:42" ht="17">
      <c r="A122" s="8" t="s">
        <v>88</v>
      </c>
      <c r="B122" s="8" t="s">
        <v>42</v>
      </c>
      <c r="C122" s="8">
        <v>6877500000</v>
      </c>
      <c r="D122" s="8">
        <v>1349000000</v>
      </c>
      <c r="E122" s="10">
        <v>213479000</v>
      </c>
      <c r="F122" s="8">
        <v>213479000</v>
      </c>
      <c r="G122" s="8">
        <v>136693000</v>
      </c>
      <c r="H122" s="8">
        <v>983927000</v>
      </c>
      <c r="I122" s="8">
        <v>5528500000</v>
      </c>
      <c r="J122" s="8" t="s">
        <v>43</v>
      </c>
      <c r="K122" s="10" t="s">
        <v>43</v>
      </c>
      <c r="L122" s="8">
        <v>2347108000</v>
      </c>
      <c r="M122" s="8">
        <v>2347108000</v>
      </c>
      <c r="N122" s="8">
        <v>1721223000</v>
      </c>
      <c r="O122" s="10" t="s">
        <v>43</v>
      </c>
      <c r="P122" s="10" t="s">
        <v>43</v>
      </c>
      <c r="Q122" s="8" t="s">
        <v>43</v>
      </c>
      <c r="R122" s="10">
        <v>151593000</v>
      </c>
      <c r="S122" s="8" t="s">
        <v>43</v>
      </c>
      <c r="T122" s="8">
        <v>7284300000</v>
      </c>
      <c r="U122" s="8">
        <v>742660000</v>
      </c>
      <c r="V122" s="10">
        <v>179707000</v>
      </c>
      <c r="W122" s="10" t="s">
        <v>43</v>
      </c>
      <c r="X122" s="10" t="s">
        <v>43</v>
      </c>
      <c r="Y122" s="8">
        <v>151508000</v>
      </c>
      <c r="Z122" s="8">
        <v>6541679000</v>
      </c>
      <c r="AA122" s="10">
        <v>847627000</v>
      </c>
      <c r="AB122" s="10">
        <v>5228316000</v>
      </c>
      <c r="AC122" s="8">
        <v>390000</v>
      </c>
      <c r="AD122" s="8" t="s">
        <v>43</v>
      </c>
      <c r="AE122" s="8">
        <v>6076333000</v>
      </c>
      <c r="AF122" s="8">
        <v>239472000</v>
      </c>
      <c r="AG122" s="8">
        <v>164048000</v>
      </c>
      <c r="AH122" s="8">
        <v>-406800000</v>
      </c>
      <c r="AI122" s="8" t="s">
        <v>43</v>
      </c>
      <c r="AJ122" s="9">
        <v>-3343000000</v>
      </c>
      <c r="AK122" s="8">
        <v>146000</v>
      </c>
      <c r="AL122" s="8">
        <v>149695000</v>
      </c>
      <c r="AM122" s="8"/>
      <c r="AN122" s="8"/>
      <c r="AO122" s="8"/>
      <c r="AP122" s="8"/>
    </row>
    <row r="123" spans="1:42" ht="17">
      <c r="A123" s="8" t="s">
        <v>89</v>
      </c>
      <c r="B123" s="8" t="s">
        <v>42</v>
      </c>
      <c r="C123" s="8">
        <v>6983800000</v>
      </c>
      <c r="D123" s="8">
        <v>1336400000</v>
      </c>
      <c r="E123" s="10">
        <v>165325000</v>
      </c>
      <c r="F123" s="8">
        <v>165325000</v>
      </c>
      <c r="G123" s="8">
        <v>127388000</v>
      </c>
      <c r="H123" s="8">
        <v>1004807000</v>
      </c>
      <c r="I123" s="8">
        <v>5647400000</v>
      </c>
      <c r="J123" s="8">
        <v>1350407000</v>
      </c>
      <c r="K123" s="10" t="s">
        <v>43</v>
      </c>
      <c r="L123" s="8">
        <v>2408850000</v>
      </c>
      <c r="M123" s="8">
        <v>2408850000</v>
      </c>
      <c r="N123" s="8">
        <v>1721410000</v>
      </c>
      <c r="O123" s="10" t="s">
        <v>43</v>
      </c>
      <c r="P123" s="10" t="s">
        <v>43</v>
      </c>
      <c r="Q123" s="8" t="s">
        <v>43</v>
      </c>
      <c r="R123" s="10">
        <v>166260000</v>
      </c>
      <c r="S123" s="8" t="s">
        <v>43</v>
      </c>
      <c r="T123" s="8">
        <v>7387300000</v>
      </c>
      <c r="U123" s="8">
        <v>730400000</v>
      </c>
      <c r="V123" s="10">
        <v>199947000</v>
      </c>
      <c r="W123" s="10" t="s">
        <v>43</v>
      </c>
      <c r="X123" s="10" t="s">
        <v>43</v>
      </c>
      <c r="Y123" s="8">
        <v>151938000</v>
      </c>
      <c r="Z123" s="8">
        <v>6656900000</v>
      </c>
      <c r="AA123" s="10">
        <v>838536000</v>
      </c>
      <c r="AB123" s="10">
        <v>5315955000</v>
      </c>
      <c r="AC123" s="8">
        <v>440000</v>
      </c>
      <c r="AD123" s="8" t="s">
        <v>43</v>
      </c>
      <c r="AE123" s="8">
        <v>6154931000</v>
      </c>
      <c r="AF123" s="8">
        <v>143085000</v>
      </c>
      <c r="AG123" s="8">
        <v>152254000</v>
      </c>
      <c r="AH123" s="8">
        <v>-403500000</v>
      </c>
      <c r="AI123" s="8" t="s">
        <v>43</v>
      </c>
      <c r="AJ123" s="9">
        <v>-3334000000</v>
      </c>
      <c r="AK123" s="8">
        <v>145000</v>
      </c>
      <c r="AL123" s="8">
        <v>149179000</v>
      </c>
      <c r="AM123" s="8"/>
      <c r="AN123" s="8"/>
      <c r="AO123" s="8"/>
      <c r="AP123" s="8"/>
    </row>
    <row r="124" spans="1:42" ht="17">
      <c r="A124" s="8" t="s">
        <v>90</v>
      </c>
      <c r="B124" s="8" t="s">
        <v>42</v>
      </c>
      <c r="C124" s="8">
        <v>8035200000</v>
      </c>
      <c r="D124" s="8">
        <v>1271300000</v>
      </c>
      <c r="E124" s="10">
        <v>187933000</v>
      </c>
      <c r="F124" s="8">
        <v>187933000</v>
      </c>
      <c r="G124" s="8">
        <v>-28000</v>
      </c>
      <c r="H124" s="8">
        <v>935233000</v>
      </c>
      <c r="I124" s="8">
        <v>6763900000</v>
      </c>
      <c r="J124" s="8" t="s">
        <v>43</v>
      </c>
      <c r="K124" s="10" t="s">
        <v>43</v>
      </c>
      <c r="L124" s="8">
        <v>1476319000</v>
      </c>
      <c r="M124" s="8">
        <v>1476319000</v>
      </c>
      <c r="N124" s="8">
        <v>2313436000</v>
      </c>
      <c r="O124" s="10" t="s">
        <v>43</v>
      </c>
      <c r="P124" s="10" t="s">
        <v>43</v>
      </c>
      <c r="Q124" s="8" t="s">
        <v>43</v>
      </c>
      <c r="R124" s="10">
        <v>148162000</v>
      </c>
      <c r="S124" s="8" t="s">
        <v>43</v>
      </c>
      <c r="T124" s="8">
        <v>7563300000</v>
      </c>
      <c r="U124" s="8">
        <v>656200000</v>
      </c>
      <c r="V124" s="10">
        <v>177270000</v>
      </c>
      <c r="W124" s="10" t="s">
        <v>43</v>
      </c>
      <c r="X124" s="10" t="s">
        <v>43</v>
      </c>
      <c r="Y124" s="8">
        <v>150773000</v>
      </c>
      <c r="Z124" s="8">
        <v>6907100000</v>
      </c>
      <c r="AA124" s="10">
        <v>907592000</v>
      </c>
      <c r="AB124" s="10">
        <v>5394932000</v>
      </c>
      <c r="AC124" s="8">
        <v>525000</v>
      </c>
      <c r="AD124" s="8" t="s">
        <v>43</v>
      </c>
      <c r="AE124" s="8">
        <v>6303049000</v>
      </c>
      <c r="AF124" s="8">
        <v>108858000</v>
      </c>
      <c r="AG124" s="8">
        <v>122760000</v>
      </c>
      <c r="AH124" s="8">
        <v>471900000</v>
      </c>
      <c r="AI124" s="8" t="s">
        <v>43</v>
      </c>
      <c r="AJ124" s="9">
        <v>-2450000000</v>
      </c>
      <c r="AK124" s="8">
        <v>144000</v>
      </c>
      <c r="AL124" s="8">
        <v>148365000</v>
      </c>
      <c r="AM124" s="8"/>
      <c r="AN124" s="8"/>
      <c r="AO124" s="8"/>
      <c r="AP124" s="8"/>
    </row>
    <row r="125" spans="1:42" ht="17">
      <c r="A125" s="8" t="s">
        <v>46</v>
      </c>
      <c r="B125" s="8" t="s">
        <v>42</v>
      </c>
      <c r="C125" s="8">
        <v>8335900000</v>
      </c>
      <c r="D125" s="8">
        <v>1472800000</v>
      </c>
      <c r="E125" s="10">
        <v>336236000</v>
      </c>
      <c r="F125" s="8">
        <v>336236000</v>
      </c>
      <c r="G125" s="8">
        <v>79119000</v>
      </c>
      <c r="H125" s="8">
        <v>1037827000</v>
      </c>
      <c r="I125" s="8">
        <v>6863100000</v>
      </c>
      <c r="J125" s="8">
        <v>1483122000</v>
      </c>
      <c r="K125" s="10" t="s">
        <v>43</v>
      </c>
      <c r="L125" s="8">
        <v>2895989000</v>
      </c>
      <c r="M125" s="8">
        <v>2895989000</v>
      </c>
      <c r="N125" s="8">
        <v>2313403000</v>
      </c>
      <c r="O125" s="10" t="s">
        <v>43</v>
      </c>
      <c r="P125" s="10" t="s">
        <v>43</v>
      </c>
      <c r="Q125" s="8" t="s">
        <v>43</v>
      </c>
      <c r="R125" s="10">
        <v>98716000</v>
      </c>
      <c r="S125" s="8" t="s">
        <v>43</v>
      </c>
      <c r="T125" s="8">
        <v>7651400000</v>
      </c>
      <c r="U125" s="8">
        <v>831200000</v>
      </c>
      <c r="V125" s="10">
        <v>240454000</v>
      </c>
      <c r="W125" s="10" t="s">
        <v>43</v>
      </c>
      <c r="X125" s="10" t="s">
        <v>43</v>
      </c>
      <c r="Y125" s="8">
        <v>70688000</v>
      </c>
      <c r="Z125" s="8">
        <v>6820200000</v>
      </c>
      <c r="AA125" s="10">
        <v>918942000</v>
      </c>
      <c r="AB125" s="10">
        <v>5413503000</v>
      </c>
      <c r="AC125" s="8">
        <v>664000</v>
      </c>
      <c r="AD125" s="8" t="s">
        <v>43</v>
      </c>
      <c r="AE125" s="8">
        <v>6333109000</v>
      </c>
      <c r="AF125" s="8">
        <v>389592000</v>
      </c>
      <c r="AG125" s="8">
        <v>73332000</v>
      </c>
      <c r="AH125" s="8">
        <v>684500000</v>
      </c>
      <c r="AI125" s="8" t="s">
        <v>43</v>
      </c>
      <c r="AJ125" s="9">
        <v>-2227000000</v>
      </c>
      <c r="AK125" s="8">
        <v>144000</v>
      </c>
      <c r="AL125" s="8">
        <v>143250124</v>
      </c>
      <c r="AM125" s="8"/>
      <c r="AN125" s="8"/>
      <c r="AO125" s="8"/>
      <c r="AP125" s="8"/>
    </row>
    <row r="126" spans="1:42" ht="17">
      <c r="A126" s="8" t="s">
        <v>91</v>
      </c>
      <c r="B126" s="8" t="s">
        <v>42</v>
      </c>
      <c r="C126" s="8">
        <v>8329699000</v>
      </c>
      <c r="D126" s="8">
        <v>1408577000</v>
      </c>
      <c r="E126" s="10">
        <v>295399000</v>
      </c>
      <c r="F126" s="8">
        <v>295399000</v>
      </c>
      <c r="G126" s="8">
        <v>113718000</v>
      </c>
      <c r="H126" s="8">
        <v>981144000</v>
      </c>
      <c r="I126" s="8">
        <v>6921122000</v>
      </c>
      <c r="J126" s="8">
        <v>1484125000</v>
      </c>
      <c r="K126" s="10" t="s">
        <v>43</v>
      </c>
      <c r="L126" s="8">
        <v>2953661000</v>
      </c>
      <c r="M126" s="8">
        <v>2953661000</v>
      </c>
      <c r="N126" s="8">
        <v>2313182000</v>
      </c>
      <c r="O126" s="10" t="s">
        <v>43</v>
      </c>
      <c r="P126" s="10" t="s">
        <v>43</v>
      </c>
      <c r="Q126" s="8" t="s">
        <v>43</v>
      </c>
      <c r="R126" s="10">
        <v>132034000</v>
      </c>
      <c r="S126" s="8" t="s">
        <v>43</v>
      </c>
      <c r="T126" s="8">
        <v>7736889000</v>
      </c>
      <c r="U126" s="8">
        <v>740044000</v>
      </c>
      <c r="V126" s="10">
        <v>204916000</v>
      </c>
      <c r="W126" s="10" t="s">
        <v>43</v>
      </c>
      <c r="X126" s="10" t="s">
        <v>43</v>
      </c>
      <c r="Y126" s="8">
        <v>96841000</v>
      </c>
      <c r="Z126" s="8">
        <v>6996845000</v>
      </c>
      <c r="AA126" s="10">
        <v>898500000</v>
      </c>
      <c r="AB126" s="10">
        <v>5553049000</v>
      </c>
      <c r="AC126" s="8">
        <v>665000</v>
      </c>
      <c r="AD126" s="8" t="s">
        <v>43</v>
      </c>
      <c r="AE126" s="8">
        <v>6452214000</v>
      </c>
      <c r="AF126" s="8">
        <v>287222000</v>
      </c>
      <c r="AG126" s="8">
        <v>66456000</v>
      </c>
      <c r="AH126" s="8">
        <v>583751000</v>
      </c>
      <c r="AI126" s="8" t="s">
        <v>43</v>
      </c>
      <c r="AJ126" s="9">
        <v>-2307000000</v>
      </c>
      <c r="AK126" s="8">
        <v>144000</v>
      </c>
      <c r="AL126" s="8">
        <v>148299000</v>
      </c>
      <c r="AM126" s="8"/>
      <c r="AN126" s="8"/>
      <c r="AO126" s="8"/>
      <c r="AP126" s="8"/>
    </row>
    <row r="127" spans="1:42" ht="17">
      <c r="A127" s="8" t="s">
        <v>92</v>
      </c>
      <c r="B127" s="8" t="s">
        <v>42</v>
      </c>
      <c r="C127" s="8">
        <v>8701117000</v>
      </c>
      <c r="D127" s="8">
        <v>1372117000</v>
      </c>
      <c r="E127" s="10">
        <v>294831000</v>
      </c>
      <c r="F127" s="8">
        <v>294831000</v>
      </c>
      <c r="G127" s="8">
        <v>94099000</v>
      </c>
      <c r="H127" s="8">
        <v>967120000</v>
      </c>
      <c r="I127" s="8">
        <v>7329000000</v>
      </c>
      <c r="J127" s="8">
        <v>1524235000</v>
      </c>
      <c r="K127" s="10" t="s">
        <v>43</v>
      </c>
      <c r="L127" s="8">
        <v>3318497000</v>
      </c>
      <c r="M127" s="8">
        <v>3318497000</v>
      </c>
      <c r="N127" s="8">
        <v>2313349000</v>
      </c>
      <c r="O127" s="10" t="s">
        <v>43</v>
      </c>
      <c r="P127" s="10" t="s">
        <v>43</v>
      </c>
      <c r="Q127" s="8" t="s">
        <v>43</v>
      </c>
      <c r="R127" s="10">
        <v>110166000</v>
      </c>
      <c r="S127" s="8" t="s">
        <v>43</v>
      </c>
      <c r="T127" s="8">
        <v>7807696000</v>
      </c>
      <c r="U127" s="8">
        <v>758180000</v>
      </c>
      <c r="V127" s="10">
        <v>198983000</v>
      </c>
      <c r="W127" s="10" t="s">
        <v>43</v>
      </c>
      <c r="X127" s="10" t="s">
        <v>43</v>
      </c>
      <c r="Y127" s="8">
        <v>84599000</v>
      </c>
      <c r="Z127" s="8">
        <v>7049516000</v>
      </c>
      <c r="AA127" s="10">
        <v>901379000</v>
      </c>
      <c r="AB127" s="10">
        <v>5626744000</v>
      </c>
      <c r="AC127" s="8">
        <v>675000</v>
      </c>
      <c r="AD127" s="8" t="s">
        <v>43</v>
      </c>
      <c r="AE127" s="8">
        <v>6528798000</v>
      </c>
      <c r="AF127" s="8">
        <v>312677000</v>
      </c>
      <c r="AG127" s="8">
        <v>65717000</v>
      </c>
      <c r="AH127" s="8">
        <v>884762000</v>
      </c>
      <c r="AI127" s="8" t="s">
        <v>43</v>
      </c>
      <c r="AJ127" s="9">
        <v>-1997000000</v>
      </c>
      <c r="AK127" s="8">
        <v>143000</v>
      </c>
      <c r="AL127" s="8">
        <v>149131000</v>
      </c>
      <c r="AM127" s="8"/>
      <c r="AN127" s="8"/>
      <c r="AO127" s="8"/>
      <c r="AP127" s="8"/>
    </row>
    <row r="128" spans="1:42" ht="17">
      <c r="A128" s="8" t="s">
        <v>93</v>
      </c>
      <c r="B128" s="8" t="s">
        <v>42</v>
      </c>
      <c r="C128" s="8">
        <v>8627012000</v>
      </c>
      <c r="D128" s="8">
        <v>1315897000</v>
      </c>
      <c r="E128" s="10">
        <v>279683000</v>
      </c>
      <c r="F128" s="8">
        <v>279683000</v>
      </c>
      <c r="G128" s="8">
        <v>86191000</v>
      </c>
      <c r="H128" s="8">
        <v>906901000</v>
      </c>
      <c r="I128" s="8">
        <v>7311115000</v>
      </c>
      <c r="J128" s="8">
        <v>1476244000</v>
      </c>
      <c r="K128" s="10" t="s">
        <v>43</v>
      </c>
      <c r="L128" s="8">
        <v>3381506000</v>
      </c>
      <c r="M128" s="8">
        <v>3381506000</v>
      </c>
      <c r="N128" s="8">
        <v>2313491000</v>
      </c>
      <c r="O128" s="10" t="s">
        <v>43</v>
      </c>
      <c r="P128" s="10" t="s">
        <v>43</v>
      </c>
      <c r="Q128" s="8" t="s">
        <v>43</v>
      </c>
      <c r="R128" s="10">
        <v>129313000</v>
      </c>
      <c r="S128" s="8" t="s">
        <v>43</v>
      </c>
      <c r="T128" s="8">
        <v>7754991000</v>
      </c>
      <c r="U128" s="8">
        <v>687846000</v>
      </c>
      <c r="V128" s="10">
        <v>156875000</v>
      </c>
      <c r="W128" s="10" t="s">
        <v>43</v>
      </c>
      <c r="X128" s="10" t="s">
        <v>43</v>
      </c>
      <c r="Y128" s="8">
        <v>166515000</v>
      </c>
      <c r="Z128" s="8">
        <v>7067145000</v>
      </c>
      <c r="AA128" s="10">
        <v>810041000</v>
      </c>
      <c r="AB128" s="10">
        <v>5739421000</v>
      </c>
      <c r="AC128" s="8">
        <v>719000</v>
      </c>
      <c r="AD128" s="8" t="s">
        <v>43</v>
      </c>
      <c r="AE128" s="8">
        <v>6550181000</v>
      </c>
      <c r="AF128" s="8">
        <v>208057000</v>
      </c>
      <c r="AG128" s="8">
        <v>66149000</v>
      </c>
      <c r="AH128" s="8">
        <v>863955000</v>
      </c>
      <c r="AI128" s="8">
        <v>-6798000</v>
      </c>
      <c r="AJ128" s="9">
        <v>-2011000000</v>
      </c>
      <c r="AK128" s="8">
        <v>143000</v>
      </c>
      <c r="AL128" s="8">
        <v>147513000</v>
      </c>
      <c r="AM128" s="8"/>
      <c r="AN128" s="8"/>
      <c r="AO128" s="8"/>
      <c r="AP128" s="8"/>
    </row>
    <row r="129" spans="1:42" ht="17">
      <c r="A129" s="8" t="s">
        <v>47</v>
      </c>
      <c r="B129" s="8" t="s">
        <v>42</v>
      </c>
      <c r="C129" s="8">
        <v>8881300000</v>
      </c>
      <c r="D129" s="8">
        <v>1472900000</v>
      </c>
      <c r="E129" s="10">
        <v>352129000</v>
      </c>
      <c r="F129" s="8">
        <v>352129000</v>
      </c>
      <c r="G129" s="8">
        <v>3154000</v>
      </c>
      <c r="H129" s="8">
        <v>1030380000</v>
      </c>
      <c r="I129" s="8">
        <v>7408400000</v>
      </c>
      <c r="J129" s="8">
        <v>782093000</v>
      </c>
      <c r="K129" s="10" t="s">
        <v>43</v>
      </c>
      <c r="L129" s="8">
        <v>3444645000</v>
      </c>
      <c r="M129" s="8">
        <v>3444645000</v>
      </c>
      <c r="N129" s="8">
        <v>2313581000</v>
      </c>
      <c r="O129" s="10" t="s">
        <v>43</v>
      </c>
      <c r="P129" s="10">
        <v>85925000</v>
      </c>
      <c r="Q129" s="8">
        <v>-29000</v>
      </c>
      <c r="R129" s="10">
        <v>87204000</v>
      </c>
      <c r="S129" s="8" t="s">
        <v>43</v>
      </c>
      <c r="T129" s="8">
        <v>7965500000</v>
      </c>
      <c r="U129" s="8">
        <v>848700000</v>
      </c>
      <c r="V129" s="10">
        <v>206007000</v>
      </c>
      <c r="W129" s="10" t="s">
        <v>43</v>
      </c>
      <c r="X129" s="10" t="s">
        <v>43</v>
      </c>
      <c r="Y129" s="8">
        <v>89258000</v>
      </c>
      <c r="Z129" s="8">
        <v>7116800000</v>
      </c>
      <c r="AA129" s="10">
        <v>827399000</v>
      </c>
      <c r="AB129" s="10">
        <v>5738195000</v>
      </c>
      <c r="AC129" s="8">
        <v>673000</v>
      </c>
      <c r="AD129" s="8" t="s">
        <v>43</v>
      </c>
      <c r="AE129" s="8">
        <v>6566267000</v>
      </c>
      <c r="AF129" s="8">
        <v>421028000</v>
      </c>
      <c r="AG129" s="8">
        <v>80897000</v>
      </c>
      <c r="AH129" s="8">
        <v>915800000</v>
      </c>
      <c r="AI129" s="8">
        <v>-6282000</v>
      </c>
      <c r="AJ129" s="9">
        <v>-1963000000</v>
      </c>
      <c r="AK129" s="8">
        <v>142000</v>
      </c>
      <c r="AL129" s="8">
        <v>142224129</v>
      </c>
      <c r="AM129" s="8"/>
      <c r="AN129" s="8"/>
      <c r="AO129" s="8"/>
      <c r="AP129" s="8"/>
    </row>
    <row r="130" spans="1:42" ht="17">
      <c r="A130" s="8" t="s">
        <v>94</v>
      </c>
      <c r="B130" s="8" t="s">
        <v>42</v>
      </c>
      <c r="C130" s="8">
        <v>8810614000</v>
      </c>
      <c r="D130" s="8">
        <v>1356016000</v>
      </c>
      <c r="E130" s="10">
        <v>369094000</v>
      </c>
      <c r="F130" s="8">
        <v>369094000</v>
      </c>
      <c r="G130" s="8">
        <v>98204000</v>
      </c>
      <c r="H130" s="8">
        <v>857970000</v>
      </c>
      <c r="I130" s="8">
        <v>7454598000</v>
      </c>
      <c r="J130" s="8">
        <v>1517476000</v>
      </c>
      <c r="K130" s="10" t="s">
        <v>43</v>
      </c>
      <c r="L130" s="8">
        <v>3507410000</v>
      </c>
      <c r="M130" s="8">
        <v>3507410000</v>
      </c>
      <c r="N130" s="8">
        <v>2313824000</v>
      </c>
      <c r="O130" s="10" t="s">
        <v>43</v>
      </c>
      <c r="P130" s="10" t="s">
        <v>43</v>
      </c>
      <c r="Q130" s="8" t="s">
        <v>43</v>
      </c>
      <c r="R130" s="10">
        <v>128952000</v>
      </c>
      <c r="S130" s="8" t="s">
        <v>43</v>
      </c>
      <c r="T130" s="8">
        <v>8012593000</v>
      </c>
      <c r="U130" s="8">
        <v>782287000</v>
      </c>
      <c r="V130" s="10">
        <v>190125000</v>
      </c>
      <c r="W130" s="10" t="s">
        <v>43</v>
      </c>
      <c r="X130" s="10" t="s">
        <v>43</v>
      </c>
      <c r="Y130" s="8">
        <v>194385000</v>
      </c>
      <c r="Z130" s="8">
        <v>7230306000</v>
      </c>
      <c r="AA130" s="10">
        <v>817956000</v>
      </c>
      <c r="AB130" s="10">
        <v>5736650000</v>
      </c>
      <c r="AC130" s="8">
        <v>725000</v>
      </c>
      <c r="AD130" s="8" t="s">
        <v>43</v>
      </c>
      <c r="AE130" s="8">
        <v>6555331000</v>
      </c>
      <c r="AF130" s="8">
        <v>271669000</v>
      </c>
      <c r="AG130" s="8">
        <v>138725000</v>
      </c>
      <c r="AH130" s="8">
        <v>789747000</v>
      </c>
      <c r="AI130" s="8">
        <v>-6147000</v>
      </c>
      <c r="AJ130" s="9">
        <v>-2074000000</v>
      </c>
      <c r="AK130" s="8">
        <v>142000</v>
      </c>
      <c r="AL130" s="8">
        <v>150397000</v>
      </c>
      <c r="AM130" s="8"/>
      <c r="AN130" s="8"/>
      <c r="AO130" s="8"/>
      <c r="AP130" s="8"/>
    </row>
    <row r="131" spans="1:42" ht="17">
      <c r="A131" s="8" t="s">
        <v>95</v>
      </c>
      <c r="B131" s="8" t="s">
        <v>42</v>
      </c>
      <c r="C131" s="8">
        <v>9064126000</v>
      </c>
      <c r="D131" s="8">
        <v>1511039000</v>
      </c>
      <c r="E131" s="10">
        <v>583341000</v>
      </c>
      <c r="F131" s="8">
        <v>583341000</v>
      </c>
      <c r="G131" s="8">
        <v>101529000</v>
      </c>
      <c r="H131" s="8">
        <v>788872000</v>
      </c>
      <c r="I131" s="8">
        <v>7553087000</v>
      </c>
      <c r="J131" s="8">
        <v>1561012000</v>
      </c>
      <c r="K131" s="10" t="s">
        <v>43</v>
      </c>
      <c r="L131" s="8">
        <v>3564635000</v>
      </c>
      <c r="M131" s="8">
        <v>3564635000</v>
      </c>
      <c r="N131" s="8">
        <v>2313425000</v>
      </c>
      <c r="O131" s="10" t="s">
        <v>43</v>
      </c>
      <c r="P131" s="10" t="s">
        <v>43</v>
      </c>
      <c r="Q131" s="8" t="s">
        <v>43</v>
      </c>
      <c r="R131" s="10">
        <v>138826000</v>
      </c>
      <c r="S131" s="8" t="s">
        <v>43</v>
      </c>
      <c r="T131" s="8">
        <v>8275281000</v>
      </c>
      <c r="U131" s="8">
        <v>1019131000</v>
      </c>
      <c r="V131" s="10">
        <v>183241000</v>
      </c>
      <c r="W131" s="10" t="s">
        <v>43</v>
      </c>
      <c r="X131" s="10" t="s">
        <v>43</v>
      </c>
      <c r="Y131" s="8">
        <v>455472000</v>
      </c>
      <c r="Z131" s="8">
        <v>7256150000</v>
      </c>
      <c r="AA131" s="10">
        <v>822833000</v>
      </c>
      <c r="AB131" s="10">
        <v>5721038000</v>
      </c>
      <c r="AC131" s="8">
        <v>278342000</v>
      </c>
      <c r="AD131" s="8" t="s">
        <v>43</v>
      </c>
      <c r="AE131" s="8">
        <v>6822213000</v>
      </c>
      <c r="AF131" s="8">
        <v>252707000</v>
      </c>
      <c r="AG131" s="8">
        <v>72313000</v>
      </c>
      <c r="AH131" s="8">
        <v>780877000</v>
      </c>
      <c r="AI131" s="8">
        <v>-5231000</v>
      </c>
      <c r="AJ131" s="9">
        <v>-2078000000</v>
      </c>
      <c r="AK131" s="8">
        <v>142000</v>
      </c>
      <c r="AL131" s="8">
        <v>146509000</v>
      </c>
      <c r="AM131" s="8"/>
      <c r="AN131" s="8"/>
      <c r="AO131" s="8"/>
      <c r="AP131" s="8"/>
    </row>
    <row r="132" spans="1:42" ht="17">
      <c r="A132" s="8" t="s">
        <v>96</v>
      </c>
      <c r="B132" s="8" t="s">
        <v>42</v>
      </c>
      <c r="C132" s="8">
        <v>9050998000</v>
      </c>
      <c r="D132" s="8">
        <v>1366081000</v>
      </c>
      <c r="E132" s="10">
        <v>529134000</v>
      </c>
      <c r="F132" s="8">
        <v>529134000</v>
      </c>
      <c r="G132" s="8">
        <v>99074000</v>
      </c>
      <c r="H132" s="8">
        <v>704096000</v>
      </c>
      <c r="I132" s="8">
        <v>7684917000</v>
      </c>
      <c r="J132" s="8">
        <v>1606667000</v>
      </c>
      <c r="K132" s="10" t="s">
        <v>43</v>
      </c>
      <c r="L132" s="8">
        <v>3652905000</v>
      </c>
      <c r="M132" s="8">
        <v>3652905000</v>
      </c>
      <c r="N132" s="8">
        <v>2313223000</v>
      </c>
      <c r="O132" s="10" t="s">
        <v>43</v>
      </c>
      <c r="P132" s="10" t="s">
        <v>43</v>
      </c>
      <c r="Q132" s="8" t="s">
        <v>43</v>
      </c>
      <c r="R132" s="10">
        <v>132851000</v>
      </c>
      <c r="S132" s="8" t="s">
        <v>43</v>
      </c>
      <c r="T132" s="8">
        <v>8237047000</v>
      </c>
      <c r="U132" s="8">
        <v>733460000</v>
      </c>
      <c r="V132" s="10">
        <v>157032000</v>
      </c>
      <c r="W132" s="10" t="s">
        <v>43</v>
      </c>
      <c r="X132" s="10" t="s">
        <v>43</v>
      </c>
      <c r="Y132" s="8">
        <v>199112000</v>
      </c>
      <c r="Z132" s="8">
        <v>7503587000</v>
      </c>
      <c r="AA132" s="10">
        <v>834084000</v>
      </c>
      <c r="AB132" s="10">
        <v>5976358000</v>
      </c>
      <c r="AC132" s="8">
        <v>28628000</v>
      </c>
      <c r="AD132" s="8" t="s">
        <v>43</v>
      </c>
      <c r="AE132" s="8">
        <v>6839070000</v>
      </c>
      <c r="AF132" s="8">
        <v>233825000</v>
      </c>
      <c r="AG132" s="8">
        <v>71290000</v>
      </c>
      <c r="AH132" s="8">
        <v>806121000</v>
      </c>
      <c r="AI132" s="8">
        <v>-3302000</v>
      </c>
      <c r="AJ132" s="9">
        <v>-2045000000</v>
      </c>
      <c r="AK132" s="8">
        <v>141000</v>
      </c>
      <c r="AL132" s="8">
        <v>146214000</v>
      </c>
      <c r="AM132" s="8"/>
      <c r="AN132" s="8"/>
      <c r="AO132" s="8"/>
      <c r="AP132" s="8"/>
    </row>
    <row r="133" spans="1:42" ht="17">
      <c r="A133" s="8" t="s">
        <v>48</v>
      </c>
      <c r="B133" s="8" t="s">
        <v>42</v>
      </c>
      <c r="C133" s="8">
        <v>9203000000</v>
      </c>
      <c r="D133" s="8">
        <v>1619000000</v>
      </c>
      <c r="E133" s="10">
        <v>720662000</v>
      </c>
      <c r="F133" s="8">
        <v>720662000</v>
      </c>
      <c r="G133" s="8">
        <v>1153000</v>
      </c>
      <c r="H133" s="8">
        <v>813834000</v>
      </c>
      <c r="I133" s="8">
        <v>7584000000</v>
      </c>
      <c r="J133" s="8">
        <v>811702000</v>
      </c>
      <c r="K133" s="10" t="s">
        <v>43</v>
      </c>
      <c r="L133" s="8">
        <v>3694837000</v>
      </c>
      <c r="M133" s="8">
        <v>3694837000</v>
      </c>
      <c r="N133" s="8">
        <v>2145935000</v>
      </c>
      <c r="O133" s="10" t="s">
        <v>43</v>
      </c>
      <c r="P133" s="10">
        <v>70574000</v>
      </c>
      <c r="Q133" s="8">
        <v>2680000</v>
      </c>
      <c r="R133" s="10">
        <v>83327000</v>
      </c>
      <c r="S133" s="8" t="s">
        <v>43</v>
      </c>
      <c r="T133" s="8">
        <v>8152200000</v>
      </c>
      <c r="U133" s="8">
        <v>683000000</v>
      </c>
      <c r="V133" s="10">
        <v>149333000</v>
      </c>
      <c r="W133" s="10" t="s">
        <v>43</v>
      </c>
      <c r="X133" s="10" t="s">
        <v>43</v>
      </c>
      <c r="Y133" s="8">
        <v>111278000</v>
      </c>
      <c r="Z133" s="8">
        <v>7469200000</v>
      </c>
      <c r="AA133" s="10">
        <v>840994000</v>
      </c>
      <c r="AB133" s="10">
        <v>5982155000</v>
      </c>
      <c r="AC133" s="8">
        <v>34775000</v>
      </c>
      <c r="AD133" s="8" t="s">
        <v>43</v>
      </c>
      <c r="AE133" s="8">
        <v>6857924000</v>
      </c>
      <c r="AF133" s="8">
        <v>333705000</v>
      </c>
      <c r="AG133" s="8">
        <v>131217000</v>
      </c>
      <c r="AH133" s="8">
        <v>1050800000</v>
      </c>
      <c r="AI133" s="8">
        <v>-3199000</v>
      </c>
      <c r="AJ133" s="9">
        <v>-1804000000</v>
      </c>
      <c r="AK133" s="8">
        <v>72000</v>
      </c>
      <c r="AL133" s="8">
        <v>71613789</v>
      </c>
      <c r="AM133" s="8"/>
      <c r="AN133" s="8"/>
      <c r="AO133" s="8"/>
      <c r="AP133" s="8"/>
    </row>
    <row r="134" spans="1:42" ht="17">
      <c r="A134" s="8" t="s">
        <v>97</v>
      </c>
      <c r="B134" s="8" t="s">
        <v>42</v>
      </c>
      <c r="C134" s="8">
        <v>9122110000</v>
      </c>
      <c r="D134" s="8">
        <v>1496517000</v>
      </c>
      <c r="E134" s="10">
        <v>713728000</v>
      </c>
      <c r="F134" s="8">
        <v>713728000</v>
      </c>
      <c r="G134" s="8">
        <v>80931000</v>
      </c>
      <c r="H134" s="8">
        <v>665854000</v>
      </c>
      <c r="I134" s="8">
        <v>7625593000</v>
      </c>
      <c r="J134" s="8">
        <v>1648710000</v>
      </c>
      <c r="K134" s="10" t="s">
        <v>43</v>
      </c>
      <c r="L134" s="8">
        <v>3761967000</v>
      </c>
      <c r="M134" s="8">
        <v>3761967000</v>
      </c>
      <c r="N134" s="8">
        <v>2109486000</v>
      </c>
      <c r="O134" s="10" t="s">
        <v>43</v>
      </c>
      <c r="P134" s="10" t="s">
        <v>43</v>
      </c>
      <c r="Q134" s="8" t="s">
        <v>43</v>
      </c>
      <c r="R134" s="10">
        <v>116935000</v>
      </c>
      <c r="S134" s="8" t="s">
        <v>43</v>
      </c>
      <c r="T134" s="8">
        <v>8082462000</v>
      </c>
      <c r="U134" s="8">
        <v>660374000</v>
      </c>
      <c r="V134" s="10">
        <v>125892000</v>
      </c>
      <c r="W134" s="10" t="s">
        <v>43</v>
      </c>
      <c r="X134" s="10" t="s">
        <v>43</v>
      </c>
      <c r="Y134" s="8">
        <v>197959000</v>
      </c>
      <c r="Z134" s="8">
        <v>7422088000</v>
      </c>
      <c r="AA134" s="10">
        <v>853287000</v>
      </c>
      <c r="AB134" s="10">
        <v>5987446000</v>
      </c>
      <c r="AC134" s="8">
        <v>34379000</v>
      </c>
      <c r="AD134" s="8" t="s">
        <v>43</v>
      </c>
      <c r="AE134" s="8">
        <v>6875112000</v>
      </c>
      <c r="AF134" s="8">
        <v>186366000</v>
      </c>
      <c r="AG134" s="8">
        <v>80779000</v>
      </c>
      <c r="AH134" s="8">
        <v>1030525000</v>
      </c>
      <c r="AI134" s="8" t="s">
        <v>43</v>
      </c>
      <c r="AJ134" s="9">
        <v>-1807000000</v>
      </c>
      <c r="AK134" s="8">
        <v>70000</v>
      </c>
      <c r="AL134" s="8">
        <v>146152000</v>
      </c>
      <c r="AM134" s="8"/>
      <c r="AN134" s="8"/>
      <c r="AO134" s="8"/>
      <c r="AP134" s="8"/>
    </row>
    <row r="135" spans="1:42" ht="17">
      <c r="A135" s="8" t="s">
        <v>98</v>
      </c>
      <c r="B135" s="8" t="s">
        <v>42</v>
      </c>
      <c r="C135" s="8">
        <v>8905859000</v>
      </c>
      <c r="D135" s="8">
        <v>1209549000</v>
      </c>
      <c r="E135" s="10">
        <v>517684000</v>
      </c>
      <c r="F135" s="8">
        <v>517684000</v>
      </c>
      <c r="G135" s="8">
        <v>86003000</v>
      </c>
      <c r="H135" s="8">
        <v>570117000</v>
      </c>
      <c r="I135" s="8">
        <v>7696310000</v>
      </c>
      <c r="J135" s="8">
        <v>1660056000</v>
      </c>
      <c r="K135" s="10" t="s">
        <v>43</v>
      </c>
      <c r="L135" s="8">
        <v>3823677000</v>
      </c>
      <c r="M135" s="8">
        <v>3823677000</v>
      </c>
      <c r="N135" s="8">
        <v>2101657000</v>
      </c>
      <c r="O135" s="10" t="s">
        <v>43</v>
      </c>
      <c r="P135" s="10" t="s">
        <v>43</v>
      </c>
      <c r="Q135" s="8" t="s">
        <v>43</v>
      </c>
      <c r="R135" s="10">
        <v>121748000</v>
      </c>
      <c r="S135" s="8" t="s">
        <v>43</v>
      </c>
      <c r="T135" s="8">
        <v>7840217000</v>
      </c>
      <c r="U135" s="8">
        <v>593079000</v>
      </c>
      <c r="V135" s="10">
        <v>114400000</v>
      </c>
      <c r="W135" s="10" t="s">
        <v>43</v>
      </c>
      <c r="X135" s="10" t="s">
        <v>43</v>
      </c>
      <c r="Y135" s="8">
        <v>194921000</v>
      </c>
      <c r="Z135" s="8">
        <v>7247138000</v>
      </c>
      <c r="AA135" s="10">
        <v>853443000</v>
      </c>
      <c r="AB135" s="10">
        <v>5807061000</v>
      </c>
      <c r="AC135" s="8">
        <v>30061000</v>
      </c>
      <c r="AD135" s="8" t="s">
        <v>43</v>
      </c>
      <c r="AE135" s="8">
        <v>6690565000</v>
      </c>
      <c r="AF135" s="8">
        <v>127711000</v>
      </c>
      <c r="AG135" s="8">
        <v>69770000</v>
      </c>
      <c r="AH135" s="8">
        <v>1056519000</v>
      </c>
      <c r="AI135" s="8" t="s">
        <v>43</v>
      </c>
      <c r="AJ135" s="9">
        <v>-1775000000</v>
      </c>
      <c r="AK135" s="8">
        <v>68000</v>
      </c>
      <c r="AL135" s="8">
        <v>145963000</v>
      </c>
      <c r="AM135" s="8"/>
      <c r="AN135" s="8"/>
      <c r="AO135" s="8"/>
      <c r="AP135" s="8"/>
    </row>
    <row r="136" spans="1:42" ht="17">
      <c r="A136" s="8" t="s">
        <v>99</v>
      </c>
      <c r="B136" s="8" t="s">
        <v>42</v>
      </c>
      <c r="C136" s="8">
        <v>9312060000</v>
      </c>
      <c r="D136" s="8">
        <v>1524961000</v>
      </c>
      <c r="E136" s="10">
        <v>646774000</v>
      </c>
      <c r="F136" s="8">
        <v>646774000</v>
      </c>
      <c r="G136" s="8">
        <v>84844000</v>
      </c>
      <c r="H136" s="8">
        <v>749925000</v>
      </c>
      <c r="I136" s="8">
        <v>7787099000</v>
      </c>
      <c r="J136" s="8">
        <v>1700582000</v>
      </c>
      <c r="K136" s="10" t="s">
        <v>43</v>
      </c>
      <c r="L136" s="8">
        <v>3887234000</v>
      </c>
      <c r="M136" s="8">
        <v>3887234000</v>
      </c>
      <c r="N136" s="8">
        <v>2101204000</v>
      </c>
      <c r="O136" s="10" t="s">
        <v>43</v>
      </c>
      <c r="P136" s="10" t="s">
        <v>43</v>
      </c>
      <c r="Q136" s="8" t="s">
        <v>43</v>
      </c>
      <c r="R136" s="10">
        <v>128262000</v>
      </c>
      <c r="S136" s="8" t="s">
        <v>43</v>
      </c>
      <c r="T136" s="8">
        <v>8052758000</v>
      </c>
      <c r="U136" s="8">
        <v>645844000</v>
      </c>
      <c r="V136" s="10">
        <v>118380000</v>
      </c>
      <c r="W136" s="10" t="s">
        <v>43</v>
      </c>
      <c r="X136" s="10" t="s">
        <v>43</v>
      </c>
      <c r="Y136" s="8">
        <v>195205000</v>
      </c>
      <c r="Z136" s="8">
        <v>7406914000</v>
      </c>
      <c r="AA136" s="10">
        <v>865036000</v>
      </c>
      <c r="AB136" s="10">
        <v>5923666000</v>
      </c>
      <c r="AC136" s="8">
        <v>29969000</v>
      </c>
      <c r="AD136" s="8" t="s">
        <v>43</v>
      </c>
      <c r="AE136" s="8">
        <v>6818671000</v>
      </c>
      <c r="AF136" s="8">
        <v>179477000</v>
      </c>
      <c r="AG136" s="8">
        <v>56059000</v>
      </c>
      <c r="AH136" s="8">
        <v>1250179000</v>
      </c>
      <c r="AI136" s="8" t="s">
        <v>43</v>
      </c>
      <c r="AJ136" s="9">
        <v>-1578000000</v>
      </c>
      <c r="AK136" s="8">
        <v>67000</v>
      </c>
      <c r="AL136" s="8">
        <v>145614000</v>
      </c>
      <c r="AM136" s="8"/>
      <c r="AN136" s="8"/>
      <c r="AO136" s="8"/>
      <c r="AP136" s="8"/>
    </row>
    <row r="137" spans="1:42" ht="17">
      <c r="A137" s="8" t="s">
        <v>50</v>
      </c>
      <c r="B137" s="8" t="s">
        <v>42</v>
      </c>
      <c r="C137" s="8">
        <v>11021100000</v>
      </c>
      <c r="D137" s="8">
        <v>1416300000</v>
      </c>
      <c r="E137" s="10">
        <v>400300000</v>
      </c>
      <c r="F137" s="8">
        <v>400300000</v>
      </c>
      <c r="G137" s="8">
        <v>507000</v>
      </c>
      <c r="H137" s="8">
        <v>928714000</v>
      </c>
      <c r="I137" s="8">
        <v>9604800000</v>
      </c>
      <c r="J137" s="8">
        <v>1728638000</v>
      </c>
      <c r="K137" s="10" t="s">
        <v>43</v>
      </c>
      <c r="L137" s="8">
        <v>4454275000</v>
      </c>
      <c r="M137" s="8">
        <v>4454275000</v>
      </c>
      <c r="N137" s="8">
        <v>3325622000</v>
      </c>
      <c r="O137" s="10" t="s">
        <v>43</v>
      </c>
      <c r="P137" s="10">
        <v>30641000</v>
      </c>
      <c r="Q137" s="8">
        <v>2944000</v>
      </c>
      <c r="R137" s="10">
        <v>86827000</v>
      </c>
      <c r="S137" s="8" t="s">
        <v>43</v>
      </c>
      <c r="T137" s="8">
        <v>8075700000</v>
      </c>
      <c r="U137" s="8">
        <v>658500000</v>
      </c>
      <c r="V137" s="10">
        <v>87374000</v>
      </c>
      <c r="W137" s="10" t="s">
        <v>43</v>
      </c>
      <c r="X137" s="10" t="s">
        <v>43</v>
      </c>
      <c r="Y137" s="8">
        <v>164424000</v>
      </c>
      <c r="Z137" s="8">
        <v>7417200000</v>
      </c>
      <c r="AA137" s="10">
        <v>873959000</v>
      </c>
      <c r="AB137" s="10">
        <v>5756504000</v>
      </c>
      <c r="AC137" s="8">
        <v>8912000</v>
      </c>
      <c r="AD137" s="8" t="s">
        <v>43</v>
      </c>
      <c r="AE137" s="8">
        <v>6639375000</v>
      </c>
      <c r="AF137" s="8">
        <v>228223000</v>
      </c>
      <c r="AG137" s="8">
        <v>20457000</v>
      </c>
      <c r="AH137" s="8">
        <v>2945400000</v>
      </c>
      <c r="AI137" s="8" t="s">
        <v>43</v>
      </c>
      <c r="AJ137" s="8">
        <v>112548000</v>
      </c>
      <c r="AK137" s="8">
        <v>65000</v>
      </c>
      <c r="AL137" s="8">
        <v>64681114</v>
      </c>
      <c r="AM137" s="8"/>
      <c r="AN137" s="8"/>
      <c r="AO137" s="8"/>
      <c r="AP137" s="8"/>
    </row>
    <row r="138" spans="1:42" ht="17">
      <c r="A138" s="8" t="s">
        <v>106</v>
      </c>
      <c r="B138" s="8" t="s">
        <v>42</v>
      </c>
      <c r="C138" s="8">
        <v>10934949000</v>
      </c>
      <c r="D138" s="8">
        <v>1271163000</v>
      </c>
      <c r="E138" s="10">
        <v>277050000</v>
      </c>
      <c r="F138" s="8">
        <v>277050000</v>
      </c>
      <c r="G138" s="8">
        <v>120981000</v>
      </c>
      <c r="H138" s="8">
        <v>843190000</v>
      </c>
      <c r="I138" s="8">
        <v>9663786000</v>
      </c>
      <c r="J138" s="8">
        <v>1720346000</v>
      </c>
      <c r="K138" s="10" t="s">
        <v>43</v>
      </c>
      <c r="L138" s="8">
        <v>4516156000</v>
      </c>
      <c r="M138" s="8">
        <v>4516156000</v>
      </c>
      <c r="N138" s="8">
        <v>3325546000</v>
      </c>
      <c r="O138" s="10" t="s">
        <v>43</v>
      </c>
      <c r="P138" s="10" t="s">
        <v>43</v>
      </c>
      <c r="Q138" s="8" t="s">
        <v>43</v>
      </c>
      <c r="R138" s="10">
        <v>150923000</v>
      </c>
      <c r="S138" s="8" t="s">
        <v>43</v>
      </c>
      <c r="T138" s="8">
        <v>8088032000</v>
      </c>
      <c r="U138" s="8">
        <v>636560000</v>
      </c>
      <c r="V138" s="10">
        <v>61353000</v>
      </c>
      <c r="W138" s="10" t="s">
        <v>43</v>
      </c>
      <c r="X138" s="10" t="s">
        <v>43</v>
      </c>
      <c r="Y138" s="8">
        <v>209163000</v>
      </c>
      <c r="Z138" s="8">
        <v>7451472000</v>
      </c>
      <c r="AA138" s="10">
        <v>872036000</v>
      </c>
      <c r="AB138" s="10">
        <v>5755305000</v>
      </c>
      <c r="AC138" s="8">
        <v>53705000</v>
      </c>
      <c r="AD138" s="8" t="s">
        <v>43</v>
      </c>
      <c r="AE138" s="8">
        <v>6681046000</v>
      </c>
      <c r="AF138" s="8">
        <v>227076000</v>
      </c>
      <c r="AG138" s="8">
        <v>58004000</v>
      </c>
      <c r="AH138" s="8">
        <v>2838545000</v>
      </c>
      <c r="AI138" s="8" t="s">
        <v>43</v>
      </c>
      <c r="AJ138" s="8">
        <v>51167000</v>
      </c>
      <c r="AK138" s="8">
        <v>65000</v>
      </c>
      <c r="AL138" s="8">
        <v>145840000</v>
      </c>
      <c r="AM138" s="8"/>
      <c r="AN138" s="8"/>
      <c r="AO138" s="8"/>
      <c r="AP138" s="8"/>
    </row>
    <row r="139" spans="1:42" ht="17">
      <c r="A139" s="8" t="s">
        <v>107</v>
      </c>
      <c r="B139" s="8" t="s">
        <v>42</v>
      </c>
      <c r="C139" s="8">
        <v>10997824000</v>
      </c>
      <c r="D139" s="8">
        <v>1113685000</v>
      </c>
      <c r="E139" s="10">
        <v>127159000</v>
      </c>
      <c r="F139" s="8">
        <v>127159000</v>
      </c>
      <c r="G139" s="8">
        <v>109101000</v>
      </c>
      <c r="H139" s="8">
        <v>843064000</v>
      </c>
      <c r="I139" s="8">
        <v>9884139000</v>
      </c>
      <c r="J139" s="8">
        <v>1734987000</v>
      </c>
      <c r="K139" s="10" t="s">
        <v>43</v>
      </c>
      <c r="L139" s="8">
        <v>4588104000</v>
      </c>
      <c r="M139" s="8">
        <v>4588104000</v>
      </c>
      <c r="N139" s="8">
        <v>3323207000</v>
      </c>
      <c r="O139" s="10" t="s">
        <v>43</v>
      </c>
      <c r="P139" s="10" t="s">
        <v>43</v>
      </c>
      <c r="Q139" s="8" t="s">
        <v>43</v>
      </c>
      <c r="R139" s="10">
        <v>143462000</v>
      </c>
      <c r="S139" s="8" t="s">
        <v>43</v>
      </c>
      <c r="T139" s="8">
        <v>8177776000</v>
      </c>
      <c r="U139" s="8">
        <v>725593000</v>
      </c>
      <c r="V139" s="10">
        <v>47885000</v>
      </c>
      <c r="W139" s="10" t="s">
        <v>43</v>
      </c>
      <c r="X139" s="10" t="s">
        <v>43</v>
      </c>
      <c r="Y139" s="8">
        <v>130456000</v>
      </c>
      <c r="Z139" s="8">
        <v>7452183000</v>
      </c>
      <c r="AA139" s="10">
        <v>882916000</v>
      </c>
      <c r="AB139" s="10">
        <v>5757097000</v>
      </c>
      <c r="AC139" s="8">
        <v>53406000</v>
      </c>
      <c r="AD139" s="8" t="s">
        <v>43</v>
      </c>
      <c r="AE139" s="8">
        <v>6693419000</v>
      </c>
      <c r="AF139" s="8">
        <v>407871000</v>
      </c>
      <c r="AG139" s="8">
        <v>55396000</v>
      </c>
      <c r="AH139" s="8">
        <v>2811676000</v>
      </c>
      <c r="AI139" s="8" t="s">
        <v>43</v>
      </c>
      <c r="AJ139" s="8">
        <v>38793000</v>
      </c>
      <c r="AK139" s="8">
        <v>64000</v>
      </c>
      <c r="AL139" s="8">
        <v>145720000</v>
      </c>
      <c r="AM139" s="8"/>
      <c r="AN139" s="8"/>
      <c r="AO139" s="8"/>
      <c r="AP139" s="8"/>
    </row>
    <row r="140" spans="1:42" ht="17">
      <c r="A140" s="8" t="s">
        <v>108</v>
      </c>
      <c r="B140" s="8" t="s">
        <v>42</v>
      </c>
      <c r="C140" s="8">
        <v>14285970000</v>
      </c>
      <c r="D140" s="8">
        <v>2090052000</v>
      </c>
      <c r="E140" s="10">
        <v>448130000</v>
      </c>
      <c r="F140" s="8">
        <v>448130000</v>
      </c>
      <c r="G140" s="8">
        <v>179823000</v>
      </c>
      <c r="H140" s="8">
        <v>1387122000</v>
      </c>
      <c r="I140" s="9">
        <v>12196000000</v>
      </c>
      <c r="J140" s="8">
        <v>4100513000</v>
      </c>
      <c r="K140" s="10" t="s">
        <v>43</v>
      </c>
      <c r="L140" s="8">
        <v>3737560000</v>
      </c>
      <c r="M140" s="8">
        <v>3737560000</v>
      </c>
      <c r="N140" s="8">
        <v>4118312000</v>
      </c>
      <c r="O140" s="10" t="s">
        <v>43</v>
      </c>
      <c r="P140" s="10" t="s">
        <v>43</v>
      </c>
      <c r="Q140" s="8" t="s">
        <v>43</v>
      </c>
      <c r="R140" s="10">
        <v>254800000</v>
      </c>
      <c r="S140" s="8" t="s">
        <v>43</v>
      </c>
      <c r="T140" s="9">
        <v>25852000000</v>
      </c>
      <c r="U140" s="8">
        <v>1439572000</v>
      </c>
      <c r="V140" s="10">
        <v>146853000</v>
      </c>
      <c r="W140" s="10" t="s">
        <v>43</v>
      </c>
      <c r="X140" s="10" t="s">
        <v>43</v>
      </c>
      <c r="Y140" s="8">
        <v>780548000</v>
      </c>
      <c r="Z140" s="9">
        <v>24413000000</v>
      </c>
      <c r="AA140" s="10">
        <v>2036349000</v>
      </c>
      <c r="AB140" s="10">
        <v>5293405000</v>
      </c>
      <c r="AC140" s="8">
        <v>46744000</v>
      </c>
      <c r="AD140" s="8" t="s">
        <v>43</v>
      </c>
      <c r="AE140" s="8">
        <v>7376498000</v>
      </c>
      <c r="AF140" s="8">
        <v>277499000</v>
      </c>
      <c r="AG140" s="9">
        <v>17126000000</v>
      </c>
      <c r="AH140" s="9">
        <v>-11580000000</v>
      </c>
      <c r="AI140" s="8" t="s">
        <v>43</v>
      </c>
      <c r="AJ140" s="9">
        <v>-13330000000</v>
      </c>
      <c r="AK140" s="8">
        <v>92000</v>
      </c>
      <c r="AL140" s="8">
        <v>85649000</v>
      </c>
      <c r="AM140" s="8"/>
      <c r="AN140" s="8"/>
      <c r="AO140" s="8"/>
      <c r="AP140" s="8"/>
    </row>
    <row r="141" spans="1:42" ht="17">
      <c r="A141" s="8" t="s">
        <v>51</v>
      </c>
      <c r="B141" s="8" t="s">
        <v>42</v>
      </c>
      <c r="C141" s="8">
        <v>12269515000</v>
      </c>
      <c r="D141" s="8">
        <v>2235017000</v>
      </c>
      <c r="E141" s="10">
        <v>406493000</v>
      </c>
      <c r="F141" s="8">
        <v>406493000</v>
      </c>
      <c r="G141" s="8">
        <v>18416000</v>
      </c>
      <c r="H141" s="8">
        <v>1575170000</v>
      </c>
      <c r="I141" s="9">
        <v>10034000000</v>
      </c>
      <c r="J141" s="8">
        <v>1791140000</v>
      </c>
      <c r="K141" s="10" t="s">
        <v>43</v>
      </c>
      <c r="L141" s="8">
        <v>3842362000</v>
      </c>
      <c r="M141" s="8">
        <v>3842362000</v>
      </c>
      <c r="N141" s="8">
        <v>4118756000</v>
      </c>
      <c r="O141" s="10" t="s">
        <v>43</v>
      </c>
      <c r="P141" s="10">
        <v>72805000</v>
      </c>
      <c r="Q141" s="8">
        <v>5243000</v>
      </c>
      <c r="R141" s="10">
        <v>131555000</v>
      </c>
      <c r="S141" s="8" t="s">
        <v>43</v>
      </c>
      <c r="T141" s="9">
        <v>23830000000</v>
      </c>
      <c r="U141" s="8">
        <v>1247649000</v>
      </c>
      <c r="V141" s="10">
        <v>49435000</v>
      </c>
      <c r="W141" s="10" t="s">
        <v>43</v>
      </c>
      <c r="X141" s="10" t="s">
        <v>43</v>
      </c>
      <c r="Y141" s="8">
        <v>-137804000</v>
      </c>
      <c r="Z141" s="9">
        <v>22582000000</v>
      </c>
      <c r="AA141" s="10" t="s">
        <v>43</v>
      </c>
      <c r="AB141" s="11">
        <v>20427000000</v>
      </c>
      <c r="AC141" s="8">
        <v>46332000</v>
      </c>
      <c r="AD141" s="8" t="s">
        <v>43</v>
      </c>
      <c r="AE141" s="8">
        <v>5323440000</v>
      </c>
      <c r="AF141" s="8">
        <v>943687000</v>
      </c>
      <c r="AG141" s="8" t="s">
        <v>43</v>
      </c>
      <c r="AH141" s="9">
        <v>-11590000000</v>
      </c>
      <c r="AI141" s="8" t="s">
        <v>43</v>
      </c>
      <c r="AJ141" s="9">
        <v>-13350000000</v>
      </c>
      <c r="AK141" s="8">
        <v>92000</v>
      </c>
      <c r="AL141" s="8">
        <v>90957934</v>
      </c>
      <c r="AM141" s="8"/>
      <c r="AN141" s="8"/>
      <c r="AO141" s="8"/>
      <c r="AP141" s="8"/>
    </row>
    <row r="142" spans="1:42" ht="17">
      <c r="A142" s="8" t="s">
        <v>109</v>
      </c>
      <c r="B142" s="8" t="s">
        <v>42</v>
      </c>
      <c r="C142" s="8">
        <v>11959312000</v>
      </c>
      <c r="D142" s="8">
        <v>2078792000</v>
      </c>
      <c r="E142" s="10">
        <v>311162000</v>
      </c>
      <c r="F142" s="8">
        <v>311162000</v>
      </c>
      <c r="G142" s="8">
        <v>240980000</v>
      </c>
      <c r="H142" s="8">
        <v>1466924000</v>
      </c>
      <c r="I142" s="8">
        <v>9880520000</v>
      </c>
      <c r="J142" s="8">
        <v>1719091000</v>
      </c>
      <c r="K142" s="10" t="s">
        <v>43</v>
      </c>
      <c r="L142" s="8">
        <v>3821490000</v>
      </c>
      <c r="M142" s="8">
        <v>3821490000</v>
      </c>
      <c r="N142" s="8">
        <v>4043941000</v>
      </c>
      <c r="O142" s="10" t="s">
        <v>43</v>
      </c>
      <c r="P142" s="10" t="s">
        <v>43</v>
      </c>
      <c r="Q142" s="8" t="s">
        <v>43</v>
      </c>
      <c r="R142" s="10">
        <v>300706000</v>
      </c>
      <c r="S142" s="8" t="s">
        <v>43</v>
      </c>
      <c r="T142" s="9">
        <v>23753000000</v>
      </c>
      <c r="U142" s="8">
        <v>1144213000</v>
      </c>
      <c r="V142" s="10">
        <v>149236000</v>
      </c>
      <c r="W142" s="10" t="s">
        <v>43</v>
      </c>
      <c r="X142" s="10" t="s">
        <v>43</v>
      </c>
      <c r="Y142" s="8">
        <v>-775629000</v>
      </c>
      <c r="Z142" s="9">
        <v>22608000000</v>
      </c>
      <c r="AA142" s="10" t="s">
        <v>43</v>
      </c>
      <c r="AB142" s="11">
        <v>20423000000</v>
      </c>
      <c r="AC142" s="8">
        <v>347000</v>
      </c>
      <c r="AD142" s="8" t="s">
        <v>43</v>
      </c>
      <c r="AE142" s="8">
        <v>5274837000</v>
      </c>
      <c r="AF142" s="8">
        <v>775976000</v>
      </c>
      <c r="AG142" s="8" t="s">
        <v>43</v>
      </c>
      <c r="AH142" s="9">
        <v>-11810000000</v>
      </c>
      <c r="AI142" s="8" t="s">
        <v>43</v>
      </c>
      <c r="AJ142" s="9">
        <v>-13560000000</v>
      </c>
      <c r="AK142" s="8">
        <v>92000</v>
      </c>
      <c r="AL142" s="8">
        <v>85622000</v>
      </c>
      <c r="AM142" s="8"/>
      <c r="AN142" s="8"/>
      <c r="AO142" s="8"/>
      <c r="AP142" s="8"/>
    </row>
    <row r="143" spans="1:42" ht="17">
      <c r="A143" s="8" t="s">
        <v>110</v>
      </c>
      <c r="B143" s="8" t="s">
        <v>42</v>
      </c>
      <c r="C143" s="8">
        <v>11986246000</v>
      </c>
      <c r="D143" s="8">
        <v>2023373000</v>
      </c>
      <c r="E143" s="10">
        <v>261763000</v>
      </c>
      <c r="F143" s="8">
        <v>261763000</v>
      </c>
      <c r="G143" s="8">
        <v>245444000</v>
      </c>
      <c r="H143" s="8">
        <v>1419039000</v>
      </c>
      <c r="I143" s="8">
        <v>9962873000</v>
      </c>
      <c r="J143" s="8">
        <v>1755279000</v>
      </c>
      <c r="K143" s="10" t="s">
        <v>43</v>
      </c>
      <c r="L143" s="8">
        <v>3885491000</v>
      </c>
      <c r="M143" s="8">
        <v>3885491000</v>
      </c>
      <c r="N143" s="8">
        <v>4043910000</v>
      </c>
      <c r="O143" s="10" t="s">
        <v>43</v>
      </c>
      <c r="P143" s="10" t="s">
        <v>43</v>
      </c>
      <c r="Q143" s="8" t="s">
        <v>43</v>
      </c>
      <c r="R143" s="10">
        <v>342571000</v>
      </c>
      <c r="S143" s="8" t="s">
        <v>43</v>
      </c>
      <c r="T143" s="9">
        <v>23849000000</v>
      </c>
      <c r="U143" s="8">
        <v>1243446000</v>
      </c>
      <c r="V143" s="10">
        <v>149978000</v>
      </c>
      <c r="W143" s="10" t="s">
        <v>43</v>
      </c>
      <c r="X143" s="10" t="s">
        <v>43</v>
      </c>
      <c r="Y143" s="8">
        <v>-605792000</v>
      </c>
      <c r="Z143" s="9">
        <v>22605000000</v>
      </c>
      <c r="AA143" s="10" t="s">
        <v>43</v>
      </c>
      <c r="AB143" s="11">
        <v>20421000000</v>
      </c>
      <c r="AC143" s="8">
        <v>125429000</v>
      </c>
      <c r="AD143" s="8" t="s">
        <v>43</v>
      </c>
      <c r="AE143" s="8">
        <v>5397528000</v>
      </c>
      <c r="AF143" s="8">
        <v>731221000</v>
      </c>
      <c r="AG143" s="8" t="s">
        <v>43</v>
      </c>
      <c r="AH143" s="9">
        <v>-11880000000</v>
      </c>
      <c r="AI143" s="8" t="s">
        <v>43</v>
      </c>
      <c r="AJ143" s="9">
        <v>-13630000000</v>
      </c>
      <c r="AK143" s="8">
        <v>92000</v>
      </c>
      <c r="AL143" s="8">
        <v>85280000</v>
      </c>
      <c r="AM143" s="8"/>
      <c r="AN143" s="8"/>
      <c r="AO143" s="8"/>
      <c r="AP143" s="8"/>
    </row>
    <row r="144" spans="1:42" ht="17">
      <c r="A144" s="8" t="s">
        <v>111</v>
      </c>
      <c r="B144" s="8" t="s">
        <v>42</v>
      </c>
      <c r="C144" s="8">
        <v>12192993000</v>
      </c>
      <c r="D144" s="8">
        <v>2082205000</v>
      </c>
      <c r="E144" s="10">
        <v>297407000</v>
      </c>
      <c r="F144" s="8">
        <v>297407000</v>
      </c>
      <c r="G144" s="8">
        <v>269148000</v>
      </c>
      <c r="H144" s="8">
        <v>1367012000</v>
      </c>
      <c r="I144" s="9">
        <v>10111000000</v>
      </c>
      <c r="J144" s="8" t="s">
        <v>43</v>
      </c>
      <c r="K144" s="10" t="s">
        <v>43</v>
      </c>
      <c r="L144" s="8">
        <v>3932096000</v>
      </c>
      <c r="M144" s="8">
        <v>3932096000</v>
      </c>
      <c r="N144" s="8">
        <v>4054100000</v>
      </c>
      <c r="O144" s="10" t="s">
        <v>43</v>
      </c>
      <c r="P144" s="10" t="s">
        <v>43</v>
      </c>
      <c r="Q144" s="8">
        <v>7516000</v>
      </c>
      <c r="R144" s="10">
        <v>417786000</v>
      </c>
      <c r="S144" s="8" t="s">
        <v>43</v>
      </c>
      <c r="T144" s="9">
        <v>23946000000</v>
      </c>
      <c r="U144" s="8">
        <v>982285000</v>
      </c>
      <c r="V144" s="10">
        <v>135947000</v>
      </c>
      <c r="W144" s="10" t="s">
        <v>43</v>
      </c>
      <c r="X144" s="10" t="s">
        <v>43</v>
      </c>
      <c r="Y144" s="8">
        <v>-595606000</v>
      </c>
      <c r="Z144" s="9">
        <v>22963000000</v>
      </c>
      <c r="AA144" s="10" t="s">
        <v>43</v>
      </c>
      <c r="AB144" s="10" t="s">
        <v>43</v>
      </c>
      <c r="AC144" s="8" t="s">
        <v>43</v>
      </c>
      <c r="AD144" s="8" t="s">
        <v>43</v>
      </c>
      <c r="AE144" s="8">
        <v>5637490000</v>
      </c>
      <c r="AF144" s="8">
        <v>596426000</v>
      </c>
      <c r="AG144" s="8" t="s">
        <v>43</v>
      </c>
      <c r="AH144" s="9">
        <v>-11780000000</v>
      </c>
      <c r="AI144" s="8" t="s">
        <v>43</v>
      </c>
      <c r="AJ144" s="9">
        <v>-13540000000</v>
      </c>
      <c r="AK144" s="8">
        <v>92000</v>
      </c>
      <c r="AL144" s="8">
        <v>85215000</v>
      </c>
      <c r="AM144" s="8"/>
      <c r="AN144" s="8"/>
      <c r="AO144" s="8"/>
      <c r="AP144" s="8"/>
    </row>
    <row r="145" spans="1:42" ht="17">
      <c r="A145" s="8" t="s">
        <v>52</v>
      </c>
      <c r="B145" s="8" t="s">
        <v>42</v>
      </c>
      <c r="C145" s="8">
        <v>12260431000</v>
      </c>
      <c r="D145" s="8">
        <v>2067347000</v>
      </c>
      <c r="E145" s="10">
        <v>267109000</v>
      </c>
      <c r="F145" s="8">
        <v>267109000</v>
      </c>
      <c r="G145" s="8">
        <v>22470000</v>
      </c>
      <c r="H145" s="8">
        <v>1508370000</v>
      </c>
      <c r="I145" s="8" t="s">
        <v>43</v>
      </c>
      <c r="J145" s="8" t="s">
        <v>43</v>
      </c>
      <c r="K145" s="10" t="s">
        <v>43</v>
      </c>
      <c r="L145" s="8">
        <v>3979021000</v>
      </c>
      <c r="M145" s="8">
        <v>3979021000</v>
      </c>
      <c r="N145" s="8">
        <v>4051082000</v>
      </c>
      <c r="O145" s="10" t="s">
        <v>43</v>
      </c>
      <c r="P145" s="10" t="s">
        <v>43</v>
      </c>
      <c r="Q145" s="8" t="s">
        <v>43</v>
      </c>
      <c r="R145" s="10" t="s">
        <v>43</v>
      </c>
      <c r="S145" s="8" t="s">
        <v>43</v>
      </c>
      <c r="T145" s="9">
        <v>23588000000</v>
      </c>
      <c r="U145" s="9">
        <v>16355000000</v>
      </c>
      <c r="V145" s="10" t="s">
        <v>43</v>
      </c>
      <c r="W145" s="10" t="s">
        <v>43</v>
      </c>
      <c r="X145" s="10" t="s">
        <v>43</v>
      </c>
      <c r="Y145" s="9">
        <v>14972000000</v>
      </c>
      <c r="Z145" s="8" t="s">
        <v>43</v>
      </c>
      <c r="AA145" s="10" t="s">
        <v>43</v>
      </c>
      <c r="AB145" s="10" t="s">
        <v>43</v>
      </c>
      <c r="AC145" s="8" t="s">
        <v>43</v>
      </c>
      <c r="AD145" s="8" t="s">
        <v>43</v>
      </c>
      <c r="AE145" s="9">
        <v>20649000000</v>
      </c>
      <c r="AF145" s="8" t="s">
        <v>43</v>
      </c>
      <c r="AG145" s="8" t="s">
        <v>43</v>
      </c>
      <c r="AH145" s="8" t="s">
        <v>43</v>
      </c>
      <c r="AI145" s="8" t="s">
        <v>43</v>
      </c>
      <c r="AJ145" s="9">
        <v>-13130000000</v>
      </c>
      <c r="AK145" s="8" t="s">
        <v>43</v>
      </c>
      <c r="AL145" s="8">
        <v>85215000</v>
      </c>
      <c r="AM145" s="8"/>
      <c r="AN145" s="8"/>
      <c r="AO145" s="8"/>
      <c r="AP145" s="8"/>
    </row>
    <row r="146" spans="1:42" ht="17">
      <c r="A146" s="8" t="s">
        <v>112</v>
      </c>
      <c r="B146" s="8" t="s">
        <v>42</v>
      </c>
      <c r="C146" s="8">
        <v>12257260000</v>
      </c>
      <c r="D146" s="8">
        <v>2027474000</v>
      </c>
      <c r="E146" s="10">
        <v>286370000</v>
      </c>
      <c r="F146" s="8">
        <v>286370000</v>
      </c>
      <c r="G146" s="8">
        <v>230209000</v>
      </c>
      <c r="H146" s="8">
        <v>1433019000</v>
      </c>
      <c r="I146" s="9">
        <v>10230000000</v>
      </c>
      <c r="J146" s="8">
        <v>1888063000</v>
      </c>
      <c r="K146" s="10" t="s">
        <v>43</v>
      </c>
      <c r="L146" s="8">
        <v>3981623000</v>
      </c>
      <c r="M146" s="8">
        <v>3981623000</v>
      </c>
      <c r="N146" s="8">
        <v>4083589000</v>
      </c>
      <c r="O146" s="10" t="s">
        <v>43</v>
      </c>
      <c r="P146" s="10" t="s">
        <v>43</v>
      </c>
      <c r="Q146" s="8" t="s">
        <v>43</v>
      </c>
      <c r="R146" s="10">
        <v>308085000</v>
      </c>
      <c r="S146" s="8" t="s">
        <v>43</v>
      </c>
      <c r="T146" s="9">
        <v>23935000000</v>
      </c>
      <c r="U146" s="8">
        <v>1859621000</v>
      </c>
      <c r="V146" s="10">
        <v>157217000</v>
      </c>
      <c r="W146" s="10" t="s">
        <v>43</v>
      </c>
      <c r="X146" s="10" t="s">
        <v>43</v>
      </c>
      <c r="Y146" s="8">
        <v>-248988000</v>
      </c>
      <c r="Z146" s="9">
        <v>22075000000</v>
      </c>
      <c r="AA146" s="10" t="s">
        <v>43</v>
      </c>
      <c r="AB146" s="11">
        <v>19996000000</v>
      </c>
      <c r="AC146" s="8">
        <v>619003000</v>
      </c>
      <c r="AD146" s="8" t="s">
        <v>43</v>
      </c>
      <c r="AE146" s="9">
        <v>20615000000</v>
      </c>
      <c r="AF146" s="8">
        <v>867991000</v>
      </c>
      <c r="AG146" s="8" t="s">
        <v>43</v>
      </c>
      <c r="AH146" s="9">
        <v>-11790000000</v>
      </c>
      <c r="AI146" s="8" t="s">
        <v>43</v>
      </c>
      <c r="AJ146" s="9">
        <v>-13540000000</v>
      </c>
      <c r="AK146" s="8">
        <v>92000</v>
      </c>
      <c r="AL146" s="8">
        <v>85072000</v>
      </c>
      <c r="AM146" s="8"/>
      <c r="AN146" s="8"/>
      <c r="AO146" s="8"/>
      <c r="AP146" s="8"/>
    </row>
    <row r="147" spans="1:42" ht="17">
      <c r="A147" s="8" t="s">
        <v>113</v>
      </c>
      <c r="B147" s="8" t="s">
        <v>42</v>
      </c>
      <c r="C147" s="8">
        <v>12301453000</v>
      </c>
      <c r="D147" s="8">
        <v>1973593000</v>
      </c>
      <c r="E147" s="10">
        <v>260465000</v>
      </c>
      <c r="F147" s="8">
        <v>260465000</v>
      </c>
      <c r="G147" s="8">
        <v>231691000</v>
      </c>
      <c r="H147" s="8">
        <v>1423580000</v>
      </c>
      <c r="I147" s="9">
        <v>10328000000</v>
      </c>
      <c r="J147" s="8">
        <v>1926659000</v>
      </c>
      <c r="K147" s="10" t="s">
        <v>43</v>
      </c>
      <c r="L147" s="8">
        <v>4048722000</v>
      </c>
      <c r="M147" s="8">
        <v>4048722000</v>
      </c>
      <c r="N147" s="8">
        <v>4080926000</v>
      </c>
      <c r="O147" s="10" t="s">
        <v>43</v>
      </c>
      <c r="P147" s="10" t="s">
        <v>43</v>
      </c>
      <c r="Q147" s="8" t="s">
        <v>43</v>
      </c>
      <c r="R147" s="10">
        <v>289548000</v>
      </c>
      <c r="S147" s="8" t="s">
        <v>43</v>
      </c>
      <c r="T147" s="9">
        <v>23744000000</v>
      </c>
      <c r="U147" s="8">
        <v>1876367000</v>
      </c>
      <c r="V147" s="10">
        <v>115380000</v>
      </c>
      <c r="W147" s="10" t="s">
        <v>43</v>
      </c>
      <c r="X147" s="10" t="s">
        <v>43</v>
      </c>
      <c r="Y147" s="8">
        <v>-356875000</v>
      </c>
      <c r="Z147" s="9">
        <v>21867000000</v>
      </c>
      <c r="AA147" s="10" t="s">
        <v>43</v>
      </c>
      <c r="AB147" s="11">
        <v>19795000000</v>
      </c>
      <c r="AC147" s="8">
        <v>585453000</v>
      </c>
      <c r="AD147" s="8" t="s">
        <v>43</v>
      </c>
      <c r="AE147" s="9">
        <v>20381000000</v>
      </c>
      <c r="AF147" s="8">
        <v>942328000</v>
      </c>
      <c r="AG147" s="8" t="s">
        <v>43</v>
      </c>
      <c r="AH147" s="9">
        <v>-11560000000</v>
      </c>
      <c r="AI147" s="8" t="s">
        <v>43</v>
      </c>
      <c r="AJ147" s="9">
        <v>-13300000000</v>
      </c>
      <c r="AK147" s="8">
        <v>91000</v>
      </c>
      <c r="AL147" s="8">
        <v>84869000</v>
      </c>
      <c r="AM147" s="8"/>
      <c r="AN147" s="8"/>
      <c r="AO147" s="8"/>
      <c r="AP147" s="8"/>
    </row>
    <row r="148" spans="1:42" ht="17">
      <c r="A148" s="8" t="s">
        <v>114</v>
      </c>
      <c r="B148" s="8" t="s">
        <v>42</v>
      </c>
      <c r="C148" s="8">
        <v>12273741000</v>
      </c>
      <c r="D148" s="8">
        <v>1942534000</v>
      </c>
      <c r="E148" s="10">
        <v>365042000</v>
      </c>
      <c r="F148" s="8">
        <v>365042000</v>
      </c>
      <c r="G148" s="8">
        <v>264592000</v>
      </c>
      <c r="H148" s="8">
        <v>1244649000</v>
      </c>
      <c r="I148" s="9">
        <v>10331000000</v>
      </c>
      <c r="J148" s="8">
        <v>1922631000</v>
      </c>
      <c r="K148" s="10" t="s">
        <v>43</v>
      </c>
      <c r="L148" s="8">
        <v>4096280000</v>
      </c>
      <c r="M148" s="8">
        <v>4096280000</v>
      </c>
      <c r="N148" s="8">
        <v>4070142000</v>
      </c>
      <c r="O148" s="10" t="s">
        <v>43</v>
      </c>
      <c r="P148" s="10" t="s">
        <v>43</v>
      </c>
      <c r="Q148" s="8" t="s">
        <v>43</v>
      </c>
      <c r="R148" s="10">
        <v>332843000</v>
      </c>
      <c r="S148" s="8" t="s">
        <v>43</v>
      </c>
      <c r="T148" s="9">
        <v>23565000000</v>
      </c>
      <c r="U148" s="8">
        <v>1570005000</v>
      </c>
      <c r="V148" s="10">
        <v>111148000</v>
      </c>
      <c r="W148" s="10" t="s">
        <v>43</v>
      </c>
      <c r="X148" s="10" t="s">
        <v>43</v>
      </c>
      <c r="Y148" s="8">
        <v>-348353000</v>
      </c>
      <c r="Z148" s="9">
        <v>21995000000</v>
      </c>
      <c r="AA148" s="10" t="s">
        <v>43</v>
      </c>
      <c r="AB148" s="11">
        <v>19935000000</v>
      </c>
      <c r="AC148" s="8">
        <v>435876000</v>
      </c>
      <c r="AD148" s="8" t="s">
        <v>43</v>
      </c>
      <c r="AE148" s="9">
        <v>20370000000</v>
      </c>
      <c r="AF148" s="8">
        <v>784229000</v>
      </c>
      <c r="AG148" s="8" t="s">
        <v>43</v>
      </c>
      <c r="AH148" s="9">
        <v>-11400000000</v>
      </c>
      <c r="AI148" s="8" t="s">
        <v>43</v>
      </c>
      <c r="AJ148" s="9">
        <v>-13120000000</v>
      </c>
      <c r="AK148" s="8">
        <v>91000</v>
      </c>
      <c r="AL148" s="8">
        <v>84754000</v>
      </c>
      <c r="AM148" s="8"/>
      <c r="AN148" s="8"/>
      <c r="AO148" s="8"/>
      <c r="AP148" s="8"/>
    </row>
    <row r="149" spans="1:42" ht="17">
      <c r="A149" s="8" t="s">
        <v>54</v>
      </c>
      <c r="B149" s="8" t="s">
        <v>42</v>
      </c>
      <c r="C149" s="8">
        <v>12862247000</v>
      </c>
      <c r="D149" s="8">
        <v>2504687000</v>
      </c>
      <c r="E149" s="10">
        <v>845030000</v>
      </c>
      <c r="F149" s="8">
        <v>845030000</v>
      </c>
      <c r="G149" s="8">
        <v>22068000</v>
      </c>
      <c r="H149" s="8">
        <v>1364404000</v>
      </c>
      <c r="I149" s="9">
        <v>10358000000</v>
      </c>
      <c r="J149" s="8">
        <v>1948162000</v>
      </c>
      <c r="K149" s="10" t="s">
        <v>43</v>
      </c>
      <c r="L149" s="8">
        <v>4115373000</v>
      </c>
      <c r="M149" s="8">
        <v>4115373000</v>
      </c>
      <c r="N149" s="8">
        <v>4066575000</v>
      </c>
      <c r="O149" s="10" t="s">
        <v>43</v>
      </c>
      <c r="P149" s="10" t="s">
        <v>43</v>
      </c>
      <c r="Q149" s="8">
        <v>2717000</v>
      </c>
      <c r="R149" s="10">
        <v>270468000</v>
      </c>
      <c r="S149" s="8" t="s">
        <v>43</v>
      </c>
      <c r="T149" s="9">
        <v>23748000000</v>
      </c>
      <c r="U149" s="8">
        <v>1696570000</v>
      </c>
      <c r="V149" s="10">
        <v>142600000</v>
      </c>
      <c r="W149" s="10" t="s">
        <v>43</v>
      </c>
      <c r="X149" s="10" t="s">
        <v>43</v>
      </c>
      <c r="Y149" s="8">
        <v>-641459000</v>
      </c>
      <c r="Z149" s="9">
        <v>22051000000</v>
      </c>
      <c r="AA149" s="10" t="s">
        <v>43</v>
      </c>
      <c r="AB149" s="11">
        <v>20022000000</v>
      </c>
      <c r="AC149" s="8">
        <v>342908000</v>
      </c>
      <c r="AD149" s="8" t="s">
        <v>43</v>
      </c>
      <c r="AE149" s="9">
        <v>20365000000</v>
      </c>
      <c r="AF149" s="8">
        <v>1010959000</v>
      </c>
      <c r="AG149" s="8" t="s">
        <v>43</v>
      </c>
      <c r="AH149" s="9">
        <v>-11020000000</v>
      </c>
      <c r="AI149" s="8" t="s">
        <v>43</v>
      </c>
      <c r="AJ149" s="9">
        <v>-12730000000</v>
      </c>
      <c r="AK149" s="8">
        <v>91000</v>
      </c>
      <c r="AL149" s="8">
        <v>84754000</v>
      </c>
      <c r="AM149" s="8"/>
      <c r="AN149" s="8"/>
      <c r="AO149" s="8"/>
      <c r="AP149" s="8"/>
    </row>
    <row r="150" spans="1:42" ht="17">
      <c r="A150" s="8" t="s">
        <v>115</v>
      </c>
      <c r="B150" s="8" t="s">
        <v>42</v>
      </c>
      <c r="C150" s="8">
        <v>12824272000</v>
      </c>
      <c r="D150" s="8">
        <v>2276523000</v>
      </c>
      <c r="E150" s="10">
        <v>542910000</v>
      </c>
      <c r="F150" s="8">
        <v>542910000</v>
      </c>
      <c r="G150" s="8">
        <v>260934000</v>
      </c>
      <c r="H150" s="8">
        <v>1392997000</v>
      </c>
      <c r="I150" s="9">
        <v>10548000000</v>
      </c>
      <c r="J150" s="8" t="s">
        <v>43</v>
      </c>
      <c r="K150" s="10" t="s">
        <v>43</v>
      </c>
      <c r="L150" s="8">
        <v>4173977000</v>
      </c>
      <c r="M150" s="8">
        <v>4173977000</v>
      </c>
      <c r="N150" s="8">
        <v>4108950000</v>
      </c>
      <c r="O150" s="10" t="s">
        <v>43</v>
      </c>
      <c r="P150" s="10" t="s">
        <v>43</v>
      </c>
      <c r="Q150" s="8" t="s">
        <v>43</v>
      </c>
      <c r="R150" s="10">
        <v>340616000</v>
      </c>
      <c r="S150" s="8" t="s">
        <v>43</v>
      </c>
      <c r="T150" s="9">
        <v>23787000000</v>
      </c>
      <c r="U150" s="8">
        <v>1438279000</v>
      </c>
      <c r="V150" s="10">
        <v>111066000</v>
      </c>
      <c r="W150" s="10" t="s">
        <v>43</v>
      </c>
      <c r="X150" s="10" t="s">
        <v>43</v>
      </c>
      <c r="Y150" s="8">
        <v>-679268000</v>
      </c>
      <c r="Z150" s="9">
        <v>22349000000</v>
      </c>
      <c r="AA150" s="10" t="s">
        <v>43</v>
      </c>
      <c r="AB150" s="10" t="s">
        <v>43</v>
      </c>
      <c r="AC150" s="8" t="s">
        <v>43</v>
      </c>
      <c r="AD150" s="8" t="s">
        <v>43</v>
      </c>
      <c r="AE150" s="9">
        <v>20454000000</v>
      </c>
      <c r="AF150" s="8">
        <v>883859000</v>
      </c>
      <c r="AG150" s="8" t="s">
        <v>43</v>
      </c>
      <c r="AH150" s="9">
        <v>-11120000000</v>
      </c>
      <c r="AI150" s="8" t="s">
        <v>43</v>
      </c>
      <c r="AJ150" s="9">
        <v>-12840000000</v>
      </c>
      <c r="AK150" s="8">
        <v>91000</v>
      </c>
      <c r="AL150" s="8">
        <v>84650000</v>
      </c>
      <c r="AM150" s="8"/>
      <c r="AN150" s="8"/>
      <c r="AO150" s="8"/>
      <c r="AP150" s="8"/>
    </row>
    <row r="151" spans="1:42" ht="17">
      <c r="A151" s="8" t="s">
        <v>116</v>
      </c>
      <c r="B151" s="8" t="s">
        <v>42</v>
      </c>
      <c r="C151" s="8">
        <v>13341367000</v>
      </c>
      <c r="D151" s="8">
        <v>2702811000</v>
      </c>
      <c r="E151" s="10">
        <v>951853000</v>
      </c>
      <c r="F151" s="8">
        <v>951853000</v>
      </c>
      <c r="G151" s="8">
        <v>270055000</v>
      </c>
      <c r="H151" s="8">
        <v>1400603000</v>
      </c>
      <c r="I151" s="9">
        <v>10639000000</v>
      </c>
      <c r="J151" s="8" t="s">
        <v>43</v>
      </c>
      <c r="K151" s="10" t="s">
        <v>43</v>
      </c>
      <c r="L151" s="8">
        <v>4230559000</v>
      </c>
      <c r="M151" s="8">
        <v>4230559000</v>
      </c>
      <c r="N151" s="8">
        <v>4114333000</v>
      </c>
      <c r="O151" s="10" t="s">
        <v>43</v>
      </c>
      <c r="P151" s="10" t="s">
        <v>43</v>
      </c>
      <c r="Q151" s="8" t="s">
        <v>43</v>
      </c>
      <c r="R151" s="10">
        <v>350355000</v>
      </c>
      <c r="S151" s="8" t="s">
        <v>43</v>
      </c>
      <c r="T151" s="9">
        <v>24272000000</v>
      </c>
      <c r="U151" s="8">
        <v>1970514000</v>
      </c>
      <c r="V151" s="10">
        <v>124931000</v>
      </c>
      <c r="W151" s="10" t="s">
        <v>43</v>
      </c>
      <c r="X151" s="10" t="s">
        <v>43</v>
      </c>
      <c r="Y151" s="8">
        <v>574995000</v>
      </c>
      <c r="Z151" s="9">
        <v>22301000000</v>
      </c>
      <c r="AA151" s="10" t="s">
        <v>43</v>
      </c>
      <c r="AB151" s="10" t="s">
        <v>43</v>
      </c>
      <c r="AC151" s="8" t="s">
        <v>43</v>
      </c>
      <c r="AD151" s="8" t="s">
        <v>43</v>
      </c>
      <c r="AE151" s="9">
        <v>20785000000</v>
      </c>
      <c r="AF151" s="8">
        <v>1015676000</v>
      </c>
      <c r="AG151" s="8" t="s">
        <v>43</v>
      </c>
      <c r="AH151" s="9">
        <v>-11090000000</v>
      </c>
      <c r="AI151" s="8" t="s">
        <v>43</v>
      </c>
      <c r="AJ151" s="9">
        <v>-12800000000</v>
      </c>
      <c r="AK151" s="8">
        <v>91000</v>
      </c>
      <c r="AL151" s="8">
        <v>84469000</v>
      </c>
      <c r="AM151" s="8"/>
      <c r="AN151" s="8"/>
      <c r="AO151" s="8"/>
      <c r="AP151" s="8"/>
    </row>
    <row r="152" spans="1:42" ht="17">
      <c r="A152" s="8" t="s">
        <v>117</v>
      </c>
      <c r="B152" s="8" t="s">
        <v>42</v>
      </c>
      <c r="C152" s="8">
        <v>13382670000</v>
      </c>
      <c r="D152" s="8">
        <v>2618393000</v>
      </c>
      <c r="E152" s="10">
        <v>978536000</v>
      </c>
      <c r="F152" s="8">
        <v>978536000</v>
      </c>
      <c r="G152" s="8">
        <v>294495000</v>
      </c>
      <c r="H152" s="8">
        <v>1274294000</v>
      </c>
      <c r="I152" s="9">
        <v>10764000000</v>
      </c>
      <c r="J152" s="8" t="s">
        <v>43</v>
      </c>
      <c r="K152" s="10" t="s">
        <v>43</v>
      </c>
      <c r="L152" s="8">
        <v>4274448000</v>
      </c>
      <c r="M152" s="8">
        <v>4274448000</v>
      </c>
      <c r="N152" s="8">
        <v>4120240000</v>
      </c>
      <c r="O152" s="10" t="s">
        <v>43</v>
      </c>
      <c r="P152" s="10" t="s">
        <v>43</v>
      </c>
      <c r="Q152" s="8" t="s">
        <v>43</v>
      </c>
      <c r="R152" s="10">
        <v>365563000</v>
      </c>
      <c r="S152" s="8" t="s">
        <v>43</v>
      </c>
      <c r="T152" s="9">
        <v>24073000000</v>
      </c>
      <c r="U152" s="8">
        <v>1409473000</v>
      </c>
      <c r="V152" s="10">
        <v>117171000</v>
      </c>
      <c r="W152" s="10" t="s">
        <v>43</v>
      </c>
      <c r="X152" s="10" t="s">
        <v>43</v>
      </c>
      <c r="Y152" s="8">
        <v>185549000</v>
      </c>
      <c r="Z152" s="9">
        <v>22663000000</v>
      </c>
      <c r="AA152" s="10" t="s">
        <v>43</v>
      </c>
      <c r="AB152" s="10" t="s">
        <v>43</v>
      </c>
      <c r="AC152" s="8" t="s">
        <v>43</v>
      </c>
      <c r="AD152" s="8" t="s">
        <v>43</v>
      </c>
      <c r="AE152" s="9">
        <v>20754000000</v>
      </c>
      <c r="AF152" s="8">
        <v>860444000</v>
      </c>
      <c r="AG152" s="8" t="s">
        <v>43</v>
      </c>
      <c r="AH152" s="9">
        <v>-10850000000</v>
      </c>
      <c r="AI152" s="8" t="s">
        <v>43</v>
      </c>
      <c r="AJ152" s="9">
        <v>-12530000000</v>
      </c>
      <c r="AK152" s="8">
        <v>90000</v>
      </c>
      <c r="AL152" s="8">
        <v>84409000</v>
      </c>
      <c r="AM152" s="8"/>
      <c r="AN152" s="8"/>
      <c r="AO152" s="8"/>
      <c r="AP152" s="8"/>
    </row>
    <row r="153" spans="1:42" ht="17">
      <c r="A153" s="8" t="s">
        <v>55</v>
      </c>
      <c r="B153" s="8" t="s">
        <v>42</v>
      </c>
      <c r="C153" s="8">
        <v>13821098000</v>
      </c>
      <c r="D153" s="8">
        <v>2810883000</v>
      </c>
      <c r="E153" s="10">
        <v>772678000</v>
      </c>
      <c r="F153" s="8">
        <v>772678000</v>
      </c>
      <c r="G153" s="8">
        <v>24833000</v>
      </c>
      <c r="H153" s="8">
        <v>1442038000</v>
      </c>
      <c r="I153" s="9">
        <v>11010000000</v>
      </c>
      <c r="J153" s="8" t="s">
        <v>43</v>
      </c>
      <c r="K153" s="10" t="s">
        <v>43</v>
      </c>
      <c r="L153" s="8">
        <v>4338470000</v>
      </c>
      <c r="M153" s="8">
        <v>4338470000</v>
      </c>
      <c r="N153" s="8">
        <v>4128887000</v>
      </c>
      <c r="O153" s="10" t="s">
        <v>43</v>
      </c>
      <c r="P153" s="10" t="s">
        <v>43</v>
      </c>
      <c r="Q153" s="8">
        <v>3184000</v>
      </c>
      <c r="R153" s="10">
        <v>538566000</v>
      </c>
      <c r="S153" s="8" t="s">
        <v>43</v>
      </c>
      <c r="T153" s="9">
        <v>24428000000</v>
      </c>
      <c r="U153" s="8">
        <v>1659228000</v>
      </c>
      <c r="V153" s="10">
        <v>153276000</v>
      </c>
      <c r="W153" s="10" t="s">
        <v>43</v>
      </c>
      <c r="X153" s="10" t="s">
        <v>43</v>
      </c>
      <c r="Y153" s="8">
        <v>181512000</v>
      </c>
      <c r="Z153" s="9">
        <v>22769000000</v>
      </c>
      <c r="AA153" s="10" t="s">
        <v>43</v>
      </c>
      <c r="AB153" s="10" t="s">
        <v>43</v>
      </c>
      <c r="AC153" s="8" t="s">
        <v>43</v>
      </c>
      <c r="AD153" s="8" t="s">
        <v>43</v>
      </c>
      <c r="AE153" s="9">
        <v>20869000000</v>
      </c>
      <c r="AF153" s="8">
        <v>1113516000</v>
      </c>
      <c r="AG153" s="8" t="s">
        <v>43</v>
      </c>
      <c r="AH153" s="9">
        <v>-10780000000</v>
      </c>
      <c r="AI153" s="8" t="s">
        <v>43</v>
      </c>
      <c r="AJ153" s="9">
        <v>-12440000000</v>
      </c>
      <c r="AK153" s="8">
        <v>90000</v>
      </c>
      <c r="AL153" s="8">
        <v>84409000</v>
      </c>
      <c r="AM153" s="8"/>
      <c r="AN153" s="8"/>
      <c r="AO153" s="8"/>
      <c r="AP153" s="8"/>
    </row>
    <row r="154" spans="1:42" ht="17">
      <c r="A154" s="8" t="s">
        <v>118</v>
      </c>
      <c r="B154" s="8" t="s">
        <v>42</v>
      </c>
      <c r="C154" s="8">
        <v>13459229000</v>
      </c>
      <c r="D154" s="8">
        <v>2165603000</v>
      </c>
      <c r="E154" s="10">
        <v>382846000</v>
      </c>
      <c r="F154" s="8">
        <v>382846000</v>
      </c>
      <c r="G154" s="8">
        <v>217310000</v>
      </c>
      <c r="H154" s="8">
        <v>1433353000</v>
      </c>
      <c r="I154" s="9">
        <v>11294000000</v>
      </c>
      <c r="J154" s="8" t="s">
        <v>43</v>
      </c>
      <c r="K154" s="10" t="s">
        <v>43</v>
      </c>
      <c r="L154" s="8">
        <v>4483578000</v>
      </c>
      <c r="M154" s="8">
        <v>4483578000</v>
      </c>
      <c r="N154" s="8">
        <v>4171354000</v>
      </c>
      <c r="O154" s="10" t="s">
        <v>43</v>
      </c>
      <c r="P154" s="10" t="s">
        <v>43</v>
      </c>
      <c r="Q154" s="8" t="s">
        <v>43</v>
      </c>
      <c r="R154" s="10">
        <v>349404000</v>
      </c>
      <c r="S154" s="8" t="s">
        <v>43</v>
      </c>
      <c r="T154" s="9">
        <v>23933000000</v>
      </c>
      <c r="U154" s="8">
        <v>1219277000</v>
      </c>
      <c r="V154" s="10">
        <v>117020000</v>
      </c>
      <c r="W154" s="10" t="s">
        <v>43</v>
      </c>
      <c r="X154" s="10" t="s">
        <v>43</v>
      </c>
      <c r="Y154" s="8">
        <v>2464000</v>
      </c>
      <c r="Z154" s="9">
        <v>22714000000</v>
      </c>
      <c r="AA154" s="10" t="s">
        <v>43</v>
      </c>
      <c r="AB154" s="10" t="s">
        <v>43</v>
      </c>
      <c r="AC154" s="8" t="s">
        <v>43</v>
      </c>
      <c r="AD154" s="8" t="s">
        <v>43</v>
      </c>
      <c r="AE154" s="9">
        <v>20588000000</v>
      </c>
      <c r="AF154" s="8">
        <v>895616000</v>
      </c>
      <c r="AG154" s="8" t="s">
        <v>43</v>
      </c>
      <c r="AH154" s="9">
        <v>-10670000000</v>
      </c>
      <c r="AI154" s="8" t="s">
        <v>43</v>
      </c>
      <c r="AJ154" s="9">
        <v>-12340000000</v>
      </c>
      <c r="AK154" s="8">
        <v>90000</v>
      </c>
      <c r="AL154" s="8">
        <v>84350000</v>
      </c>
      <c r="AM154" s="8"/>
      <c r="AN154" s="8"/>
      <c r="AO154" s="8"/>
      <c r="AP154" s="8"/>
    </row>
    <row r="155" spans="1:42" ht="17">
      <c r="A155" s="8" t="s">
        <v>119</v>
      </c>
      <c r="B155" s="8" t="s">
        <v>42</v>
      </c>
      <c r="C155" s="8">
        <v>13626945000</v>
      </c>
      <c r="D155" s="8">
        <v>2185836000</v>
      </c>
      <c r="E155" s="10">
        <v>387449000</v>
      </c>
      <c r="F155" s="8">
        <v>387449000</v>
      </c>
      <c r="G155" s="8">
        <v>223044000</v>
      </c>
      <c r="H155" s="8">
        <v>1434232000</v>
      </c>
      <c r="I155" s="9">
        <v>11441000000</v>
      </c>
      <c r="J155" s="8" t="s">
        <v>43</v>
      </c>
      <c r="K155" s="10" t="s">
        <v>43</v>
      </c>
      <c r="L155" s="8">
        <v>4561251000</v>
      </c>
      <c r="M155" s="8">
        <v>4561251000</v>
      </c>
      <c r="N155" s="8">
        <v>4177772000</v>
      </c>
      <c r="O155" s="10" t="s">
        <v>43</v>
      </c>
      <c r="P155" s="10" t="s">
        <v>43</v>
      </c>
      <c r="Q155" s="8" t="s">
        <v>43</v>
      </c>
      <c r="R155" s="10">
        <v>364155000</v>
      </c>
      <c r="S155" s="8" t="s">
        <v>43</v>
      </c>
      <c r="T155" s="9">
        <v>23868000000</v>
      </c>
      <c r="U155" s="8">
        <v>1369299000</v>
      </c>
      <c r="V155" s="10">
        <v>122424000</v>
      </c>
      <c r="W155" s="10" t="s">
        <v>43</v>
      </c>
      <c r="X155" s="10" t="s">
        <v>43</v>
      </c>
      <c r="Y155" s="8">
        <v>2725000</v>
      </c>
      <c r="Z155" s="9">
        <v>22498000000</v>
      </c>
      <c r="AA155" s="10" t="s">
        <v>43</v>
      </c>
      <c r="AB155" s="10" t="s">
        <v>43</v>
      </c>
      <c r="AC155" s="8" t="s">
        <v>43</v>
      </c>
      <c r="AD155" s="8" t="s">
        <v>43</v>
      </c>
      <c r="AE155" s="9">
        <v>20375000000</v>
      </c>
      <c r="AF155" s="8">
        <v>1017108000</v>
      </c>
      <c r="AG155" s="8" t="s">
        <v>43</v>
      </c>
      <c r="AH155" s="9">
        <v>-10440000000</v>
      </c>
      <c r="AI155" s="8" t="s">
        <v>43</v>
      </c>
      <c r="AJ155" s="9">
        <v>-12120000000</v>
      </c>
      <c r="AK155" s="8">
        <v>89000</v>
      </c>
      <c r="AL155" s="8">
        <v>84238000</v>
      </c>
      <c r="AM155" s="8"/>
      <c r="AN155" s="8"/>
      <c r="AO155" s="8"/>
      <c r="AP155" s="8"/>
    </row>
    <row r="156" spans="1:42" ht="17">
      <c r="A156" s="8" t="s">
        <v>120</v>
      </c>
      <c r="B156" s="8" t="s">
        <v>42</v>
      </c>
      <c r="C156" s="8">
        <v>13581933000</v>
      </c>
      <c r="D156" s="8">
        <v>1917553000</v>
      </c>
      <c r="E156" s="10">
        <v>289014000</v>
      </c>
      <c r="F156" s="8">
        <v>289014000</v>
      </c>
      <c r="G156" s="8">
        <v>244840000</v>
      </c>
      <c r="H156" s="8">
        <v>1242075000</v>
      </c>
      <c r="I156" s="9">
        <v>11664000000</v>
      </c>
      <c r="J156" s="8" t="s">
        <v>43</v>
      </c>
      <c r="K156" s="10" t="s">
        <v>43</v>
      </c>
      <c r="L156" s="8">
        <v>4618550000</v>
      </c>
      <c r="M156" s="8">
        <v>4618550000</v>
      </c>
      <c r="N156" s="8">
        <v>4170632000</v>
      </c>
      <c r="O156" s="10" t="s">
        <v>43</v>
      </c>
      <c r="P156" s="10" t="s">
        <v>43</v>
      </c>
      <c r="Q156" s="8" t="s">
        <v>43</v>
      </c>
      <c r="R156" s="10">
        <v>386464000</v>
      </c>
      <c r="S156" s="8" t="s">
        <v>43</v>
      </c>
      <c r="T156" s="9">
        <v>23736000000</v>
      </c>
      <c r="U156" s="8">
        <v>1233661000</v>
      </c>
      <c r="V156" s="10">
        <v>132419000</v>
      </c>
      <c r="W156" s="10" t="s">
        <v>43</v>
      </c>
      <c r="X156" s="10" t="s">
        <v>43</v>
      </c>
      <c r="Y156" s="8">
        <v>2844000</v>
      </c>
      <c r="Z156" s="9">
        <v>22502000000</v>
      </c>
      <c r="AA156" s="10" t="s">
        <v>43</v>
      </c>
      <c r="AB156" s="10" t="s">
        <v>43</v>
      </c>
      <c r="AC156" s="8" t="s">
        <v>43</v>
      </c>
      <c r="AD156" s="8" t="s">
        <v>43</v>
      </c>
      <c r="AE156" s="9">
        <v>20486000000</v>
      </c>
      <c r="AF156" s="8">
        <v>881379000</v>
      </c>
      <c r="AG156" s="8" t="s">
        <v>43</v>
      </c>
      <c r="AH156" s="9">
        <v>-10370000000</v>
      </c>
      <c r="AI156" s="8" t="s">
        <v>43</v>
      </c>
      <c r="AJ156" s="9">
        <v>-12070000000</v>
      </c>
      <c r="AK156" s="8">
        <v>89000</v>
      </c>
      <c r="AL156" s="8">
        <v>84118000</v>
      </c>
      <c r="AM156" s="8"/>
      <c r="AN156" s="8"/>
      <c r="AO156" s="8"/>
      <c r="AP156" s="8"/>
    </row>
    <row r="157" spans="1:42" ht="17">
      <c r="A157" s="8" t="s">
        <v>56</v>
      </c>
      <c r="B157" s="8" t="s">
        <v>42</v>
      </c>
      <c r="C157" s="8">
        <v>14040242000</v>
      </c>
      <c r="D157" s="8">
        <v>2180143000</v>
      </c>
      <c r="E157" s="10">
        <v>457024000</v>
      </c>
      <c r="F157" s="8">
        <v>457024000</v>
      </c>
      <c r="G157" s="8">
        <v>23777000</v>
      </c>
      <c r="H157" s="8">
        <v>1395248000</v>
      </c>
      <c r="I157" s="9">
        <v>11860000000</v>
      </c>
      <c r="J157" s="8" t="s">
        <v>43</v>
      </c>
      <c r="K157" s="10" t="s">
        <v>43</v>
      </c>
      <c r="L157" s="8">
        <v>4684546000</v>
      </c>
      <c r="M157" s="8">
        <v>4684546000</v>
      </c>
      <c r="N157" s="8">
        <v>4187424000</v>
      </c>
      <c r="O157" s="10" t="s">
        <v>43</v>
      </c>
      <c r="P157" s="10" t="s">
        <v>43</v>
      </c>
      <c r="Q157" s="8">
        <v>4466000</v>
      </c>
      <c r="R157" s="10">
        <v>266301000</v>
      </c>
      <c r="S157" s="8" t="s">
        <v>43</v>
      </c>
      <c r="T157" s="9">
        <v>23705000000</v>
      </c>
      <c r="U157" s="8">
        <v>1364285000</v>
      </c>
      <c r="V157" s="10">
        <v>132258000</v>
      </c>
      <c r="W157" s="10" t="s">
        <v>43</v>
      </c>
      <c r="X157" s="10" t="s">
        <v>43</v>
      </c>
      <c r="Y157" s="8">
        <v>3604000</v>
      </c>
      <c r="Z157" s="9">
        <v>22341000000</v>
      </c>
      <c r="AA157" s="10" t="s">
        <v>43</v>
      </c>
      <c r="AB157" s="10" t="s">
        <v>43</v>
      </c>
      <c r="AC157" s="8" t="s">
        <v>43</v>
      </c>
      <c r="AD157" s="8" t="s">
        <v>43</v>
      </c>
      <c r="AE157" s="9">
        <v>20326000000</v>
      </c>
      <c r="AF157" s="8">
        <v>1052375000</v>
      </c>
      <c r="AG157" s="8" t="s">
        <v>43</v>
      </c>
      <c r="AH157" s="9">
        <v>-9889000000</v>
      </c>
      <c r="AI157" s="8" t="s">
        <v>43</v>
      </c>
      <c r="AJ157" s="9">
        <v>-11680000000</v>
      </c>
      <c r="AK157" s="8">
        <v>89000</v>
      </c>
      <c r="AL157" s="8">
        <v>84118000</v>
      </c>
      <c r="AM157" s="8"/>
      <c r="AN157" s="8"/>
      <c r="AO157" s="8"/>
      <c r="AP157" s="8"/>
    </row>
    <row r="158" spans="1:42" ht="17">
      <c r="A158" s="8" t="s">
        <v>121</v>
      </c>
      <c r="B158" s="8" t="s">
        <v>42</v>
      </c>
      <c r="C158" s="8">
        <v>14306035000</v>
      </c>
      <c r="D158" s="8">
        <v>2299519000</v>
      </c>
      <c r="E158" s="10">
        <v>522356000</v>
      </c>
      <c r="F158" s="8">
        <v>522356000</v>
      </c>
      <c r="G158" s="8">
        <v>205906000</v>
      </c>
      <c r="H158" s="8">
        <v>1401451000</v>
      </c>
      <c r="I158" s="9">
        <v>12007000000</v>
      </c>
      <c r="J158" s="8" t="s">
        <v>43</v>
      </c>
      <c r="K158" s="10" t="s">
        <v>43</v>
      </c>
      <c r="L158" s="8">
        <v>4760607000</v>
      </c>
      <c r="M158" s="8">
        <v>4760607000</v>
      </c>
      <c r="N158" s="8">
        <v>4212612000</v>
      </c>
      <c r="O158" s="10" t="s">
        <v>43</v>
      </c>
      <c r="P158" s="10" t="s">
        <v>43</v>
      </c>
      <c r="Q158" s="8" t="s">
        <v>43</v>
      </c>
      <c r="R158" s="10">
        <v>375712000</v>
      </c>
      <c r="S158" s="8" t="s">
        <v>43</v>
      </c>
      <c r="T158" s="9">
        <v>23812000000</v>
      </c>
      <c r="U158" s="8">
        <v>1296360000</v>
      </c>
      <c r="V158" s="10">
        <v>130303000</v>
      </c>
      <c r="W158" s="10" t="s">
        <v>43</v>
      </c>
      <c r="X158" s="10" t="s">
        <v>43</v>
      </c>
      <c r="Y158" s="8">
        <v>3232000</v>
      </c>
      <c r="Z158" s="9">
        <v>22516000000</v>
      </c>
      <c r="AA158" s="10" t="s">
        <v>43</v>
      </c>
      <c r="AB158" s="10" t="s">
        <v>43</v>
      </c>
      <c r="AC158" s="8" t="s">
        <v>43</v>
      </c>
      <c r="AD158" s="8" t="s">
        <v>43</v>
      </c>
      <c r="AE158" s="9">
        <v>20485000000</v>
      </c>
      <c r="AF158" s="8">
        <v>951557000</v>
      </c>
      <c r="AG158" s="8" t="s">
        <v>43</v>
      </c>
      <c r="AH158" s="9">
        <v>-9725000000</v>
      </c>
      <c r="AI158" s="8" t="s">
        <v>43</v>
      </c>
      <c r="AJ158" s="9">
        <v>-11610000000</v>
      </c>
      <c r="AK158" s="8">
        <v>89000</v>
      </c>
      <c r="AL158" s="8">
        <v>83991000</v>
      </c>
      <c r="AM158" s="8"/>
      <c r="AN158" s="8"/>
      <c r="AO158" s="8"/>
      <c r="AP158" s="8"/>
    </row>
    <row r="159" spans="1:42" ht="17">
      <c r="A159" s="8" t="s">
        <v>122</v>
      </c>
      <c r="B159" s="8" t="s">
        <v>42</v>
      </c>
      <c r="C159" s="8">
        <v>14752178000</v>
      </c>
      <c r="D159" s="8">
        <v>2612009000</v>
      </c>
      <c r="E159" s="10">
        <v>798438000</v>
      </c>
      <c r="F159" s="8">
        <v>798438000</v>
      </c>
      <c r="G159" s="8">
        <v>216306000</v>
      </c>
      <c r="H159" s="8">
        <v>1424233000</v>
      </c>
      <c r="I159" s="9">
        <v>12140000000</v>
      </c>
      <c r="J159" s="8" t="s">
        <v>43</v>
      </c>
      <c r="K159" s="10" t="s">
        <v>43</v>
      </c>
      <c r="L159" s="8">
        <v>4820710000</v>
      </c>
      <c r="M159" s="8">
        <v>4820710000</v>
      </c>
      <c r="N159" s="8">
        <v>4203267000</v>
      </c>
      <c r="O159" s="10" t="s">
        <v>43</v>
      </c>
      <c r="P159" s="10" t="s">
        <v>43</v>
      </c>
      <c r="Q159" s="8" t="s">
        <v>43</v>
      </c>
      <c r="R159" s="10">
        <v>389338000</v>
      </c>
      <c r="S159" s="8" t="s">
        <v>43</v>
      </c>
      <c r="T159" s="9">
        <v>24067000000</v>
      </c>
      <c r="U159" s="8">
        <v>1386382000</v>
      </c>
      <c r="V159" s="10">
        <v>113967000</v>
      </c>
      <c r="W159" s="10" t="s">
        <v>43</v>
      </c>
      <c r="X159" s="10" t="s">
        <v>43</v>
      </c>
      <c r="Y159" s="8">
        <v>22020000</v>
      </c>
      <c r="Z159" s="9">
        <v>22681000000</v>
      </c>
      <c r="AA159" s="10" t="s">
        <v>43</v>
      </c>
      <c r="AB159" s="10" t="s">
        <v>43</v>
      </c>
      <c r="AC159" s="8" t="s">
        <v>43</v>
      </c>
      <c r="AD159" s="8" t="s">
        <v>43</v>
      </c>
      <c r="AE159" s="9">
        <v>20672000000</v>
      </c>
      <c r="AF159" s="8">
        <v>1005152000</v>
      </c>
      <c r="AG159" s="8" t="s">
        <v>43</v>
      </c>
      <c r="AH159" s="9">
        <v>-9558000000</v>
      </c>
      <c r="AI159" s="8" t="s">
        <v>43</v>
      </c>
      <c r="AJ159" s="9">
        <v>-11500000000</v>
      </c>
      <c r="AK159" s="8">
        <v>89000</v>
      </c>
      <c r="AL159" s="8">
        <v>83916000</v>
      </c>
      <c r="AM159" s="8"/>
      <c r="AN159" s="8"/>
      <c r="AO159" s="8"/>
      <c r="AP159" s="8"/>
    </row>
    <row r="160" spans="1:42" ht="17">
      <c r="A160" s="8" t="s">
        <v>123</v>
      </c>
      <c r="B160" s="8" t="s">
        <v>42</v>
      </c>
      <c r="C160" s="8">
        <v>14597126000</v>
      </c>
      <c r="D160" s="8">
        <v>2350390000</v>
      </c>
      <c r="E160" s="10">
        <v>660742000</v>
      </c>
      <c r="F160" s="8">
        <v>660742000</v>
      </c>
      <c r="G160" s="8">
        <v>217453000</v>
      </c>
      <c r="H160" s="8">
        <v>1302243000</v>
      </c>
      <c r="I160" s="9">
        <v>12247000000</v>
      </c>
      <c r="J160" s="8" t="s">
        <v>43</v>
      </c>
      <c r="K160" s="10" t="s">
        <v>43</v>
      </c>
      <c r="L160" s="8">
        <v>4883560000</v>
      </c>
      <c r="M160" s="8">
        <v>4883560000</v>
      </c>
      <c r="N160" s="8">
        <v>4204897000</v>
      </c>
      <c r="O160" s="10" t="s">
        <v>43</v>
      </c>
      <c r="P160" s="10" t="s">
        <v>43</v>
      </c>
      <c r="Q160" s="8" t="s">
        <v>43</v>
      </c>
      <c r="R160" s="10">
        <v>387405000</v>
      </c>
      <c r="S160" s="8" t="s">
        <v>43</v>
      </c>
      <c r="T160" s="9">
        <v>23725000000</v>
      </c>
      <c r="U160" s="8">
        <v>1706540000</v>
      </c>
      <c r="V160" s="10">
        <v>141731000</v>
      </c>
      <c r="W160" s="10" t="s">
        <v>43</v>
      </c>
      <c r="X160" s="10" t="s">
        <v>43</v>
      </c>
      <c r="Y160" s="8">
        <v>413882000</v>
      </c>
      <c r="Z160" s="9">
        <v>22019000000</v>
      </c>
      <c r="AA160" s="10" t="s">
        <v>43</v>
      </c>
      <c r="AB160" s="10" t="s">
        <v>43</v>
      </c>
      <c r="AC160" s="8" t="s">
        <v>43</v>
      </c>
      <c r="AD160" s="8" t="s">
        <v>43</v>
      </c>
      <c r="AE160" s="9">
        <v>20424000000</v>
      </c>
      <c r="AF160" s="8">
        <v>908537000</v>
      </c>
      <c r="AG160" s="8" t="s">
        <v>43</v>
      </c>
      <c r="AH160" s="9">
        <v>-9361000000</v>
      </c>
      <c r="AI160" s="8" t="s">
        <v>43</v>
      </c>
      <c r="AJ160" s="9">
        <v>-11310000000</v>
      </c>
      <c r="AK160" s="8">
        <v>89000</v>
      </c>
      <c r="AL160" s="8">
        <v>83800000</v>
      </c>
      <c r="AM160" s="8"/>
      <c r="AN160" s="8"/>
      <c r="AO160" s="8"/>
      <c r="AP160" s="8"/>
    </row>
    <row r="161" spans="1:42" ht="17">
      <c r="A161" s="8" t="s">
        <v>58</v>
      </c>
      <c r="B161" s="8" t="s">
        <v>42</v>
      </c>
      <c r="C161" s="8">
        <v>15097302000</v>
      </c>
      <c r="D161" s="8">
        <v>2513294000</v>
      </c>
      <c r="E161" s="10">
        <v>708151000</v>
      </c>
      <c r="F161" s="8">
        <v>708151000</v>
      </c>
      <c r="G161" s="8">
        <v>26872000</v>
      </c>
      <c r="H161" s="8">
        <v>1440501000</v>
      </c>
      <c r="I161" s="9">
        <v>12584000000</v>
      </c>
      <c r="J161" s="8" t="s">
        <v>43</v>
      </c>
      <c r="K161" s="10" t="s">
        <v>43</v>
      </c>
      <c r="L161" s="8">
        <v>4950735000</v>
      </c>
      <c r="M161" s="8">
        <v>4950735000</v>
      </c>
      <c r="N161" s="8">
        <v>4202187000</v>
      </c>
      <c r="O161" s="10" t="s">
        <v>43</v>
      </c>
      <c r="P161" s="10" t="s">
        <v>43</v>
      </c>
      <c r="Q161" s="8">
        <v>5126000</v>
      </c>
      <c r="R161" s="10">
        <v>337770000</v>
      </c>
      <c r="S161" s="8" t="s">
        <v>43</v>
      </c>
      <c r="T161" s="9">
        <v>23794000000</v>
      </c>
      <c r="U161" s="8">
        <v>1759592000</v>
      </c>
      <c r="V161" s="10">
        <v>131370000</v>
      </c>
      <c r="W161" s="10" t="s">
        <v>43</v>
      </c>
      <c r="X161" s="10" t="s">
        <v>43</v>
      </c>
      <c r="Y161" s="8">
        <v>453734000</v>
      </c>
      <c r="Z161" s="9">
        <v>22034000000</v>
      </c>
      <c r="AA161" s="10" t="s">
        <v>43</v>
      </c>
      <c r="AB161" s="10" t="s">
        <v>43</v>
      </c>
      <c r="AC161" s="8" t="s">
        <v>43</v>
      </c>
      <c r="AD161" s="8" t="s">
        <v>43</v>
      </c>
      <c r="AE161" s="9">
        <v>20484000000</v>
      </c>
      <c r="AF161" s="8">
        <v>1006080000</v>
      </c>
      <c r="AG161" s="8" t="s">
        <v>43</v>
      </c>
      <c r="AH161" s="9">
        <v>-8942000000</v>
      </c>
      <c r="AI161" s="8" t="s">
        <v>43</v>
      </c>
      <c r="AJ161" s="9">
        <v>-10890000000</v>
      </c>
      <c r="AK161" s="8">
        <v>89000</v>
      </c>
      <c r="AL161" s="8">
        <v>83800000</v>
      </c>
      <c r="AM161" s="8"/>
      <c r="AN161" s="8"/>
      <c r="AO161" s="8"/>
      <c r="AP161" s="8"/>
    </row>
    <row r="162" spans="1:42" ht="17">
      <c r="A162" s="8" t="s">
        <v>124</v>
      </c>
      <c r="B162" s="8" t="s">
        <v>42</v>
      </c>
      <c r="C162" s="8">
        <v>15231181000</v>
      </c>
      <c r="D162" s="8">
        <v>2479745000</v>
      </c>
      <c r="E162" s="10">
        <v>711052000</v>
      </c>
      <c r="F162" s="8">
        <v>711052000</v>
      </c>
      <c r="G162" s="8">
        <v>185693000</v>
      </c>
      <c r="H162" s="8">
        <v>1424367000</v>
      </c>
      <c r="I162" s="9">
        <v>12751000000</v>
      </c>
      <c r="J162" s="8" t="s">
        <v>43</v>
      </c>
      <c r="K162" s="10" t="s">
        <v>43</v>
      </c>
      <c r="L162" s="8">
        <v>5021824000</v>
      </c>
      <c r="M162" s="8">
        <v>5021824000</v>
      </c>
      <c r="N162" s="8">
        <v>4212381000</v>
      </c>
      <c r="O162" s="10" t="s">
        <v>43</v>
      </c>
      <c r="P162" s="10" t="s">
        <v>43</v>
      </c>
      <c r="Q162" s="8" t="s">
        <v>43</v>
      </c>
      <c r="R162" s="10">
        <v>344326000</v>
      </c>
      <c r="S162" s="8" t="s">
        <v>43</v>
      </c>
      <c r="T162" s="9">
        <v>23602000000</v>
      </c>
      <c r="U162" s="8">
        <v>1692800000</v>
      </c>
      <c r="V162" s="10">
        <v>121274000</v>
      </c>
      <c r="W162" s="10" t="s">
        <v>43</v>
      </c>
      <c r="X162" s="10" t="s">
        <v>43</v>
      </c>
      <c r="Y162" s="8">
        <v>433458000</v>
      </c>
      <c r="Z162" s="9">
        <v>21909000000</v>
      </c>
      <c r="AA162" s="10" t="s">
        <v>43</v>
      </c>
      <c r="AB162" s="10" t="s">
        <v>43</v>
      </c>
      <c r="AC162" s="8" t="s">
        <v>43</v>
      </c>
      <c r="AD162" s="8" t="s">
        <v>43</v>
      </c>
      <c r="AE162" s="9">
        <v>20411000000</v>
      </c>
      <c r="AF162" s="8">
        <v>944479000</v>
      </c>
      <c r="AG162" s="8" t="s">
        <v>43</v>
      </c>
      <c r="AH162" s="9">
        <v>-8638000000</v>
      </c>
      <c r="AI162" s="8" t="s">
        <v>43</v>
      </c>
      <c r="AJ162" s="9">
        <v>-10580000000</v>
      </c>
      <c r="AK162" s="8">
        <v>89000</v>
      </c>
      <c r="AL162" s="8">
        <v>83455000</v>
      </c>
      <c r="AM162" s="8"/>
      <c r="AN162" s="8"/>
      <c r="AO162" s="8"/>
      <c r="AP162" s="8"/>
    </row>
    <row r="163" spans="1:42" ht="17">
      <c r="A163" s="8" t="s">
        <v>125</v>
      </c>
      <c r="B163" s="8" t="s">
        <v>42</v>
      </c>
      <c r="C163" s="8">
        <v>15296478000</v>
      </c>
      <c r="D163" s="8">
        <v>2461720000</v>
      </c>
      <c r="E163" s="10">
        <v>704166000</v>
      </c>
      <c r="F163" s="8">
        <v>704166000</v>
      </c>
      <c r="G163" s="8">
        <v>187721000</v>
      </c>
      <c r="H163" s="8">
        <v>1389141000</v>
      </c>
      <c r="I163" s="9">
        <v>12835000000</v>
      </c>
      <c r="J163" s="8" t="s">
        <v>43</v>
      </c>
      <c r="K163" s="10" t="s">
        <v>43</v>
      </c>
      <c r="L163" s="8">
        <v>5088208000</v>
      </c>
      <c r="M163" s="8">
        <v>5088208000</v>
      </c>
      <c r="N163" s="8">
        <v>4202933000</v>
      </c>
      <c r="O163" s="10" t="s">
        <v>43</v>
      </c>
      <c r="P163" s="10" t="s">
        <v>43</v>
      </c>
      <c r="Q163" s="8" t="s">
        <v>43</v>
      </c>
      <c r="R163" s="10">
        <v>368413000</v>
      </c>
      <c r="S163" s="8" t="s">
        <v>43</v>
      </c>
      <c r="T163" s="9">
        <v>23586000000</v>
      </c>
      <c r="U163" s="8">
        <v>1202292000</v>
      </c>
      <c r="V163" s="10">
        <v>103661000</v>
      </c>
      <c r="W163" s="10" t="s">
        <v>43</v>
      </c>
      <c r="X163" s="10" t="s">
        <v>43</v>
      </c>
      <c r="Y163" s="8">
        <v>35817000</v>
      </c>
      <c r="Z163" s="9">
        <v>22383000000</v>
      </c>
      <c r="AA163" s="10" t="s">
        <v>43</v>
      </c>
      <c r="AB163" s="10" t="s">
        <v>43</v>
      </c>
      <c r="AC163" s="8" t="s">
        <v>43</v>
      </c>
      <c r="AD163" s="8" t="s">
        <v>43</v>
      </c>
      <c r="AE163" s="9">
        <v>20412000000</v>
      </c>
      <c r="AF163" s="8">
        <v>880274000</v>
      </c>
      <c r="AG163" s="8" t="s">
        <v>43</v>
      </c>
      <c r="AH163" s="9">
        <v>-8584000000</v>
      </c>
      <c r="AI163" s="8" t="s">
        <v>43</v>
      </c>
      <c r="AJ163" s="9">
        <v>-10480000000</v>
      </c>
      <c r="AK163" s="8">
        <v>88000</v>
      </c>
      <c r="AL163" s="8">
        <v>83820000</v>
      </c>
      <c r="AM163" s="8"/>
      <c r="AN163" s="8"/>
      <c r="AO163" s="8"/>
      <c r="AP163" s="8"/>
    </row>
    <row r="164" spans="1:42" ht="17">
      <c r="A164" s="8" t="s">
        <v>126</v>
      </c>
      <c r="B164" s="8" t="s">
        <v>42</v>
      </c>
      <c r="C164" s="8">
        <v>15519151000</v>
      </c>
      <c r="D164" s="8">
        <v>2369154000</v>
      </c>
      <c r="E164" s="10">
        <v>721570000</v>
      </c>
      <c r="F164" s="8">
        <v>721570000</v>
      </c>
      <c r="G164" s="8">
        <v>210334000</v>
      </c>
      <c r="H164" s="8">
        <v>1264529000</v>
      </c>
      <c r="I164" s="9">
        <v>13150000000</v>
      </c>
      <c r="J164" s="8" t="s">
        <v>43</v>
      </c>
      <c r="K164" s="10" t="s">
        <v>43</v>
      </c>
      <c r="L164" s="8">
        <v>5162353000</v>
      </c>
      <c r="M164" s="8">
        <v>5162353000</v>
      </c>
      <c r="N164" s="8">
        <v>4206959000</v>
      </c>
      <c r="O164" s="10" t="s">
        <v>43</v>
      </c>
      <c r="P164" s="10" t="s">
        <v>43</v>
      </c>
      <c r="Q164" s="8" t="s">
        <v>43</v>
      </c>
      <c r="R164" s="10">
        <v>383055000</v>
      </c>
      <c r="S164" s="8" t="s">
        <v>43</v>
      </c>
      <c r="T164" s="9">
        <v>23729000000</v>
      </c>
      <c r="U164" s="8">
        <v>1315692000</v>
      </c>
      <c r="V164" s="10">
        <v>104534000</v>
      </c>
      <c r="W164" s="10" t="s">
        <v>43</v>
      </c>
      <c r="X164" s="10" t="s">
        <v>43</v>
      </c>
      <c r="Y164" s="8">
        <v>68351000</v>
      </c>
      <c r="Z164" s="9">
        <v>22413000000</v>
      </c>
      <c r="AA164" s="10" t="s">
        <v>43</v>
      </c>
      <c r="AB164" s="10" t="s">
        <v>43</v>
      </c>
      <c r="AC164" s="8" t="s">
        <v>43</v>
      </c>
      <c r="AD164" s="8" t="s">
        <v>43</v>
      </c>
      <c r="AE164" s="9">
        <v>20426000000</v>
      </c>
      <c r="AF164" s="8">
        <v>951794000</v>
      </c>
      <c r="AG164" s="8" t="s">
        <v>43</v>
      </c>
      <c r="AH164" s="9">
        <v>-8503000000</v>
      </c>
      <c r="AI164" s="8" t="s">
        <v>43</v>
      </c>
      <c r="AJ164" s="9">
        <v>-10480000000</v>
      </c>
      <c r="AK164" s="8">
        <v>87000</v>
      </c>
      <c r="AL164" s="8">
        <v>83126000</v>
      </c>
      <c r="AM164" s="8"/>
      <c r="AN164" s="8"/>
      <c r="AO164" s="8"/>
      <c r="AP164" s="8"/>
    </row>
    <row r="165" spans="1:42" ht="17">
      <c r="A165" s="8" t="s">
        <v>59</v>
      </c>
      <c r="B165" s="8" t="s">
        <v>42</v>
      </c>
      <c r="C165" s="8">
        <v>16292713000</v>
      </c>
      <c r="D165" s="8">
        <v>2993807000</v>
      </c>
      <c r="E165" s="10">
        <v>1225010000</v>
      </c>
      <c r="F165" s="8">
        <v>1225010000</v>
      </c>
      <c r="G165" s="8">
        <v>23110000</v>
      </c>
      <c r="H165" s="8">
        <v>1440169000</v>
      </c>
      <c r="I165" s="9">
        <v>13299000000</v>
      </c>
      <c r="J165" s="8" t="s">
        <v>43</v>
      </c>
      <c r="K165" s="10" t="s">
        <v>43</v>
      </c>
      <c r="L165" s="8">
        <v>5235491000</v>
      </c>
      <c r="M165" s="8">
        <v>5235491000</v>
      </c>
      <c r="N165" s="8">
        <v>4216085000</v>
      </c>
      <c r="O165" s="10" t="s">
        <v>43</v>
      </c>
      <c r="P165" s="10" t="s">
        <v>43</v>
      </c>
      <c r="Q165" s="8">
        <v>4223000</v>
      </c>
      <c r="R165" s="10">
        <v>299464000</v>
      </c>
      <c r="S165" s="8" t="s">
        <v>43</v>
      </c>
      <c r="T165" s="9">
        <v>24288000000</v>
      </c>
      <c r="U165" s="8">
        <v>1782142000</v>
      </c>
      <c r="V165" s="10">
        <v>133226000</v>
      </c>
      <c r="W165" s="10" t="s">
        <v>43</v>
      </c>
      <c r="X165" s="10" t="s">
        <v>43</v>
      </c>
      <c r="Y165" s="8">
        <v>381728000</v>
      </c>
      <c r="Z165" s="9">
        <v>22506000000</v>
      </c>
      <c r="AA165" s="10" t="s">
        <v>43</v>
      </c>
      <c r="AB165" s="10" t="s">
        <v>43</v>
      </c>
      <c r="AC165" s="8" t="s">
        <v>43</v>
      </c>
      <c r="AD165" s="8" t="s">
        <v>43</v>
      </c>
      <c r="AE165" s="9">
        <v>20747000000</v>
      </c>
      <c r="AF165" s="8">
        <v>1094516000</v>
      </c>
      <c r="AG165" s="8" t="s">
        <v>43</v>
      </c>
      <c r="AH165" s="9">
        <v>-8299000000</v>
      </c>
      <c r="AI165" s="8" t="s">
        <v>43</v>
      </c>
      <c r="AJ165" s="9">
        <v>-10280000000</v>
      </c>
      <c r="AK165" s="8">
        <v>87000</v>
      </c>
      <c r="AL165" s="8">
        <v>83126000</v>
      </c>
      <c r="AM165" s="8"/>
      <c r="AN165" s="8"/>
      <c r="AO165" s="8"/>
      <c r="AP165" s="8"/>
    </row>
    <row r="166" spans="1:42" ht="17">
      <c r="A166" s="8" t="s">
        <v>127</v>
      </c>
      <c r="B166" s="8" t="s">
        <v>42</v>
      </c>
      <c r="C166" s="8">
        <v>16402319000</v>
      </c>
      <c r="D166" s="8">
        <v>3067410000</v>
      </c>
      <c r="E166" s="10">
        <v>1296643000</v>
      </c>
      <c r="F166" s="8">
        <v>1296643000</v>
      </c>
      <c r="G166" s="8" t="s">
        <v>43</v>
      </c>
      <c r="H166" s="8">
        <v>1405259000</v>
      </c>
      <c r="I166" s="9">
        <v>13335000000</v>
      </c>
      <c r="J166" s="8" t="s">
        <v>43</v>
      </c>
      <c r="K166" s="10" t="s">
        <v>43</v>
      </c>
      <c r="L166" s="8">
        <v>5331646000</v>
      </c>
      <c r="M166" s="8">
        <v>5331646000</v>
      </c>
      <c r="N166" s="8">
        <v>4195856000</v>
      </c>
      <c r="O166" s="10" t="s">
        <v>43</v>
      </c>
      <c r="P166" s="10" t="s">
        <v>43</v>
      </c>
      <c r="Q166" s="8" t="s">
        <v>43</v>
      </c>
      <c r="R166" s="10">
        <v>365508000</v>
      </c>
      <c r="S166" s="8" t="s">
        <v>43</v>
      </c>
      <c r="T166" s="9">
        <v>24250000000</v>
      </c>
      <c r="U166" s="8">
        <v>1618106000</v>
      </c>
      <c r="V166" s="10">
        <v>841907000</v>
      </c>
      <c r="W166" s="10" t="s">
        <v>43</v>
      </c>
      <c r="X166" s="10" t="s">
        <v>43</v>
      </c>
      <c r="Y166" s="8">
        <v>419880000</v>
      </c>
      <c r="Z166" s="9">
        <v>22632000000</v>
      </c>
      <c r="AA166" s="10" t="s">
        <v>43</v>
      </c>
      <c r="AB166" s="10" t="s">
        <v>43</v>
      </c>
      <c r="AC166" s="8" t="s">
        <v>43</v>
      </c>
      <c r="AD166" s="8" t="s">
        <v>43</v>
      </c>
      <c r="AE166" s="9">
        <v>20738000000</v>
      </c>
      <c r="AF166" s="8">
        <v>179340000</v>
      </c>
      <c r="AG166" s="8" t="s">
        <v>43</v>
      </c>
      <c r="AH166" s="9">
        <v>-8155000000</v>
      </c>
      <c r="AI166" s="8" t="s">
        <v>43</v>
      </c>
      <c r="AJ166" s="9">
        <v>-10090000000</v>
      </c>
      <c r="AK166" s="8">
        <v>84000</v>
      </c>
      <c r="AL166" s="8">
        <v>82765000</v>
      </c>
      <c r="AM166" s="8"/>
      <c r="AN166" s="8"/>
      <c r="AO166" s="8"/>
      <c r="AP166" s="8"/>
    </row>
    <row r="167" spans="1:42" ht="17">
      <c r="A167" s="8" t="s">
        <v>128</v>
      </c>
      <c r="B167" s="8" t="s">
        <v>42</v>
      </c>
      <c r="C167" s="8">
        <v>16451822000</v>
      </c>
      <c r="D167" s="8">
        <v>3055871000</v>
      </c>
      <c r="E167" s="10">
        <v>1316516000</v>
      </c>
      <c r="F167" s="8">
        <v>1316516000</v>
      </c>
      <c r="G167" s="8" t="s">
        <v>43</v>
      </c>
      <c r="H167" s="8">
        <v>1371276000</v>
      </c>
      <c r="I167" s="9">
        <v>13396000000</v>
      </c>
      <c r="J167" s="8" t="s">
        <v>43</v>
      </c>
      <c r="K167" s="10" t="s">
        <v>43</v>
      </c>
      <c r="L167" s="8">
        <v>5398571000</v>
      </c>
      <c r="M167" s="8">
        <v>5398571000</v>
      </c>
      <c r="N167" s="8">
        <v>4183156000</v>
      </c>
      <c r="O167" s="10" t="s">
        <v>43</v>
      </c>
      <c r="P167" s="10" t="s">
        <v>43</v>
      </c>
      <c r="Q167" s="8" t="s">
        <v>43</v>
      </c>
      <c r="R167" s="10">
        <v>368079000</v>
      </c>
      <c r="S167" s="8" t="s">
        <v>43</v>
      </c>
      <c r="T167" s="9">
        <v>24314000000</v>
      </c>
      <c r="U167" s="8">
        <v>1484937000</v>
      </c>
      <c r="V167" s="10">
        <v>793430000</v>
      </c>
      <c r="W167" s="10" t="s">
        <v>43</v>
      </c>
      <c r="X167" s="10" t="s">
        <v>43</v>
      </c>
      <c r="Y167" s="8">
        <v>323528000</v>
      </c>
      <c r="Z167" s="9">
        <v>22829000000</v>
      </c>
      <c r="AA167" s="10" t="s">
        <v>43</v>
      </c>
      <c r="AB167" s="10" t="s">
        <v>43</v>
      </c>
      <c r="AC167" s="8" t="s">
        <v>43</v>
      </c>
      <c r="AD167" s="8" t="s">
        <v>43</v>
      </c>
      <c r="AE167" s="9">
        <v>20715000000</v>
      </c>
      <c r="AF167" s="8">
        <v>155567000</v>
      </c>
      <c r="AG167" s="8" t="s">
        <v>43</v>
      </c>
      <c r="AH167" s="9">
        <v>-8153000000</v>
      </c>
      <c r="AI167" s="8" t="s">
        <v>43</v>
      </c>
      <c r="AJ167" s="9">
        <v>-10040000000</v>
      </c>
      <c r="AK167" s="8">
        <v>84000</v>
      </c>
      <c r="AL167" s="8">
        <v>82543000</v>
      </c>
      <c r="AM167" s="8"/>
      <c r="AN167" s="8"/>
      <c r="AO167" s="8"/>
      <c r="AP167" s="8"/>
    </row>
    <row r="168" spans="1:42" ht="17">
      <c r="A168" s="8" t="s">
        <v>129</v>
      </c>
      <c r="B168" s="8" t="s">
        <v>42</v>
      </c>
      <c r="C168" s="8">
        <v>16489343000</v>
      </c>
      <c r="D168" s="8">
        <v>2967345000</v>
      </c>
      <c r="E168" s="10">
        <v>1326061000</v>
      </c>
      <c r="F168" s="8">
        <v>1326061000</v>
      </c>
      <c r="G168" s="8" t="s">
        <v>43</v>
      </c>
      <c r="H168" s="8">
        <v>1254938000</v>
      </c>
      <c r="I168" s="9">
        <v>13522000000</v>
      </c>
      <c r="J168" s="8" t="s">
        <v>43</v>
      </c>
      <c r="K168" s="10" t="s">
        <v>43</v>
      </c>
      <c r="L168" s="8">
        <v>5465479000</v>
      </c>
      <c r="M168" s="8">
        <v>5465479000</v>
      </c>
      <c r="N168" s="8">
        <v>4196010000</v>
      </c>
      <c r="O168" s="10" t="s">
        <v>43</v>
      </c>
      <c r="P168" s="10" t="s">
        <v>43</v>
      </c>
      <c r="Q168" s="8" t="s">
        <v>43</v>
      </c>
      <c r="R168" s="10">
        <v>386346000</v>
      </c>
      <c r="S168" s="8" t="s">
        <v>43</v>
      </c>
      <c r="T168" s="9">
        <v>24292000000</v>
      </c>
      <c r="U168" s="8">
        <v>1417252000</v>
      </c>
      <c r="V168" s="10">
        <v>817401000</v>
      </c>
      <c r="W168" s="10" t="s">
        <v>43</v>
      </c>
      <c r="X168" s="10" t="s">
        <v>43</v>
      </c>
      <c r="Y168" s="8">
        <v>311726000</v>
      </c>
      <c r="Z168" s="9">
        <v>22875000000</v>
      </c>
      <c r="AA168" s="10" t="s">
        <v>43</v>
      </c>
      <c r="AB168" s="10" t="s">
        <v>43</v>
      </c>
      <c r="AC168" s="8" t="s">
        <v>43</v>
      </c>
      <c r="AD168" s="8" t="s">
        <v>43</v>
      </c>
      <c r="AE168" s="9">
        <v>20692000000</v>
      </c>
      <c r="AF168" s="8">
        <v>77386000</v>
      </c>
      <c r="AG168" s="8" t="s">
        <v>43</v>
      </c>
      <c r="AH168" s="9">
        <v>-8087000000</v>
      </c>
      <c r="AI168" s="8" t="s">
        <v>43</v>
      </c>
      <c r="AJ168" s="9">
        <v>-10000000000</v>
      </c>
      <c r="AK168" s="8">
        <v>83000</v>
      </c>
      <c r="AL168" s="8">
        <v>82654000</v>
      </c>
      <c r="AM168" s="8"/>
      <c r="AN168" s="8"/>
      <c r="AO168" s="8"/>
      <c r="AP168" s="8"/>
    </row>
    <row r="169" spans="1:42" ht="17">
      <c r="A169" s="8" t="s">
        <v>60</v>
      </c>
      <c r="B169" s="8" t="s">
        <v>42</v>
      </c>
      <c r="C169" s="8">
        <v>16542039000</v>
      </c>
      <c r="D169" s="8">
        <v>2985285000</v>
      </c>
      <c r="E169" s="10">
        <v>1228682000</v>
      </c>
      <c r="F169" s="8">
        <v>1228682000</v>
      </c>
      <c r="G169" s="8">
        <v>161317000</v>
      </c>
      <c r="H169" s="8">
        <v>1399135000</v>
      </c>
      <c r="I169" s="9">
        <v>13557000000</v>
      </c>
      <c r="J169" s="8" t="s">
        <v>43</v>
      </c>
      <c r="K169" s="10" t="s">
        <v>43</v>
      </c>
      <c r="L169" s="8">
        <v>5534831000</v>
      </c>
      <c r="M169" s="8">
        <v>5534831000</v>
      </c>
      <c r="N169" s="8">
        <v>4186718000</v>
      </c>
      <c r="O169" s="10" t="s">
        <v>43</v>
      </c>
      <c r="P169" s="10" t="s">
        <v>43</v>
      </c>
      <c r="Q169" s="8" t="s">
        <v>43</v>
      </c>
      <c r="R169" s="10">
        <v>336311000</v>
      </c>
      <c r="S169" s="8" t="s">
        <v>43</v>
      </c>
      <c r="T169" s="9">
        <v>24014000000</v>
      </c>
      <c r="U169" s="8">
        <v>1428962000</v>
      </c>
      <c r="V169" s="10">
        <v>121575000</v>
      </c>
      <c r="W169" s="10" t="s">
        <v>43</v>
      </c>
      <c r="X169" s="10" t="s">
        <v>43</v>
      </c>
      <c r="Y169" s="8">
        <v>268638000</v>
      </c>
      <c r="Z169" s="9">
        <v>22585000000</v>
      </c>
      <c r="AA169" s="10" t="s">
        <v>43</v>
      </c>
      <c r="AB169" s="10" t="s">
        <v>43</v>
      </c>
      <c r="AC169" s="8" t="s">
        <v>43</v>
      </c>
      <c r="AD169" s="8" t="s">
        <v>43</v>
      </c>
      <c r="AE169" s="9">
        <v>20207000000</v>
      </c>
      <c r="AF169" s="8">
        <v>895513000</v>
      </c>
      <c r="AG169" s="8" t="s">
        <v>43</v>
      </c>
      <c r="AH169" s="9">
        <v>-7994000000</v>
      </c>
      <c r="AI169" s="8" t="s">
        <v>43</v>
      </c>
      <c r="AJ169" s="9">
        <v>-9857000000</v>
      </c>
      <c r="AK169" s="8">
        <v>83000</v>
      </c>
      <c r="AL169" s="8">
        <v>82654000</v>
      </c>
      <c r="AM169" s="8"/>
      <c r="AN169" s="8"/>
      <c r="AO169" s="8"/>
      <c r="AP169" s="8"/>
    </row>
    <row r="170" spans="1:42" ht="17">
      <c r="A170" s="8" t="s">
        <v>130</v>
      </c>
      <c r="B170" s="8" t="s">
        <v>42</v>
      </c>
      <c r="C170" s="8">
        <v>16508946000</v>
      </c>
      <c r="D170" s="8">
        <v>2923592000</v>
      </c>
      <c r="E170" s="10">
        <v>1165381000</v>
      </c>
      <c r="F170" s="8">
        <v>1165381000</v>
      </c>
      <c r="G170" s="8" t="s">
        <v>43</v>
      </c>
      <c r="H170" s="8">
        <v>1382269000</v>
      </c>
      <c r="I170" s="9">
        <v>13585000000</v>
      </c>
      <c r="J170" s="8" t="s">
        <v>43</v>
      </c>
      <c r="K170" s="10" t="s">
        <v>43</v>
      </c>
      <c r="L170" s="8">
        <v>5613226000</v>
      </c>
      <c r="M170" s="8">
        <v>5613226000</v>
      </c>
      <c r="N170" s="8">
        <v>4184573000</v>
      </c>
      <c r="O170" s="10" t="s">
        <v>43</v>
      </c>
      <c r="P170" s="10" t="s">
        <v>43</v>
      </c>
      <c r="Q170" s="8" t="s">
        <v>43</v>
      </c>
      <c r="R170" s="10">
        <v>375942000</v>
      </c>
      <c r="S170" s="8" t="s">
        <v>43</v>
      </c>
      <c r="T170" s="9">
        <v>23965000000</v>
      </c>
      <c r="U170" s="8">
        <v>1392320000</v>
      </c>
      <c r="V170" s="10">
        <v>843458000</v>
      </c>
      <c r="W170" s="10" t="s">
        <v>43</v>
      </c>
      <c r="X170" s="10" t="s">
        <v>43</v>
      </c>
      <c r="Y170" s="8">
        <v>285078000</v>
      </c>
      <c r="Z170" s="9">
        <v>22573000000</v>
      </c>
      <c r="AA170" s="10" t="s">
        <v>43</v>
      </c>
      <c r="AB170" s="10" t="s">
        <v>43</v>
      </c>
      <c r="AC170" s="8" t="s">
        <v>43</v>
      </c>
      <c r="AD170" s="8" t="s">
        <v>43</v>
      </c>
      <c r="AE170" s="9">
        <v>20180000000</v>
      </c>
      <c r="AF170" s="8">
        <v>75765000</v>
      </c>
      <c r="AG170" s="8" t="s">
        <v>43</v>
      </c>
      <c r="AH170" s="9">
        <v>-7967000000</v>
      </c>
      <c r="AI170" s="8" t="s">
        <v>43</v>
      </c>
      <c r="AJ170" s="9">
        <v>-9814000000</v>
      </c>
      <c r="AK170" s="8">
        <v>83000</v>
      </c>
      <c r="AL170" s="8">
        <v>82654000</v>
      </c>
      <c r="AM170" s="8"/>
      <c r="AN170" s="8"/>
      <c r="AO170" s="8"/>
      <c r="AP170" s="8"/>
    </row>
    <row r="171" spans="1:42" ht="17">
      <c r="A171" s="8" t="s">
        <v>131</v>
      </c>
      <c r="B171" s="8" t="s">
        <v>42</v>
      </c>
      <c r="C171" s="8">
        <v>16882051000</v>
      </c>
      <c r="D171" s="8">
        <v>3025016000</v>
      </c>
      <c r="E171" s="10">
        <v>1219156000</v>
      </c>
      <c r="F171" s="8">
        <v>1219156000</v>
      </c>
      <c r="G171" s="8" t="s">
        <v>43</v>
      </c>
      <c r="H171" s="8">
        <v>1453260000</v>
      </c>
      <c r="I171" s="9">
        <v>13857000000</v>
      </c>
      <c r="J171" s="8" t="s">
        <v>43</v>
      </c>
      <c r="K171" s="10" t="s">
        <v>43</v>
      </c>
      <c r="L171" s="8">
        <v>5714241000</v>
      </c>
      <c r="M171" s="8">
        <v>5714241000</v>
      </c>
      <c r="N171" s="8">
        <v>4210765000</v>
      </c>
      <c r="O171" s="10" t="s">
        <v>43</v>
      </c>
      <c r="P171" s="10" t="s">
        <v>43</v>
      </c>
      <c r="Q171" s="8" t="s">
        <v>43</v>
      </c>
      <c r="R171" s="10">
        <v>352600000</v>
      </c>
      <c r="S171" s="8" t="s">
        <v>43</v>
      </c>
      <c r="T171" s="9">
        <v>24152000000</v>
      </c>
      <c r="U171" s="8">
        <v>1524062000</v>
      </c>
      <c r="V171" s="10">
        <v>851536000</v>
      </c>
      <c r="W171" s="10" t="s">
        <v>43</v>
      </c>
      <c r="X171" s="10" t="s">
        <v>43</v>
      </c>
      <c r="Y171" s="8">
        <v>289943000</v>
      </c>
      <c r="Z171" s="9">
        <v>22628000000</v>
      </c>
      <c r="AA171" s="10" t="s">
        <v>43</v>
      </c>
      <c r="AB171" s="10" t="s">
        <v>43</v>
      </c>
      <c r="AC171" s="8" t="s">
        <v>43</v>
      </c>
      <c r="AD171" s="8" t="s">
        <v>43</v>
      </c>
      <c r="AE171" s="9">
        <v>20175000000</v>
      </c>
      <c r="AF171" s="8">
        <v>162279000</v>
      </c>
      <c r="AG171" s="8" t="s">
        <v>43</v>
      </c>
      <c r="AH171" s="9">
        <v>-7792000000</v>
      </c>
      <c r="AI171" s="8" t="s">
        <v>43</v>
      </c>
      <c r="AJ171" s="9">
        <v>-9740000000</v>
      </c>
      <c r="AK171" s="8">
        <v>83000</v>
      </c>
      <c r="AL171" s="8">
        <v>82375000</v>
      </c>
      <c r="AM171" s="8"/>
      <c r="AN171" s="8"/>
      <c r="AO171" s="8"/>
      <c r="AP171" s="8"/>
    </row>
    <row r="172" spans="1:42" ht="17">
      <c r="A172" s="8" t="s">
        <v>132</v>
      </c>
      <c r="B172" s="8" t="s">
        <v>42</v>
      </c>
      <c r="C172" s="8">
        <v>16938645000</v>
      </c>
      <c r="D172" s="8">
        <v>3142629000</v>
      </c>
      <c r="E172" s="10">
        <v>1510804000</v>
      </c>
      <c r="F172" s="8">
        <v>1510804000</v>
      </c>
      <c r="G172" s="8" t="s">
        <v>43</v>
      </c>
      <c r="H172" s="8">
        <v>1259912000</v>
      </c>
      <c r="I172" s="9">
        <v>13796000000</v>
      </c>
      <c r="J172" s="8" t="s">
        <v>43</v>
      </c>
      <c r="K172" s="10" t="s">
        <v>43</v>
      </c>
      <c r="L172" s="8">
        <v>5754396000</v>
      </c>
      <c r="M172" s="8">
        <v>5754396000</v>
      </c>
      <c r="N172" s="8">
        <v>4134629000</v>
      </c>
      <c r="O172" s="10" t="s">
        <v>43</v>
      </c>
      <c r="P172" s="10" t="s">
        <v>43</v>
      </c>
      <c r="Q172" s="8" t="s">
        <v>43</v>
      </c>
      <c r="R172" s="10">
        <v>371913000</v>
      </c>
      <c r="S172" s="8" t="s">
        <v>43</v>
      </c>
      <c r="T172" s="9">
        <v>24219000000</v>
      </c>
      <c r="U172" s="8">
        <v>1498479000</v>
      </c>
      <c r="V172" s="10" t="s">
        <v>43</v>
      </c>
      <c r="W172" s="10" t="s">
        <v>43</v>
      </c>
      <c r="X172" s="10" t="s">
        <v>43</v>
      </c>
      <c r="Y172" s="8">
        <v>404555000</v>
      </c>
      <c r="Z172" s="9">
        <v>22721000000</v>
      </c>
      <c r="AA172" s="10" t="s">
        <v>43</v>
      </c>
      <c r="AB172" s="10" t="s">
        <v>43</v>
      </c>
      <c r="AC172" s="8" t="s">
        <v>43</v>
      </c>
      <c r="AD172" s="8" t="s">
        <v>43</v>
      </c>
      <c r="AE172" s="9">
        <v>20404000000</v>
      </c>
      <c r="AF172" s="8">
        <v>881121000</v>
      </c>
      <c r="AG172" s="8" t="s">
        <v>43</v>
      </c>
      <c r="AH172" s="9">
        <v>-7781000000</v>
      </c>
      <c r="AI172" s="8" t="s">
        <v>43</v>
      </c>
      <c r="AJ172" s="9">
        <v>-9687000000</v>
      </c>
      <c r="AK172" s="8">
        <v>83000</v>
      </c>
      <c r="AL172" s="8">
        <v>82260000</v>
      </c>
      <c r="AM172" s="8"/>
      <c r="AN172" s="8"/>
      <c r="AO172" s="8"/>
      <c r="AP172" s="8"/>
    </row>
    <row r="173" spans="1:42" ht="17">
      <c r="A173" s="8" t="s">
        <v>62</v>
      </c>
      <c r="B173" s="8" t="s">
        <v>42</v>
      </c>
      <c r="C173" s="8">
        <v>17479867000</v>
      </c>
      <c r="D173" s="8">
        <v>3622658000</v>
      </c>
      <c r="E173" s="10">
        <v>1920926000</v>
      </c>
      <c r="F173" s="8">
        <v>1920926000</v>
      </c>
      <c r="G173" s="8">
        <v>124114000</v>
      </c>
      <c r="H173" s="8">
        <v>1393365000</v>
      </c>
      <c r="I173" s="9">
        <v>13857000000</v>
      </c>
      <c r="J173" s="8" t="s">
        <v>43</v>
      </c>
      <c r="K173" s="10" t="s">
        <v>43</v>
      </c>
      <c r="L173" s="8">
        <v>5826390000</v>
      </c>
      <c r="M173" s="8">
        <v>5826390000</v>
      </c>
      <c r="N173" s="8">
        <v>4119326000</v>
      </c>
      <c r="O173" s="10" t="s">
        <v>43</v>
      </c>
      <c r="P173" s="10" t="s">
        <v>43</v>
      </c>
      <c r="Q173" s="8" t="s">
        <v>43</v>
      </c>
      <c r="R173" s="10">
        <v>308367000</v>
      </c>
      <c r="S173" s="8" t="s">
        <v>43</v>
      </c>
      <c r="T173" s="9">
        <v>24685000000</v>
      </c>
      <c r="U173" s="8">
        <v>2118064000</v>
      </c>
      <c r="V173" s="10">
        <v>127263000</v>
      </c>
      <c r="W173" s="10" t="s">
        <v>43</v>
      </c>
      <c r="X173" s="10" t="s">
        <v>43</v>
      </c>
      <c r="Y173" s="8">
        <v>867735000</v>
      </c>
      <c r="Z173" s="9">
        <v>22566000000</v>
      </c>
      <c r="AA173" s="10" t="s">
        <v>43</v>
      </c>
      <c r="AB173" s="10" t="s">
        <v>43</v>
      </c>
      <c r="AC173" s="8" t="s">
        <v>43</v>
      </c>
      <c r="AD173" s="8" t="s">
        <v>43</v>
      </c>
      <c r="AE173" s="9">
        <v>20607000000</v>
      </c>
      <c r="AF173" s="8">
        <v>970288000</v>
      </c>
      <c r="AG173" s="8" t="s">
        <v>43</v>
      </c>
      <c r="AH173" s="9">
        <v>-7696000000</v>
      </c>
      <c r="AI173" s="8" t="s">
        <v>43</v>
      </c>
      <c r="AJ173" s="9">
        <v>-9555000000</v>
      </c>
      <c r="AK173" s="8">
        <v>83000</v>
      </c>
      <c r="AL173" s="8">
        <v>82260000</v>
      </c>
      <c r="AM173" s="8"/>
      <c r="AN173" s="8"/>
      <c r="AO173" s="8"/>
      <c r="AP173" s="8"/>
    </row>
    <row r="174" spans="1:42" ht="17">
      <c r="A174" s="8" t="s">
        <v>133</v>
      </c>
      <c r="B174" s="8" t="s">
        <v>42</v>
      </c>
      <c r="C174" s="8">
        <v>17393491000</v>
      </c>
      <c r="D174" s="8">
        <v>3401676000</v>
      </c>
      <c r="E174" s="10">
        <v>1700834000</v>
      </c>
      <c r="F174" s="8">
        <v>1700834000</v>
      </c>
      <c r="G174" s="8" t="s">
        <v>43</v>
      </c>
      <c r="H174" s="8">
        <v>1357179000</v>
      </c>
      <c r="I174" s="9">
        <v>13992000000</v>
      </c>
      <c r="J174" s="8" t="s">
        <v>43</v>
      </c>
      <c r="K174" s="10" t="s">
        <v>43</v>
      </c>
      <c r="L174" s="8">
        <v>5907695000</v>
      </c>
      <c r="M174" s="8">
        <v>5907695000</v>
      </c>
      <c r="N174" s="8">
        <v>4120633000</v>
      </c>
      <c r="O174" s="10" t="s">
        <v>43</v>
      </c>
      <c r="P174" s="10" t="s">
        <v>43</v>
      </c>
      <c r="Q174" s="8" t="s">
        <v>43</v>
      </c>
      <c r="R174" s="10">
        <v>343663000</v>
      </c>
      <c r="S174" s="8" t="s">
        <v>43</v>
      </c>
      <c r="T174" s="9">
        <v>24613000000</v>
      </c>
      <c r="U174" s="8">
        <v>1991291000</v>
      </c>
      <c r="V174" s="10" t="s">
        <v>43</v>
      </c>
      <c r="W174" s="10" t="s">
        <v>43</v>
      </c>
      <c r="X174" s="10" t="s">
        <v>43</v>
      </c>
      <c r="Y174" s="8">
        <v>847496000</v>
      </c>
      <c r="Z174" s="9">
        <v>22622000000</v>
      </c>
      <c r="AA174" s="10" t="s">
        <v>43</v>
      </c>
      <c r="AB174" s="10" t="s">
        <v>43</v>
      </c>
      <c r="AC174" s="8" t="s">
        <v>43</v>
      </c>
      <c r="AD174" s="8" t="s">
        <v>43</v>
      </c>
      <c r="AE174" s="9">
        <v>20539000000</v>
      </c>
      <c r="AF174" s="8">
        <v>945292000</v>
      </c>
      <c r="AG174" s="8" t="s">
        <v>43</v>
      </c>
      <c r="AH174" s="9">
        <v>-7692000000</v>
      </c>
      <c r="AI174" s="8" t="s">
        <v>43</v>
      </c>
      <c r="AJ174" s="9">
        <v>-9493000000</v>
      </c>
      <c r="AK174" s="8">
        <v>82000</v>
      </c>
      <c r="AL174" s="8">
        <v>81619000</v>
      </c>
      <c r="AM174" s="8"/>
      <c r="AN174" s="8"/>
      <c r="AO174" s="8"/>
      <c r="AP174" s="8"/>
    </row>
    <row r="175" spans="1:42" ht="17">
      <c r="A175" s="8" t="s">
        <v>134</v>
      </c>
      <c r="B175" s="8" t="s">
        <v>42</v>
      </c>
      <c r="C175" s="8">
        <v>17286782000</v>
      </c>
      <c r="D175" s="8">
        <v>3287691000</v>
      </c>
      <c r="E175" s="10">
        <v>1504730000</v>
      </c>
      <c r="F175" s="8">
        <v>1504730000</v>
      </c>
      <c r="G175" s="8" t="s">
        <v>43</v>
      </c>
      <c r="H175" s="8">
        <v>1323697000</v>
      </c>
      <c r="I175" s="9">
        <v>13999000000</v>
      </c>
      <c r="J175" s="8" t="s">
        <v>43</v>
      </c>
      <c r="K175" s="10" t="s">
        <v>43</v>
      </c>
      <c r="L175" s="8">
        <v>5975793000</v>
      </c>
      <c r="M175" s="8">
        <v>5975793000</v>
      </c>
      <c r="N175" s="8">
        <v>4092443000</v>
      </c>
      <c r="O175" s="10" t="s">
        <v>43</v>
      </c>
      <c r="P175" s="10" t="s">
        <v>43</v>
      </c>
      <c r="Q175" s="8" t="s">
        <v>43</v>
      </c>
      <c r="R175" s="10">
        <v>459264000</v>
      </c>
      <c r="S175" s="8" t="s">
        <v>43</v>
      </c>
      <c r="T175" s="9">
        <v>24496000000</v>
      </c>
      <c r="U175" s="8">
        <v>2046853000</v>
      </c>
      <c r="V175" s="10" t="s">
        <v>43</v>
      </c>
      <c r="W175" s="10" t="s">
        <v>43</v>
      </c>
      <c r="X175" s="10" t="s">
        <v>43</v>
      </c>
      <c r="Y175" s="8">
        <v>916043000</v>
      </c>
      <c r="Z175" s="9">
        <v>22449000000</v>
      </c>
      <c r="AA175" s="10" t="s">
        <v>43</v>
      </c>
      <c r="AB175" s="10" t="s">
        <v>43</v>
      </c>
      <c r="AC175" s="8" t="s">
        <v>43</v>
      </c>
      <c r="AD175" s="8" t="s">
        <v>43</v>
      </c>
      <c r="AE175" s="9">
        <v>20451000000</v>
      </c>
      <c r="AF175" s="8">
        <v>943340000</v>
      </c>
      <c r="AG175" s="8" t="s">
        <v>43</v>
      </c>
      <c r="AH175" s="9">
        <v>-7656000000</v>
      </c>
      <c r="AI175" s="8" t="s">
        <v>43</v>
      </c>
      <c r="AJ175" s="9">
        <v>-9338000000</v>
      </c>
      <c r="AK175" s="8">
        <v>82000</v>
      </c>
      <c r="AL175" s="8">
        <v>81540000</v>
      </c>
      <c r="AM175" s="8"/>
      <c r="AN175" s="8"/>
      <c r="AO175" s="8"/>
      <c r="AP175" s="8"/>
    </row>
    <row r="176" spans="1:42" ht="17">
      <c r="A176" s="8" t="s">
        <v>135</v>
      </c>
      <c r="B176" s="8" t="s">
        <v>42</v>
      </c>
      <c r="C176" s="8">
        <v>17399984000</v>
      </c>
      <c r="D176" s="8">
        <v>3168367000</v>
      </c>
      <c r="E176" s="10">
        <v>1482291000</v>
      </c>
      <c r="F176" s="8">
        <v>1482291000</v>
      </c>
      <c r="G176" s="8" t="s">
        <v>43</v>
      </c>
      <c r="H176" s="8">
        <v>1201429000</v>
      </c>
      <c r="I176" s="9">
        <v>14232000000</v>
      </c>
      <c r="J176" s="8" t="s">
        <v>43</v>
      </c>
      <c r="K176" s="10" t="s">
        <v>43</v>
      </c>
      <c r="L176" s="8">
        <v>6080912000</v>
      </c>
      <c r="M176" s="8">
        <v>6080912000</v>
      </c>
      <c r="N176" s="8">
        <v>4114421000</v>
      </c>
      <c r="O176" s="10" t="s">
        <v>43</v>
      </c>
      <c r="P176" s="10" t="s">
        <v>43</v>
      </c>
      <c r="Q176" s="8" t="s">
        <v>43</v>
      </c>
      <c r="R176" s="10">
        <v>484647000</v>
      </c>
      <c r="S176" s="8" t="s">
        <v>43</v>
      </c>
      <c r="T176" s="9">
        <v>24455000000</v>
      </c>
      <c r="U176" s="8">
        <v>1889215000</v>
      </c>
      <c r="V176" s="10" t="s">
        <v>43</v>
      </c>
      <c r="W176" s="10" t="s">
        <v>43</v>
      </c>
      <c r="X176" s="10" t="s">
        <v>43</v>
      </c>
      <c r="Y176" s="8">
        <v>800184000</v>
      </c>
      <c r="Z176" s="9">
        <v>22566000000</v>
      </c>
      <c r="AA176" s="10" t="s">
        <v>43</v>
      </c>
      <c r="AB176" s="10" t="s">
        <v>43</v>
      </c>
      <c r="AC176" s="8" t="s">
        <v>43</v>
      </c>
      <c r="AD176" s="8" t="s">
        <v>43</v>
      </c>
      <c r="AE176" s="9">
        <v>20377000000</v>
      </c>
      <c r="AF176" s="8">
        <v>891621000</v>
      </c>
      <c r="AG176" s="8" t="s">
        <v>43</v>
      </c>
      <c r="AH176" s="9">
        <v>-7505000000</v>
      </c>
      <c r="AI176" s="8" t="s">
        <v>43</v>
      </c>
      <c r="AJ176" s="9">
        <v>-9251000000</v>
      </c>
      <c r="AK176" s="8">
        <v>82000</v>
      </c>
      <c r="AL176" s="8">
        <v>81427000</v>
      </c>
      <c r="AM176" s="8"/>
      <c r="AN176" s="8"/>
      <c r="AO176" s="8"/>
      <c r="AP176" s="8"/>
    </row>
    <row r="177" spans="1:42" ht="17">
      <c r="A177" s="8" t="s">
        <v>63</v>
      </c>
      <c r="B177" s="8" t="s">
        <v>42</v>
      </c>
      <c r="C177" s="8">
        <v>18047101000</v>
      </c>
      <c r="D177" s="8">
        <v>3658845000</v>
      </c>
      <c r="E177" s="10">
        <v>1883994000</v>
      </c>
      <c r="F177" s="8">
        <v>1883994000</v>
      </c>
      <c r="G177" s="8">
        <v>81669000</v>
      </c>
      <c r="H177" s="8">
        <v>1301700000</v>
      </c>
      <c r="I177" s="9">
        <v>14388000000</v>
      </c>
      <c r="J177" s="8" t="s">
        <v>43</v>
      </c>
      <c r="K177" s="10" t="s">
        <v>43</v>
      </c>
      <c r="L177" s="8">
        <v>6161301000</v>
      </c>
      <c r="M177" s="8">
        <v>6161301000</v>
      </c>
      <c r="N177" s="8">
        <v>4125005000</v>
      </c>
      <c r="O177" s="10" t="s">
        <v>43</v>
      </c>
      <c r="P177" s="10" t="s">
        <v>43</v>
      </c>
      <c r="Q177" s="8" t="s">
        <v>43</v>
      </c>
      <c r="R177" s="10">
        <v>473151000</v>
      </c>
      <c r="S177" s="8" t="s">
        <v>43</v>
      </c>
      <c r="T177" s="9">
        <v>24436000000</v>
      </c>
      <c r="U177" s="8">
        <v>1544136000</v>
      </c>
      <c r="V177" s="10">
        <v>132193000</v>
      </c>
      <c r="W177" s="10" t="s">
        <v>43</v>
      </c>
      <c r="X177" s="10" t="s">
        <v>43</v>
      </c>
      <c r="Y177" s="8">
        <v>398779000</v>
      </c>
      <c r="Z177" s="9">
        <v>22892000000</v>
      </c>
      <c r="AA177" s="10" t="s">
        <v>43</v>
      </c>
      <c r="AB177" s="10" t="s">
        <v>43</v>
      </c>
      <c r="AC177" s="8" t="s">
        <v>43</v>
      </c>
      <c r="AD177" s="8" t="s">
        <v>43</v>
      </c>
      <c r="AE177" s="9">
        <v>20702000000</v>
      </c>
      <c r="AF177" s="8">
        <v>863547000</v>
      </c>
      <c r="AG177" s="8" t="s">
        <v>43</v>
      </c>
      <c r="AH177" s="9">
        <v>-6845000000</v>
      </c>
      <c r="AI177" s="8" t="s">
        <v>43</v>
      </c>
      <c r="AJ177" s="9">
        <v>-9076000000</v>
      </c>
      <c r="AK177" s="8">
        <v>82000</v>
      </c>
      <c r="AL177" s="8">
        <v>81427000</v>
      </c>
      <c r="AM177" s="8"/>
      <c r="AN177" s="8"/>
      <c r="AO177" s="8"/>
      <c r="AP177" s="8"/>
    </row>
    <row r="178" spans="1:42" ht="17">
      <c r="A178" s="8" t="s">
        <v>136</v>
      </c>
      <c r="B178" s="8" t="s">
        <v>42</v>
      </c>
      <c r="C178" s="8">
        <v>17696076000</v>
      </c>
      <c r="D178" s="8">
        <v>3065422000</v>
      </c>
      <c r="E178" s="10">
        <v>1374770000</v>
      </c>
      <c r="F178" s="8">
        <v>1374770000</v>
      </c>
      <c r="G178" s="8">
        <v>96253000</v>
      </c>
      <c r="H178" s="8">
        <v>1312295000</v>
      </c>
      <c r="I178" s="9">
        <v>14631000000</v>
      </c>
      <c r="J178" s="8" t="s">
        <v>43</v>
      </c>
      <c r="K178" s="10" t="s">
        <v>43</v>
      </c>
      <c r="L178" s="8">
        <v>6271052000</v>
      </c>
      <c r="M178" s="8">
        <v>6271052000</v>
      </c>
      <c r="N178" s="8">
        <v>4176813000</v>
      </c>
      <c r="O178" s="10" t="s">
        <v>43</v>
      </c>
      <c r="P178" s="10" t="s">
        <v>43</v>
      </c>
      <c r="Q178" s="8" t="s">
        <v>43</v>
      </c>
      <c r="R178" s="10">
        <v>378357000</v>
      </c>
      <c r="S178" s="8" t="s">
        <v>43</v>
      </c>
      <c r="T178" s="9">
        <v>24717000000</v>
      </c>
      <c r="U178" s="8">
        <v>1557463000</v>
      </c>
      <c r="V178" s="10">
        <v>105986000</v>
      </c>
      <c r="W178" s="10" t="s">
        <v>43</v>
      </c>
      <c r="X178" s="10" t="s">
        <v>43</v>
      </c>
      <c r="Y178" s="8">
        <v>443615000</v>
      </c>
      <c r="Z178" s="9">
        <v>23159000000</v>
      </c>
      <c r="AA178" s="10" t="s">
        <v>43</v>
      </c>
      <c r="AB178" s="10" t="s">
        <v>43</v>
      </c>
      <c r="AC178" s="8" t="s">
        <v>43</v>
      </c>
      <c r="AD178" s="8" t="s">
        <v>43</v>
      </c>
      <c r="AE178" s="9">
        <v>20264000000</v>
      </c>
      <c r="AF178" s="8">
        <v>813266000</v>
      </c>
      <c r="AG178" s="8" t="s">
        <v>43</v>
      </c>
      <c r="AH178" s="9">
        <v>-7468000000</v>
      </c>
      <c r="AI178" s="8" t="s">
        <v>43</v>
      </c>
      <c r="AJ178" s="9">
        <v>-9223000000</v>
      </c>
      <c r="AK178" s="8">
        <v>82000</v>
      </c>
      <c r="AL178" s="8">
        <v>81427000</v>
      </c>
      <c r="AM178" s="8"/>
      <c r="AN178" s="8"/>
      <c r="AO178" s="8"/>
      <c r="AP178" s="8"/>
    </row>
    <row r="179" spans="1:42" ht="17">
      <c r="A179" s="8" t="s">
        <v>137</v>
      </c>
      <c r="B179" s="8" t="s">
        <v>42</v>
      </c>
      <c r="C179" s="8">
        <v>17897885000</v>
      </c>
      <c r="D179" s="8">
        <v>3228961000</v>
      </c>
      <c r="E179" s="10">
        <v>1497502000</v>
      </c>
      <c r="F179" s="8">
        <v>1497502000</v>
      </c>
      <c r="G179" s="8">
        <v>104602000</v>
      </c>
      <c r="H179" s="8">
        <v>1348749000</v>
      </c>
      <c r="I179" s="9">
        <v>14669000000</v>
      </c>
      <c r="J179" s="8" t="s">
        <v>43</v>
      </c>
      <c r="K179" s="10" t="s">
        <v>43</v>
      </c>
      <c r="L179" s="8">
        <v>6348590000</v>
      </c>
      <c r="M179" s="8">
        <v>6348590000</v>
      </c>
      <c r="N179" s="8">
        <v>4094910000</v>
      </c>
      <c r="O179" s="10" t="s">
        <v>43</v>
      </c>
      <c r="P179" s="10" t="s">
        <v>43</v>
      </c>
      <c r="Q179" s="8" t="s">
        <v>43</v>
      </c>
      <c r="R179" s="10">
        <v>382710000</v>
      </c>
      <c r="S179" s="8" t="s">
        <v>43</v>
      </c>
      <c r="T179" s="9">
        <v>24868000000</v>
      </c>
      <c r="U179" s="8">
        <v>1489018000</v>
      </c>
      <c r="V179" s="10">
        <v>119742000</v>
      </c>
      <c r="W179" s="10" t="s">
        <v>43</v>
      </c>
      <c r="X179" s="10" t="s">
        <v>43</v>
      </c>
      <c r="Y179" s="8">
        <v>298531000</v>
      </c>
      <c r="Z179" s="9">
        <v>23379000000</v>
      </c>
      <c r="AA179" s="10" t="s">
        <v>43</v>
      </c>
      <c r="AB179" s="10" t="s">
        <v>43</v>
      </c>
      <c r="AC179" s="8" t="s">
        <v>43</v>
      </c>
      <c r="AD179" s="8" t="s">
        <v>43</v>
      </c>
      <c r="AE179" s="9">
        <v>20546000000</v>
      </c>
      <c r="AF179" s="8">
        <v>870011000</v>
      </c>
      <c r="AG179" s="8" t="s">
        <v>43</v>
      </c>
      <c r="AH179" s="9">
        <v>-7429000000</v>
      </c>
      <c r="AI179" s="8" t="s">
        <v>43</v>
      </c>
      <c r="AJ179" s="9">
        <v>-9134000000</v>
      </c>
      <c r="AK179" s="8">
        <v>82000</v>
      </c>
      <c r="AL179" s="8">
        <v>81224000</v>
      </c>
      <c r="AM179" s="8"/>
      <c r="AN179" s="8"/>
      <c r="AO179" s="8"/>
      <c r="AP179" s="8"/>
    </row>
    <row r="180" spans="1:42" ht="17">
      <c r="A180" s="8" t="s">
        <v>138</v>
      </c>
      <c r="B180" s="8" t="s">
        <v>42</v>
      </c>
      <c r="C180" s="8">
        <v>22029059000</v>
      </c>
      <c r="D180" s="8">
        <v>3231932000</v>
      </c>
      <c r="E180" s="10">
        <v>1574800000</v>
      </c>
      <c r="F180" s="8">
        <v>1574800000</v>
      </c>
      <c r="G180" s="8">
        <v>130346000</v>
      </c>
      <c r="H180" s="8">
        <v>1223406000</v>
      </c>
      <c r="I180" s="9">
        <v>18797000000</v>
      </c>
      <c r="J180" s="8" t="s">
        <v>43</v>
      </c>
      <c r="K180" s="10" t="s">
        <v>43</v>
      </c>
      <c r="L180" s="8">
        <v>7210074000</v>
      </c>
      <c r="M180" s="8">
        <v>7210074000</v>
      </c>
      <c r="N180" s="8">
        <v>7191791000</v>
      </c>
      <c r="O180" s="10" t="s">
        <v>43</v>
      </c>
      <c r="P180" s="10" t="s">
        <v>43</v>
      </c>
      <c r="Q180" s="8" t="s">
        <v>43</v>
      </c>
      <c r="R180" s="10">
        <v>433726000</v>
      </c>
      <c r="S180" s="8" t="s">
        <v>43</v>
      </c>
      <c r="T180" s="9">
        <v>25413000000</v>
      </c>
      <c r="U180" s="8">
        <v>1934746000</v>
      </c>
      <c r="V180" s="10">
        <v>109116000</v>
      </c>
      <c r="W180" s="10" t="s">
        <v>43</v>
      </c>
      <c r="X180" s="10" t="s">
        <v>43</v>
      </c>
      <c r="Y180" s="8">
        <v>803438000</v>
      </c>
      <c r="Z180" s="9">
        <v>23478000000</v>
      </c>
      <c r="AA180" s="10" t="s">
        <v>43</v>
      </c>
      <c r="AB180" s="10" t="s">
        <v>43</v>
      </c>
      <c r="AC180" s="8" t="s">
        <v>43</v>
      </c>
      <c r="AD180" s="8" t="s">
        <v>43</v>
      </c>
      <c r="AE180" s="9">
        <v>21017000000</v>
      </c>
      <c r="AF180" s="8">
        <v>816800000</v>
      </c>
      <c r="AG180" s="8" t="s">
        <v>43</v>
      </c>
      <c r="AH180" s="9">
        <v>-3827000000</v>
      </c>
      <c r="AI180" s="8" t="s">
        <v>43</v>
      </c>
      <c r="AJ180" s="9">
        <v>-5460000000</v>
      </c>
      <c r="AK180" s="8">
        <v>82000</v>
      </c>
      <c r="AL180" s="8">
        <v>81242000</v>
      </c>
      <c r="AM180" s="8"/>
      <c r="AN180" s="8"/>
      <c r="AO180" s="8"/>
      <c r="AP180" s="8"/>
    </row>
    <row r="181" spans="1:42" ht="17">
      <c r="A181" s="8" t="s">
        <v>64</v>
      </c>
      <c r="B181" s="8" t="s">
        <v>42</v>
      </c>
      <c r="C181" s="8">
        <v>21125463000</v>
      </c>
      <c r="D181" s="8">
        <v>2066555000</v>
      </c>
      <c r="E181" s="10">
        <v>239846000</v>
      </c>
      <c r="F181" s="8">
        <v>239846000</v>
      </c>
      <c r="G181" s="8">
        <v>133217000</v>
      </c>
      <c r="H181" s="8">
        <v>1477919000</v>
      </c>
      <c r="I181" s="9">
        <v>19059000000</v>
      </c>
      <c r="J181" s="8" t="s">
        <v>43</v>
      </c>
      <c r="K181" s="10" t="s">
        <v>43</v>
      </c>
      <c r="L181" s="8">
        <v>7430591000</v>
      </c>
      <c r="M181" s="8">
        <v>7430591000</v>
      </c>
      <c r="N181" s="8">
        <v>7090621000</v>
      </c>
      <c r="O181" s="10" t="s">
        <v>43</v>
      </c>
      <c r="P181" s="10" t="s">
        <v>43</v>
      </c>
      <c r="Q181" s="8" t="s">
        <v>43</v>
      </c>
      <c r="R181" s="10">
        <v>348790000</v>
      </c>
      <c r="S181" s="8" t="s">
        <v>43</v>
      </c>
      <c r="T181" s="9">
        <v>23615000000</v>
      </c>
      <c r="U181" s="8">
        <v>1845946000</v>
      </c>
      <c r="V181" s="10">
        <v>155240000</v>
      </c>
      <c r="W181" s="10" t="s">
        <v>43</v>
      </c>
      <c r="X181" s="10" t="s">
        <v>43</v>
      </c>
      <c r="Y181" s="8">
        <v>562923000</v>
      </c>
      <c r="Z181" s="9">
        <v>21770000000</v>
      </c>
      <c r="AA181" s="10" t="s">
        <v>43</v>
      </c>
      <c r="AB181" s="10" t="s">
        <v>43</v>
      </c>
      <c r="AC181" s="8" t="s">
        <v>43</v>
      </c>
      <c r="AD181" s="8" t="s">
        <v>43</v>
      </c>
      <c r="AE181" s="9">
        <v>19504000000</v>
      </c>
      <c r="AF181" s="8">
        <v>974630000</v>
      </c>
      <c r="AG181" s="8" t="s">
        <v>43</v>
      </c>
      <c r="AH181" s="9">
        <v>-2916000000</v>
      </c>
      <c r="AI181" s="8" t="s">
        <v>43</v>
      </c>
      <c r="AJ181" s="9">
        <v>-5042000000</v>
      </c>
      <c r="AK181" s="8">
        <v>82000</v>
      </c>
      <c r="AL181" s="8">
        <v>219316000</v>
      </c>
      <c r="AM181" s="8"/>
      <c r="AN181" s="8"/>
      <c r="AO181" s="8"/>
      <c r="AP181" s="8"/>
    </row>
    <row r="182" spans="1:42" ht="17">
      <c r="A182" s="8" t="s">
        <v>139</v>
      </c>
      <c r="B182" s="8" t="s">
        <v>42</v>
      </c>
      <c r="C182" s="8">
        <v>25146094000</v>
      </c>
      <c r="D182" s="8">
        <v>1021987000</v>
      </c>
      <c r="E182" s="10">
        <v>154583000</v>
      </c>
      <c r="F182" s="8">
        <v>154583000</v>
      </c>
      <c r="G182" s="8" t="s">
        <v>43</v>
      </c>
      <c r="H182" s="8">
        <v>712415000</v>
      </c>
      <c r="I182" s="9">
        <v>24124000000</v>
      </c>
      <c r="J182" s="8" t="s">
        <v>43</v>
      </c>
      <c r="K182" s="10" t="s">
        <v>43</v>
      </c>
      <c r="L182" s="8">
        <v>312019000</v>
      </c>
      <c r="M182" s="8">
        <v>312019000</v>
      </c>
      <c r="N182" s="8">
        <v>6375811000</v>
      </c>
      <c r="O182" s="10" t="s">
        <v>43</v>
      </c>
      <c r="P182" s="10" t="s">
        <v>43</v>
      </c>
      <c r="Q182" s="8">
        <v>6942706000</v>
      </c>
      <c r="R182" s="10">
        <v>154989000</v>
      </c>
      <c r="S182" s="8" t="s">
        <v>43</v>
      </c>
      <c r="T182" s="9">
        <v>23287000000</v>
      </c>
      <c r="U182" s="8">
        <v>1307680000</v>
      </c>
      <c r="V182" s="10">
        <v>25191000</v>
      </c>
      <c r="W182" s="10" t="s">
        <v>43</v>
      </c>
      <c r="X182" s="10" t="s">
        <v>43</v>
      </c>
      <c r="Y182" s="8" t="s">
        <v>43</v>
      </c>
      <c r="Z182" s="9">
        <v>21980000000</v>
      </c>
      <c r="AA182" s="10" t="s">
        <v>43</v>
      </c>
      <c r="AB182" s="10" t="s">
        <v>43</v>
      </c>
      <c r="AC182" s="8" t="s">
        <v>43</v>
      </c>
      <c r="AD182" s="8" t="s">
        <v>43</v>
      </c>
      <c r="AE182" s="9">
        <v>19032000000</v>
      </c>
      <c r="AF182" s="8">
        <v>1233668000</v>
      </c>
      <c r="AG182" s="8" t="s">
        <v>43</v>
      </c>
      <c r="AH182" s="8">
        <v>1858698000</v>
      </c>
      <c r="AI182" s="8" t="s">
        <v>43</v>
      </c>
      <c r="AJ182" s="8">
        <v>-45000000</v>
      </c>
      <c r="AK182" s="8" t="s">
        <v>43</v>
      </c>
      <c r="AL182" s="8">
        <v>219316000</v>
      </c>
      <c r="AM182" s="8"/>
      <c r="AN182" s="8"/>
      <c r="AO182" s="8"/>
      <c r="AP182" s="8"/>
    </row>
    <row r="183" spans="1:42" ht="17">
      <c r="A183" s="8" t="s">
        <v>140</v>
      </c>
      <c r="B183" s="8" t="s">
        <v>42</v>
      </c>
      <c r="C183" s="8">
        <v>19078372000</v>
      </c>
      <c r="D183" s="8">
        <v>2908899000</v>
      </c>
      <c r="E183" s="10">
        <v>668093000</v>
      </c>
      <c r="F183" s="8">
        <v>668093000</v>
      </c>
      <c r="G183" s="8">
        <v>138527000</v>
      </c>
      <c r="H183" s="8">
        <v>1773939000</v>
      </c>
      <c r="I183" s="9">
        <v>16169000000</v>
      </c>
      <c r="J183" s="8" t="s">
        <v>43</v>
      </c>
      <c r="K183" s="10" t="s">
        <v>43</v>
      </c>
      <c r="L183" s="8">
        <v>4990330000</v>
      </c>
      <c r="M183" s="8">
        <v>4990330000</v>
      </c>
      <c r="N183" s="8">
        <v>7256252000</v>
      </c>
      <c r="O183" s="10" t="s">
        <v>43</v>
      </c>
      <c r="P183" s="10" t="s">
        <v>43</v>
      </c>
      <c r="Q183" s="8" t="s">
        <v>43</v>
      </c>
      <c r="R183" s="10">
        <v>466867000</v>
      </c>
      <c r="S183" s="8" t="s">
        <v>43</v>
      </c>
      <c r="T183" s="8">
        <v>8731678000</v>
      </c>
      <c r="U183" s="8">
        <v>2657370000</v>
      </c>
      <c r="V183" s="10">
        <v>141301000</v>
      </c>
      <c r="W183" s="10" t="s">
        <v>43</v>
      </c>
      <c r="X183" s="10" t="s">
        <v>43</v>
      </c>
      <c r="Y183" s="8">
        <v>1228415000</v>
      </c>
      <c r="Z183" s="8">
        <v>6074308000</v>
      </c>
      <c r="AA183" s="10" t="s">
        <v>43</v>
      </c>
      <c r="AB183" s="10" t="s">
        <v>43</v>
      </c>
      <c r="AC183" s="8" t="s">
        <v>43</v>
      </c>
      <c r="AD183" s="8" t="s">
        <v>43</v>
      </c>
      <c r="AE183" s="8">
        <v>5963608000</v>
      </c>
      <c r="AF183" s="8">
        <v>920358000</v>
      </c>
      <c r="AG183" s="8" t="s">
        <v>43</v>
      </c>
      <c r="AH183" s="8">
        <v>9876035000</v>
      </c>
      <c r="AI183" s="8" t="s">
        <v>43</v>
      </c>
      <c r="AJ183" s="9">
        <v>-17410000000</v>
      </c>
      <c r="AK183" s="8">
        <v>49837000</v>
      </c>
      <c r="AL183" s="8">
        <v>496887000</v>
      </c>
      <c r="AM183" s="8"/>
      <c r="AN183" s="8"/>
      <c r="AO183" s="8"/>
      <c r="AP183" s="8"/>
    </row>
    <row r="184" spans="1:42" ht="17">
      <c r="A184" s="8" t="s">
        <v>141</v>
      </c>
      <c r="B184" s="8" t="s">
        <v>42</v>
      </c>
      <c r="C184" s="8" t="s">
        <v>43</v>
      </c>
      <c r="D184" s="8" t="s">
        <v>43</v>
      </c>
      <c r="E184" s="10" t="s">
        <v>43</v>
      </c>
      <c r="F184" s="8" t="s">
        <v>43</v>
      </c>
      <c r="G184" s="8" t="s">
        <v>43</v>
      </c>
      <c r="H184" s="8" t="s">
        <v>43</v>
      </c>
      <c r="I184" s="8" t="s">
        <v>43</v>
      </c>
      <c r="J184" s="8" t="s">
        <v>43</v>
      </c>
      <c r="K184" s="10" t="s">
        <v>43</v>
      </c>
      <c r="L184" s="8" t="s">
        <v>43</v>
      </c>
      <c r="M184" s="8" t="s">
        <v>43</v>
      </c>
      <c r="N184" s="8" t="s">
        <v>43</v>
      </c>
      <c r="O184" s="10" t="s">
        <v>43</v>
      </c>
      <c r="P184" s="10" t="s">
        <v>43</v>
      </c>
      <c r="Q184" s="8" t="s">
        <v>43</v>
      </c>
      <c r="R184" s="10" t="s">
        <v>43</v>
      </c>
      <c r="S184" s="8" t="s">
        <v>43</v>
      </c>
      <c r="T184" s="8" t="s">
        <v>43</v>
      </c>
      <c r="U184" s="8" t="s">
        <v>43</v>
      </c>
      <c r="V184" s="10" t="s">
        <v>43</v>
      </c>
      <c r="W184" s="10" t="s">
        <v>43</v>
      </c>
      <c r="X184" s="10" t="s">
        <v>43</v>
      </c>
      <c r="Y184" s="8" t="s">
        <v>43</v>
      </c>
      <c r="Z184" s="8" t="s">
        <v>43</v>
      </c>
      <c r="AA184" s="10" t="s">
        <v>43</v>
      </c>
      <c r="AB184" s="10" t="s">
        <v>43</v>
      </c>
      <c r="AC184" s="8" t="s">
        <v>43</v>
      </c>
      <c r="AD184" s="8" t="s">
        <v>43</v>
      </c>
      <c r="AE184" s="8" t="s">
        <v>43</v>
      </c>
      <c r="AF184" s="8" t="s">
        <v>43</v>
      </c>
      <c r="AG184" s="8" t="s">
        <v>43</v>
      </c>
      <c r="AH184" s="8" t="s">
        <v>43</v>
      </c>
      <c r="AI184" s="8" t="s">
        <v>43</v>
      </c>
      <c r="AJ184" s="8" t="s">
        <v>43</v>
      </c>
      <c r="AK184" s="8" t="s">
        <v>43</v>
      </c>
      <c r="AL184" s="8">
        <v>496388000</v>
      </c>
      <c r="AM184" s="8"/>
      <c r="AN184" s="8"/>
      <c r="AO184" s="8"/>
      <c r="AP184" s="8"/>
    </row>
    <row r="185" spans="1:42" ht="17">
      <c r="A185" s="8" t="s">
        <v>142</v>
      </c>
      <c r="B185" s="8" t="s">
        <v>42</v>
      </c>
      <c r="C185" s="8" t="s">
        <v>43</v>
      </c>
      <c r="D185" s="8" t="s">
        <v>43</v>
      </c>
      <c r="E185" s="10" t="s">
        <v>43</v>
      </c>
      <c r="F185" s="8" t="s">
        <v>43</v>
      </c>
      <c r="G185" s="8" t="s">
        <v>43</v>
      </c>
      <c r="H185" s="8" t="s">
        <v>43</v>
      </c>
      <c r="I185" s="8" t="s">
        <v>43</v>
      </c>
      <c r="J185" s="8" t="s">
        <v>43</v>
      </c>
      <c r="K185" s="10" t="s">
        <v>43</v>
      </c>
      <c r="L185" s="8" t="s">
        <v>43</v>
      </c>
      <c r="M185" s="8" t="s">
        <v>43</v>
      </c>
      <c r="N185" s="8" t="s">
        <v>43</v>
      </c>
      <c r="O185" s="10" t="s">
        <v>43</v>
      </c>
      <c r="P185" s="10" t="s">
        <v>43</v>
      </c>
      <c r="Q185" s="8" t="s">
        <v>43</v>
      </c>
      <c r="R185" s="10" t="s">
        <v>43</v>
      </c>
      <c r="S185" s="8" t="s">
        <v>43</v>
      </c>
      <c r="T185" s="8" t="s">
        <v>43</v>
      </c>
      <c r="U185" s="8" t="s">
        <v>43</v>
      </c>
      <c r="V185" s="10" t="s">
        <v>43</v>
      </c>
      <c r="W185" s="10" t="s">
        <v>43</v>
      </c>
      <c r="X185" s="10" t="s">
        <v>43</v>
      </c>
      <c r="Y185" s="8" t="s">
        <v>43</v>
      </c>
      <c r="Z185" s="8" t="s">
        <v>43</v>
      </c>
      <c r="AA185" s="10" t="s">
        <v>43</v>
      </c>
      <c r="AB185" s="10" t="s">
        <v>43</v>
      </c>
      <c r="AC185" s="8" t="s">
        <v>43</v>
      </c>
      <c r="AD185" s="8" t="s">
        <v>43</v>
      </c>
      <c r="AE185" s="8" t="s">
        <v>43</v>
      </c>
      <c r="AF185" s="8" t="s">
        <v>43</v>
      </c>
      <c r="AG185" s="8" t="s">
        <v>43</v>
      </c>
      <c r="AH185" s="8" t="s">
        <v>43</v>
      </c>
      <c r="AI185" s="8" t="s">
        <v>43</v>
      </c>
      <c r="AJ185" s="8" t="s">
        <v>43</v>
      </c>
      <c r="AK185" s="8" t="s">
        <v>43</v>
      </c>
      <c r="AL185" s="8">
        <v>495688000</v>
      </c>
      <c r="AM185" s="8"/>
      <c r="AN185" s="8"/>
      <c r="AO185" s="8"/>
      <c r="AP185" s="8"/>
    </row>
    <row r="186" spans="1:42" ht="16">
      <c r="A186" s="8"/>
      <c r="B186" s="8"/>
      <c r="C186" s="8"/>
      <c r="D186" s="8"/>
      <c r="E186" s="10"/>
      <c r="F186" s="8"/>
      <c r="G186" s="8"/>
      <c r="H186" s="8"/>
      <c r="I186" s="8"/>
      <c r="J186" s="8"/>
      <c r="K186" s="10"/>
      <c r="L186" s="8"/>
      <c r="M186" s="8"/>
      <c r="N186" s="8"/>
      <c r="O186" s="10"/>
      <c r="P186" s="10"/>
      <c r="Q186" s="8"/>
      <c r="R186" s="10"/>
      <c r="S186" s="8"/>
      <c r="T186" s="8"/>
      <c r="U186" s="8"/>
      <c r="V186" s="10"/>
      <c r="W186" s="10"/>
      <c r="X186" s="10"/>
      <c r="Y186" s="8"/>
      <c r="Z186" s="8"/>
      <c r="AA186" s="10"/>
      <c r="AB186" s="10"/>
      <c r="AC186" s="8"/>
      <c r="AD186" s="8"/>
      <c r="AE186" s="8"/>
      <c r="AF186" s="8"/>
      <c r="AG186" s="8"/>
      <c r="AH186" s="8"/>
      <c r="AI186" s="8"/>
      <c r="AJ186" s="8"/>
      <c r="AK186" s="8"/>
      <c r="AL186" s="8"/>
      <c r="AM186" s="8"/>
      <c r="AN186" s="8"/>
      <c r="AO186" s="8"/>
      <c r="AP186" s="8"/>
    </row>
    <row r="187" spans="1:42" ht="16">
      <c r="A187" s="8" t="s">
        <v>57</v>
      </c>
      <c r="B187" s="8"/>
      <c r="C187" s="8"/>
      <c r="D187" s="8"/>
      <c r="E187" s="10"/>
      <c r="F187" s="8"/>
      <c r="G187" s="8"/>
      <c r="H187" s="8"/>
      <c r="I187" s="8"/>
      <c r="J187" s="8"/>
      <c r="K187" s="10"/>
      <c r="L187" s="8"/>
      <c r="M187" s="8"/>
      <c r="N187" s="8"/>
      <c r="O187" s="10"/>
      <c r="P187" s="10"/>
      <c r="Q187" s="8"/>
      <c r="R187" s="10"/>
      <c r="S187" s="8"/>
      <c r="T187" s="8"/>
      <c r="U187" s="8"/>
      <c r="V187" s="10"/>
      <c r="W187" s="10"/>
      <c r="X187" s="10"/>
      <c r="Y187" s="8"/>
      <c r="Z187" s="8"/>
      <c r="AA187" s="10"/>
      <c r="AB187" s="10"/>
      <c r="AC187" s="8"/>
      <c r="AD187" s="8"/>
      <c r="AE187" s="8"/>
      <c r="AF187" s="8"/>
      <c r="AG187" s="8"/>
      <c r="AH187" s="8"/>
      <c r="AI187" s="8"/>
      <c r="AJ187" s="8"/>
      <c r="AK187" s="8"/>
      <c r="AL187" s="8"/>
      <c r="AM187" s="8"/>
      <c r="AN187" s="8"/>
      <c r="AO187" s="8"/>
      <c r="AP187" s="8"/>
    </row>
    <row r="188" spans="1:42" ht="34">
      <c r="A188" s="8" t="s">
        <v>14</v>
      </c>
      <c r="B188" s="8" t="s">
        <v>15</v>
      </c>
      <c r="C188" s="8" t="s">
        <v>163</v>
      </c>
      <c r="D188" s="8" t="s">
        <v>164</v>
      </c>
      <c r="E188" s="10" t="s">
        <v>165</v>
      </c>
      <c r="F188" s="8" t="s">
        <v>166</v>
      </c>
      <c r="G188" s="8" t="s">
        <v>167</v>
      </c>
      <c r="H188" s="8" t="s">
        <v>168</v>
      </c>
      <c r="I188" s="8" t="s">
        <v>169</v>
      </c>
      <c r="J188" s="8" t="s">
        <v>170</v>
      </c>
      <c r="K188" s="10" t="s">
        <v>171</v>
      </c>
      <c r="L188" s="8" t="s">
        <v>172</v>
      </c>
      <c r="M188" s="8" t="s">
        <v>173</v>
      </c>
      <c r="N188" s="8" t="s">
        <v>174</v>
      </c>
      <c r="O188" s="10" t="s">
        <v>175</v>
      </c>
      <c r="P188" s="10" t="s">
        <v>176</v>
      </c>
      <c r="Q188" s="8" t="s">
        <v>177</v>
      </c>
      <c r="R188" s="10" t="s">
        <v>178</v>
      </c>
      <c r="S188" s="8" t="s">
        <v>179</v>
      </c>
      <c r="T188" s="8" t="s">
        <v>180</v>
      </c>
      <c r="U188" s="8" t="s">
        <v>181</v>
      </c>
      <c r="V188" s="10" t="s">
        <v>182</v>
      </c>
      <c r="W188" s="10" t="s">
        <v>100</v>
      </c>
      <c r="X188" s="10" t="s">
        <v>101</v>
      </c>
      <c r="Y188" s="8" t="s">
        <v>102</v>
      </c>
      <c r="Z188" s="8" t="s">
        <v>103</v>
      </c>
      <c r="AA188" s="10" t="s">
        <v>104</v>
      </c>
      <c r="AB188" s="10" t="s">
        <v>105</v>
      </c>
      <c r="AC188" s="8" t="s">
        <v>39</v>
      </c>
      <c r="AD188" s="8"/>
      <c r="AE188" s="8"/>
      <c r="AF188" s="8"/>
      <c r="AG188" s="8"/>
      <c r="AH188" s="8"/>
      <c r="AI188" s="8"/>
      <c r="AJ188" s="8"/>
      <c r="AK188" s="8"/>
      <c r="AL188" s="8"/>
      <c r="AM188" s="8"/>
      <c r="AN188" s="8"/>
      <c r="AO188" s="8"/>
      <c r="AP188" s="8"/>
    </row>
    <row r="189" spans="1:42" ht="17">
      <c r="A189" s="8" t="s">
        <v>41</v>
      </c>
      <c r="B189" s="8" t="s">
        <v>42</v>
      </c>
      <c r="C189" s="8">
        <v>71429000</v>
      </c>
      <c r="D189" s="8" t="s">
        <v>43</v>
      </c>
      <c r="E189" s="10" t="s">
        <v>43</v>
      </c>
      <c r="F189" s="8" t="s">
        <v>43</v>
      </c>
      <c r="G189" s="8" t="s">
        <v>43</v>
      </c>
      <c r="H189" s="8">
        <v>409582000</v>
      </c>
      <c r="I189" s="8">
        <v>97594000</v>
      </c>
      <c r="J189" s="8" t="s">
        <v>43</v>
      </c>
      <c r="K189" s="10" t="s">
        <v>43</v>
      </c>
      <c r="L189" s="8" t="s">
        <v>43</v>
      </c>
      <c r="M189" s="8" t="s">
        <v>43</v>
      </c>
      <c r="N189" s="8">
        <v>-158345000</v>
      </c>
      <c r="O189" s="10" t="s">
        <v>43</v>
      </c>
      <c r="P189" s="10" t="s">
        <v>43</v>
      </c>
      <c r="Q189" s="8" t="s">
        <v>43</v>
      </c>
      <c r="R189" s="10" t="s">
        <v>43</v>
      </c>
      <c r="S189" s="8">
        <v>4555000</v>
      </c>
      <c r="T189" s="8">
        <v>4555000</v>
      </c>
      <c r="U189" s="8" t="s">
        <v>43</v>
      </c>
      <c r="V189" s="10" t="s">
        <v>43</v>
      </c>
      <c r="W189" s="10" t="s">
        <v>43</v>
      </c>
      <c r="X189" s="10" t="s">
        <v>43</v>
      </c>
      <c r="Y189" s="8" t="s">
        <v>43</v>
      </c>
      <c r="Z189" s="8" t="s">
        <v>43</v>
      </c>
      <c r="AA189" s="10" t="s">
        <v>43</v>
      </c>
      <c r="AB189" s="10" t="s">
        <v>43</v>
      </c>
      <c r="AC189" s="9">
        <v>-1009000000</v>
      </c>
      <c r="AD189" s="8"/>
      <c r="AE189" s="8"/>
      <c r="AF189" s="8"/>
      <c r="AG189" s="8"/>
      <c r="AH189" s="8"/>
      <c r="AI189" s="8"/>
      <c r="AJ189" s="8"/>
      <c r="AK189" s="8"/>
      <c r="AL189" s="8"/>
      <c r="AM189" s="8"/>
      <c r="AN189" s="8"/>
      <c r="AO189" s="8"/>
      <c r="AP189" s="8"/>
    </row>
    <row r="190" spans="1:42" ht="17">
      <c r="A190" s="8" t="s">
        <v>44</v>
      </c>
      <c r="B190" s="8" t="s">
        <v>42</v>
      </c>
      <c r="C190" s="8">
        <v>213062000</v>
      </c>
      <c r="D190" s="8" t="s">
        <v>43</v>
      </c>
      <c r="E190" s="10" t="s">
        <v>43</v>
      </c>
      <c r="F190" s="8" t="s">
        <v>43</v>
      </c>
      <c r="G190" s="8" t="s">
        <v>43</v>
      </c>
      <c r="H190" s="8">
        <v>428483000</v>
      </c>
      <c r="I190" s="8">
        <v>102670000</v>
      </c>
      <c r="J190" s="8" t="s">
        <v>43</v>
      </c>
      <c r="K190" s="10" t="s">
        <v>43</v>
      </c>
      <c r="L190" s="8" t="s">
        <v>43</v>
      </c>
      <c r="M190" s="8" t="s">
        <v>43</v>
      </c>
      <c r="N190" s="8">
        <v>-152158000</v>
      </c>
      <c r="O190" s="10" t="s">
        <v>43</v>
      </c>
      <c r="P190" s="10" t="s">
        <v>43</v>
      </c>
      <c r="Q190" s="8" t="s">
        <v>43</v>
      </c>
      <c r="R190" s="10" t="s">
        <v>43</v>
      </c>
      <c r="S190" s="8" t="s">
        <v>43</v>
      </c>
      <c r="T190" s="8" t="s">
        <v>43</v>
      </c>
      <c r="U190" s="8" t="s">
        <v>43</v>
      </c>
      <c r="V190" s="10" t="s">
        <v>43</v>
      </c>
      <c r="W190" s="10" t="s">
        <v>43</v>
      </c>
      <c r="X190" s="10" t="s">
        <v>43</v>
      </c>
      <c r="Y190" s="8" t="s">
        <v>43</v>
      </c>
      <c r="Z190" s="8" t="s">
        <v>43</v>
      </c>
      <c r="AA190" s="10" t="s">
        <v>43</v>
      </c>
      <c r="AB190" s="10" t="s">
        <v>43</v>
      </c>
      <c r="AC190" s="9">
        <v>-1103000000</v>
      </c>
      <c r="AD190" s="8"/>
      <c r="AE190" s="8"/>
      <c r="AF190" s="8"/>
      <c r="AG190" s="8"/>
      <c r="AH190" s="8"/>
      <c r="AI190" s="8"/>
      <c r="AJ190" s="8"/>
      <c r="AK190" s="8"/>
      <c r="AL190" s="8"/>
      <c r="AM190" s="8"/>
      <c r="AN190" s="8"/>
      <c r="AO190" s="8"/>
      <c r="AP190" s="8"/>
    </row>
    <row r="191" spans="1:42" ht="17">
      <c r="A191" s="8" t="s">
        <v>46</v>
      </c>
      <c r="B191" s="8" t="s">
        <v>42</v>
      </c>
      <c r="C191" s="8">
        <v>420075000</v>
      </c>
      <c r="D191" s="8" t="s">
        <v>43</v>
      </c>
      <c r="E191" s="10" t="s">
        <v>43</v>
      </c>
      <c r="F191" s="8" t="s">
        <v>43</v>
      </c>
      <c r="G191" s="8" t="s">
        <v>43</v>
      </c>
      <c r="H191" s="8">
        <v>445664000</v>
      </c>
      <c r="I191" s="8">
        <v>160969000</v>
      </c>
      <c r="J191" s="8" t="s">
        <v>43</v>
      </c>
      <c r="K191" s="10" t="s">
        <v>43</v>
      </c>
      <c r="L191" s="8" t="s">
        <v>43</v>
      </c>
      <c r="M191" s="8">
        <v>-129226000</v>
      </c>
      <c r="N191" s="8">
        <v>-306108000</v>
      </c>
      <c r="O191" s="10" t="s">
        <v>43</v>
      </c>
      <c r="P191" s="10" t="s">
        <v>43</v>
      </c>
      <c r="Q191" s="8" t="s">
        <v>43</v>
      </c>
      <c r="R191" s="10" t="s">
        <v>43</v>
      </c>
      <c r="S191" s="8" t="s">
        <v>43</v>
      </c>
      <c r="T191" s="8" t="s">
        <v>43</v>
      </c>
      <c r="U191" s="8" t="s">
        <v>43</v>
      </c>
      <c r="V191" s="10" t="s">
        <v>43</v>
      </c>
      <c r="W191" s="10" t="s">
        <v>43</v>
      </c>
      <c r="X191" s="10" t="s">
        <v>43</v>
      </c>
      <c r="Y191" s="8" t="s">
        <v>43</v>
      </c>
      <c r="Z191" s="8" t="s">
        <v>43</v>
      </c>
      <c r="AA191" s="10" t="s">
        <v>43</v>
      </c>
      <c r="AB191" s="10" t="s">
        <v>43</v>
      </c>
      <c r="AC191" s="8">
        <v>-262670000</v>
      </c>
      <c r="AD191" s="8"/>
      <c r="AE191" s="8"/>
      <c r="AF191" s="8"/>
      <c r="AG191" s="8"/>
      <c r="AH191" s="8"/>
      <c r="AI191" s="8"/>
      <c r="AJ191" s="8"/>
      <c r="AK191" s="8"/>
      <c r="AL191" s="8"/>
      <c r="AM191" s="8"/>
      <c r="AN191" s="8"/>
      <c r="AO191" s="8"/>
      <c r="AP191" s="8"/>
    </row>
    <row r="192" spans="1:42" ht="17">
      <c r="A192" s="8" t="s">
        <v>47</v>
      </c>
      <c r="B192" s="8" t="s">
        <v>42</v>
      </c>
      <c r="C192" s="8">
        <v>330573000</v>
      </c>
      <c r="D192" s="8" t="s">
        <v>43</v>
      </c>
      <c r="E192" s="10" t="s">
        <v>43</v>
      </c>
      <c r="F192" s="8" t="s">
        <v>43</v>
      </c>
      <c r="G192" s="8" t="s">
        <v>43</v>
      </c>
      <c r="H192" s="8">
        <v>469417000</v>
      </c>
      <c r="I192" s="8">
        <v>183372000</v>
      </c>
      <c r="J192" s="8">
        <v>-205200000</v>
      </c>
      <c r="K192" s="10">
        <v>1551000</v>
      </c>
      <c r="L192" s="8" t="s">
        <v>43</v>
      </c>
      <c r="M192" s="8">
        <v>-346790000</v>
      </c>
      <c r="N192" s="8">
        <v>-352124000</v>
      </c>
      <c r="O192" s="10" t="s">
        <v>43</v>
      </c>
      <c r="P192" s="10" t="s">
        <v>43</v>
      </c>
      <c r="Q192" s="8" t="s">
        <v>43</v>
      </c>
      <c r="R192" s="10" t="s">
        <v>43</v>
      </c>
      <c r="S192" s="8" t="s">
        <v>43</v>
      </c>
      <c r="T192" s="8" t="s">
        <v>43</v>
      </c>
      <c r="U192" s="8" t="s">
        <v>43</v>
      </c>
      <c r="V192" s="10" t="s">
        <v>43</v>
      </c>
      <c r="W192" s="10" t="s">
        <v>43</v>
      </c>
      <c r="X192" s="10" t="s">
        <v>43</v>
      </c>
      <c r="Y192" s="8" t="s">
        <v>43</v>
      </c>
      <c r="Z192" s="8" t="s">
        <v>43</v>
      </c>
      <c r="AA192" s="10">
        <v>-368341000</v>
      </c>
      <c r="AB192" s="10" t="s">
        <v>43</v>
      </c>
      <c r="AC192" s="8">
        <v>-158389000</v>
      </c>
      <c r="AD192" s="8"/>
      <c r="AE192" s="8"/>
      <c r="AF192" s="8"/>
      <c r="AG192" s="8"/>
      <c r="AH192" s="8"/>
      <c r="AI192" s="8"/>
      <c r="AJ192" s="8"/>
      <c r="AK192" s="8"/>
      <c r="AL192" s="8"/>
      <c r="AM192" s="8"/>
      <c r="AN192" s="8"/>
      <c r="AO192" s="8"/>
      <c r="AP192" s="8"/>
    </row>
    <row r="193" spans="1:42" ht="17">
      <c r="A193" s="8" t="s">
        <v>48</v>
      </c>
      <c r="B193" s="8" t="s">
        <v>42</v>
      </c>
      <c r="C193" s="8">
        <v>215945000</v>
      </c>
      <c r="D193" s="8" t="s">
        <v>43</v>
      </c>
      <c r="E193" s="10" t="s">
        <v>43</v>
      </c>
      <c r="F193" s="8" t="s">
        <v>43</v>
      </c>
      <c r="G193" s="8" t="s">
        <v>43</v>
      </c>
      <c r="H193" s="8">
        <v>402929000</v>
      </c>
      <c r="I193" s="8">
        <v>85205000</v>
      </c>
      <c r="J193" s="8">
        <v>77335000</v>
      </c>
      <c r="K193" s="10">
        <v>-6487000</v>
      </c>
      <c r="L193" s="8" t="s">
        <v>43</v>
      </c>
      <c r="M193" s="8">
        <v>-147813000</v>
      </c>
      <c r="N193" s="8">
        <v>241180000</v>
      </c>
      <c r="O193" s="10" t="s">
        <v>43</v>
      </c>
      <c r="P193" s="10" t="s">
        <v>43</v>
      </c>
      <c r="Q193" s="8" t="s">
        <v>43</v>
      </c>
      <c r="R193" s="10" t="s">
        <v>43</v>
      </c>
      <c r="S193" s="8" t="s">
        <v>43</v>
      </c>
      <c r="T193" s="8" t="s">
        <v>43</v>
      </c>
      <c r="U193" s="8" t="s">
        <v>43</v>
      </c>
      <c r="V193" s="10" t="s">
        <v>43</v>
      </c>
      <c r="W193" s="10" t="s">
        <v>43</v>
      </c>
      <c r="X193" s="10" t="s">
        <v>43</v>
      </c>
      <c r="Y193" s="8" t="s">
        <v>43</v>
      </c>
      <c r="Z193" s="8" t="s">
        <v>43</v>
      </c>
      <c r="AA193" s="10">
        <v>309312000</v>
      </c>
      <c r="AB193" s="10" t="s">
        <v>43</v>
      </c>
      <c r="AC193" s="9">
        <v>-1915000000</v>
      </c>
      <c r="AD193" s="8"/>
      <c r="AE193" s="8"/>
      <c r="AF193" s="8"/>
      <c r="AG193" s="8"/>
      <c r="AH193" s="8"/>
      <c r="AI193" s="8"/>
      <c r="AJ193" s="8"/>
      <c r="AK193" s="8"/>
      <c r="AL193" s="8"/>
      <c r="AM193" s="8"/>
      <c r="AN193" s="8"/>
      <c r="AO193" s="8"/>
      <c r="AP193" s="8"/>
    </row>
    <row r="194" spans="1:42" ht="17">
      <c r="A194" s="8" t="s">
        <v>50</v>
      </c>
      <c r="B194" s="8" t="s">
        <v>42</v>
      </c>
      <c r="C194" s="8">
        <v>428719000</v>
      </c>
      <c r="D194" s="8" t="s">
        <v>43</v>
      </c>
      <c r="E194" s="10" t="s">
        <v>43</v>
      </c>
      <c r="F194" s="8" t="s">
        <v>43</v>
      </c>
      <c r="G194" s="8" t="s">
        <v>43</v>
      </c>
      <c r="H194" s="8">
        <v>302457000</v>
      </c>
      <c r="I194" s="8">
        <v>75993000</v>
      </c>
      <c r="J194" s="8" t="s">
        <v>43</v>
      </c>
      <c r="K194" s="10" t="s">
        <v>43</v>
      </c>
      <c r="L194" s="8" t="s">
        <v>43</v>
      </c>
      <c r="M194" s="8">
        <v>-334422000</v>
      </c>
      <c r="N194" s="8">
        <v>-113590000</v>
      </c>
      <c r="O194" s="10" t="s">
        <v>43</v>
      </c>
      <c r="P194" s="10" t="s">
        <v>43</v>
      </c>
      <c r="Q194" s="8" t="s">
        <v>43</v>
      </c>
      <c r="R194" s="10" t="s">
        <v>43</v>
      </c>
      <c r="S194" s="8">
        <v>571000</v>
      </c>
      <c r="T194" s="8">
        <v>571000</v>
      </c>
      <c r="U194" s="8" t="s">
        <v>43</v>
      </c>
      <c r="V194" s="10" t="s">
        <v>43</v>
      </c>
      <c r="W194" s="10" t="s">
        <v>43</v>
      </c>
      <c r="X194" s="10" t="s">
        <v>43</v>
      </c>
      <c r="Y194" s="8" t="s">
        <v>43</v>
      </c>
      <c r="Z194" s="8" t="s">
        <v>43</v>
      </c>
      <c r="AA194" s="10" t="s">
        <v>43</v>
      </c>
      <c r="AB194" s="10" t="s">
        <v>43</v>
      </c>
      <c r="AC194" s="9">
        <v>11297000000</v>
      </c>
      <c r="AD194" s="8"/>
      <c r="AE194" s="8"/>
      <c r="AF194" s="8"/>
      <c r="AG194" s="8"/>
      <c r="AH194" s="8"/>
      <c r="AI194" s="8"/>
      <c r="AJ194" s="8"/>
      <c r="AK194" s="8"/>
      <c r="AL194" s="8"/>
      <c r="AM194" s="8"/>
      <c r="AN194" s="8"/>
      <c r="AO194" s="8"/>
      <c r="AP194" s="8"/>
    </row>
    <row r="195" spans="1:42" ht="17">
      <c r="A195" s="8" t="s">
        <v>51</v>
      </c>
      <c r="B195" s="8" t="s">
        <v>42</v>
      </c>
      <c r="C195" s="8">
        <v>966672000</v>
      </c>
      <c r="D195" s="8" t="s">
        <v>43</v>
      </c>
      <c r="E195" s="10" t="s">
        <v>43</v>
      </c>
      <c r="F195" s="8" t="s">
        <v>43</v>
      </c>
      <c r="G195" s="8" t="s">
        <v>43</v>
      </c>
      <c r="H195" s="8">
        <v>530903000</v>
      </c>
      <c r="I195" s="8">
        <v>296324000</v>
      </c>
      <c r="J195" s="8" t="s">
        <v>43</v>
      </c>
      <c r="K195" s="10">
        <v>344826000</v>
      </c>
      <c r="L195" s="8" t="s">
        <v>43</v>
      </c>
      <c r="M195" s="8">
        <v>-345478000</v>
      </c>
      <c r="N195" s="8">
        <v>-491799000</v>
      </c>
      <c r="O195" s="10" t="s">
        <v>43</v>
      </c>
      <c r="P195" s="10" t="s">
        <v>43</v>
      </c>
      <c r="Q195" s="8" t="s">
        <v>43</v>
      </c>
      <c r="R195" s="10" t="s">
        <v>43</v>
      </c>
      <c r="S195" s="8" t="s">
        <v>43</v>
      </c>
      <c r="T195" s="8" t="s">
        <v>43</v>
      </c>
      <c r="U195" s="8" t="s">
        <v>43</v>
      </c>
      <c r="V195" s="10" t="s">
        <v>43</v>
      </c>
      <c r="W195" s="10" t="s">
        <v>43</v>
      </c>
      <c r="X195" s="10" t="s">
        <v>43</v>
      </c>
      <c r="Y195" s="8" t="s">
        <v>43</v>
      </c>
      <c r="Z195" s="8" t="s">
        <v>43</v>
      </c>
      <c r="AA195" s="10" t="s">
        <v>43</v>
      </c>
      <c r="AB195" s="10" t="s">
        <v>43</v>
      </c>
      <c r="AC195" s="8">
        <v>-202639000</v>
      </c>
      <c r="AD195" s="8"/>
      <c r="AE195" s="8"/>
      <c r="AF195" s="8"/>
      <c r="AG195" s="8"/>
      <c r="AH195" s="8"/>
      <c r="AI195" s="8"/>
      <c r="AJ195" s="8"/>
      <c r="AK195" s="8"/>
      <c r="AL195" s="8"/>
      <c r="AM195" s="8"/>
      <c r="AN195" s="8"/>
      <c r="AO195" s="8"/>
      <c r="AP195" s="8"/>
    </row>
    <row r="196" spans="1:42" ht="17">
      <c r="A196" s="8" t="s">
        <v>52</v>
      </c>
      <c r="B196" s="8" t="s">
        <v>42</v>
      </c>
      <c r="C196" s="8">
        <v>-503740000</v>
      </c>
      <c r="D196" s="8" t="s">
        <v>43</v>
      </c>
      <c r="E196" s="10" t="s">
        <v>43</v>
      </c>
      <c r="F196" s="8" t="s">
        <v>43</v>
      </c>
      <c r="G196" s="8" t="s">
        <v>43</v>
      </c>
      <c r="H196" s="8">
        <v>601295000</v>
      </c>
      <c r="I196" s="8">
        <v>291966000</v>
      </c>
      <c r="J196" s="8" t="s">
        <v>43</v>
      </c>
      <c r="K196" s="10">
        <v>16706000</v>
      </c>
      <c r="L196" s="8" t="s">
        <v>43</v>
      </c>
      <c r="M196" s="8">
        <v>-214692000</v>
      </c>
      <c r="N196" s="8">
        <v>151335000</v>
      </c>
      <c r="O196" s="10" t="s">
        <v>43</v>
      </c>
      <c r="P196" s="10" t="s">
        <v>43</v>
      </c>
      <c r="Q196" s="8" t="s">
        <v>43</v>
      </c>
      <c r="R196" s="10" t="s">
        <v>43</v>
      </c>
      <c r="S196" s="8">
        <v>46477000</v>
      </c>
      <c r="T196" s="8">
        <v>46477000</v>
      </c>
      <c r="U196" s="8" t="s">
        <v>43</v>
      </c>
      <c r="V196" s="10" t="s">
        <v>43</v>
      </c>
      <c r="W196" s="10" t="s">
        <v>43</v>
      </c>
      <c r="X196" s="10" t="s">
        <v>43</v>
      </c>
      <c r="Y196" s="8" t="s">
        <v>43</v>
      </c>
      <c r="Z196" s="8" t="s">
        <v>43</v>
      </c>
      <c r="AA196" s="10" t="s">
        <v>43</v>
      </c>
      <c r="AB196" s="10" t="s">
        <v>43</v>
      </c>
      <c r="AC196" s="8">
        <v>-460018000</v>
      </c>
      <c r="AD196" s="8"/>
      <c r="AE196" s="8"/>
      <c r="AF196" s="8"/>
      <c r="AG196" s="8"/>
      <c r="AH196" s="8"/>
      <c r="AI196" s="8"/>
      <c r="AJ196" s="8"/>
      <c r="AK196" s="8"/>
      <c r="AL196" s="8"/>
      <c r="AM196" s="8"/>
      <c r="AN196" s="8"/>
      <c r="AO196" s="8"/>
      <c r="AP196" s="8"/>
    </row>
    <row r="197" spans="1:42" ht="17">
      <c r="A197" s="8" t="s">
        <v>54</v>
      </c>
      <c r="B197" s="8" t="s">
        <v>42</v>
      </c>
      <c r="C197" s="8">
        <v>-13982000</v>
      </c>
      <c r="D197" s="8" t="s">
        <v>43</v>
      </c>
      <c r="E197" s="10" t="s">
        <v>43</v>
      </c>
      <c r="F197" s="8" t="s">
        <v>43</v>
      </c>
      <c r="G197" s="8" t="s">
        <v>43</v>
      </c>
      <c r="H197" s="8">
        <v>635227000</v>
      </c>
      <c r="I197" s="8">
        <v>314717000</v>
      </c>
      <c r="J197" s="8" t="s">
        <v>43</v>
      </c>
      <c r="K197" s="10">
        <v>15194000</v>
      </c>
      <c r="L197" s="8" t="s">
        <v>43</v>
      </c>
      <c r="M197" s="8">
        <v>533496000</v>
      </c>
      <c r="N197" s="8">
        <v>-418231000</v>
      </c>
      <c r="O197" s="10" t="s">
        <v>43</v>
      </c>
      <c r="P197" s="10" t="s">
        <v>43</v>
      </c>
      <c r="Q197" s="8" t="s">
        <v>43</v>
      </c>
      <c r="R197" s="10" t="s">
        <v>43</v>
      </c>
      <c r="S197" s="8">
        <v>89631000</v>
      </c>
      <c r="T197" s="8">
        <v>89631000</v>
      </c>
      <c r="U197" s="8" t="s">
        <v>43</v>
      </c>
      <c r="V197" s="10" t="s">
        <v>43</v>
      </c>
      <c r="W197" s="10" t="s">
        <v>43</v>
      </c>
      <c r="X197" s="10" t="s">
        <v>43</v>
      </c>
      <c r="Y197" s="8" t="s">
        <v>43</v>
      </c>
      <c r="Z197" s="8" t="s">
        <v>43</v>
      </c>
      <c r="AA197" s="10" t="s">
        <v>43</v>
      </c>
      <c r="AB197" s="10" t="s">
        <v>43</v>
      </c>
      <c r="AC197" s="8">
        <v>-240003000</v>
      </c>
      <c r="AD197" s="8"/>
      <c r="AE197" s="8"/>
      <c r="AF197" s="8"/>
      <c r="AG197" s="8"/>
      <c r="AH197" s="8"/>
      <c r="AI197" s="8"/>
      <c r="AJ197" s="8"/>
      <c r="AK197" s="8"/>
      <c r="AL197" s="8"/>
      <c r="AM197" s="8"/>
      <c r="AN197" s="8"/>
      <c r="AO197" s="8"/>
      <c r="AP197" s="8"/>
    </row>
    <row r="198" spans="1:42" ht="17">
      <c r="A198" s="8" t="s">
        <v>55</v>
      </c>
      <c r="B198" s="8" t="s">
        <v>42</v>
      </c>
      <c r="C198" s="8">
        <v>-77304000</v>
      </c>
      <c r="D198" s="8" t="s">
        <v>43</v>
      </c>
      <c r="E198" s="10" t="s">
        <v>43</v>
      </c>
      <c r="F198" s="8" t="s">
        <v>43</v>
      </c>
      <c r="G198" s="8" t="s">
        <v>43</v>
      </c>
      <c r="H198" s="8">
        <v>673991000</v>
      </c>
      <c r="I198" s="8">
        <v>296380000</v>
      </c>
      <c r="J198" s="8" t="s">
        <v>43</v>
      </c>
      <c r="K198" s="10">
        <v>23136000</v>
      </c>
      <c r="L198" s="8" t="s">
        <v>43</v>
      </c>
      <c r="M198" s="8">
        <v>30234000</v>
      </c>
      <c r="N198" s="8">
        <v>377410000</v>
      </c>
      <c r="O198" s="10" t="s">
        <v>43</v>
      </c>
      <c r="P198" s="10" t="s">
        <v>43</v>
      </c>
      <c r="Q198" s="8" t="s">
        <v>43</v>
      </c>
      <c r="R198" s="10" t="s">
        <v>43</v>
      </c>
      <c r="S198" s="8">
        <v>30871000</v>
      </c>
      <c r="T198" s="8">
        <v>30871000</v>
      </c>
      <c r="U198" s="8" t="s">
        <v>43</v>
      </c>
      <c r="V198" s="10" t="s">
        <v>43</v>
      </c>
      <c r="W198" s="10" t="s">
        <v>43</v>
      </c>
      <c r="X198" s="10" t="s">
        <v>43</v>
      </c>
      <c r="Y198" s="8">
        <v>-42797000</v>
      </c>
      <c r="Z198" s="8" t="s">
        <v>43</v>
      </c>
      <c r="AA198" s="10" t="s">
        <v>43</v>
      </c>
      <c r="AB198" s="10" t="s">
        <v>43</v>
      </c>
      <c r="AC198" s="8">
        <v>-737490000</v>
      </c>
      <c r="AD198" s="8"/>
      <c r="AE198" s="8"/>
      <c r="AF198" s="8"/>
      <c r="AG198" s="8"/>
      <c r="AH198" s="8"/>
      <c r="AI198" s="8"/>
      <c r="AJ198" s="8"/>
      <c r="AK198" s="8"/>
      <c r="AL198" s="8"/>
      <c r="AM198" s="8"/>
      <c r="AN198" s="8"/>
      <c r="AO198" s="8"/>
      <c r="AP198" s="8"/>
    </row>
    <row r="199" spans="1:42" ht="17">
      <c r="A199" s="8" t="s">
        <v>56</v>
      </c>
      <c r="B199" s="8" t="s">
        <v>42</v>
      </c>
      <c r="C199" s="8">
        <v>245116000</v>
      </c>
      <c r="D199" s="8" t="s">
        <v>43</v>
      </c>
      <c r="E199" s="10" t="s">
        <v>43</v>
      </c>
      <c r="F199" s="8" t="s">
        <v>43</v>
      </c>
      <c r="G199" s="8" t="s">
        <v>43</v>
      </c>
      <c r="H199" s="8">
        <v>710898000</v>
      </c>
      <c r="I199" s="8">
        <v>318164000</v>
      </c>
      <c r="J199" s="8" t="s">
        <v>43</v>
      </c>
      <c r="K199" s="10">
        <v>119609000</v>
      </c>
      <c r="L199" s="8" t="s">
        <v>43</v>
      </c>
      <c r="M199" s="8">
        <v>-88682000</v>
      </c>
      <c r="N199" s="8">
        <v>-398001000</v>
      </c>
      <c r="O199" s="10" t="s">
        <v>43</v>
      </c>
      <c r="P199" s="10" t="s">
        <v>43</v>
      </c>
      <c r="Q199" s="8" t="s">
        <v>43</v>
      </c>
      <c r="R199" s="10" t="s">
        <v>43</v>
      </c>
      <c r="S199" s="8">
        <v>40027000</v>
      </c>
      <c r="T199" s="8">
        <v>40027000</v>
      </c>
      <c r="U199" s="8" t="s">
        <v>43</v>
      </c>
      <c r="V199" s="10" t="s">
        <v>43</v>
      </c>
      <c r="W199" s="10" t="s">
        <v>43</v>
      </c>
      <c r="X199" s="10" t="s">
        <v>43</v>
      </c>
      <c r="Y199" s="8">
        <v>-48750000</v>
      </c>
      <c r="Z199" s="8" t="s">
        <v>43</v>
      </c>
      <c r="AA199" s="10" t="s">
        <v>43</v>
      </c>
      <c r="AB199" s="10" t="s">
        <v>43</v>
      </c>
      <c r="AC199" s="8">
        <v>-762158000</v>
      </c>
      <c r="AD199" s="8"/>
      <c r="AE199" s="8"/>
      <c r="AF199" s="8"/>
      <c r="AG199" s="8"/>
      <c r="AH199" s="8"/>
      <c r="AI199" s="8"/>
      <c r="AJ199" s="8"/>
      <c r="AK199" s="8"/>
      <c r="AL199" s="8"/>
      <c r="AM199" s="8"/>
      <c r="AN199" s="8"/>
      <c r="AO199" s="8"/>
      <c r="AP199" s="8"/>
    </row>
    <row r="200" spans="1:42" ht="17">
      <c r="A200" s="8" t="s">
        <v>58</v>
      </c>
      <c r="B200" s="8" t="s">
        <v>42</v>
      </c>
      <c r="C200" s="8">
        <v>212872000</v>
      </c>
      <c r="D200" s="8" t="s">
        <v>43</v>
      </c>
      <c r="E200" s="10" t="s">
        <v>43</v>
      </c>
      <c r="F200" s="8" t="s">
        <v>43</v>
      </c>
      <c r="G200" s="8" t="s">
        <v>43</v>
      </c>
      <c r="H200" s="8">
        <v>730828000</v>
      </c>
      <c r="I200" s="8">
        <v>324526000</v>
      </c>
      <c r="J200" s="8" t="s">
        <v>43</v>
      </c>
      <c r="K200" s="10">
        <v>42119000</v>
      </c>
      <c r="L200" s="8" t="s">
        <v>43</v>
      </c>
      <c r="M200" s="8" t="s">
        <v>43</v>
      </c>
      <c r="N200" s="8">
        <v>-595882000</v>
      </c>
      <c r="O200" s="10" t="s">
        <v>43</v>
      </c>
      <c r="P200" s="10" t="s">
        <v>43</v>
      </c>
      <c r="Q200" s="8" t="s">
        <v>43</v>
      </c>
      <c r="R200" s="10" t="s">
        <v>43</v>
      </c>
      <c r="S200" s="8">
        <v>91887000</v>
      </c>
      <c r="T200" s="8">
        <v>91887000</v>
      </c>
      <c r="U200" s="8" t="s">
        <v>43</v>
      </c>
      <c r="V200" s="10" t="s">
        <v>43</v>
      </c>
      <c r="W200" s="10" t="s">
        <v>43</v>
      </c>
      <c r="X200" s="10" t="s">
        <v>43</v>
      </c>
      <c r="Y200" s="8" t="s">
        <v>43</v>
      </c>
      <c r="Z200" s="8" t="s">
        <v>43</v>
      </c>
      <c r="AA200" s="10" t="s">
        <v>43</v>
      </c>
      <c r="AB200" s="10" t="s">
        <v>43</v>
      </c>
      <c r="AC200" s="8">
        <v>-583517000</v>
      </c>
      <c r="AD200" s="8"/>
      <c r="AE200" s="8"/>
      <c r="AF200" s="8"/>
      <c r="AG200" s="8"/>
      <c r="AH200" s="8"/>
      <c r="AI200" s="8"/>
      <c r="AJ200" s="8"/>
      <c r="AK200" s="8"/>
      <c r="AL200" s="8"/>
      <c r="AM200" s="8"/>
      <c r="AN200" s="8"/>
      <c r="AO200" s="8"/>
      <c r="AP200" s="8"/>
    </row>
    <row r="201" spans="1:42" ht="17">
      <c r="A201" s="8" t="s">
        <v>59</v>
      </c>
      <c r="B201" s="8" t="s">
        <v>42</v>
      </c>
      <c r="C201" s="8">
        <v>488698000</v>
      </c>
      <c r="D201" s="8" t="s">
        <v>43</v>
      </c>
      <c r="E201" s="10" t="s">
        <v>43</v>
      </c>
      <c r="F201" s="8" t="s">
        <v>43</v>
      </c>
      <c r="G201" s="8" t="s">
        <v>43</v>
      </c>
      <c r="H201" s="8">
        <v>729285000</v>
      </c>
      <c r="I201" s="8">
        <v>390280000</v>
      </c>
      <c r="J201" s="8" t="s">
        <v>43</v>
      </c>
      <c r="K201" s="10">
        <v>55097000</v>
      </c>
      <c r="L201" s="8" t="s">
        <v>43</v>
      </c>
      <c r="M201" s="8" t="s">
        <v>43</v>
      </c>
      <c r="N201" s="8">
        <v>-95349000</v>
      </c>
      <c r="O201" s="10" t="s">
        <v>43</v>
      </c>
      <c r="P201" s="10" t="s">
        <v>43</v>
      </c>
      <c r="Q201" s="8" t="s">
        <v>43</v>
      </c>
      <c r="R201" s="10" t="s">
        <v>43</v>
      </c>
      <c r="S201" s="8">
        <v>244734000</v>
      </c>
      <c r="T201" s="8">
        <v>244734000</v>
      </c>
      <c r="U201" s="8" t="s">
        <v>43</v>
      </c>
      <c r="V201" s="10" t="s">
        <v>43</v>
      </c>
      <c r="W201" s="10" t="s">
        <v>43</v>
      </c>
      <c r="X201" s="10" t="s">
        <v>43</v>
      </c>
      <c r="Y201" s="8" t="s">
        <v>43</v>
      </c>
      <c r="Z201" s="8" t="s">
        <v>43</v>
      </c>
      <c r="AA201" s="10" t="s">
        <v>43</v>
      </c>
      <c r="AB201" s="10" t="s">
        <v>43</v>
      </c>
      <c r="AC201" s="8">
        <v>-411190000</v>
      </c>
      <c r="AD201" s="8"/>
      <c r="AE201" s="8"/>
      <c r="AF201" s="8"/>
      <c r="AG201" s="8"/>
      <c r="AH201" s="8"/>
      <c r="AI201" s="8"/>
      <c r="AJ201" s="8"/>
      <c r="AK201" s="8"/>
      <c r="AL201" s="8"/>
      <c r="AM201" s="8"/>
      <c r="AN201" s="8"/>
      <c r="AO201" s="8"/>
      <c r="AP201" s="8"/>
    </row>
    <row r="202" spans="1:42" ht="17">
      <c r="A202" s="8" t="s">
        <v>60</v>
      </c>
      <c r="B202" s="8" t="s">
        <v>42</v>
      </c>
      <c r="C202" s="8">
        <v>373958000</v>
      </c>
      <c r="D202" s="8" t="s">
        <v>43</v>
      </c>
      <c r="E202" s="10" t="s">
        <v>43</v>
      </c>
      <c r="F202" s="8" t="s">
        <v>43</v>
      </c>
      <c r="G202" s="8" t="s">
        <v>43</v>
      </c>
      <c r="H202" s="8">
        <v>763306000</v>
      </c>
      <c r="I202" s="8">
        <v>362281000</v>
      </c>
      <c r="J202" s="8" t="s">
        <v>43</v>
      </c>
      <c r="K202" s="10">
        <v>-98848000</v>
      </c>
      <c r="L202" s="8" t="s">
        <v>43</v>
      </c>
      <c r="M202" s="8" t="s">
        <v>43</v>
      </c>
      <c r="N202" s="8">
        <v>-698116000</v>
      </c>
      <c r="O202" s="10" t="s">
        <v>43</v>
      </c>
      <c r="P202" s="10" t="s">
        <v>43</v>
      </c>
      <c r="Q202" s="8" t="s">
        <v>43</v>
      </c>
      <c r="R202" s="10" t="s">
        <v>43</v>
      </c>
      <c r="S202" s="8" t="s">
        <v>43</v>
      </c>
      <c r="T202" s="8" t="s">
        <v>43</v>
      </c>
      <c r="U202" s="8" t="s">
        <v>43</v>
      </c>
      <c r="V202" s="10" t="s">
        <v>43</v>
      </c>
      <c r="W202" s="10" t="s">
        <v>43</v>
      </c>
      <c r="X202" s="10" t="s">
        <v>43</v>
      </c>
      <c r="Y202" s="8" t="s">
        <v>43</v>
      </c>
      <c r="Z202" s="8" t="s">
        <v>43</v>
      </c>
      <c r="AA202" s="10" t="s">
        <v>43</v>
      </c>
      <c r="AB202" s="10" t="s">
        <v>43</v>
      </c>
      <c r="AC202" s="8">
        <v>-268029000</v>
      </c>
      <c r="AD202" s="8"/>
      <c r="AE202" s="8"/>
      <c r="AF202" s="8"/>
      <c r="AG202" s="8"/>
      <c r="AH202" s="8"/>
      <c r="AI202" s="8"/>
      <c r="AJ202" s="8"/>
      <c r="AK202" s="8"/>
      <c r="AL202" s="8"/>
      <c r="AM202" s="8"/>
      <c r="AN202" s="8"/>
      <c r="AO202" s="8"/>
      <c r="AP202" s="8"/>
    </row>
    <row r="203" spans="1:42" ht="17">
      <c r="A203" s="8" t="s">
        <v>62</v>
      </c>
      <c r="B203" s="8" t="s">
        <v>42</v>
      </c>
      <c r="C203" s="8">
        <v>582373000</v>
      </c>
      <c r="D203" s="8" t="s">
        <v>43</v>
      </c>
      <c r="E203" s="10" t="s">
        <v>43</v>
      </c>
      <c r="F203" s="8" t="s">
        <v>43</v>
      </c>
      <c r="G203" s="8" t="s">
        <v>43</v>
      </c>
      <c r="H203" s="8">
        <v>732869000</v>
      </c>
      <c r="I203" s="8">
        <v>257574000</v>
      </c>
      <c r="J203" s="8" t="s">
        <v>43</v>
      </c>
      <c r="K203" s="10">
        <v>220158000</v>
      </c>
      <c r="L203" s="8" t="s">
        <v>43</v>
      </c>
      <c r="M203" s="8" t="s">
        <v>43</v>
      </c>
      <c r="N203" s="8">
        <v>-305244000</v>
      </c>
      <c r="O203" s="10" t="s">
        <v>43</v>
      </c>
      <c r="P203" s="10" t="s">
        <v>43</v>
      </c>
      <c r="Q203" s="8" t="s">
        <v>43</v>
      </c>
      <c r="R203" s="10" t="s">
        <v>43</v>
      </c>
      <c r="S203" s="8" t="s">
        <v>43</v>
      </c>
      <c r="T203" s="8" t="s">
        <v>43</v>
      </c>
      <c r="U203" s="8" t="s">
        <v>43</v>
      </c>
      <c r="V203" s="10" t="s">
        <v>43</v>
      </c>
      <c r="W203" s="10" t="s">
        <v>43</v>
      </c>
      <c r="X203" s="10" t="s">
        <v>43</v>
      </c>
      <c r="Y203" s="8" t="s">
        <v>43</v>
      </c>
      <c r="Z203" s="8" t="s">
        <v>43</v>
      </c>
      <c r="AA203" s="10" t="s">
        <v>43</v>
      </c>
      <c r="AB203" s="10" t="s">
        <v>43</v>
      </c>
      <c r="AC203" s="8">
        <v>-462853000</v>
      </c>
      <c r="AD203" s="8"/>
      <c r="AE203" s="8"/>
      <c r="AF203" s="8"/>
      <c r="AG203" s="8"/>
      <c r="AH203" s="8"/>
      <c r="AI203" s="8"/>
      <c r="AJ203" s="8"/>
      <c r="AK203" s="8"/>
      <c r="AL203" s="8"/>
      <c r="AM203" s="8"/>
      <c r="AN203" s="8"/>
      <c r="AO203" s="8"/>
      <c r="AP203" s="8"/>
    </row>
    <row r="204" spans="1:42" ht="17">
      <c r="A204" s="8" t="s">
        <v>63</v>
      </c>
      <c r="B204" s="8" t="s">
        <v>42</v>
      </c>
      <c r="C204" s="8">
        <v>181175000</v>
      </c>
      <c r="D204" s="8" t="s">
        <v>43</v>
      </c>
      <c r="E204" s="10" t="s">
        <v>43</v>
      </c>
      <c r="F204" s="8" t="s">
        <v>43</v>
      </c>
      <c r="G204" s="8" t="s">
        <v>43</v>
      </c>
      <c r="H204" s="8">
        <v>765474000</v>
      </c>
      <c r="I204" s="8">
        <v>223792000</v>
      </c>
      <c r="J204" s="8" t="s">
        <v>43</v>
      </c>
      <c r="K204" s="10">
        <v>27934000</v>
      </c>
      <c r="L204" s="8" t="s">
        <v>43</v>
      </c>
      <c r="M204" s="8" t="s">
        <v>43</v>
      </c>
      <c r="N204" s="8">
        <v>1604722000</v>
      </c>
      <c r="O204" s="10" t="s">
        <v>43</v>
      </c>
      <c r="P204" s="10" t="s">
        <v>43</v>
      </c>
      <c r="Q204" s="8" t="s">
        <v>43</v>
      </c>
      <c r="R204" s="10" t="s">
        <v>43</v>
      </c>
      <c r="S204" s="8" t="s">
        <v>43</v>
      </c>
      <c r="T204" s="8" t="s">
        <v>43</v>
      </c>
      <c r="U204" s="8" t="s">
        <v>43</v>
      </c>
      <c r="V204" s="10" t="s">
        <v>43</v>
      </c>
      <c r="W204" s="10" t="s">
        <v>43</v>
      </c>
      <c r="X204" s="10" t="s">
        <v>43</v>
      </c>
      <c r="Y204" s="8">
        <v>-184000</v>
      </c>
      <c r="Z204" s="8" t="s">
        <v>43</v>
      </c>
      <c r="AA204" s="10" t="s">
        <v>43</v>
      </c>
      <c r="AB204" s="10" t="s">
        <v>43</v>
      </c>
      <c r="AC204" s="9">
        <v>-4049000000</v>
      </c>
      <c r="AD204" s="8"/>
      <c r="AE204" s="8"/>
      <c r="AF204" s="8"/>
      <c r="AG204" s="8"/>
      <c r="AH204" s="8"/>
      <c r="AI204" s="8"/>
      <c r="AJ204" s="8"/>
      <c r="AK204" s="8"/>
      <c r="AL204" s="8"/>
      <c r="AM204" s="8"/>
      <c r="AN204" s="8"/>
      <c r="AO204" s="8"/>
      <c r="AP204" s="8"/>
    </row>
    <row r="205" spans="1:42" ht="17">
      <c r="A205" s="8" t="s">
        <v>64</v>
      </c>
      <c r="B205" s="8" t="s">
        <v>42</v>
      </c>
      <c r="C205" s="8">
        <v>1215962000</v>
      </c>
      <c r="D205" s="8" t="s">
        <v>43</v>
      </c>
      <c r="E205" s="10" t="s">
        <v>43</v>
      </c>
      <c r="F205" s="8" t="s">
        <v>43</v>
      </c>
      <c r="G205" s="8" t="s">
        <v>43</v>
      </c>
      <c r="H205" s="8">
        <v>696830000</v>
      </c>
      <c r="I205" s="8">
        <v>430455000</v>
      </c>
      <c r="J205" s="8" t="s">
        <v>43</v>
      </c>
      <c r="K205" s="10" t="s">
        <v>43</v>
      </c>
      <c r="L205" s="8" t="s">
        <v>43</v>
      </c>
      <c r="M205" s="8" t="s">
        <v>43</v>
      </c>
      <c r="N205" s="9">
        <v>15908000000</v>
      </c>
      <c r="O205" s="10" t="s">
        <v>43</v>
      </c>
      <c r="P205" s="10" t="s">
        <v>43</v>
      </c>
      <c r="Q205" s="8" t="s">
        <v>43</v>
      </c>
      <c r="R205" s="10" t="s">
        <v>43</v>
      </c>
      <c r="S205" s="8">
        <v>93367000</v>
      </c>
      <c r="T205" s="8">
        <v>93367000</v>
      </c>
      <c r="U205" s="8" t="s">
        <v>43</v>
      </c>
      <c r="V205" s="10" t="s">
        <v>43</v>
      </c>
      <c r="W205" s="10" t="s">
        <v>43</v>
      </c>
      <c r="X205" s="10" t="s">
        <v>43</v>
      </c>
      <c r="Y205" s="8">
        <v>-3828000</v>
      </c>
      <c r="Z205" s="8" t="s">
        <v>43</v>
      </c>
      <c r="AA205" s="10" t="s">
        <v>43</v>
      </c>
      <c r="AB205" s="10" t="s">
        <v>43</v>
      </c>
      <c r="AC205" s="9">
        <v>-4627000000</v>
      </c>
      <c r="AD205" s="8"/>
      <c r="AE205" s="8"/>
      <c r="AF205" s="8"/>
      <c r="AG205" s="8"/>
      <c r="AH205" s="8"/>
      <c r="AI205" s="8"/>
      <c r="AJ205" s="8"/>
      <c r="AK205" s="8"/>
      <c r="AL205" s="8"/>
      <c r="AM205" s="8"/>
      <c r="AN205" s="8"/>
      <c r="AO205" s="8"/>
      <c r="AP205" s="8"/>
    </row>
    <row r="206" spans="1:42" ht="16">
      <c r="A206" s="8"/>
      <c r="B206" s="8"/>
      <c r="C206" s="8"/>
      <c r="D206" s="8"/>
      <c r="E206" s="10"/>
      <c r="F206" s="8"/>
      <c r="G206" s="8"/>
      <c r="H206" s="8"/>
      <c r="I206" s="8"/>
      <c r="J206" s="8"/>
      <c r="K206" s="10"/>
      <c r="L206" s="8"/>
      <c r="M206" s="8"/>
      <c r="N206" s="8"/>
      <c r="O206" s="10"/>
      <c r="P206" s="10"/>
      <c r="Q206" s="8"/>
      <c r="R206" s="10"/>
      <c r="S206" s="8"/>
      <c r="T206" s="8"/>
      <c r="U206" s="8"/>
      <c r="V206" s="10"/>
      <c r="W206" s="10"/>
      <c r="X206" s="10"/>
      <c r="Y206" s="8"/>
      <c r="Z206" s="8"/>
      <c r="AA206" s="10"/>
      <c r="AB206" s="10"/>
      <c r="AC206" s="8"/>
      <c r="AD206" s="8"/>
      <c r="AE206" s="8"/>
      <c r="AF206" s="8"/>
      <c r="AG206" s="8"/>
      <c r="AH206" s="8"/>
      <c r="AI206" s="8"/>
      <c r="AJ206" s="8"/>
      <c r="AK206" s="8"/>
      <c r="AL206" s="8"/>
      <c r="AM206" s="8"/>
      <c r="AN206" s="8"/>
      <c r="AO206" s="8"/>
      <c r="AP206" s="8"/>
    </row>
    <row r="207" spans="1:42" ht="16">
      <c r="A207" s="8" t="s">
        <v>61</v>
      </c>
      <c r="B207" s="8"/>
      <c r="C207" s="8"/>
      <c r="D207" s="8"/>
      <c r="E207" s="10"/>
      <c r="F207" s="8"/>
      <c r="G207" s="8"/>
      <c r="H207" s="8"/>
      <c r="I207" s="8"/>
      <c r="J207" s="8"/>
      <c r="K207" s="10"/>
      <c r="L207" s="8"/>
      <c r="M207" s="8"/>
      <c r="N207" s="8"/>
      <c r="O207" s="10"/>
      <c r="P207" s="10"/>
      <c r="Q207" s="8"/>
      <c r="R207" s="10"/>
      <c r="S207" s="8"/>
      <c r="T207" s="8"/>
      <c r="U207" s="8"/>
      <c r="V207" s="10"/>
      <c r="W207" s="10"/>
      <c r="X207" s="10"/>
      <c r="Y207" s="8"/>
      <c r="Z207" s="8"/>
      <c r="AA207" s="10"/>
      <c r="AB207" s="10"/>
      <c r="AC207" s="8"/>
      <c r="AD207" s="8"/>
      <c r="AE207" s="8"/>
      <c r="AF207" s="8"/>
      <c r="AG207" s="8"/>
      <c r="AH207" s="8"/>
      <c r="AI207" s="8"/>
      <c r="AJ207" s="8"/>
      <c r="AK207" s="8"/>
      <c r="AL207" s="8"/>
      <c r="AM207" s="8"/>
      <c r="AN207" s="8"/>
      <c r="AO207" s="8"/>
      <c r="AP207" s="8"/>
    </row>
    <row r="208" spans="1:42" ht="34">
      <c r="A208" s="8" t="s">
        <v>14</v>
      </c>
      <c r="B208" s="8" t="s">
        <v>15</v>
      </c>
      <c r="C208" s="8" t="s">
        <v>163</v>
      </c>
      <c r="D208" s="8" t="s">
        <v>164</v>
      </c>
      <c r="E208" s="10" t="s">
        <v>165</v>
      </c>
      <c r="F208" s="8" t="s">
        <v>166</v>
      </c>
      <c r="G208" s="8" t="s">
        <v>167</v>
      </c>
      <c r="H208" s="8" t="s">
        <v>168</v>
      </c>
      <c r="I208" s="8" t="s">
        <v>169</v>
      </c>
      <c r="J208" s="8" t="s">
        <v>170</v>
      </c>
      <c r="K208" s="10" t="s">
        <v>171</v>
      </c>
      <c r="L208" s="8" t="s">
        <v>172</v>
      </c>
      <c r="M208" s="8" t="s">
        <v>173</v>
      </c>
      <c r="N208" s="8" t="s">
        <v>174</v>
      </c>
      <c r="O208" s="10" t="s">
        <v>175</v>
      </c>
      <c r="P208" s="10" t="s">
        <v>176</v>
      </c>
      <c r="Q208" s="8" t="s">
        <v>177</v>
      </c>
      <c r="R208" s="10" t="s">
        <v>178</v>
      </c>
      <c r="S208" s="8" t="s">
        <v>179</v>
      </c>
      <c r="T208" s="8" t="s">
        <v>180</v>
      </c>
      <c r="U208" s="8" t="s">
        <v>181</v>
      </c>
      <c r="V208" s="10" t="s">
        <v>182</v>
      </c>
      <c r="W208" s="10" t="s">
        <v>100</v>
      </c>
      <c r="X208" s="10" t="s">
        <v>101</v>
      </c>
      <c r="Y208" s="8" t="s">
        <v>102</v>
      </c>
      <c r="Z208" s="8" t="s">
        <v>103</v>
      </c>
      <c r="AA208" s="10" t="s">
        <v>104</v>
      </c>
      <c r="AB208" s="10" t="s">
        <v>105</v>
      </c>
      <c r="AC208" s="8" t="s">
        <v>39</v>
      </c>
      <c r="AD208" s="8"/>
      <c r="AE208" s="8"/>
      <c r="AF208" s="8"/>
      <c r="AG208" s="8"/>
      <c r="AH208" s="8"/>
      <c r="AI208" s="8"/>
      <c r="AJ208" s="8"/>
      <c r="AK208" s="8"/>
      <c r="AL208" s="8"/>
      <c r="AM208" s="8"/>
      <c r="AN208" s="8"/>
      <c r="AO208" s="8"/>
      <c r="AP208" s="8"/>
    </row>
    <row r="209" spans="1:42" ht="17">
      <c r="A209" s="8" t="s">
        <v>68</v>
      </c>
      <c r="B209" s="8" t="s">
        <v>42</v>
      </c>
      <c r="C209" s="8">
        <v>-60944000</v>
      </c>
      <c r="D209" s="8" t="s">
        <v>43</v>
      </c>
      <c r="E209" s="10" t="s">
        <v>43</v>
      </c>
      <c r="F209" s="8" t="s">
        <v>43</v>
      </c>
      <c r="G209" s="8" t="s">
        <v>43</v>
      </c>
      <c r="H209" s="8">
        <v>91901000</v>
      </c>
      <c r="I209" s="8">
        <v>19730000</v>
      </c>
      <c r="J209" s="8" t="s">
        <v>43</v>
      </c>
      <c r="K209" s="10" t="s">
        <v>43</v>
      </c>
      <c r="L209" s="8" t="s">
        <v>43</v>
      </c>
      <c r="M209" s="8" t="s">
        <v>43</v>
      </c>
      <c r="N209" s="8">
        <v>-11038000</v>
      </c>
      <c r="O209" s="10" t="s">
        <v>43</v>
      </c>
      <c r="P209" s="10" t="s">
        <v>43</v>
      </c>
      <c r="Q209" s="8" t="s">
        <v>43</v>
      </c>
      <c r="R209" s="10" t="s">
        <v>43</v>
      </c>
      <c r="S209" s="8">
        <v>385000</v>
      </c>
      <c r="T209" s="8">
        <v>385000</v>
      </c>
      <c r="U209" s="8" t="s">
        <v>43</v>
      </c>
      <c r="V209" s="10" t="s">
        <v>43</v>
      </c>
      <c r="W209" s="10" t="s">
        <v>43</v>
      </c>
      <c r="X209" s="10" t="s">
        <v>43</v>
      </c>
      <c r="Y209" s="8" t="s">
        <v>43</v>
      </c>
      <c r="Z209" s="8" t="s">
        <v>43</v>
      </c>
      <c r="AA209" s="10" t="s">
        <v>43</v>
      </c>
      <c r="AB209" s="10" t="s">
        <v>43</v>
      </c>
      <c r="AC209" s="8">
        <v>-280883000</v>
      </c>
      <c r="AD209" s="8"/>
      <c r="AE209" s="8"/>
      <c r="AF209" s="8"/>
      <c r="AG209" s="8"/>
      <c r="AH209" s="8"/>
      <c r="AI209" s="8"/>
      <c r="AJ209" s="8"/>
      <c r="AK209" s="8"/>
      <c r="AL209" s="8"/>
      <c r="AM209" s="8"/>
      <c r="AN209" s="8"/>
      <c r="AO209" s="8"/>
      <c r="AP209" s="8"/>
    </row>
    <row r="210" spans="1:42" ht="17">
      <c r="A210" s="8" t="s">
        <v>41</v>
      </c>
      <c r="B210" s="8" t="s">
        <v>42</v>
      </c>
      <c r="C210" s="8">
        <v>1212000</v>
      </c>
      <c r="D210" s="8" t="s">
        <v>43</v>
      </c>
      <c r="E210" s="10" t="s">
        <v>43</v>
      </c>
      <c r="F210" s="8" t="s">
        <v>43</v>
      </c>
      <c r="G210" s="8" t="s">
        <v>43</v>
      </c>
      <c r="H210" s="8">
        <v>98733000</v>
      </c>
      <c r="I210" s="8">
        <v>25420000</v>
      </c>
      <c r="J210" s="8" t="s">
        <v>43</v>
      </c>
      <c r="K210" s="10" t="s">
        <v>43</v>
      </c>
      <c r="L210" s="8" t="s">
        <v>43</v>
      </c>
      <c r="M210" s="8" t="s">
        <v>43</v>
      </c>
      <c r="N210" s="8">
        <v>-149902000</v>
      </c>
      <c r="O210" s="10" t="s">
        <v>43</v>
      </c>
      <c r="P210" s="10" t="s">
        <v>43</v>
      </c>
      <c r="Q210" s="8" t="s">
        <v>43</v>
      </c>
      <c r="R210" s="10" t="s">
        <v>43</v>
      </c>
      <c r="S210" s="8" t="s">
        <v>43</v>
      </c>
      <c r="T210" s="8" t="s">
        <v>43</v>
      </c>
      <c r="U210" s="8" t="s">
        <v>43</v>
      </c>
      <c r="V210" s="10" t="s">
        <v>43</v>
      </c>
      <c r="W210" s="10" t="s">
        <v>43</v>
      </c>
      <c r="X210" s="10" t="s">
        <v>43</v>
      </c>
      <c r="Y210" s="8" t="s">
        <v>43</v>
      </c>
      <c r="Z210" s="8" t="s">
        <v>43</v>
      </c>
      <c r="AA210" s="10" t="s">
        <v>43</v>
      </c>
      <c r="AB210" s="10" t="s">
        <v>43</v>
      </c>
      <c r="AC210" s="8">
        <v>31928000</v>
      </c>
      <c r="AD210" s="8"/>
      <c r="AE210" s="8"/>
      <c r="AF210" s="8"/>
      <c r="AG210" s="8"/>
      <c r="AH210" s="8"/>
      <c r="AI210" s="8"/>
      <c r="AJ210" s="8"/>
      <c r="AK210" s="8"/>
      <c r="AL210" s="8"/>
      <c r="AM210" s="8"/>
      <c r="AN210" s="8"/>
      <c r="AO210" s="8"/>
      <c r="AP210" s="8"/>
    </row>
    <row r="211" spans="1:42" ht="17">
      <c r="A211" s="8" t="s">
        <v>85</v>
      </c>
      <c r="B211" s="8" t="s">
        <v>42</v>
      </c>
      <c r="C211" s="8">
        <v>102765000</v>
      </c>
      <c r="D211" s="8" t="s">
        <v>43</v>
      </c>
      <c r="E211" s="10" t="s">
        <v>43</v>
      </c>
      <c r="F211" s="8" t="s">
        <v>43</v>
      </c>
      <c r="G211" s="8" t="s">
        <v>43</v>
      </c>
      <c r="H211" s="8">
        <v>101331000</v>
      </c>
      <c r="I211" s="8">
        <v>29420000</v>
      </c>
      <c r="J211" s="8" t="s">
        <v>43</v>
      </c>
      <c r="K211" s="10" t="s">
        <v>43</v>
      </c>
      <c r="L211" s="8" t="s">
        <v>43</v>
      </c>
      <c r="M211" s="8" t="s">
        <v>43</v>
      </c>
      <c r="N211" s="8">
        <v>-3627000</v>
      </c>
      <c r="O211" s="10" t="s">
        <v>43</v>
      </c>
      <c r="P211" s="10" t="s">
        <v>43</v>
      </c>
      <c r="Q211" s="8" t="s">
        <v>43</v>
      </c>
      <c r="R211" s="10" t="s">
        <v>43</v>
      </c>
      <c r="S211" s="8">
        <v>773000</v>
      </c>
      <c r="T211" s="8">
        <v>773000</v>
      </c>
      <c r="U211" s="8" t="s">
        <v>43</v>
      </c>
      <c r="V211" s="10" t="s">
        <v>43</v>
      </c>
      <c r="W211" s="10" t="s">
        <v>43</v>
      </c>
      <c r="X211" s="10" t="s">
        <v>43</v>
      </c>
      <c r="Y211" s="8" t="s">
        <v>43</v>
      </c>
      <c r="Z211" s="8" t="s">
        <v>43</v>
      </c>
      <c r="AA211" s="10" t="s">
        <v>43</v>
      </c>
      <c r="AB211" s="10" t="s">
        <v>43</v>
      </c>
      <c r="AC211" s="8">
        <v>-41256000</v>
      </c>
      <c r="AD211" s="8"/>
      <c r="AE211" s="8"/>
      <c r="AF211" s="8"/>
      <c r="AG211" s="8"/>
      <c r="AH211" s="8"/>
      <c r="AI211" s="8"/>
      <c r="AJ211" s="8"/>
      <c r="AK211" s="8"/>
      <c r="AL211" s="8"/>
      <c r="AM211" s="8"/>
      <c r="AN211" s="8"/>
      <c r="AO211" s="8"/>
      <c r="AP211" s="8"/>
    </row>
    <row r="212" spans="1:42" ht="17">
      <c r="A212" s="8" t="s">
        <v>86</v>
      </c>
      <c r="B212" s="8" t="s">
        <v>42</v>
      </c>
      <c r="C212" s="8">
        <v>26729000</v>
      </c>
      <c r="D212" s="8" t="s">
        <v>43</v>
      </c>
      <c r="E212" s="10" t="s">
        <v>43</v>
      </c>
      <c r="F212" s="8" t="s">
        <v>43</v>
      </c>
      <c r="G212" s="8" t="s">
        <v>43</v>
      </c>
      <c r="H212" s="8">
        <v>104356000</v>
      </c>
      <c r="I212" s="8">
        <v>21172000</v>
      </c>
      <c r="J212" s="8" t="s">
        <v>43</v>
      </c>
      <c r="K212" s="10" t="s">
        <v>43</v>
      </c>
      <c r="L212" s="8" t="s">
        <v>43</v>
      </c>
      <c r="M212" s="8" t="s">
        <v>43</v>
      </c>
      <c r="N212" s="8">
        <v>-1268000</v>
      </c>
      <c r="O212" s="10" t="s">
        <v>43</v>
      </c>
      <c r="P212" s="10" t="s">
        <v>43</v>
      </c>
      <c r="Q212" s="8" t="s">
        <v>43</v>
      </c>
      <c r="R212" s="10" t="s">
        <v>43</v>
      </c>
      <c r="S212" s="8" t="s">
        <v>43</v>
      </c>
      <c r="T212" s="8" t="s">
        <v>43</v>
      </c>
      <c r="U212" s="8" t="s">
        <v>43</v>
      </c>
      <c r="V212" s="10" t="s">
        <v>43</v>
      </c>
      <c r="W212" s="10" t="s">
        <v>43</v>
      </c>
      <c r="X212" s="10" t="s">
        <v>43</v>
      </c>
      <c r="Y212" s="8" t="s">
        <v>43</v>
      </c>
      <c r="Z212" s="8" t="s">
        <v>43</v>
      </c>
      <c r="AA212" s="10" t="s">
        <v>43</v>
      </c>
      <c r="AB212" s="10" t="s">
        <v>43</v>
      </c>
      <c r="AC212" s="8">
        <v>-981658000</v>
      </c>
      <c r="AD212" s="8"/>
      <c r="AE212" s="8"/>
      <c r="AF212" s="8"/>
      <c r="AG212" s="8"/>
      <c r="AH212" s="8"/>
      <c r="AI212" s="8"/>
      <c r="AJ212" s="8"/>
      <c r="AK212" s="8"/>
      <c r="AL212" s="8"/>
      <c r="AM212" s="8"/>
      <c r="AN212" s="8"/>
      <c r="AO212" s="8"/>
      <c r="AP212" s="8"/>
    </row>
    <row r="213" spans="1:42" ht="17">
      <c r="A213" s="8" t="s">
        <v>87</v>
      </c>
      <c r="B213" s="8" t="s">
        <v>42</v>
      </c>
      <c r="C213" s="8">
        <v>-59277000</v>
      </c>
      <c r="D213" s="8" t="s">
        <v>43</v>
      </c>
      <c r="E213" s="10" t="s">
        <v>43</v>
      </c>
      <c r="F213" s="8" t="s">
        <v>43</v>
      </c>
      <c r="G213" s="8" t="s">
        <v>43</v>
      </c>
      <c r="H213" s="8">
        <v>105162000</v>
      </c>
      <c r="I213" s="8">
        <v>21582000</v>
      </c>
      <c r="J213" s="8" t="s">
        <v>43</v>
      </c>
      <c r="K213" s="10" t="s">
        <v>43</v>
      </c>
      <c r="L213" s="8" t="s">
        <v>43</v>
      </c>
      <c r="M213" s="8" t="s">
        <v>43</v>
      </c>
      <c r="N213" s="8">
        <v>-3548000</v>
      </c>
      <c r="O213" s="10" t="s">
        <v>43</v>
      </c>
      <c r="P213" s="10" t="s">
        <v>43</v>
      </c>
      <c r="Q213" s="8" t="s">
        <v>43</v>
      </c>
      <c r="R213" s="10" t="s">
        <v>43</v>
      </c>
      <c r="S213" s="8">
        <v>3397000</v>
      </c>
      <c r="T213" s="8">
        <v>3397000</v>
      </c>
      <c r="U213" s="8" t="s">
        <v>43</v>
      </c>
      <c r="V213" s="10" t="s">
        <v>43</v>
      </c>
      <c r="W213" s="10" t="s">
        <v>43</v>
      </c>
      <c r="X213" s="10" t="s">
        <v>43</v>
      </c>
      <c r="Y213" s="8" t="s">
        <v>43</v>
      </c>
      <c r="Z213" s="8" t="s">
        <v>43</v>
      </c>
      <c r="AA213" s="10" t="s">
        <v>43</v>
      </c>
      <c r="AB213" s="10" t="s">
        <v>43</v>
      </c>
      <c r="AC213" s="8">
        <v>-18508000</v>
      </c>
      <c r="AD213" s="8"/>
      <c r="AE213" s="8"/>
      <c r="AF213" s="8"/>
      <c r="AG213" s="8"/>
      <c r="AH213" s="8"/>
      <c r="AI213" s="8"/>
      <c r="AJ213" s="8"/>
      <c r="AK213" s="8"/>
      <c r="AL213" s="8"/>
      <c r="AM213" s="8"/>
      <c r="AN213" s="8"/>
      <c r="AO213" s="8"/>
      <c r="AP213" s="8"/>
    </row>
    <row r="214" spans="1:42" ht="17">
      <c r="A214" s="8" t="s">
        <v>44</v>
      </c>
      <c r="B214" s="8" t="s">
        <v>42</v>
      </c>
      <c r="C214" s="8">
        <v>154104000</v>
      </c>
      <c r="D214" s="8" t="s">
        <v>43</v>
      </c>
      <c r="E214" s="10" t="s">
        <v>43</v>
      </c>
      <c r="F214" s="8" t="s">
        <v>43</v>
      </c>
      <c r="G214" s="8" t="s">
        <v>43</v>
      </c>
      <c r="H214" s="8">
        <v>105455000</v>
      </c>
      <c r="I214" s="8">
        <v>12214000</v>
      </c>
      <c r="J214" s="8" t="s">
        <v>43</v>
      </c>
      <c r="K214" s="10">
        <v>-88893000</v>
      </c>
      <c r="L214" s="8" t="s">
        <v>43</v>
      </c>
      <c r="M214" s="8" t="s">
        <v>43</v>
      </c>
      <c r="N214" s="8">
        <v>-10201000</v>
      </c>
      <c r="O214" s="10" t="s">
        <v>43</v>
      </c>
      <c r="P214" s="10" t="s">
        <v>43</v>
      </c>
      <c r="Q214" s="8" t="s">
        <v>43</v>
      </c>
      <c r="R214" s="10" t="s">
        <v>43</v>
      </c>
      <c r="S214" s="8" t="s">
        <v>43</v>
      </c>
      <c r="T214" s="8" t="s">
        <v>43</v>
      </c>
      <c r="U214" s="8" t="s">
        <v>43</v>
      </c>
      <c r="V214" s="10" t="s">
        <v>43</v>
      </c>
      <c r="W214" s="10" t="s">
        <v>43</v>
      </c>
      <c r="X214" s="10" t="s">
        <v>43</v>
      </c>
      <c r="Y214" s="8" t="s">
        <v>43</v>
      </c>
      <c r="Z214" s="8" t="s">
        <v>43</v>
      </c>
      <c r="AA214" s="10" t="s">
        <v>43</v>
      </c>
      <c r="AB214" s="10" t="s">
        <v>43</v>
      </c>
      <c r="AC214" s="8">
        <v>13123000</v>
      </c>
      <c r="AD214" s="8"/>
      <c r="AE214" s="8"/>
      <c r="AF214" s="8"/>
      <c r="AG214" s="8"/>
      <c r="AH214" s="8"/>
      <c r="AI214" s="8"/>
      <c r="AJ214" s="8"/>
      <c r="AK214" s="8"/>
      <c r="AL214" s="8"/>
      <c r="AM214" s="8"/>
      <c r="AN214" s="8"/>
      <c r="AO214" s="8"/>
      <c r="AP214" s="8"/>
    </row>
    <row r="215" spans="1:42" ht="17">
      <c r="A215" s="8" t="s">
        <v>88</v>
      </c>
      <c r="B215" s="8" t="s">
        <v>42</v>
      </c>
      <c r="C215" s="8">
        <v>96169000</v>
      </c>
      <c r="D215" s="8" t="s">
        <v>43</v>
      </c>
      <c r="E215" s="10" t="s">
        <v>43</v>
      </c>
      <c r="F215" s="8" t="s">
        <v>43</v>
      </c>
      <c r="G215" s="8" t="s">
        <v>43</v>
      </c>
      <c r="H215" s="8">
        <v>106451000</v>
      </c>
      <c r="I215" s="8">
        <v>28518000</v>
      </c>
      <c r="J215" s="8" t="s">
        <v>43</v>
      </c>
      <c r="K215" s="10">
        <v>48517000</v>
      </c>
      <c r="L215" s="8" t="s">
        <v>43</v>
      </c>
      <c r="M215" s="8" t="s">
        <v>43</v>
      </c>
      <c r="N215" s="8">
        <v>-67082000</v>
      </c>
      <c r="O215" s="10" t="s">
        <v>43</v>
      </c>
      <c r="P215" s="10" t="s">
        <v>43</v>
      </c>
      <c r="Q215" s="8" t="s">
        <v>43</v>
      </c>
      <c r="R215" s="10" t="s">
        <v>43</v>
      </c>
      <c r="S215" s="8" t="s">
        <v>43</v>
      </c>
      <c r="T215" s="8" t="s">
        <v>43</v>
      </c>
      <c r="U215" s="8" t="s">
        <v>43</v>
      </c>
      <c r="V215" s="10" t="s">
        <v>43</v>
      </c>
      <c r="W215" s="10" t="s">
        <v>43</v>
      </c>
      <c r="X215" s="10" t="s">
        <v>43</v>
      </c>
      <c r="Y215" s="8" t="s">
        <v>43</v>
      </c>
      <c r="Z215" s="8" t="s">
        <v>43</v>
      </c>
      <c r="AA215" s="10" t="s">
        <v>43</v>
      </c>
      <c r="AB215" s="10" t="s">
        <v>43</v>
      </c>
      <c r="AC215" s="8">
        <v>-8969000</v>
      </c>
      <c r="AD215" s="8"/>
      <c r="AE215" s="8"/>
      <c r="AF215" s="8"/>
      <c r="AG215" s="8"/>
      <c r="AH215" s="8"/>
      <c r="AI215" s="8"/>
      <c r="AJ215" s="8"/>
      <c r="AK215" s="8"/>
      <c r="AL215" s="8"/>
      <c r="AM215" s="8"/>
      <c r="AN215" s="8"/>
      <c r="AO215" s="8"/>
      <c r="AP215" s="8"/>
    </row>
    <row r="216" spans="1:42" ht="17">
      <c r="A216" s="8" t="s">
        <v>89</v>
      </c>
      <c r="B216" s="8" t="s">
        <v>42</v>
      </c>
      <c r="C216" s="8">
        <v>56772000</v>
      </c>
      <c r="D216" s="8" t="s">
        <v>43</v>
      </c>
      <c r="E216" s="10" t="s">
        <v>43</v>
      </c>
      <c r="F216" s="8" t="s">
        <v>43</v>
      </c>
      <c r="G216" s="8" t="s">
        <v>43</v>
      </c>
      <c r="H216" s="8">
        <v>108065000</v>
      </c>
      <c r="I216" s="8">
        <v>22773000</v>
      </c>
      <c r="J216" s="8">
        <v>-80698000</v>
      </c>
      <c r="K216" s="10">
        <v>40376000</v>
      </c>
      <c r="L216" s="8" t="s">
        <v>43</v>
      </c>
      <c r="M216" s="8">
        <v>-20839000</v>
      </c>
      <c r="N216" s="8">
        <v>-58937000</v>
      </c>
      <c r="O216" s="10" t="s">
        <v>43</v>
      </c>
      <c r="P216" s="10" t="s">
        <v>43</v>
      </c>
      <c r="Q216" s="8" t="s">
        <v>43</v>
      </c>
      <c r="R216" s="10" t="s">
        <v>43</v>
      </c>
      <c r="S216" s="8" t="s">
        <v>43</v>
      </c>
      <c r="T216" s="8" t="s">
        <v>43</v>
      </c>
      <c r="U216" s="8" t="s">
        <v>43</v>
      </c>
      <c r="V216" s="10" t="s">
        <v>43</v>
      </c>
      <c r="W216" s="10" t="s">
        <v>43</v>
      </c>
      <c r="X216" s="10" t="s">
        <v>43</v>
      </c>
      <c r="Y216" s="8" t="s">
        <v>43</v>
      </c>
      <c r="Z216" s="8" t="s">
        <v>43</v>
      </c>
      <c r="AA216" s="10">
        <v>-23004000</v>
      </c>
      <c r="AB216" s="10" t="s">
        <v>43</v>
      </c>
      <c r="AC216" s="8">
        <v>-882982000</v>
      </c>
      <c r="AD216" s="8"/>
      <c r="AE216" s="8"/>
      <c r="AF216" s="8"/>
      <c r="AG216" s="8"/>
      <c r="AH216" s="8"/>
      <c r="AI216" s="8"/>
      <c r="AJ216" s="8"/>
      <c r="AK216" s="8"/>
      <c r="AL216" s="8"/>
      <c r="AM216" s="8"/>
      <c r="AN216" s="8"/>
      <c r="AO216" s="8"/>
      <c r="AP216" s="8"/>
    </row>
    <row r="217" spans="1:42" ht="17">
      <c r="A217" s="8" t="s">
        <v>90</v>
      </c>
      <c r="B217" s="8" t="s">
        <v>42</v>
      </c>
      <c r="C217" s="8">
        <v>-93983000</v>
      </c>
      <c r="D217" s="8" t="s">
        <v>43</v>
      </c>
      <c r="E217" s="10" t="s">
        <v>43</v>
      </c>
      <c r="F217" s="8" t="s">
        <v>43</v>
      </c>
      <c r="G217" s="8" t="s">
        <v>43</v>
      </c>
      <c r="H217" s="8">
        <v>108512000</v>
      </c>
      <c r="I217" s="8">
        <v>39165000</v>
      </c>
      <c r="J217" s="8">
        <v>94759000</v>
      </c>
      <c r="K217" s="10" t="s">
        <v>43</v>
      </c>
      <c r="L217" s="8" t="s">
        <v>43</v>
      </c>
      <c r="M217" s="8">
        <v>-38421000</v>
      </c>
      <c r="N217" s="8">
        <v>-15938000</v>
      </c>
      <c r="O217" s="10" t="s">
        <v>43</v>
      </c>
      <c r="P217" s="10" t="s">
        <v>43</v>
      </c>
      <c r="Q217" s="8" t="s">
        <v>43</v>
      </c>
      <c r="R217" s="10" t="s">
        <v>43</v>
      </c>
      <c r="S217" s="8" t="s">
        <v>43</v>
      </c>
      <c r="T217" s="8" t="s">
        <v>43</v>
      </c>
      <c r="U217" s="8" t="s">
        <v>43</v>
      </c>
      <c r="V217" s="10" t="s">
        <v>43</v>
      </c>
      <c r="W217" s="10" t="s">
        <v>43</v>
      </c>
      <c r="X217" s="10" t="s">
        <v>43</v>
      </c>
      <c r="Y217" s="8" t="s">
        <v>43</v>
      </c>
      <c r="Z217" s="8" t="s">
        <v>43</v>
      </c>
      <c r="AA217" s="10">
        <v>-148342000</v>
      </c>
      <c r="AB217" s="10" t="s">
        <v>43</v>
      </c>
      <c r="AC217" s="8">
        <v>-222363000</v>
      </c>
      <c r="AD217" s="8"/>
      <c r="AE217" s="8"/>
      <c r="AF217" s="8"/>
      <c r="AG217" s="8"/>
      <c r="AH217" s="8"/>
      <c r="AI217" s="8"/>
      <c r="AJ217" s="8"/>
      <c r="AK217" s="8"/>
      <c r="AL217" s="8"/>
      <c r="AM217" s="8"/>
      <c r="AN217" s="8"/>
      <c r="AO217" s="8"/>
      <c r="AP217" s="8"/>
    </row>
    <row r="218" spans="1:42" ht="17">
      <c r="A218" s="8" t="s">
        <v>46</v>
      </c>
      <c r="B218" s="8" t="s">
        <v>42</v>
      </c>
      <c r="C218" s="8">
        <v>213376000</v>
      </c>
      <c r="D218" s="8" t="s">
        <v>43</v>
      </c>
      <c r="E218" s="10" t="s">
        <v>43</v>
      </c>
      <c r="F218" s="8" t="s">
        <v>43</v>
      </c>
      <c r="G218" s="8" t="s">
        <v>43</v>
      </c>
      <c r="H218" s="8">
        <v>111520000</v>
      </c>
      <c r="I218" s="8">
        <v>48402000</v>
      </c>
      <c r="J218" s="8" t="s">
        <v>43</v>
      </c>
      <c r="K218" s="10" t="s">
        <v>43</v>
      </c>
      <c r="L218" s="8" t="s">
        <v>43</v>
      </c>
      <c r="M218" s="8">
        <v>-46419000</v>
      </c>
      <c r="N218" s="8">
        <v>-126451000</v>
      </c>
      <c r="O218" s="10" t="s">
        <v>43</v>
      </c>
      <c r="P218" s="10" t="s">
        <v>43</v>
      </c>
      <c r="Q218" s="8" t="s">
        <v>43</v>
      </c>
      <c r="R218" s="10" t="s">
        <v>43</v>
      </c>
      <c r="S218" s="8" t="s">
        <v>43</v>
      </c>
      <c r="T218" s="8" t="s">
        <v>43</v>
      </c>
      <c r="U218" s="8" t="s">
        <v>43</v>
      </c>
      <c r="V218" s="10" t="s">
        <v>43</v>
      </c>
      <c r="W218" s="10" t="s">
        <v>43</v>
      </c>
      <c r="X218" s="10" t="s">
        <v>43</v>
      </c>
      <c r="Y218" s="8" t="s">
        <v>43</v>
      </c>
      <c r="Z218" s="8" t="s">
        <v>43</v>
      </c>
      <c r="AA218" s="10" t="s">
        <v>43</v>
      </c>
      <c r="AB218" s="10" t="s">
        <v>43</v>
      </c>
      <c r="AC218" s="8">
        <v>80663000</v>
      </c>
      <c r="AD218" s="8"/>
      <c r="AE218" s="8"/>
      <c r="AF218" s="8"/>
      <c r="AG218" s="8"/>
      <c r="AH218" s="8"/>
      <c r="AI218" s="8"/>
      <c r="AJ218" s="8"/>
      <c r="AK218" s="8"/>
      <c r="AL218" s="8"/>
      <c r="AM218" s="8"/>
      <c r="AN218" s="8"/>
      <c r="AO218" s="8"/>
      <c r="AP218" s="8"/>
    </row>
    <row r="219" spans="1:42" ht="17">
      <c r="A219" s="8" t="s">
        <v>91</v>
      </c>
      <c r="B219" s="8" t="s">
        <v>42</v>
      </c>
      <c r="C219" s="8">
        <v>103110000</v>
      </c>
      <c r="D219" s="8" t="s">
        <v>43</v>
      </c>
      <c r="E219" s="10" t="s">
        <v>43</v>
      </c>
      <c r="F219" s="8" t="s">
        <v>43</v>
      </c>
      <c r="G219" s="8" t="s">
        <v>43</v>
      </c>
      <c r="H219" s="8">
        <v>109305000</v>
      </c>
      <c r="I219" s="8">
        <v>40357000</v>
      </c>
      <c r="J219" s="8">
        <v>-15555000</v>
      </c>
      <c r="K219" s="10" t="s">
        <v>43</v>
      </c>
      <c r="L219" s="8" t="s">
        <v>43</v>
      </c>
      <c r="M219" s="8">
        <v>-33150000</v>
      </c>
      <c r="N219" s="8">
        <v>-68946000</v>
      </c>
      <c r="O219" s="10" t="s">
        <v>43</v>
      </c>
      <c r="P219" s="10" t="s">
        <v>43</v>
      </c>
      <c r="Q219" s="8" t="s">
        <v>43</v>
      </c>
      <c r="R219" s="10" t="s">
        <v>43</v>
      </c>
      <c r="S219" s="8" t="s">
        <v>43</v>
      </c>
      <c r="T219" s="8" t="s">
        <v>43</v>
      </c>
      <c r="U219" s="8" t="s">
        <v>43</v>
      </c>
      <c r="V219" s="10" t="s">
        <v>43</v>
      </c>
      <c r="W219" s="10" t="s">
        <v>43</v>
      </c>
      <c r="X219" s="10" t="s">
        <v>43</v>
      </c>
      <c r="Y219" s="8" t="s">
        <v>43</v>
      </c>
      <c r="Z219" s="8" t="s">
        <v>43</v>
      </c>
      <c r="AA219" s="10">
        <v>1014000</v>
      </c>
      <c r="AB219" s="10" t="s">
        <v>43</v>
      </c>
      <c r="AC219" s="8">
        <v>-309776000</v>
      </c>
      <c r="AD219" s="8"/>
      <c r="AE219" s="8"/>
      <c r="AF219" s="8"/>
      <c r="AG219" s="8"/>
      <c r="AH219" s="8"/>
      <c r="AI219" s="8"/>
      <c r="AJ219" s="8"/>
      <c r="AK219" s="8"/>
      <c r="AL219" s="8"/>
      <c r="AM219" s="8"/>
      <c r="AN219" s="8"/>
      <c r="AO219" s="8"/>
      <c r="AP219" s="8"/>
    </row>
    <row r="220" spans="1:42" ht="17">
      <c r="A220" s="8" t="s">
        <v>92</v>
      </c>
      <c r="B220" s="8" t="s">
        <v>42</v>
      </c>
      <c r="C220" s="8">
        <v>155801000</v>
      </c>
      <c r="D220" s="8" t="s">
        <v>43</v>
      </c>
      <c r="E220" s="10" t="s">
        <v>43</v>
      </c>
      <c r="F220" s="8" t="s">
        <v>43</v>
      </c>
      <c r="G220" s="8" t="s">
        <v>43</v>
      </c>
      <c r="H220" s="8">
        <v>110788000</v>
      </c>
      <c r="I220" s="8">
        <v>49653000</v>
      </c>
      <c r="J220" s="8">
        <v>-67099000</v>
      </c>
      <c r="K220" s="10" t="s">
        <v>43</v>
      </c>
      <c r="L220" s="8" t="s">
        <v>43</v>
      </c>
      <c r="M220" s="8">
        <v>-29967000</v>
      </c>
      <c r="N220" s="8">
        <v>-110250000</v>
      </c>
      <c r="O220" s="10" t="s">
        <v>43</v>
      </c>
      <c r="P220" s="10" t="s">
        <v>43</v>
      </c>
      <c r="Q220" s="8" t="s">
        <v>43</v>
      </c>
      <c r="R220" s="10" t="s">
        <v>43</v>
      </c>
      <c r="S220" s="8" t="s">
        <v>43</v>
      </c>
      <c r="T220" s="8" t="s">
        <v>43</v>
      </c>
      <c r="U220" s="8" t="s">
        <v>43</v>
      </c>
      <c r="V220" s="10" t="s">
        <v>43</v>
      </c>
      <c r="W220" s="10" t="s">
        <v>43</v>
      </c>
      <c r="X220" s="10" t="s">
        <v>43</v>
      </c>
      <c r="Y220" s="8" t="s">
        <v>43</v>
      </c>
      <c r="Z220" s="8" t="s">
        <v>43</v>
      </c>
      <c r="AA220" s="10">
        <v>15584000</v>
      </c>
      <c r="AB220" s="10" t="s">
        <v>43</v>
      </c>
      <c r="AC220" s="8">
        <v>15182000</v>
      </c>
      <c r="AD220" s="8"/>
      <c r="AE220" s="8"/>
      <c r="AF220" s="8"/>
      <c r="AG220" s="8"/>
      <c r="AH220" s="8"/>
      <c r="AI220" s="8"/>
      <c r="AJ220" s="8"/>
      <c r="AK220" s="8"/>
      <c r="AL220" s="8"/>
      <c r="AM220" s="8"/>
      <c r="AN220" s="8"/>
      <c r="AO220" s="8"/>
      <c r="AP220" s="8"/>
    </row>
    <row r="221" spans="1:42" ht="17">
      <c r="A221" s="8" t="s">
        <v>93</v>
      </c>
      <c r="B221" s="8" t="s">
        <v>42</v>
      </c>
      <c r="C221" s="8">
        <v>-52212000</v>
      </c>
      <c r="D221" s="8" t="s">
        <v>43</v>
      </c>
      <c r="E221" s="10" t="s">
        <v>43</v>
      </c>
      <c r="F221" s="8" t="s">
        <v>43</v>
      </c>
      <c r="G221" s="8" t="s">
        <v>43</v>
      </c>
      <c r="H221" s="8">
        <v>114051000</v>
      </c>
      <c r="I221" s="8">
        <v>22557000</v>
      </c>
      <c r="J221" s="8">
        <v>121339000</v>
      </c>
      <c r="K221" s="10" t="s">
        <v>43</v>
      </c>
      <c r="L221" s="8" t="s">
        <v>43</v>
      </c>
      <c r="M221" s="8">
        <v>-19690000</v>
      </c>
      <c r="N221" s="8">
        <v>-461000</v>
      </c>
      <c r="O221" s="10" t="s">
        <v>43</v>
      </c>
      <c r="P221" s="10" t="s">
        <v>43</v>
      </c>
      <c r="Q221" s="8" t="s">
        <v>43</v>
      </c>
      <c r="R221" s="10" t="s">
        <v>43</v>
      </c>
      <c r="S221" s="8" t="s">
        <v>43</v>
      </c>
      <c r="T221" s="8" t="s">
        <v>43</v>
      </c>
      <c r="U221" s="8" t="s">
        <v>43</v>
      </c>
      <c r="V221" s="10" t="s">
        <v>43</v>
      </c>
      <c r="W221" s="10" t="s">
        <v>43</v>
      </c>
      <c r="X221" s="10" t="s">
        <v>43</v>
      </c>
      <c r="Y221" s="8" t="s">
        <v>43</v>
      </c>
      <c r="Z221" s="8" t="s">
        <v>43</v>
      </c>
      <c r="AA221" s="10">
        <v>-72363000</v>
      </c>
      <c r="AB221" s="10" t="s">
        <v>43</v>
      </c>
      <c r="AC221" s="8">
        <v>-48739000</v>
      </c>
      <c r="AD221" s="8"/>
      <c r="AE221" s="8"/>
      <c r="AF221" s="8"/>
      <c r="AG221" s="8"/>
      <c r="AH221" s="8"/>
      <c r="AI221" s="8"/>
      <c r="AJ221" s="8"/>
      <c r="AK221" s="8"/>
      <c r="AL221" s="8"/>
      <c r="AM221" s="8"/>
      <c r="AN221" s="8"/>
      <c r="AO221" s="8"/>
      <c r="AP221" s="8"/>
    </row>
    <row r="222" spans="1:42" ht="17">
      <c r="A222" s="8" t="s">
        <v>47</v>
      </c>
      <c r="B222" s="8" t="s">
        <v>42</v>
      </c>
      <c r="C222" s="8">
        <v>133980000</v>
      </c>
      <c r="D222" s="8" t="s">
        <v>43</v>
      </c>
      <c r="E222" s="10" t="s">
        <v>43</v>
      </c>
      <c r="F222" s="8" t="s">
        <v>43</v>
      </c>
      <c r="G222" s="8" t="s">
        <v>43</v>
      </c>
      <c r="H222" s="8">
        <v>126009000</v>
      </c>
      <c r="I222" s="8">
        <v>82037000</v>
      </c>
      <c r="J222" s="8">
        <v>-167424000</v>
      </c>
      <c r="K222" s="10">
        <v>39860000</v>
      </c>
      <c r="L222" s="8" t="s">
        <v>43</v>
      </c>
      <c r="M222" s="8">
        <v>-86892000</v>
      </c>
      <c r="N222" s="8">
        <v>-64006000</v>
      </c>
      <c r="O222" s="10" t="s">
        <v>43</v>
      </c>
      <c r="P222" s="10" t="s">
        <v>43</v>
      </c>
      <c r="Q222" s="8" t="s">
        <v>43</v>
      </c>
      <c r="R222" s="10" t="s">
        <v>43</v>
      </c>
      <c r="S222" s="8" t="s">
        <v>43</v>
      </c>
      <c r="T222" s="8" t="s">
        <v>43</v>
      </c>
      <c r="U222" s="8" t="s">
        <v>43</v>
      </c>
      <c r="V222" s="10" t="s">
        <v>43</v>
      </c>
      <c r="W222" s="10" t="s">
        <v>43</v>
      </c>
      <c r="X222" s="10" t="s">
        <v>43</v>
      </c>
      <c r="Y222" s="8" t="s">
        <v>43</v>
      </c>
      <c r="Z222" s="8" t="s">
        <v>43</v>
      </c>
      <c r="AA222" s="10">
        <v>-16918000</v>
      </c>
      <c r="AB222" s="10" t="s">
        <v>43</v>
      </c>
      <c r="AC222" s="8">
        <v>111954000</v>
      </c>
      <c r="AD222" s="8"/>
      <c r="AE222" s="8"/>
      <c r="AF222" s="8"/>
      <c r="AG222" s="8"/>
      <c r="AH222" s="8"/>
      <c r="AI222" s="8"/>
      <c r="AJ222" s="8"/>
      <c r="AK222" s="8"/>
      <c r="AL222" s="8"/>
      <c r="AM222" s="8"/>
      <c r="AN222" s="8"/>
      <c r="AO222" s="8"/>
      <c r="AP222" s="8"/>
    </row>
    <row r="223" spans="1:42" ht="17">
      <c r="A223" s="8" t="s">
        <v>94</v>
      </c>
      <c r="B223" s="8" t="s">
        <v>42</v>
      </c>
      <c r="C223" s="8">
        <v>95736000</v>
      </c>
      <c r="D223" s="8" t="s">
        <v>43</v>
      </c>
      <c r="E223" s="10" t="s">
        <v>43</v>
      </c>
      <c r="F223" s="8" t="s">
        <v>43</v>
      </c>
      <c r="G223" s="8" t="s">
        <v>43</v>
      </c>
      <c r="H223" s="8">
        <v>108100000</v>
      </c>
      <c r="I223" s="8">
        <v>50274000</v>
      </c>
      <c r="J223" s="8">
        <v>-74065000</v>
      </c>
      <c r="K223" s="10">
        <v>8582000</v>
      </c>
      <c r="L223" s="8" t="s">
        <v>43</v>
      </c>
      <c r="M223" s="8">
        <v>-41635000</v>
      </c>
      <c r="N223" s="8">
        <v>-268236000</v>
      </c>
      <c r="O223" s="10" t="s">
        <v>43</v>
      </c>
      <c r="P223" s="10" t="s">
        <v>43</v>
      </c>
      <c r="Q223" s="8" t="s">
        <v>43</v>
      </c>
      <c r="R223" s="10" t="s">
        <v>43</v>
      </c>
      <c r="S223" s="8" t="s">
        <v>43</v>
      </c>
      <c r="T223" s="8" t="s">
        <v>43</v>
      </c>
      <c r="U223" s="8" t="s">
        <v>43</v>
      </c>
      <c r="V223" s="10" t="s">
        <v>43</v>
      </c>
      <c r="W223" s="10" t="s">
        <v>43</v>
      </c>
      <c r="X223" s="10" t="s">
        <v>43</v>
      </c>
      <c r="Y223" s="8" t="s">
        <v>43</v>
      </c>
      <c r="Z223" s="8" t="s">
        <v>43</v>
      </c>
      <c r="AA223" s="10">
        <v>-214135000</v>
      </c>
      <c r="AB223" s="10" t="s">
        <v>43</v>
      </c>
      <c r="AC223" s="8">
        <v>3673000</v>
      </c>
      <c r="AD223" s="8"/>
      <c r="AE223" s="8"/>
      <c r="AF223" s="8"/>
      <c r="AG223" s="8"/>
      <c r="AH223" s="8"/>
      <c r="AI223" s="8"/>
      <c r="AJ223" s="8"/>
      <c r="AK223" s="8"/>
      <c r="AL223" s="8"/>
      <c r="AM223" s="8"/>
      <c r="AN223" s="8"/>
      <c r="AO223" s="8"/>
      <c r="AP223" s="8"/>
    </row>
    <row r="224" spans="1:42" ht="17">
      <c r="A224" s="8" t="s">
        <v>95</v>
      </c>
      <c r="B224" s="8" t="s">
        <v>42</v>
      </c>
      <c r="C224" s="8">
        <v>29129000</v>
      </c>
      <c r="D224" s="8" t="s">
        <v>43</v>
      </c>
      <c r="E224" s="10" t="s">
        <v>43</v>
      </c>
      <c r="F224" s="8" t="s">
        <v>43</v>
      </c>
      <c r="G224" s="8" t="s">
        <v>43</v>
      </c>
      <c r="H224" s="8">
        <v>127945000</v>
      </c>
      <c r="I224" s="8">
        <v>32111000</v>
      </c>
      <c r="J224" s="8">
        <v>-76881000</v>
      </c>
      <c r="K224" s="10">
        <v>-10260000</v>
      </c>
      <c r="L224" s="8" t="s">
        <v>43</v>
      </c>
      <c r="M224" s="8">
        <v>31061000</v>
      </c>
      <c r="N224" s="8">
        <v>-6071000</v>
      </c>
      <c r="O224" s="10" t="s">
        <v>43</v>
      </c>
      <c r="P224" s="10" t="s">
        <v>43</v>
      </c>
      <c r="Q224" s="8" t="s">
        <v>43</v>
      </c>
      <c r="R224" s="10" t="s">
        <v>43</v>
      </c>
      <c r="S224" s="8" t="s">
        <v>43</v>
      </c>
      <c r="T224" s="8" t="s">
        <v>43</v>
      </c>
      <c r="U224" s="8" t="s">
        <v>43</v>
      </c>
      <c r="V224" s="10" t="s">
        <v>43</v>
      </c>
      <c r="W224" s="10" t="s">
        <v>43</v>
      </c>
      <c r="X224" s="10" t="s">
        <v>43</v>
      </c>
      <c r="Y224" s="8" t="s">
        <v>43</v>
      </c>
      <c r="Z224" s="8" t="s">
        <v>43</v>
      </c>
      <c r="AA224" s="10">
        <v>54119000</v>
      </c>
      <c r="AB224" s="10" t="s">
        <v>43</v>
      </c>
      <c r="AC224" s="8">
        <v>-31960000</v>
      </c>
      <c r="AD224" s="8"/>
      <c r="AE224" s="8"/>
      <c r="AF224" s="8"/>
      <c r="AG224" s="8"/>
      <c r="AH224" s="8"/>
      <c r="AI224" s="8"/>
      <c r="AJ224" s="8"/>
      <c r="AK224" s="8"/>
      <c r="AL224" s="8"/>
      <c r="AM224" s="8"/>
      <c r="AN224" s="8"/>
      <c r="AO224" s="8"/>
      <c r="AP224" s="8"/>
    </row>
    <row r="225" spans="1:42" ht="17">
      <c r="A225" s="8" t="s">
        <v>96</v>
      </c>
      <c r="B225" s="8" t="s">
        <v>42</v>
      </c>
      <c r="C225" s="8">
        <v>71728000</v>
      </c>
      <c r="D225" s="8" t="s">
        <v>43</v>
      </c>
      <c r="E225" s="10" t="s">
        <v>43</v>
      </c>
      <c r="F225" s="8" t="s">
        <v>43</v>
      </c>
      <c r="G225" s="8" t="s">
        <v>43</v>
      </c>
      <c r="H225" s="8">
        <v>107363000</v>
      </c>
      <c r="I225" s="8">
        <v>18950000</v>
      </c>
      <c r="J225" s="8">
        <v>113170000</v>
      </c>
      <c r="K225" s="10">
        <v>-36631000</v>
      </c>
      <c r="L225" s="8" t="s">
        <v>43</v>
      </c>
      <c r="M225" s="8">
        <v>-249324000</v>
      </c>
      <c r="N225" s="8">
        <v>-13811000</v>
      </c>
      <c r="O225" s="10" t="s">
        <v>43</v>
      </c>
      <c r="P225" s="10" t="s">
        <v>43</v>
      </c>
      <c r="Q225" s="8" t="s">
        <v>43</v>
      </c>
      <c r="R225" s="10" t="s">
        <v>43</v>
      </c>
      <c r="S225" s="8" t="s">
        <v>43</v>
      </c>
      <c r="T225" s="8" t="s">
        <v>43</v>
      </c>
      <c r="U225" s="8" t="s">
        <v>43</v>
      </c>
      <c r="V225" s="10" t="s">
        <v>43</v>
      </c>
      <c r="W225" s="10" t="s">
        <v>43</v>
      </c>
      <c r="X225" s="10" t="s">
        <v>43</v>
      </c>
      <c r="Y225" s="8" t="s">
        <v>43</v>
      </c>
      <c r="Z225" s="8" t="s">
        <v>43</v>
      </c>
      <c r="AA225" s="10">
        <v>-191407000</v>
      </c>
      <c r="AB225" s="10" t="s">
        <v>43</v>
      </c>
      <c r="AC225" s="8">
        <v>-242056000</v>
      </c>
      <c r="AD225" s="8"/>
      <c r="AE225" s="8"/>
      <c r="AF225" s="8"/>
      <c r="AG225" s="8"/>
      <c r="AH225" s="8"/>
      <c r="AI225" s="8"/>
      <c r="AJ225" s="8"/>
      <c r="AK225" s="8"/>
      <c r="AL225" s="8"/>
      <c r="AM225" s="8"/>
      <c r="AN225" s="8"/>
      <c r="AO225" s="8"/>
      <c r="AP225" s="8"/>
    </row>
    <row r="226" spans="1:42" ht="17">
      <c r="A226" s="8" t="s">
        <v>48</v>
      </c>
      <c r="B226" s="8" t="s">
        <v>42</v>
      </c>
      <c r="C226" s="8">
        <v>79784000</v>
      </c>
      <c r="D226" s="8" t="s">
        <v>43</v>
      </c>
      <c r="E226" s="10" t="s">
        <v>43</v>
      </c>
      <c r="F226" s="8" t="s">
        <v>43</v>
      </c>
      <c r="G226" s="8" t="s">
        <v>43</v>
      </c>
      <c r="H226" s="8">
        <v>103435000</v>
      </c>
      <c r="I226" s="8">
        <v>26682000</v>
      </c>
      <c r="J226" s="8" t="s">
        <v>43</v>
      </c>
      <c r="K226" s="10">
        <v>-3858000</v>
      </c>
      <c r="L226" s="8" t="s">
        <v>43</v>
      </c>
      <c r="M226" s="8">
        <v>-76641000</v>
      </c>
      <c r="N226" s="8">
        <v>-7457000</v>
      </c>
      <c r="O226" s="10" t="s">
        <v>43</v>
      </c>
      <c r="P226" s="10" t="s">
        <v>43</v>
      </c>
      <c r="Q226" s="8" t="s">
        <v>43</v>
      </c>
      <c r="R226" s="10" t="s">
        <v>43</v>
      </c>
      <c r="S226" s="8" t="s">
        <v>43</v>
      </c>
      <c r="T226" s="8" t="s">
        <v>43</v>
      </c>
      <c r="U226" s="8" t="s">
        <v>43</v>
      </c>
      <c r="V226" s="10" t="s">
        <v>43</v>
      </c>
      <c r="W226" s="10" t="s">
        <v>43</v>
      </c>
      <c r="X226" s="10" t="s">
        <v>43</v>
      </c>
      <c r="Y226" s="8" t="s">
        <v>43</v>
      </c>
      <c r="Z226" s="8" t="s">
        <v>43</v>
      </c>
      <c r="AA226" s="10" t="s">
        <v>43</v>
      </c>
      <c r="AB226" s="10" t="s">
        <v>43</v>
      </c>
      <c r="AC226" s="8">
        <v>2943000</v>
      </c>
      <c r="AD226" s="8"/>
      <c r="AE226" s="8"/>
      <c r="AF226" s="8"/>
      <c r="AG226" s="8"/>
      <c r="AH226" s="8"/>
      <c r="AI226" s="8"/>
      <c r="AJ226" s="8"/>
      <c r="AK226" s="8"/>
      <c r="AL226" s="8"/>
      <c r="AM226" s="8"/>
      <c r="AN226" s="8"/>
      <c r="AO226" s="8"/>
      <c r="AP226" s="8"/>
    </row>
    <row r="227" spans="1:42" ht="17">
      <c r="A227" s="8" t="s">
        <v>97</v>
      </c>
      <c r="B227" s="8" t="s">
        <v>42</v>
      </c>
      <c r="C227" s="8">
        <v>33252000</v>
      </c>
      <c r="D227" s="8" t="s">
        <v>43</v>
      </c>
      <c r="E227" s="10" t="s">
        <v>43</v>
      </c>
      <c r="F227" s="8" t="s">
        <v>43</v>
      </c>
      <c r="G227" s="8" t="s">
        <v>43</v>
      </c>
      <c r="H227" s="8">
        <v>99379000</v>
      </c>
      <c r="I227" s="8">
        <v>18977000</v>
      </c>
      <c r="J227" s="8" t="s">
        <v>43</v>
      </c>
      <c r="K227" s="10">
        <v>9842000</v>
      </c>
      <c r="L227" s="8" t="s">
        <v>43</v>
      </c>
      <c r="M227" s="8">
        <v>-20491000</v>
      </c>
      <c r="N227" s="8">
        <v>183125000</v>
      </c>
      <c r="O227" s="10" t="s">
        <v>43</v>
      </c>
      <c r="P227" s="10" t="s">
        <v>43</v>
      </c>
      <c r="Q227" s="8" t="s">
        <v>43</v>
      </c>
      <c r="R227" s="10" t="s">
        <v>43</v>
      </c>
      <c r="S227" s="8" t="s">
        <v>43</v>
      </c>
      <c r="T227" s="8" t="s">
        <v>43</v>
      </c>
      <c r="U227" s="8" t="s">
        <v>43</v>
      </c>
      <c r="V227" s="10" t="s">
        <v>43</v>
      </c>
      <c r="W227" s="10" t="s">
        <v>43</v>
      </c>
      <c r="X227" s="10" t="s">
        <v>43</v>
      </c>
      <c r="Y227" s="8" t="s">
        <v>43</v>
      </c>
      <c r="Z227" s="8" t="s">
        <v>43</v>
      </c>
      <c r="AA227" s="10" t="s">
        <v>43</v>
      </c>
      <c r="AB227" s="10" t="s">
        <v>43</v>
      </c>
      <c r="AC227" s="8">
        <v>-32112000</v>
      </c>
      <c r="AD227" s="8"/>
      <c r="AE227" s="8"/>
      <c r="AF227" s="8"/>
      <c r="AG227" s="8"/>
      <c r="AH227" s="8"/>
      <c r="AI227" s="8"/>
      <c r="AJ227" s="8"/>
      <c r="AK227" s="8"/>
      <c r="AL227" s="8"/>
      <c r="AM227" s="8"/>
      <c r="AN227" s="8"/>
      <c r="AO227" s="8"/>
      <c r="AP227" s="8"/>
    </row>
    <row r="228" spans="1:42" ht="17">
      <c r="A228" s="8" t="s">
        <v>98</v>
      </c>
      <c r="B228" s="8" t="s">
        <v>42</v>
      </c>
      <c r="C228" s="8">
        <v>11369000</v>
      </c>
      <c r="D228" s="8" t="s">
        <v>43</v>
      </c>
      <c r="E228" s="10" t="s">
        <v>43</v>
      </c>
      <c r="F228" s="8" t="s">
        <v>43</v>
      </c>
      <c r="G228" s="8" t="s">
        <v>43</v>
      </c>
      <c r="H228" s="8">
        <v>103347000</v>
      </c>
      <c r="I228" s="8">
        <v>17882000</v>
      </c>
      <c r="J228" s="8" t="s">
        <v>43</v>
      </c>
      <c r="K228" s="10">
        <v>13679000</v>
      </c>
      <c r="L228" s="8" t="s">
        <v>43</v>
      </c>
      <c r="M228" s="8">
        <v>-18881000</v>
      </c>
      <c r="N228" s="8">
        <v>-121771000</v>
      </c>
      <c r="O228" s="10" t="s">
        <v>43</v>
      </c>
      <c r="P228" s="10" t="s">
        <v>43</v>
      </c>
      <c r="Q228" s="8" t="s">
        <v>43</v>
      </c>
      <c r="R228" s="10" t="s">
        <v>43</v>
      </c>
      <c r="S228" s="8" t="s">
        <v>43</v>
      </c>
      <c r="T228" s="8" t="s">
        <v>43</v>
      </c>
      <c r="U228" s="8" t="s">
        <v>43</v>
      </c>
      <c r="V228" s="10" t="s">
        <v>43</v>
      </c>
      <c r="W228" s="10" t="s">
        <v>43</v>
      </c>
      <c r="X228" s="10" t="s">
        <v>43</v>
      </c>
      <c r="Y228" s="8" t="s">
        <v>43</v>
      </c>
      <c r="Z228" s="8" t="s">
        <v>43</v>
      </c>
      <c r="AA228" s="10" t="s">
        <v>43</v>
      </c>
      <c r="AB228" s="10" t="s">
        <v>43</v>
      </c>
      <c r="AC228" s="8">
        <v>-197317000</v>
      </c>
      <c r="AD228" s="8"/>
      <c r="AE228" s="8"/>
      <c r="AF228" s="8"/>
      <c r="AG228" s="8"/>
      <c r="AH228" s="8"/>
      <c r="AI228" s="8"/>
      <c r="AJ228" s="8"/>
      <c r="AK228" s="8"/>
      <c r="AL228" s="8"/>
      <c r="AM228" s="8"/>
      <c r="AN228" s="8"/>
      <c r="AO228" s="8"/>
      <c r="AP228" s="8"/>
    </row>
    <row r="229" spans="1:42" ht="17">
      <c r="A229" s="8" t="s">
        <v>99</v>
      </c>
      <c r="B229" s="8" t="s">
        <v>42</v>
      </c>
      <c r="C229" s="8">
        <v>91540000</v>
      </c>
      <c r="D229" s="8" t="s">
        <v>43</v>
      </c>
      <c r="E229" s="10" t="s">
        <v>43</v>
      </c>
      <c r="F229" s="8" t="s">
        <v>43</v>
      </c>
      <c r="G229" s="8" t="s">
        <v>43</v>
      </c>
      <c r="H229" s="8">
        <v>96768000</v>
      </c>
      <c r="I229" s="8">
        <v>21664000</v>
      </c>
      <c r="J229" s="8" t="s">
        <v>43</v>
      </c>
      <c r="K229" s="10">
        <v>-26150000</v>
      </c>
      <c r="L229" s="8" t="s">
        <v>43</v>
      </c>
      <c r="M229" s="8">
        <v>-31800000</v>
      </c>
      <c r="N229" s="8">
        <v>187283000</v>
      </c>
      <c r="O229" s="10" t="s">
        <v>43</v>
      </c>
      <c r="P229" s="10" t="s">
        <v>43</v>
      </c>
      <c r="Q229" s="8" t="s">
        <v>43</v>
      </c>
      <c r="R229" s="10" t="s">
        <v>43</v>
      </c>
      <c r="S229" s="8" t="s">
        <v>43</v>
      </c>
      <c r="T229" s="8" t="s">
        <v>43</v>
      </c>
      <c r="U229" s="8" t="s">
        <v>43</v>
      </c>
      <c r="V229" s="10" t="s">
        <v>43</v>
      </c>
      <c r="W229" s="10" t="s">
        <v>43</v>
      </c>
      <c r="X229" s="10" t="s">
        <v>43</v>
      </c>
      <c r="Y229" s="8" t="s">
        <v>43</v>
      </c>
      <c r="Z229" s="8" t="s">
        <v>43</v>
      </c>
      <c r="AA229" s="10" t="s">
        <v>43</v>
      </c>
      <c r="AB229" s="10" t="s">
        <v>43</v>
      </c>
      <c r="AC229" s="9">
        <v>-1689000000</v>
      </c>
      <c r="AD229" s="8"/>
      <c r="AE229" s="8"/>
      <c r="AF229" s="8"/>
      <c r="AG229" s="8"/>
      <c r="AH229" s="8"/>
      <c r="AI229" s="8"/>
      <c r="AJ229" s="8"/>
      <c r="AK229" s="8"/>
      <c r="AL229" s="8"/>
      <c r="AM229" s="8"/>
      <c r="AN229" s="8"/>
      <c r="AO229" s="8"/>
      <c r="AP229" s="8"/>
    </row>
    <row r="230" spans="1:42" ht="17">
      <c r="A230" s="8" t="s">
        <v>50</v>
      </c>
      <c r="B230" s="8" t="s">
        <v>42</v>
      </c>
      <c r="C230" s="8">
        <v>205363000</v>
      </c>
      <c r="D230" s="8" t="s">
        <v>43</v>
      </c>
      <c r="E230" s="10" t="s">
        <v>43</v>
      </c>
      <c r="F230" s="8" t="s">
        <v>43</v>
      </c>
      <c r="G230" s="8" t="s">
        <v>43</v>
      </c>
      <c r="H230" s="8">
        <v>94972000</v>
      </c>
      <c r="I230" s="8">
        <v>29688000</v>
      </c>
      <c r="J230" s="8" t="s">
        <v>43</v>
      </c>
      <c r="K230" s="10" t="s">
        <v>43</v>
      </c>
      <c r="L230" s="8" t="s">
        <v>43</v>
      </c>
      <c r="M230" s="8">
        <v>-29463000</v>
      </c>
      <c r="N230" s="8">
        <v>-52938000</v>
      </c>
      <c r="O230" s="10" t="s">
        <v>43</v>
      </c>
      <c r="P230" s="10" t="s">
        <v>43</v>
      </c>
      <c r="Q230" s="8" t="s">
        <v>43</v>
      </c>
      <c r="R230" s="10" t="s">
        <v>43</v>
      </c>
      <c r="S230" s="8">
        <v>580000</v>
      </c>
      <c r="T230" s="8">
        <v>580000</v>
      </c>
      <c r="U230" s="8" t="s">
        <v>43</v>
      </c>
      <c r="V230" s="10" t="s">
        <v>43</v>
      </c>
      <c r="W230" s="10" t="s">
        <v>43</v>
      </c>
      <c r="X230" s="10" t="s">
        <v>43</v>
      </c>
      <c r="Y230" s="8" t="s">
        <v>43</v>
      </c>
      <c r="Z230" s="8" t="s">
        <v>43</v>
      </c>
      <c r="AA230" s="10" t="s">
        <v>43</v>
      </c>
      <c r="AB230" s="10" t="s">
        <v>43</v>
      </c>
      <c r="AC230" s="8">
        <v>61381000</v>
      </c>
      <c r="AD230" s="8"/>
      <c r="AE230" s="8"/>
      <c r="AF230" s="8"/>
      <c r="AG230" s="8"/>
      <c r="AH230" s="8"/>
      <c r="AI230" s="8"/>
      <c r="AJ230" s="8"/>
      <c r="AK230" s="8"/>
      <c r="AL230" s="8"/>
      <c r="AM230" s="8"/>
      <c r="AN230" s="8"/>
      <c r="AO230" s="8"/>
      <c r="AP230" s="8"/>
    </row>
    <row r="231" spans="1:42" ht="17">
      <c r="A231" s="8" t="s">
        <v>106</v>
      </c>
      <c r="B231" s="8" t="s">
        <v>42</v>
      </c>
      <c r="C231" s="8">
        <v>180341000</v>
      </c>
      <c r="D231" s="8" t="s">
        <v>43</v>
      </c>
      <c r="E231" s="10" t="s">
        <v>43</v>
      </c>
      <c r="F231" s="8" t="s">
        <v>43</v>
      </c>
      <c r="G231" s="8" t="s">
        <v>43</v>
      </c>
      <c r="H231" s="8">
        <v>95268000</v>
      </c>
      <c r="I231" s="8">
        <v>28870000</v>
      </c>
      <c r="J231" s="8" t="s">
        <v>43</v>
      </c>
      <c r="K231" s="10" t="s">
        <v>43</v>
      </c>
      <c r="L231" s="8" t="s">
        <v>43</v>
      </c>
      <c r="M231" s="8">
        <v>-26028000</v>
      </c>
      <c r="N231" s="8">
        <v>-4411000</v>
      </c>
      <c r="O231" s="10" t="s">
        <v>43</v>
      </c>
      <c r="P231" s="10" t="s">
        <v>43</v>
      </c>
      <c r="Q231" s="8" t="s">
        <v>43</v>
      </c>
      <c r="R231" s="10" t="s">
        <v>43</v>
      </c>
      <c r="S231" s="8" t="s">
        <v>43</v>
      </c>
      <c r="T231" s="8" t="s">
        <v>43</v>
      </c>
      <c r="U231" s="8" t="s">
        <v>43</v>
      </c>
      <c r="V231" s="10" t="s">
        <v>43</v>
      </c>
      <c r="W231" s="10" t="s">
        <v>43</v>
      </c>
      <c r="X231" s="10" t="s">
        <v>43</v>
      </c>
      <c r="Y231" s="8" t="s">
        <v>43</v>
      </c>
      <c r="Z231" s="8" t="s">
        <v>43</v>
      </c>
      <c r="AA231" s="10" t="s">
        <v>43</v>
      </c>
      <c r="AB231" s="10" t="s">
        <v>43</v>
      </c>
      <c r="AC231" s="8">
        <v>12374000</v>
      </c>
      <c r="AD231" s="8"/>
      <c r="AE231" s="8"/>
      <c r="AF231" s="8"/>
      <c r="AG231" s="8"/>
      <c r="AH231" s="8"/>
      <c r="AI231" s="8"/>
      <c r="AJ231" s="8"/>
      <c r="AK231" s="8"/>
      <c r="AL231" s="8"/>
      <c r="AM231" s="8"/>
      <c r="AN231" s="8"/>
      <c r="AO231" s="8"/>
      <c r="AP231" s="8"/>
    </row>
    <row r="232" spans="1:42" ht="17">
      <c r="A232" s="8" t="s">
        <v>107</v>
      </c>
      <c r="B232" s="8" t="s">
        <v>42</v>
      </c>
      <c r="C232" s="8">
        <v>-45972000</v>
      </c>
      <c r="D232" s="8" t="s">
        <v>43</v>
      </c>
      <c r="E232" s="10" t="s">
        <v>43</v>
      </c>
      <c r="F232" s="8" t="s">
        <v>43</v>
      </c>
      <c r="G232" s="8" t="s">
        <v>43</v>
      </c>
      <c r="H232" s="8">
        <v>73927000</v>
      </c>
      <c r="I232" s="8">
        <v>30679000</v>
      </c>
      <c r="J232" s="8" t="s">
        <v>43</v>
      </c>
      <c r="K232" s="10" t="s">
        <v>43</v>
      </c>
      <c r="L232" s="8" t="s">
        <v>43</v>
      </c>
      <c r="M232" s="8">
        <v>-26028000</v>
      </c>
      <c r="N232" s="8">
        <v>-58237000</v>
      </c>
      <c r="O232" s="10" t="s">
        <v>43</v>
      </c>
      <c r="P232" s="10" t="s">
        <v>43</v>
      </c>
      <c r="Q232" s="8" t="s">
        <v>43</v>
      </c>
      <c r="R232" s="10" t="s">
        <v>43</v>
      </c>
      <c r="S232" s="8">
        <v>498000</v>
      </c>
      <c r="T232" s="8">
        <v>498000</v>
      </c>
      <c r="U232" s="8" t="s">
        <v>43</v>
      </c>
      <c r="V232" s="10" t="s">
        <v>43</v>
      </c>
      <c r="W232" s="10" t="s">
        <v>43</v>
      </c>
      <c r="X232" s="10" t="s">
        <v>43</v>
      </c>
      <c r="Y232" s="8" t="s">
        <v>43</v>
      </c>
      <c r="Z232" s="8" t="s">
        <v>43</v>
      </c>
      <c r="AA232" s="10" t="s">
        <v>43</v>
      </c>
      <c r="AB232" s="10" t="s">
        <v>43</v>
      </c>
      <c r="AC232" s="9">
        <v>11337000000</v>
      </c>
      <c r="AD232" s="8"/>
      <c r="AE232" s="8"/>
      <c r="AF232" s="8"/>
      <c r="AG232" s="8"/>
      <c r="AH232" s="8"/>
      <c r="AI232" s="8"/>
      <c r="AJ232" s="8"/>
      <c r="AK232" s="8"/>
      <c r="AL232" s="8"/>
      <c r="AM232" s="8"/>
      <c r="AN232" s="8"/>
      <c r="AO232" s="8"/>
      <c r="AP232" s="8"/>
    </row>
    <row r="233" spans="1:42" ht="17">
      <c r="A233" s="8" t="s">
        <v>108</v>
      </c>
      <c r="B233" s="8" t="s">
        <v>42</v>
      </c>
      <c r="C233" s="8">
        <v>88987000</v>
      </c>
      <c r="D233" s="8" t="s">
        <v>43</v>
      </c>
      <c r="E233" s="10" t="s">
        <v>43</v>
      </c>
      <c r="F233" s="8" t="s">
        <v>43</v>
      </c>
      <c r="G233" s="8" t="s">
        <v>43</v>
      </c>
      <c r="H233" s="8">
        <v>113366000</v>
      </c>
      <c r="I233" s="8">
        <v>51126000</v>
      </c>
      <c r="J233" s="8" t="s">
        <v>43</v>
      </c>
      <c r="K233" s="10">
        <v>-204639000</v>
      </c>
      <c r="L233" s="8" t="s">
        <v>43</v>
      </c>
      <c r="M233" s="8">
        <v>-52411000</v>
      </c>
      <c r="N233" s="8">
        <v>1996000</v>
      </c>
      <c r="O233" s="10" t="s">
        <v>43</v>
      </c>
      <c r="P233" s="10" t="s">
        <v>43</v>
      </c>
      <c r="Q233" s="8" t="s">
        <v>43</v>
      </c>
      <c r="R233" s="10" t="s">
        <v>43</v>
      </c>
      <c r="S233" s="8">
        <v>73000</v>
      </c>
      <c r="T233" s="8">
        <v>73000</v>
      </c>
      <c r="U233" s="8" t="s">
        <v>43</v>
      </c>
      <c r="V233" s="10" t="s">
        <v>43</v>
      </c>
      <c r="W233" s="10" t="s">
        <v>43</v>
      </c>
      <c r="X233" s="10" t="s">
        <v>43</v>
      </c>
      <c r="Y233" s="8" t="s">
        <v>43</v>
      </c>
      <c r="Z233" s="8" t="s">
        <v>43</v>
      </c>
      <c r="AA233" s="10" t="s">
        <v>43</v>
      </c>
      <c r="AB233" s="10" t="s">
        <v>43</v>
      </c>
      <c r="AC233" s="8">
        <v>-135601000</v>
      </c>
      <c r="AD233" s="8"/>
      <c r="AE233" s="8"/>
      <c r="AF233" s="8"/>
      <c r="AG233" s="8"/>
      <c r="AH233" s="8"/>
      <c r="AI233" s="8"/>
      <c r="AJ233" s="8"/>
      <c r="AK233" s="8"/>
      <c r="AL233" s="8"/>
      <c r="AM233" s="8"/>
      <c r="AN233" s="8"/>
      <c r="AO233" s="8"/>
      <c r="AP233" s="8"/>
    </row>
    <row r="234" spans="1:42" ht="17">
      <c r="A234" s="8" t="s">
        <v>51</v>
      </c>
      <c r="B234" s="8" t="s">
        <v>42</v>
      </c>
      <c r="C234" s="8">
        <v>303323000</v>
      </c>
      <c r="D234" s="8" t="s">
        <v>43</v>
      </c>
      <c r="E234" s="10" t="s">
        <v>43</v>
      </c>
      <c r="F234" s="8" t="s">
        <v>43</v>
      </c>
      <c r="G234" s="8" t="s">
        <v>43</v>
      </c>
      <c r="H234" s="8">
        <v>111125000</v>
      </c>
      <c r="I234" s="8">
        <v>138755000</v>
      </c>
      <c r="J234" s="8" t="s">
        <v>43</v>
      </c>
      <c r="K234" s="10">
        <v>101166000</v>
      </c>
      <c r="L234" s="8" t="s">
        <v>43</v>
      </c>
      <c r="M234" s="8">
        <v>-210586000</v>
      </c>
      <c r="N234" s="8">
        <v>1308000</v>
      </c>
      <c r="O234" s="10" t="s">
        <v>43</v>
      </c>
      <c r="P234" s="10" t="s">
        <v>43</v>
      </c>
      <c r="Q234" s="8" t="s">
        <v>43</v>
      </c>
      <c r="R234" s="10" t="s">
        <v>43</v>
      </c>
      <c r="S234" s="8">
        <v>9421000</v>
      </c>
      <c r="T234" s="8">
        <v>9421000</v>
      </c>
      <c r="U234" s="8" t="s">
        <v>43</v>
      </c>
      <c r="V234" s="10" t="s">
        <v>43</v>
      </c>
      <c r="W234" s="10" t="s">
        <v>43</v>
      </c>
      <c r="X234" s="10" t="s">
        <v>43</v>
      </c>
      <c r="Y234" s="8" t="s">
        <v>43</v>
      </c>
      <c r="Z234" s="8" t="s">
        <v>43</v>
      </c>
      <c r="AA234" s="10" t="s">
        <v>43</v>
      </c>
      <c r="AB234" s="10" t="s">
        <v>43</v>
      </c>
      <c r="AC234" s="8">
        <v>224908000</v>
      </c>
      <c r="AD234" s="8"/>
      <c r="AE234" s="8"/>
      <c r="AF234" s="8"/>
      <c r="AG234" s="8"/>
      <c r="AH234" s="8"/>
      <c r="AI234" s="8"/>
      <c r="AJ234" s="8"/>
      <c r="AK234" s="8"/>
      <c r="AL234" s="8"/>
      <c r="AM234" s="8"/>
      <c r="AN234" s="8"/>
      <c r="AO234" s="8"/>
      <c r="AP234" s="8"/>
    </row>
    <row r="235" spans="1:42" ht="17">
      <c r="A235" s="8" t="s">
        <v>109</v>
      </c>
      <c r="B235" s="8" t="s">
        <v>42</v>
      </c>
      <c r="C235" s="8">
        <v>218992000</v>
      </c>
      <c r="D235" s="8" t="s">
        <v>43</v>
      </c>
      <c r="E235" s="10" t="s">
        <v>43</v>
      </c>
      <c r="F235" s="8" t="s">
        <v>43</v>
      </c>
      <c r="G235" s="8" t="s">
        <v>43</v>
      </c>
      <c r="H235" s="8">
        <v>120700000</v>
      </c>
      <c r="I235" s="8">
        <v>68948000</v>
      </c>
      <c r="J235" s="8" t="s">
        <v>43</v>
      </c>
      <c r="K235" s="10">
        <v>43329000</v>
      </c>
      <c r="L235" s="8" t="s">
        <v>43</v>
      </c>
      <c r="M235" s="8">
        <v>-56607000</v>
      </c>
      <c r="N235" s="8">
        <v>-132286000</v>
      </c>
      <c r="O235" s="10" t="s">
        <v>43</v>
      </c>
      <c r="P235" s="10" t="s">
        <v>43</v>
      </c>
      <c r="Q235" s="8" t="s">
        <v>43</v>
      </c>
      <c r="R235" s="10" t="s">
        <v>43</v>
      </c>
      <c r="S235" s="8" t="s">
        <v>43</v>
      </c>
      <c r="T235" s="8" t="s">
        <v>43</v>
      </c>
      <c r="U235" s="8" t="s">
        <v>43</v>
      </c>
      <c r="V235" s="10" t="s">
        <v>43</v>
      </c>
      <c r="W235" s="10" t="s">
        <v>43</v>
      </c>
      <c r="X235" s="10" t="s">
        <v>43</v>
      </c>
      <c r="Y235" s="8" t="s">
        <v>43</v>
      </c>
      <c r="Z235" s="8" t="s">
        <v>43</v>
      </c>
      <c r="AA235" s="10" t="s">
        <v>43</v>
      </c>
      <c r="AB235" s="10" t="s">
        <v>43</v>
      </c>
      <c r="AC235" s="8">
        <v>71783000</v>
      </c>
      <c r="AD235" s="8"/>
      <c r="AE235" s="8"/>
      <c r="AF235" s="8"/>
      <c r="AG235" s="8"/>
      <c r="AH235" s="8"/>
      <c r="AI235" s="8"/>
      <c r="AJ235" s="8"/>
      <c r="AK235" s="8"/>
      <c r="AL235" s="8"/>
      <c r="AM235" s="8"/>
      <c r="AN235" s="8"/>
      <c r="AO235" s="8"/>
      <c r="AP235" s="8"/>
    </row>
    <row r="236" spans="1:42" ht="17">
      <c r="A236" s="8" t="s">
        <v>110</v>
      </c>
      <c r="B236" s="8" t="s">
        <v>42</v>
      </c>
      <c r="C236" s="8">
        <v>268881000</v>
      </c>
      <c r="D236" s="8" t="s">
        <v>43</v>
      </c>
      <c r="E236" s="10" t="s">
        <v>43</v>
      </c>
      <c r="F236" s="8" t="s">
        <v>43</v>
      </c>
      <c r="G236" s="8" t="s">
        <v>43</v>
      </c>
      <c r="H236" s="8">
        <v>147644000</v>
      </c>
      <c r="I236" s="8">
        <v>49918000</v>
      </c>
      <c r="J236" s="8" t="s">
        <v>43</v>
      </c>
      <c r="K236" s="10">
        <v>60400000</v>
      </c>
      <c r="L236" s="8" t="s">
        <v>43</v>
      </c>
      <c r="M236" s="8">
        <v>-41089000</v>
      </c>
      <c r="N236" s="8">
        <v>-268376000</v>
      </c>
      <c r="O236" s="10" t="s">
        <v>43</v>
      </c>
      <c r="P236" s="10" t="s">
        <v>43</v>
      </c>
      <c r="Q236" s="8" t="s">
        <v>43</v>
      </c>
      <c r="R236" s="10" t="s">
        <v>43</v>
      </c>
      <c r="S236" s="8" t="s">
        <v>43</v>
      </c>
      <c r="T236" s="8" t="s">
        <v>43</v>
      </c>
      <c r="U236" s="8" t="s">
        <v>43</v>
      </c>
      <c r="V236" s="10" t="s">
        <v>43</v>
      </c>
      <c r="W236" s="10" t="s">
        <v>43</v>
      </c>
      <c r="X236" s="10" t="s">
        <v>43</v>
      </c>
      <c r="Y236" s="8" t="s">
        <v>43</v>
      </c>
      <c r="Z236" s="8" t="s">
        <v>43</v>
      </c>
      <c r="AA236" s="10" t="s">
        <v>43</v>
      </c>
      <c r="AB236" s="10" t="s">
        <v>43</v>
      </c>
      <c r="AC236" s="8">
        <v>-67780000</v>
      </c>
      <c r="AD236" s="8"/>
      <c r="AE236" s="8"/>
      <c r="AF236" s="8"/>
      <c r="AG236" s="8"/>
      <c r="AH236" s="8"/>
      <c r="AI236" s="8"/>
      <c r="AJ236" s="8"/>
      <c r="AK236" s="8"/>
      <c r="AL236" s="8"/>
      <c r="AM236" s="8"/>
      <c r="AN236" s="8"/>
      <c r="AO236" s="8"/>
      <c r="AP236" s="8"/>
    </row>
    <row r="237" spans="1:42" ht="17">
      <c r="A237" s="8" t="s">
        <v>111</v>
      </c>
      <c r="B237" s="8" t="s">
        <v>42</v>
      </c>
      <c r="C237" s="8">
        <v>175476000</v>
      </c>
      <c r="D237" s="8" t="s">
        <v>43</v>
      </c>
      <c r="E237" s="10" t="s">
        <v>43</v>
      </c>
      <c r="F237" s="8" t="s">
        <v>43</v>
      </c>
      <c r="G237" s="8" t="s">
        <v>43</v>
      </c>
      <c r="H237" s="8">
        <v>151434000</v>
      </c>
      <c r="I237" s="8">
        <v>38703000</v>
      </c>
      <c r="J237" s="8" t="s">
        <v>43</v>
      </c>
      <c r="K237" s="10">
        <v>139931000</v>
      </c>
      <c r="L237" s="8" t="s">
        <v>43</v>
      </c>
      <c r="M237" s="8" t="s">
        <v>43</v>
      </c>
      <c r="N237" s="8">
        <v>-92445000</v>
      </c>
      <c r="O237" s="10" t="s">
        <v>43</v>
      </c>
      <c r="P237" s="10" t="s">
        <v>43</v>
      </c>
      <c r="Q237" s="8" t="s">
        <v>43</v>
      </c>
      <c r="R237" s="10" t="s">
        <v>43</v>
      </c>
      <c r="S237" s="8">
        <v>3166000</v>
      </c>
      <c r="T237" s="8">
        <v>3166000</v>
      </c>
      <c r="U237" s="8" t="s">
        <v>43</v>
      </c>
      <c r="V237" s="10" t="s">
        <v>43</v>
      </c>
      <c r="W237" s="10" t="s">
        <v>43</v>
      </c>
      <c r="X237" s="10" t="s">
        <v>43</v>
      </c>
      <c r="Y237" s="8" t="s">
        <v>43</v>
      </c>
      <c r="Z237" s="8" t="s">
        <v>43</v>
      </c>
      <c r="AA237" s="10" t="s">
        <v>43</v>
      </c>
      <c r="AB237" s="10" t="s">
        <v>43</v>
      </c>
      <c r="AC237" s="8">
        <v>-431550000</v>
      </c>
      <c r="AD237" s="8"/>
      <c r="AE237" s="8"/>
      <c r="AF237" s="8"/>
      <c r="AG237" s="8"/>
      <c r="AH237" s="8"/>
      <c r="AI237" s="8"/>
      <c r="AJ237" s="8"/>
      <c r="AK237" s="8"/>
      <c r="AL237" s="8"/>
      <c r="AM237" s="8"/>
      <c r="AN237" s="8"/>
      <c r="AO237" s="8"/>
      <c r="AP237" s="8"/>
    </row>
    <row r="238" spans="1:42" ht="17">
      <c r="A238" s="8" t="s">
        <v>52</v>
      </c>
      <c r="B238" s="8" t="s">
        <v>42</v>
      </c>
      <c r="C238" s="8">
        <v>54977000</v>
      </c>
      <c r="D238" s="8" t="s">
        <v>43</v>
      </c>
      <c r="E238" s="10" t="s">
        <v>43</v>
      </c>
      <c r="F238" s="8" t="s">
        <v>43</v>
      </c>
      <c r="G238" s="8" t="s">
        <v>43</v>
      </c>
      <c r="H238" s="8">
        <v>157645000</v>
      </c>
      <c r="I238" s="8">
        <v>107022000</v>
      </c>
      <c r="J238" s="8" t="s">
        <v>43</v>
      </c>
      <c r="K238" s="10" t="s">
        <v>43</v>
      </c>
      <c r="L238" s="8" t="s">
        <v>43</v>
      </c>
      <c r="M238" s="8" t="s">
        <v>43</v>
      </c>
      <c r="N238" s="8">
        <v>14269000</v>
      </c>
      <c r="O238" s="10" t="s">
        <v>43</v>
      </c>
      <c r="P238" s="10" t="s">
        <v>43</v>
      </c>
      <c r="Q238" s="8" t="s">
        <v>43</v>
      </c>
      <c r="R238" s="10" t="s">
        <v>43</v>
      </c>
      <c r="S238" s="8" t="s">
        <v>43</v>
      </c>
      <c r="T238" s="8" t="s">
        <v>43</v>
      </c>
      <c r="U238" s="8" t="s">
        <v>43</v>
      </c>
      <c r="V238" s="10" t="s">
        <v>43</v>
      </c>
      <c r="W238" s="10" t="s">
        <v>43</v>
      </c>
      <c r="X238" s="10" t="s">
        <v>43</v>
      </c>
      <c r="Y238" s="8" t="s">
        <v>43</v>
      </c>
      <c r="Z238" s="8" t="s">
        <v>43</v>
      </c>
      <c r="AA238" s="10" t="s">
        <v>43</v>
      </c>
      <c r="AB238" s="10" t="s">
        <v>43</v>
      </c>
      <c r="AC238" s="8">
        <v>341763000</v>
      </c>
      <c r="AD238" s="8"/>
      <c r="AE238" s="8"/>
      <c r="AF238" s="8"/>
      <c r="AG238" s="8"/>
      <c r="AH238" s="8"/>
      <c r="AI238" s="8"/>
      <c r="AJ238" s="8"/>
      <c r="AK238" s="8"/>
      <c r="AL238" s="8"/>
      <c r="AM238" s="8"/>
      <c r="AN238" s="8"/>
      <c r="AO238" s="8"/>
      <c r="AP238" s="8"/>
    </row>
    <row r="239" spans="1:42" ht="17">
      <c r="A239" s="8" t="s">
        <v>112</v>
      </c>
      <c r="B239" s="8" t="s">
        <v>42</v>
      </c>
      <c r="C239" s="8">
        <v>-104343000</v>
      </c>
      <c r="D239" s="8" t="s">
        <v>43</v>
      </c>
      <c r="E239" s="10" t="s">
        <v>43</v>
      </c>
      <c r="F239" s="8" t="s">
        <v>43</v>
      </c>
      <c r="G239" s="8" t="s">
        <v>43</v>
      </c>
      <c r="H239" s="8">
        <v>149749000</v>
      </c>
      <c r="I239" s="8">
        <v>48324000</v>
      </c>
      <c r="J239" s="8" t="s">
        <v>43</v>
      </c>
      <c r="K239" s="10">
        <v>-52734000</v>
      </c>
      <c r="L239" s="8" t="s">
        <v>43</v>
      </c>
      <c r="M239" s="8">
        <v>-63708000</v>
      </c>
      <c r="N239" s="8">
        <v>192645000</v>
      </c>
      <c r="O239" s="10" t="s">
        <v>43</v>
      </c>
      <c r="P239" s="10" t="s">
        <v>43</v>
      </c>
      <c r="Q239" s="8" t="s">
        <v>43</v>
      </c>
      <c r="R239" s="10" t="s">
        <v>43</v>
      </c>
      <c r="S239" s="8">
        <v>12812000</v>
      </c>
      <c r="T239" s="8">
        <v>12812000</v>
      </c>
      <c r="U239" s="8" t="s">
        <v>43</v>
      </c>
      <c r="V239" s="10" t="s">
        <v>43</v>
      </c>
      <c r="W239" s="10" t="s">
        <v>43</v>
      </c>
      <c r="X239" s="10" t="s">
        <v>43</v>
      </c>
      <c r="Y239" s="8">
        <v>-953000</v>
      </c>
      <c r="Z239" s="8" t="s">
        <v>43</v>
      </c>
      <c r="AA239" s="10" t="s">
        <v>43</v>
      </c>
      <c r="AB239" s="10" t="s">
        <v>43</v>
      </c>
      <c r="AC239" s="8">
        <v>-246184000</v>
      </c>
      <c r="AD239" s="8"/>
      <c r="AE239" s="8"/>
      <c r="AF239" s="8"/>
      <c r="AG239" s="8"/>
      <c r="AH239" s="8"/>
      <c r="AI239" s="8"/>
      <c r="AJ239" s="8"/>
      <c r="AK239" s="8"/>
      <c r="AL239" s="8"/>
      <c r="AM239" s="8"/>
      <c r="AN239" s="8"/>
      <c r="AO239" s="8"/>
      <c r="AP239" s="8"/>
    </row>
    <row r="240" spans="1:42" ht="17">
      <c r="A240" s="8" t="s">
        <v>113</v>
      </c>
      <c r="B240" s="8" t="s">
        <v>42</v>
      </c>
      <c r="C240" s="8">
        <v>-25411000</v>
      </c>
      <c r="D240" s="8" t="s">
        <v>43</v>
      </c>
      <c r="E240" s="10" t="s">
        <v>43</v>
      </c>
      <c r="F240" s="8" t="s">
        <v>43</v>
      </c>
      <c r="G240" s="8" t="s">
        <v>43</v>
      </c>
      <c r="H240" s="8">
        <v>147795000</v>
      </c>
      <c r="I240" s="8">
        <v>85593000</v>
      </c>
      <c r="J240" s="8" t="s">
        <v>43</v>
      </c>
      <c r="K240" s="10">
        <v>181051000</v>
      </c>
      <c r="L240" s="8" t="s">
        <v>43</v>
      </c>
      <c r="M240" s="8">
        <v>-80985000</v>
      </c>
      <c r="N240" s="8">
        <v>-1024000</v>
      </c>
      <c r="O240" s="10" t="s">
        <v>43</v>
      </c>
      <c r="P240" s="10" t="s">
        <v>43</v>
      </c>
      <c r="Q240" s="8" t="s">
        <v>43</v>
      </c>
      <c r="R240" s="10" t="s">
        <v>43</v>
      </c>
      <c r="S240" s="8">
        <v>1026000</v>
      </c>
      <c r="T240" s="8">
        <v>1026000</v>
      </c>
      <c r="U240" s="8" t="s">
        <v>43</v>
      </c>
      <c r="V240" s="10" t="s">
        <v>43</v>
      </c>
      <c r="W240" s="10" t="s">
        <v>43</v>
      </c>
      <c r="X240" s="10" t="s">
        <v>43</v>
      </c>
      <c r="Y240" s="8">
        <v>-953000</v>
      </c>
      <c r="Z240" s="8" t="s">
        <v>43</v>
      </c>
      <c r="AA240" s="10" t="s">
        <v>43</v>
      </c>
      <c r="AB240" s="10" t="s">
        <v>43</v>
      </c>
      <c r="AC240" s="8">
        <v>-168017000</v>
      </c>
      <c r="AD240" s="8"/>
      <c r="AE240" s="8"/>
      <c r="AF240" s="8"/>
      <c r="AG240" s="8"/>
      <c r="AH240" s="8"/>
      <c r="AI240" s="8"/>
      <c r="AJ240" s="8"/>
      <c r="AK240" s="8"/>
      <c r="AL240" s="8"/>
      <c r="AM240" s="8"/>
      <c r="AN240" s="8"/>
      <c r="AO240" s="8"/>
      <c r="AP240" s="8"/>
    </row>
    <row r="241" spans="1:42" ht="17">
      <c r="A241" s="8" t="s">
        <v>114</v>
      </c>
      <c r="B241" s="8" t="s">
        <v>42</v>
      </c>
      <c r="C241" s="8">
        <v>-428963000</v>
      </c>
      <c r="D241" s="8" t="s">
        <v>43</v>
      </c>
      <c r="E241" s="10" t="s">
        <v>43</v>
      </c>
      <c r="F241" s="8" t="s">
        <v>43</v>
      </c>
      <c r="G241" s="8" t="s">
        <v>43</v>
      </c>
      <c r="H241" s="8">
        <v>146106000</v>
      </c>
      <c r="I241" s="8">
        <v>51027000</v>
      </c>
      <c r="J241" s="8" t="s">
        <v>43</v>
      </c>
      <c r="K241" s="10">
        <v>-285529000</v>
      </c>
      <c r="L241" s="8" t="s">
        <v>43</v>
      </c>
      <c r="M241" s="8">
        <v>-287000</v>
      </c>
      <c r="N241" s="8">
        <v>-54555000</v>
      </c>
      <c r="O241" s="10" t="s">
        <v>43</v>
      </c>
      <c r="P241" s="10" t="s">
        <v>43</v>
      </c>
      <c r="Q241" s="8" t="s">
        <v>43</v>
      </c>
      <c r="R241" s="10" t="s">
        <v>43</v>
      </c>
      <c r="S241" s="8">
        <v>27245000</v>
      </c>
      <c r="T241" s="8">
        <v>27245000</v>
      </c>
      <c r="U241" s="8" t="s">
        <v>43</v>
      </c>
      <c r="V241" s="10" t="s">
        <v>43</v>
      </c>
      <c r="W241" s="10" t="s">
        <v>43</v>
      </c>
      <c r="X241" s="10" t="s">
        <v>43</v>
      </c>
      <c r="Y241" s="8">
        <v>-953000</v>
      </c>
      <c r="Z241" s="8" t="s">
        <v>43</v>
      </c>
      <c r="AA241" s="10" t="s">
        <v>43</v>
      </c>
      <c r="AB241" s="10" t="s">
        <v>43</v>
      </c>
      <c r="AC241" s="8">
        <v>-387580000</v>
      </c>
      <c r="AD241" s="8"/>
      <c r="AE241" s="8"/>
      <c r="AF241" s="8"/>
      <c r="AG241" s="8"/>
      <c r="AH241" s="8"/>
      <c r="AI241" s="8"/>
      <c r="AJ241" s="8"/>
      <c r="AK241" s="8"/>
      <c r="AL241" s="8"/>
      <c r="AM241" s="8"/>
      <c r="AN241" s="8"/>
      <c r="AO241" s="8"/>
      <c r="AP241" s="8"/>
    </row>
    <row r="242" spans="1:42" ht="17">
      <c r="A242" s="8" t="s">
        <v>54</v>
      </c>
      <c r="B242" s="8" t="s">
        <v>42</v>
      </c>
      <c r="C242" s="8">
        <v>258596000</v>
      </c>
      <c r="D242" s="8" t="s">
        <v>43</v>
      </c>
      <c r="E242" s="10" t="s">
        <v>43</v>
      </c>
      <c r="F242" s="8" t="s">
        <v>43</v>
      </c>
      <c r="G242" s="8" t="s">
        <v>43</v>
      </c>
      <c r="H242" s="8">
        <v>159174000</v>
      </c>
      <c r="I242" s="8">
        <v>113679000</v>
      </c>
      <c r="J242" s="8" t="s">
        <v>43</v>
      </c>
      <c r="K242" s="10">
        <v>186492000</v>
      </c>
      <c r="L242" s="8" t="s">
        <v>43</v>
      </c>
      <c r="M242" s="8">
        <v>144603000</v>
      </c>
      <c r="N242" s="8">
        <v>-95648000</v>
      </c>
      <c r="O242" s="10" t="s">
        <v>43</v>
      </c>
      <c r="P242" s="10" t="s">
        <v>43</v>
      </c>
      <c r="Q242" s="8" t="s">
        <v>43</v>
      </c>
      <c r="R242" s="10" t="s">
        <v>43</v>
      </c>
      <c r="S242" s="8">
        <v>89631000</v>
      </c>
      <c r="T242" s="8">
        <v>89631000</v>
      </c>
      <c r="U242" s="8" t="s">
        <v>43</v>
      </c>
      <c r="V242" s="10" t="s">
        <v>43</v>
      </c>
      <c r="W242" s="10" t="s">
        <v>43</v>
      </c>
      <c r="X242" s="10" t="s">
        <v>43</v>
      </c>
      <c r="Y242" s="8">
        <v>-953000</v>
      </c>
      <c r="Z242" s="8" t="s">
        <v>43</v>
      </c>
      <c r="AA242" s="10" t="s">
        <v>43</v>
      </c>
      <c r="AB242" s="10" t="s">
        <v>43</v>
      </c>
      <c r="AC242" s="8">
        <v>123404000</v>
      </c>
      <c r="AD242" s="8"/>
      <c r="AE242" s="8"/>
      <c r="AF242" s="8"/>
      <c r="AG242" s="8"/>
      <c r="AH242" s="8"/>
      <c r="AI242" s="8"/>
      <c r="AJ242" s="8"/>
      <c r="AK242" s="8"/>
      <c r="AL242" s="8"/>
      <c r="AM242" s="8"/>
      <c r="AN242" s="8"/>
      <c r="AO242" s="8"/>
      <c r="AP242" s="8"/>
    </row>
    <row r="243" spans="1:42" ht="17">
      <c r="A243" s="8" t="s">
        <v>115</v>
      </c>
      <c r="B243" s="8" t="s">
        <v>42</v>
      </c>
      <c r="C243" s="8">
        <v>-90928000</v>
      </c>
      <c r="D243" s="8" t="s">
        <v>43</v>
      </c>
      <c r="E243" s="10" t="s">
        <v>43</v>
      </c>
      <c r="F243" s="8" t="s">
        <v>43</v>
      </c>
      <c r="G243" s="8" t="s">
        <v>43</v>
      </c>
      <c r="H243" s="8">
        <v>158453000</v>
      </c>
      <c r="I243" s="8">
        <v>77333000</v>
      </c>
      <c r="J243" s="8" t="s">
        <v>43</v>
      </c>
      <c r="K243" s="10">
        <v>-87919000</v>
      </c>
      <c r="L243" s="8" t="s">
        <v>43</v>
      </c>
      <c r="M243" s="8" t="s">
        <v>43</v>
      </c>
      <c r="N243" s="8">
        <v>-246270000</v>
      </c>
      <c r="O243" s="10" t="s">
        <v>43</v>
      </c>
      <c r="P243" s="10" t="s">
        <v>43</v>
      </c>
      <c r="Q243" s="8" t="s">
        <v>43</v>
      </c>
      <c r="R243" s="10" t="s">
        <v>43</v>
      </c>
      <c r="S243" s="8" t="s">
        <v>43</v>
      </c>
      <c r="T243" s="8" t="s">
        <v>43</v>
      </c>
      <c r="U243" s="8" t="s">
        <v>43</v>
      </c>
      <c r="V243" s="10" t="s">
        <v>43</v>
      </c>
      <c r="W243" s="10" t="s">
        <v>43</v>
      </c>
      <c r="X243" s="10" t="s">
        <v>43</v>
      </c>
      <c r="Y243" s="8" t="s">
        <v>43</v>
      </c>
      <c r="Z243" s="8" t="s">
        <v>43</v>
      </c>
      <c r="AA243" s="10" t="s">
        <v>43</v>
      </c>
      <c r="AB243" s="10" t="s">
        <v>43</v>
      </c>
      <c r="AC243" s="8">
        <v>-28477000</v>
      </c>
      <c r="AD243" s="8"/>
      <c r="AE243" s="8"/>
      <c r="AF243" s="8"/>
      <c r="AG243" s="8"/>
      <c r="AH243" s="8"/>
      <c r="AI243" s="8"/>
      <c r="AJ243" s="8"/>
      <c r="AK243" s="8"/>
      <c r="AL243" s="8"/>
      <c r="AM243" s="8"/>
      <c r="AN243" s="8"/>
      <c r="AO243" s="8"/>
      <c r="AP243" s="8"/>
    </row>
    <row r="244" spans="1:42" ht="17">
      <c r="A244" s="8" t="s">
        <v>116</v>
      </c>
      <c r="B244" s="8" t="s">
        <v>42</v>
      </c>
      <c r="C244" s="8">
        <v>58842000</v>
      </c>
      <c r="D244" s="8" t="s">
        <v>43</v>
      </c>
      <c r="E244" s="10" t="s">
        <v>43</v>
      </c>
      <c r="F244" s="8" t="s">
        <v>43</v>
      </c>
      <c r="G244" s="8" t="s">
        <v>43</v>
      </c>
      <c r="H244" s="8">
        <v>162144000</v>
      </c>
      <c r="I244" s="8">
        <v>66926000</v>
      </c>
      <c r="J244" s="8" t="s">
        <v>43</v>
      </c>
      <c r="K244" s="10">
        <v>181209000</v>
      </c>
      <c r="L244" s="8" t="s">
        <v>43</v>
      </c>
      <c r="M244" s="8" t="s">
        <v>43</v>
      </c>
      <c r="N244" s="8">
        <v>-1923000</v>
      </c>
      <c r="O244" s="10" t="s">
        <v>43</v>
      </c>
      <c r="P244" s="10" t="s">
        <v>43</v>
      </c>
      <c r="Q244" s="8" t="s">
        <v>43</v>
      </c>
      <c r="R244" s="10" t="s">
        <v>43</v>
      </c>
      <c r="S244" s="8" t="s">
        <v>43</v>
      </c>
      <c r="T244" s="8" t="s">
        <v>43</v>
      </c>
      <c r="U244" s="8" t="s">
        <v>43</v>
      </c>
      <c r="V244" s="10" t="s">
        <v>43</v>
      </c>
      <c r="W244" s="10" t="s">
        <v>43</v>
      </c>
      <c r="X244" s="10" t="s">
        <v>43</v>
      </c>
      <c r="Y244" s="8" t="s">
        <v>43</v>
      </c>
      <c r="Z244" s="8" t="s">
        <v>43</v>
      </c>
      <c r="AA244" s="10" t="s">
        <v>43</v>
      </c>
      <c r="AB244" s="10" t="s">
        <v>43</v>
      </c>
      <c r="AC244" s="8">
        <v>-276036000</v>
      </c>
      <c r="AD244" s="8"/>
      <c r="AE244" s="8"/>
      <c r="AF244" s="8"/>
      <c r="AG244" s="8"/>
      <c r="AH244" s="8"/>
      <c r="AI244" s="8"/>
      <c r="AJ244" s="8"/>
      <c r="AK244" s="8"/>
      <c r="AL244" s="8"/>
      <c r="AM244" s="8"/>
      <c r="AN244" s="8"/>
      <c r="AO244" s="8"/>
      <c r="AP244" s="8"/>
    </row>
    <row r="245" spans="1:42" ht="17">
      <c r="A245" s="8" t="s">
        <v>117</v>
      </c>
      <c r="B245" s="8" t="s">
        <v>42</v>
      </c>
      <c r="C245" s="8">
        <v>-240492000</v>
      </c>
      <c r="D245" s="8" t="s">
        <v>43</v>
      </c>
      <c r="E245" s="10" t="s">
        <v>43</v>
      </c>
      <c r="F245" s="8" t="s">
        <v>43</v>
      </c>
      <c r="G245" s="8" t="s">
        <v>43</v>
      </c>
      <c r="H245" s="8">
        <v>155456000</v>
      </c>
      <c r="I245" s="8">
        <v>56779000</v>
      </c>
      <c r="J245" s="8" t="s">
        <v>43</v>
      </c>
      <c r="K245" s="10">
        <v>-264588000</v>
      </c>
      <c r="L245" s="8" t="s">
        <v>43</v>
      </c>
      <c r="M245" s="8" t="s">
        <v>43</v>
      </c>
      <c r="N245" s="8">
        <v>-74390000</v>
      </c>
      <c r="O245" s="10" t="s">
        <v>43</v>
      </c>
      <c r="P245" s="10" t="s">
        <v>43</v>
      </c>
      <c r="Q245" s="8" t="s">
        <v>43</v>
      </c>
      <c r="R245" s="10" t="s">
        <v>43</v>
      </c>
      <c r="S245" s="8">
        <v>72182000</v>
      </c>
      <c r="T245" s="8">
        <v>72182000</v>
      </c>
      <c r="U245" s="8" t="s">
        <v>43</v>
      </c>
      <c r="V245" s="10" t="s">
        <v>43</v>
      </c>
      <c r="W245" s="10" t="s">
        <v>43</v>
      </c>
      <c r="X245" s="10" t="s">
        <v>43</v>
      </c>
      <c r="Y245" s="8" t="s">
        <v>43</v>
      </c>
      <c r="Z245" s="8" t="s">
        <v>43</v>
      </c>
      <c r="AA245" s="10" t="s">
        <v>43</v>
      </c>
      <c r="AB245" s="10" t="s">
        <v>43</v>
      </c>
      <c r="AC245" s="8">
        <v>-58894000</v>
      </c>
      <c r="AD245" s="8"/>
      <c r="AE245" s="8"/>
      <c r="AF245" s="8"/>
      <c r="AG245" s="8"/>
      <c r="AH245" s="8"/>
      <c r="AI245" s="8"/>
      <c r="AJ245" s="8"/>
      <c r="AK245" s="8"/>
      <c r="AL245" s="8"/>
      <c r="AM245" s="8"/>
      <c r="AN245" s="8"/>
      <c r="AO245" s="8"/>
      <c r="AP245" s="8"/>
    </row>
    <row r="246" spans="1:42" ht="17">
      <c r="A246" s="8" t="s">
        <v>55</v>
      </c>
      <c r="B246" s="8" t="s">
        <v>42</v>
      </c>
      <c r="C246" s="8">
        <v>285845000</v>
      </c>
      <c r="D246" s="8" t="s">
        <v>43</v>
      </c>
      <c r="E246" s="10" t="s">
        <v>43</v>
      </c>
      <c r="F246" s="8" t="s">
        <v>43</v>
      </c>
      <c r="G246" s="8" t="s">
        <v>43</v>
      </c>
      <c r="H246" s="8">
        <v>168824000</v>
      </c>
      <c r="I246" s="8">
        <v>103888000</v>
      </c>
      <c r="J246" s="8" t="s">
        <v>43</v>
      </c>
      <c r="K246" s="10">
        <v>180622000</v>
      </c>
      <c r="L246" s="8" t="s">
        <v>43</v>
      </c>
      <c r="M246" s="8" t="s">
        <v>43</v>
      </c>
      <c r="N246" s="8">
        <v>250706000</v>
      </c>
      <c r="O246" s="10" t="s">
        <v>43</v>
      </c>
      <c r="P246" s="10" t="s">
        <v>43</v>
      </c>
      <c r="Q246" s="8" t="s">
        <v>43</v>
      </c>
      <c r="R246" s="10" t="s">
        <v>43</v>
      </c>
      <c r="S246" s="8">
        <v>30871000</v>
      </c>
      <c r="T246" s="8">
        <v>30871000</v>
      </c>
      <c r="U246" s="8" t="s">
        <v>43</v>
      </c>
      <c r="V246" s="10" t="s">
        <v>43</v>
      </c>
      <c r="W246" s="10" t="s">
        <v>43</v>
      </c>
      <c r="X246" s="10" t="s">
        <v>43</v>
      </c>
      <c r="Y246" s="8" t="s">
        <v>43</v>
      </c>
      <c r="Z246" s="8" t="s">
        <v>43</v>
      </c>
      <c r="AA246" s="10" t="s">
        <v>43</v>
      </c>
      <c r="AB246" s="10" t="s">
        <v>43</v>
      </c>
      <c r="AC246" s="8">
        <v>-90073000</v>
      </c>
      <c r="AD246" s="8"/>
      <c r="AE246" s="8"/>
      <c r="AF246" s="8"/>
      <c r="AG246" s="8"/>
      <c r="AH246" s="8"/>
      <c r="AI246" s="8"/>
      <c r="AJ246" s="8"/>
      <c r="AK246" s="8"/>
      <c r="AL246" s="8"/>
      <c r="AM246" s="8"/>
      <c r="AN246" s="8"/>
      <c r="AO246" s="8"/>
      <c r="AP246" s="8"/>
    </row>
    <row r="247" spans="1:42" ht="17">
      <c r="A247" s="8" t="s">
        <v>118</v>
      </c>
      <c r="B247" s="8" t="s">
        <v>42</v>
      </c>
      <c r="C247" s="8">
        <v>-123543000</v>
      </c>
      <c r="D247" s="8" t="s">
        <v>43</v>
      </c>
      <c r="E247" s="10" t="s">
        <v>43</v>
      </c>
      <c r="F247" s="8" t="s">
        <v>43</v>
      </c>
      <c r="G247" s="8" t="s">
        <v>43</v>
      </c>
      <c r="H247" s="8">
        <v>166320000</v>
      </c>
      <c r="I247" s="8">
        <v>67615000</v>
      </c>
      <c r="J247" s="8" t="s">
        <v>43</v>
      </c>
      <c r="K247" s="10">
        <v>-146764000</v>
      </c>
      <c r="L247" s="8" t="s">
        <v>43</v>
      </c>
      <c r="M247" s="8" t="s">
        <v>43</v>
      </c>
      <c r="N247" s="8">
        <v>188748000</v>
      </c>
      <c r="O247" s="10" t="s">
        <v>43</v>
      </c>
      <c r="P247" s="10" t="s">
        <v>43</v>
      </c>
      <c r="Q247" s="8" t="s">
        <v>43</v>
      </c>
      <c r="R247" s="10" t="s">
        <v>43</v>
      </c>
      <c r="S247" s="8" t="s">
        <v>43</v>
      </c>
      <c r="T247" s="8" t="s">
        <v>43</v>
      </c>
      <c r="U247" s="8" t="s">
        <v>43</v>
      </c>
      <c r="V247" s="10" t="s">
        <v>43</v>
      </c>
      <c r="W247" s="10" t="s">
        <v>43</v>
      </c>
      <c r="X247" s="10" t="s">
        <v>43</v>
      </c>
      <c r="Y247" s="8" t="s">
        <v>43</v>
      </c>
      <c r="Z247" s="8" t="s">
        <v>43</v>
      </c>
      <c r="AA247" s="10" t="s">
        <v>43</v>
      </c>
      <c r="AB247" s="10" t="s">
        <v>43</v>
      </c>
      <c r="AC247" s="8">
        <v>-213469000</v>
      </c>
      <c r="AD247" s="8"/>
      <c r="AE247" s="8"/>
      <c r="AF247" s="8"/>
      <c r="AG247" s="8"/>
      <c r="AH247" s="8"/>
      <c r="AI247" s="8"/>
      <c r="AJ247" s="8"/>
      <c r="AK247" s="8"/>
      <c r="AL247" s="8"/>
      <c r="AM247" s="8"/>
      <c r="AN247" s="8"/>
      <c r="AO247" s="8"/>
      <c r="AP247" s="8"/>
    </row>
    <row r="248" spans="1:42" ht="17">
      <c r="A248" s="8" t="s">
        <v>119</v>
      </c>
      <c r="B248" s="8" t="s">
        <v>42</v>
      </c>
      <c r="C248" s="8">
        <v>-3394000</v>
      </c>
      <c r="D248" s="8" t="s">
        <v>43</v>
      </c>
      <c r="E248" s="10" t="s">
        <v>43</v>
      </c>
      <c r="F248" s="8" t="s">
        <v>43</v>
      </c>
      <c r="G248" s="8" t="s">
        <v>43</v>
      </c>
      <c r="H248" s="8">
        <v>168394000</v>
      </c>
      <c r="I248" s="8">
        <v>68422000</v>
      </c>
      <c r="J248" s="8" t="s">
        <v>43</v>
      </c>
      <c r="K248" s="10">
        <v>126051000</v>
      </c>
      <c r="L248" s="8" t="s">
        <v>43</v>
      </c>
      <c r="M248" s="8" t="s">
        <v>43</v>
      </c>
      <c r="N248" s="8">
        <v>-167025000</v>
      </c>
      <c r="O248" s="10" t="s">
        <v>43</v>
      </c>
      <c r="P248" s="10" t="s">
        <v>43</v>
      </c>
      <c r="Q248" s="8" t="s">
        <v>43</v>
      </c>
      <c r="R248" s="10" t="s">
        <v>43</v>
      </c>
      <c r="S248" s="8" t="s">
        <v>43</v>
      </c>
      <c r="T248" s="8" t="s">
        <v>43</v>
      </c>
      <c r="U248" s="8" t="s">
        <v>43</v>
      </c>
      <c r="V248" s="10" t="s">
        <v>43</v>
      </c>
      <c r="W248" s="10" t="s">
        <v>43</v>
      </c>
      <c r="X248" s="10" t="s">
        <v>43</v>
      </c>
      <c r="Y248" s="8" t="s">
        <v>43</v>
      </c>
      <c r="Z248" s="8" t="s">
        <v>43</v>
      </c>
      <c r="AA248" s="10" t="s">
        <v>43</v>
      </c>
      <c r="AB248" s="10" t="s">
        <v>43</v>
      </c>
      <c r="AC248" s="8">
        <v>-47314000</v>
      </c>
      <c r="AD248" s="8"/>
      <c r="AE248" s="8"/>
      <c r="AF248" s="8"/>
      <c r="AG248" s="8"/>
      <c r="AH248" s="8"/>
      <c r="AI248" s="8"/>
      <c r="AJ248" s="8"/>
      <c r="AK248" s="8"/>
      <c r="AL248" s="8"/>
      <c r="AM248" s="8"/>
      <c r="AN248" s="8"/>
      <c r="AO248" s="8"/>
      <c r="AP248" s="8"/>
    </row>
    <row r="249" spans="1:42" ht="17">
      <c r="A249" s="8" t="s">
        <v>120</v>
      </c>
      <c r="B249" s="8" t="s">
        <v>42</v>
      </c>
      <c r="C249" s="8">
        <v>-236212000</v>
      </c>
      <c r="D249" s="8" t="s">
        <v>43</v>
      </c>
      <c r="E249" s="10" t="s">
        <v>43</v>
      </c>
      <c r="F249" s="8" t="s">
        <v>43</v>
      </c>
      <c r="G249" s="8" t="s">
        <v>43</v>
      </c>
      <c r="H249" s="8">
        <v>170453000</v>
      </c>
      <c r="I249" s="8">
        <v>56455000</v>
      </c>
      <c r="J249" s="8" t="s">
        <v>43</v>
      </c>
      <c r="K249" s="10">
        <v>-136773000</v>
      </c>
      <c r="L249" s="8" t="s">
        <v>43</v>
      </c>
      <c r="M249" s="8" t="s">
        <v>43</v>
      </c>
      <c r="N249" s="8">
        <v>104981000</v>
      </c>
      <c r="O249" s="10" t="s">
        <v>43</v>
      </c>
      <c r="P249" s="10" t="s">
        <v>43</v>
      </c>
      <c r="Q249" s="8" t="s">
        <v>43</v>
      </c>
      <c r="R249" s="10" t="s">
        <v>43</v>
      </c>
      <c r="S249" s="8">
        <v>2119000</v>
      </c>
      <c r="T249" s="8">
        <v>2119000</v>
      </c>
      <c r="U249" s="8" t="s">
        <v>43</v>
      </c>
      <c r="V249" s="10" t="s">
        <v>43</v>
      </c>
      <c r="W249" s="10" t="s">
        <v>43</v>
      </c>
      <c r="X249" s="10" t="s">
        <v>43</v>
      </c>
      <c r="Y249" s="8" t="s">
        <v>43</v>
      </c>
      <c r="Z249" s="8" t="s">
        <v>43</v>
      </c>
      <c r="AA249" s="10" t="s">
        <v>43</v>
      </c>
      <c r="AB249" s="10" t="s">
        <v>43</v>
      </c>
      <c r="AC249" s="8">
        <v>-386634000</v>
      </c>
      <c r="AD249" s="8"/>
      <c r="AE249" s="8"/>
      <c r="AF249" s="8"/>
      <c r="AG249" s="8"/>
      <c r="AH249" s="8"/>
      <c r="AI249" s="8"/>
      <c r="AJ249" s="8"/>
      <c r="AK249" s="8"/>
      <c r="AL249" s="8"/>
      <c r="AM249" s="8"/>
      <c r="AN249" s="8"/>
      <c r="AO249" s="8"/>
      <c r="AP249" s="8"/>
    </row>
    <row r="250" spans="1:42" ht="17">
      <c r="A250" s="8" t="s">
        <v>56</v>
      </c>
      <c r="B250" s="8" t="s">
        <v>42</v>
      </c>
      <c r="C250" s="8">
        <v>273576000</v>
      </c>
      <c r="D250" s="8" t="s">
        <v>43</v>
      </c>
      <c r="E250" s="10" t="s">
        <v>43</v>
      </c>
      <c r="F250" s="8" t="s">
        <v>43</v>
      </c>
      <c r="G250" s="8" t="s">
        <v>43</v>
      </c>
      <c r="H250" s="8">
        <v>186100000</v>
      </c>
      <c r="I250" s="8">
        <v>123156000</v>
      </c>
      <c r="J250" s="8" t="s">
        <v>43</v>
      </c>
      <c r="K250" s="10">
        <v>117379000</v>
      </c>
      <c r="L250" s="8" t="s">
        <v>43</v>
      </c>
      <c r="M250" s="8" t="s">
        <v>43</v>
      </c>
      <c r="N250" s="8">
        <v>-208641000</v>
      </c>
      <c r="O250" s="10" t="s">
        <v>43</v>
      </c>
      <c r="P250" s="10" t="s">
        <v>43</v>
      </c>
      <c r="Q250" s="8" t="s">
        <v>43</v>
      </c>
      <c r="R250" s="10" t="s">
        <v>43</v>
      </c>
      <c r="S250" s="8">
        <v>40027000</v>
      </c>
      <c r="T250" s="8">
        <v>40027000</v>
      </c>
      <c r="U250" s="8" t="s">
        <v>43</v>
      </c>
      <c r="V250" s="10" t="s">
        <v>43</v>
      </c>
      <c r="W250" s="10" t="s">
        <v>43</v>
      </c>
      <c r="X250" s="10" t="s">
        <v>43</v>
      </c>
      <c r="Y250" s="8" t="s">
        <v>43</v>
      </c>
      <c r="Z250" s="8" t="s">
        <v>43</v>
      </c>
      <c r="AA250" s="10" t="s">
        <v>43</v>
      </c>
      <c r="AB250" s="10" t="s">
        <v>43</v>
      </c>
      <c r="AC250" s="8">
        <v>-50165000</v>
      </c>
      <c r="AD250" s="8"/>
      <c r="AE250" s="8"/>
      <c r="AF250" s="8"/>
      <c r="AG250" s="8"/>
      <c r="AH250" s="8"/>
      <c r="AI250" s="8"/>
      <c r="AJ250" s="8"/>
      <c r="AK250" s="8"/>
      <c r="AL250" s="8"/>
      <c r="AM250" s="8"/>
      <c r="AN250" s="8"/>
      <c r="AO250" s="8"/>
      <c r="AP250" s="8"/>
    </row>
    <row r="251" spans="1:42" ht="17">
      <c r="A251" s="8" t="s">
        <v>121</v>
      </c>
      <c r="B251" s="8" t="s">
        <v>42</v>
      </c>
      <c r="C251" s="8">
        <v>17744000</v>
      </c>
      <c r="D251" s="8" t="s">
        <v>43</v>
      </c>
      <c r="E251" s="10" t="s">
        <v>43</v>
      </c>
      <c r="F251" s="8" t="s">
        <v>43</v>
      </c>
      <c r="G251" s="8" t="s">
        <v>43</v>
      </c>
      <c r="H251" s="8">
        <v>175865000</v>
      </c>
      <c r="I251" s="8">
        <v>53587000</v>
      </c>
      <c r="J251" s="8" t="s">
        <v>43</v>
      </c>
      <c r="K251" s="10">
        <v>-13766000</v>
      </c>
      <c r="L251" s="8" t="s">
        <v>43</v>
      </c>
      <c r="M251" s="8" t="s">
        <v>43</v>
      </c>
      <c r="N251" s="8">
        <v>-244862000</v>
      </c>
      <c r="O251" s="10" t="s">
        <v>43</v>
      </c>
      <c r="P251" s="10" t="s">
        <v>43</v>
      </c>
      <c r="Q251" s="8" t="s">
        <v>43</v>
      </c>
      <c r="R251" s="10" t="s">
        <v>43</v>
      </c>
      <c r="S251" s="8" t="s">
        <v>43</v>
      </c>
      <c r="T251" s="8" t="s">
        <v>43</v>
      </c>
      <c r="U251" s="8" t="s">
        <v>43</v>
      </c>
      <c r="V251" s="10" t="s">
        <v>43</v>
      </c>
      <c r="W251" s="10" t="s">
        <v>43</v>
      </c>
      <c r="X251" s="10" t="s">
        <v>43</v>
      </c>
      <c r="Y251" s="8" t="s">
        <v>43</v>
      </c>
      <c r="Z251" s="8" t="s">
        <v>43</v>
      </c>
      <c r="AA251" s="10" t="s">
        <v>43</v>
      </c>
      <c r="AB251" s="10" t="s">
        <v>43</v>
      </c>
      <c r="AC251" s="8">
        <v>-107824000</v>
      </c>
      <c r="AD251" s="8"/>
      <c r="AE251" s="8"/>
      <c r="AF251" s="8"/>
      <c r="AG251" s="8"/>
      <c r="AH251" s="8"/>
      <c r="AI251" s="8"/>
      <c r="AJ251" s="8"/>
      <c r="AK251" s="8"/>
      <c r="AL251" s="8"/>
      <c r="AM251" s="8"/>
      <c r="AN251" s="8"/>
      <c r="AO251" s="8"/>
      <c r="AP251" s="8"/>
    </row>
    <row r="252" spans="1:42" ht="17">
      <c r="A252" s="8" t="s">
        <v>122</v>
      </c>
      <c r="B252" s="8" t="s">
        <v>42</v>
      </c>
      <c r="C252" s="8">
        <v>45444000</v>
      </c>
      <c r="D252" s="8" t="s">
        <v>43</v>
      </c>
      <c r="E252" s="10" t="s">
        <v>43</v>
      </c>
      <c r="F252" s="8" t="s">
        <v>43</v>
      </c>
      <c r="G252" s="8" t="s">
        <v>43</v>
      </c>
      <c r="H252" s="8">
        <v>174062000</v>
      </c>
      <c r="I252" s="8">
        <v>74013000</v>
      </c>
      <c r="J252" s="8" t="s">
        <v>43</v>
      </c>
      <c r="K252" s="10">
        <v>95459000</v>
      </c>
      <c r="L252" s="8" t="s">
        <v>43</v>
      </c>
      <c r="M252" s="8" t="s">
        <v>43</v>
      </c>
      <c r="N252" s="8">
        <v>161486000</v>
      </c>
      <c r="O252" s="10" t="s">
        <v>43</v>
      </c>
      <c r="P252" s="10" t="s">
        <v>43</v>
      </c>
      <c r="Q252" s="8" t="s">
        <v>43</v>
      </c>
      <c r="R252" s="10" t="s">
        <v>43</v>
      </c>
      <c r="S252" s="8" t="s">
        <v>43</v>
      </c>
      <c r="T252" s="8" t="s">
        <v>43</v>
      </c>
      <c r="U252" s="8" t="s">
        <v>43</v>
      </c>
      <c r="V252" s="10" t="s">
        <v>43</v>
      </c>
      <c r="W252" s="10" t="s">
        <v>43</v>
      </c>
      <c r="X252" s="10" t="s">
        <v>43</v>
      </c>
      <c r="Y252" s="8" t="s">
        <v>43</v>
      </c>
      <c r="Z252" s="8" t="s">
        <v>43</v>
      </c>
      <c r="AA252" s="10" t="s">
        <v>43</v>
      </c>
      <c r="AB252" s="10" t="s">
        <v>43</v>
      </c>
      <c r="AC252" s="8">
        <v>-171779000</v>
      </c>
      <c r="AD252" s="8"/>
      <c r="AE252" s="8"/>
      <c r="AF252" s="8"/>
      <c r="AG252" s="8"/>
      <c r="AH252" s="8"/>
      <c r="AI252" s="8"/>
      <c r="AJ252" s="8"/>
      <c r="AK252" s="8"/>
      <c r="AL252" s="8"/>
      <c r="AM252" s="8"/>
      <c r="AN252" s="8"/>
      <c r="AO252" s="8"/>
      <c r="AP252" s="8"/>
    </row>
    <row r="253" spans="1:42" ht="17">
      <c r="A253" s="8" t="s">
        <v>123</v>
      </c>
      <c r="B253" s="8" t="s">
        <v>42</v>
      </c>
      <c r="C253" s="8">
        <v>-91648000</v>
      </c>
      <c r="D253" s="8" t="s">
        <v>43</v>
      </c>
      <c r="E253" s="10" t="s">
        <v>43</v>
      </c>
      <c r="F253" s="8" t="s">
        <v>43</v>
      </c>
      <c r="G253" s="8" t="s">
        <v>43</v>
      </c>
      <c r="H253" s="8">
        <v>174871000</v>
      </c>
      <c r="I253" s="8">
        <v>67408000</v>
      </c>
      <c r="J253" s="8" t="s">
        <v>43</v>
      </c>
      <c r="K253" s="10">
        <v>-79463000</v>
      </c>
      <c r="L253" s="8" t="s">
        <v>43</v>
      </c>
      <c r="M253" s="8" t="s">
        <v>43</v>
      </c>
      <c r="N253" s="8">
        <v>-105984000</v>
      </c>
      <c r="O253" s="10" t="s">
        <v>43</v>
      </c>
      <c r="P253" s="10" t="s">
        <v>43</v>
      </c>
      <c r="Q253" s="8" t="s">
        <v>43</v>
      </c>
      <c r="R253" s="10" t="s">
        <v>43</v>
      </c>
      <c r="S253" s="8">
        <v>3955000</v>
      </c>
      <c r="T253" s="8">
        <v>3955000</v>
      </c>
      <c r="U253" s="8" t="s">
        <v>43</v>
      </c>
      <c r="V253" s="10" t="s">
        <v>43</v>
      </c>
      <c r="W253" s="10" t="s">
        <v>43</v>
      </c>
      <c r="X253" s="10" t="s">
        <v>43</v>
      </c>
      <c r="Y253" s="8" t="s">
        <v>43</v>
      </c>
      <c r="Z253" s="8" t="s">
        <v>43</v>
      </c>
      <c r="AA253" s="10" t="s">
        <v>43</v>
      </c>
      <c r="AB253" s="10" t="s">
        <v>43</v>
      </c>
      <c r="AC253" s="8">
        <v>-432390000</v>
      </c>
      <c r="AD253" s="8"/>
      <c r="AE253" s="8"/>
      <c r="AF253" s="8"/>
      <c r="AG253" s="8"/>
      <c r="AH253" s="8"/>
      <c r="AI253" s="8"/>
      <c r="AJ253" s="8"/>
      <c r="AK253" s="8"/>
      <c r="AL253" s="8"/>
      <c r="AM253" s="8"/>
      <c r="AN253" s="8"/>
      <c r="AO253" s="8"/>
      <c r="AP253" s="8"/>
    </row>
    <row r="254" spans="1:42" ht="17">
      <c r="A254" s="8" t="s">
        <v>58</v>
      </c>
      <c r="B254" s="8" t="s">
        <v>42</v>
      </c>
      <c r="C254" s="8">
        <v>214029000</v>
      </c>
      <c r="D254" s="8" t="s">
        <v>43</v>
      </c>
      <c r="E254" s="10" t="s">
        <v>43</v>
      </c>
      <c r="F254" s="8" t="s">
        <v>43</v>
      </c>
      <c r="G254" s="8" t="s">
        <v>43</v>
      </c>
      <c r="H254" s="8">
        <v>191582000</v>
      </c>
      <c r="I254" s="8">
        <v>127266000</v>
      </c>
      <c r="J254" s="8" t="s">
        <v>43</v>
      </c>
      <c r="K254" s="10">
        <v>104149000</v>
      </c>
      <c r="L254" s="8" t="s">
        <v>43</v>
      </c>
      <c r="M254" s="8" t="s">
        <v>43</v>
      </c>
      <c r="N254" s="8">
        <v>-112781000</v>
      </c>
      <c r="O254" s="10" t="s">
        <v>43</v>
      </c>
      <c r="P254" s="10" t="s">
        <v>43</v>
      </c>
      <c r="Q254" s="8" t="s">
        <v>43</v>
      </c>
      <c r="R254" s="10" t="s">
        <v>43</v>
      </c>
      <c r="S254" s="8">
        <v>91887000</v>
      </c>
      <c r="T254" s="8">
        <v>91887000</v>
      </c>
      <c r="U254" s="8" t="s">
        <v>43</v>
      </c>
      <c r="V254" s="10" t="s">
        <v>43</v>
      </c>
      <c r="W254" s="10" t="s">
        <v>43</v>
      </c>
      <c r="X254" s="10" t="s">
        <v>43</v>
      </c>
      <c r="Y254" s="8" t="s">
        <v>43</v>
      </c>
      <c r="Z254" s="8" t="s">
        <v>43</v>
      </c>
      <c r="AA254" s="10" t="s">
        <v>43</v>
      </c>
      <c r="AB254" s="10" t="s">
        <v>43</v>
      </c>
      <c r="AC254" s="8">
        <v>-302233000</v>
      </c>
      <c r="AD254" s="8"/>
      <c r="AE254" s="8"/>
      <c r="AF254" s="8"/>
      <c r="AG254" s="8"/>
      <c r="AH254" s="8"/>
      <c r="AI254" s="8"/>
      <c r="AJ254" s="8"/>
      <c r="AK254" s="8"/>
      <c r="AL254" s="8"/>
      <c r="AM254" s="8"/>
      <c r="AN254" s="8"/>
      <c r="AO254" s="8"/>
      <c r="AP254" s="8"/>
    </row>
    <row r="255" spans="1:42" ht="17">
      <c r="A255" s="8" t="s">
        <v>124</v>
      </c>
      <c r="B255" s="8" t="s">
        <v>42</v>
      </c>
      <c r="C255" s="8">
        <v>91657000</v>
      </c>
      <c r="D255" s="8" t="s">
        <v>43</v>
      </c>
      <c r="E255" s="10" t="s">
        <v>43</v>
      </c>
      <c r="F255" s="8" t="s">
        <v>43</v>
      </c>
      <c r="G255" s="8" t="s">
        <v>43</v>
      </c>
      <c r="H255" s="8">
        <v>177330000</v>
      </c>
      <c r="I255" s="8">
        <v>64580000</v>
      </c>
      <c r="J255" s="8" t="s">
        <v>43</v>
      </c>
      <c r="K255" s="10">
        <v>35875000</v>
      </c>
      <c r="L255" s="8" t="s">
        <v>43</v>
      </c>
      <c r="M255" s="8" t="s">
        <v>43</v>
      </c>
      <c r="N255" s="8">
        <v>-33568000</v>
      </c>
      <c r="O255" s="10" t="s">
        <v>43</v>
      </c>
      <c r="P255" s="10" t="s">
        <v>43</v>
      </c>
      <c r="Q255" s="8" t="s">
        <v>43</v>
      </c>
      <c r="R255" s="10" t="s">
        <v>43</v>
      </c>
      <c r="S255" s="8" t="s">
        <v>43</v>
      </c>
      <c r="T255" s="8" t="s">
        <v>43</v>
      </c>
      <c r="U255" s="8" t="s">
        <v>43</v>
      </c>
      <c r="V255" s="10" t="s">
        <v>43</v>
      </c>
      <c r="W255" s="10" t="s">
        <v>43</v>
      </c>
      <c r="X255" s="10" t="s">
        <v>43</v>
      </c>
      <c r="Y255" s="8" t="s">
        <v>43</v>
      </c>
      <c r="Z255" s="8" t="s">
        <v>43</v>
      </c>
      <c r="AA255" s="10" t="s">
        <v>43</v>
      </c>
      <c r="AB255" s="10" t="s">
        <v>43</v>
      </c>
      <c r="AC255" s="8">
        <v>-92172000</v>
      </c>
      <c r="AD255" s="8"/>
      <c r="AE255" s="8"/>
      <c r="AF255" s="8"/>
      <c r="AG255" s="8"/>
      <c r="AH255" s="8"/>
      <c r="AI255" s="8"/>
      <c r="AJ255" s="8"/>
      <c r="AK255" s="8"/>
      <c r="AL255" s="8"/>
      <c r="AM255" s="8"/>
      <c r="AN255" s="8"/>
      <c r="AO255" s="8"/>
      <c r="AP255" s="8"/>
    </row>
    <row r="256" spans="1:42" ht="17">
      <c r="A256" s="8" t="s">
        <v>125</v>
      </c>
      <c r="B256" s="8" t="s">
        <v>42</v>
      </c>
      <c r="C256" s="8">
        <v>-6223000</v>
      </c>
      <c r="D256" s="8" t="s">
        <v>43</v>
      </c>
      <c r="E256" s="10" t="s">
        <v>43</v>
      </c>
      <c r="F256" s="8" t="s">
        <v>43</v>
      </c>
      <c r="G256" s="8" t="s">
        <v>43</v>
      </c>
      <c r="H256" s="8">
        <v>179734000</v>
      </c>
      <c r="I256" s="8">
        <v>71060000</v>
      </c>
      <c r="J256" s="8" t="s">
        <v>43</v>
      </c>
      <c r="K256" s="10">
        <v>10819000</v>
      </c>
      <c r="L256" s="8" t="s">
        <v>43</v>
      </c>
      <c r="M256" s="8" t="s">
        <v>43</v>
      </c>
      <c r="N256" s="8">
        <v>-95251000</v>
      </c>
      <c r="O256" s="10" t="s">
        <v>43</v>
      </c>
      <c r="P256" s="10" t="s">
        <v>43</v>
      </c>
      <c r="Q256" s="8" t="s">
        <v>43</v>
      </c>
      <c r="R256" s="10" t="s">
        <v>43</v>
      </c>
      <c r="S256" s="8" t="s">
        <v>43</v>
      </c>
      <c r="T256" s="8" t="s">
        <v>43</v>
      </c>
      <c r="U256" s="8" t="s">
        <v>43</v>
      </c>
      <c r="V256" s="10" t="s">
        <v>43</v>
      </c>
      <c r="W256" s="10" t="s">
        <v>43</v>
      </c>
      <c r="X256" s="10" t="s">
        <v>43</v>
      </c>
      <c r="Y256" s="8" t="s">
        <v>43</v>
      </c>
      <c r="Z256" s="8" t="s">
        <v>43</v>
      </c>
      <c r="AA256" s="10" t="s">
        <v>43</v>
      </c>
      <c r="AB256" s="10" t="s">
        <v>43</v>
      </c>
      <c r="AC256" s="8">
        <v>20007000</v>
      </c>
      <c r="AD256" s="8"/>
      <c r="AE256" s="8"/>
      <c r="AF256" s="8"/>
      <c r="AG256" s="8"/>
      <c r="AH256" s="8"/>
      <c r="AI256" s="8"/>
      <c r="AJ256" s="8"/>
      <c r="AK256" s="8"/>
      <c r="AL256" s="8"/>
      <c r="AM256" s="8"/>
      <c r="AN256" s="8"/>
      <c r="AO256" s="8"/>
      <c r="AP256" s="8"/>
    </row>
    <row r="257" spans="1:42" ht="17">
      <c r="A257" s="8" t="s">
        <v>126</v>
      </c>
      <c r="B257" s="8" t="s">
        <v>42</v>
      </c>
      <c r="C257" s="8">
        <v>-86591000</v>
      </c>
      <c r="D257" s="8" t="s">
        <v>43</v>
      </c>
      <c r="E257" s="10" t="s">
        <v>43</v>
      </c>
      <c r="F257" s="8" t="s">
        <v>43</v>
      </c>
      <c r="G257" s="8" t="s">
        <v>43</v>
      </c>
      <c r="H257" s="8">
        <v>182182000</v>
      </c>
      <c r="I257" s="8">
        <v>61620000</v>
      </c>
      <c r="J257" s="8" t="s">
        <v>43</v>
      </c>
      <c r="K257" s="10">
        <v>-108724000</v>
      </c>
      <c r="L257" s="8" t="s">
        <v>43</v>
      </c>
      <c r="M257" s="8" t="s">
        <v>43</v>
      </c>
      <c r="N257" s="8">
        <v>-354282000</v>
      </c>
      <c r="O257" s="10" t="s">
        <v>43</v>
      </c>
      <c r="P257" s="10" t="s">
        <v>43</v>
      </c>
      <c r="Q257" s="8" t="s">
        <v>43</v>
      </c>
      <c r="R257" s="10" t="s">
        <v>43</v>
      </c>
      <c r="S257" s="8" t="s">
        <v>43</v>
      </c>
      <c r="T257" s="8" t="s">
        <v>43</v>
      </c>
      <c r="U257" s="8" t="s">
        <v>43</v>
      </c>
      <c r="V257" s="10" t="s">
        <v>43</v>
      </c>
      <c r="W257" s="10" t="s">
        <v>43</v>
      </c>
      <c r="X257" s="10" t="s">
        <v>43</v>
      </c>
      <c r="Y257" s="8" t="s">
        <v>43</v>
      </c>
      <c r="Z257" s="8" t="s">
        <v>43</v>
      </c>
      <c r="AA257" s="10" t="s">
        <v>43</v>
      </c>
      <c r="AB257" s="10" t="s">
        <v>43</v>
      </c>
      <c r="AC257" s="8">
        <v>-209119000</v>
      </c>
      <c r="AD257" s="8"/>
      <c r="AE257" s="8"/>
      <c r="AF257" s="8"/>
      <c r="AG257" s="8"/>
      <c r="AH257" s="8"/>
      <c r="AI257" s="8"/>
      <c r="AJ257" s="8"/>
      <c r="AK257" s="8"/>
      <c r="AL257" s="8"/>
      <c r="AM257" s="8"/>
      <c r="AN257" s="8"/>
      <c r="AO257" s="8"/>
      <c r="AP257" s="8"/>
    </row>
    <row r="258" spans="1:42" ht="17">
      <c r="A258" s="8" t="s">
        <v>59</v>
      </c>
      <c r="B258" s="8" t="s">
        <v>42</v>
      </c>
      <c r="C258" s="8">
        <v>332527000</v>
      </c>
      <c r="D258" s="8" t="s">
        <v>43</v>
      </c>
      <c r="E258" s="10" t="s">
        <v>43</v>
      </c>
      <c r="F258" s="8" t="s">
        <v>43</v>
      </c>
      <c r="G258" s="8" t="s">
        <v>43</v>
      </c>
      <c r="H258" s="8">
        <v>189730000</v>
      </c>
      <c r="I258" s="8">
        <v>96061000</v>
      </c>
      <c r="J258" s="8" t="s">
        <v>43</v>
      </c>
      <c r="K258" s="10">
        <v>153231000</v>
      </c>
      <c r="L258" s="8" t="s">
        <v>43</v>
      </c>
      <c r="M258" s="8" t="s">
        <v>43</v>
      </c>
      <c r="N258" s="8">
        <v>-252275000</v>
      </c>
      <c r="O258" s="10" t="s">
        <v>43</v>
      </c>
      <c r="P258" s="10" t="s">
        <v>43</v>
      </c>
      <c r="Q258" s="8" t="s">
        <v>43</v>
      </c>
      <c r="R258" s="10" t="s">
        <v>43</v>
      </c>
      <c r="S258" s="8" t="s">
        <v>43</v>
      </c>
      <c r="T258" s="8" t="s">
        <v>43</v>
      </c>
      <c r="U258" s="8" t="s">
        <v>43</v>
      </c>
      <c r="V258" s="10" t="s">
        <v>43</v>
      </c>
      <c r="W258" s="10" t="s">
        <v>43</v>
      </c>
      <c r="X258" s="10" t="s">
        <v>43</v>
      </c>
      <c r="Y258" s="8" t="s">
        <v>43</v>
      </c>
      <c r="Z258" s="8" t="s">
        <v>43</v>
      </c>
      <c r="AA258" s="10" t="s">
        <v>43</v>
      </c>
      <c r="AB258" s="10" t="s">
        <v>43</v>
      </c>
      <c r="AC258" s="8">
        <v>-196782000</v>
      </c>
      <c r="AD258" s="8"/>
      <c r="AE258" s="8"/>
      <c r="AF258" s="8"/>
      <c r="AG258" s="8"/>
      <c r="AH258" s="8"/>
      <c r="AI258" s="8"/>
      <c r="AJ258" s="8"/>
      <c r="AK258" s="8"/>
      <c r="AL258" s="8"/>
      <c r="AM258" s="8"/>
      <c r="AN258" s="8"/>
      <c r="AO258" s="8"/>
      <c r="AP258" s="8"/>
    </row>
    <row r="259" spans="1:42" ht="17">
      <c r="A259" s="8" t="s">
        <v>127</v>
      </c>
      <c r="B259" s="8" t="s">
        <v>42</v>
      </c>
      <c r="C259" s="8">
        <v>39565000</v>
      </c>
      <c r="D259" s="8" t="s">
        <v>43</v>
      </c>
      <c r="E259" s="10" t="s">
        <v>43</v>
      </c>
      <c r="F259" s="8" t="s">
        <v>43</v>
      </c>
      <c r="G259" s="8" t="s">
        <v>43</v>
      </c>
      <c r="H259" s="8">
        <v>182350000</v>
      </c>
      <c r="I259" s="8">
        <v>101291000</v>
      </c>
      <c r="J259" s="8" t="s">
        <v>43</v>
      </c>
      <c r="K259" s="10">
        <v>-59653000</v>
      </c>
      <c r="L259" s="8" t="s">
        <v>43</v>
      </c>
      <c r="M259" s="8" t="s">
        <v>43</v>
      </c>
      <c r="N259" s="8">
        <v>-5434000</v>
      </c>
      <c r="O259" s="10" t="s">
        <v>43</v>
      </c>
      <c r="P259" s="10" t="s">
        <v>43</v>
      </c>
      <c r="Q259" s="8" t="s">
        <v>43</v>
      </c>
      <c r="R259" s="10" t="s">
        <v>43</v>
      </c>
      <c r="S259" s="8" t="s">
        <v>43</v>
      </c>
      <c r="T259" s="8" t="s">
        <v>43</v>
      </c>
      <c r="U259" s="8" t="s">
        <v>43</v>
      </c>
      <c r="V259" s="10" t="s">
        <v>43</v>
      </c>
      <c r="W259" s="10" t="s">
        <v>43</v>
      </c>
      <c r="X259" s="10" t="s">
        <v>43</v>
      </c>
      <c r="Y259" s="8" t="s">
        <v>43</v>
      </c>
      <c r="Z259" s="8" t="s">
        <v>43</v>
      </c>
      <c r="AA259" s="10" t="s">
        <v>43</v>
      </c>
      <c r="AB259" s="10" t="s">
        <v>43</v>
      </c>
      <c r="AC259" s="8">
        <v>-38584000</v>
      </c>
      <c r="AD259" s="8"/>
      <c r="AE259" s="8"/>
      <c r="AF259" s="8"/>
      <c r="AG259" s="8"/>
      <c r="AH259" s="8"/>
      <c r="AI259" s="8"/>
      <c r="AJ259" s="8"/>
      <c r="AK259" s="8"/>
      <c r="AL259" s="8"/>
      <c r="AM259" s="8"/>
      <c r="AN259" s="8"/>
      <c r="AO259" s="8"/>
      <c r="AP259" s="8"/>
    </row>
    <row r="260" spans="1:42" ht="17">
      <c r="A260" s="8" t="s">
        <v>128</v>
      </c>
      <c r="B260" s="8" t="s">
        <v>42</v>
      </c>
      <c r="C260" s="8">
        <v>120802000</v>
      </c>
      <c r="D260" s="8" t="s">
        <v>43</v>
      </c>
      <c r="E260" s="10" t="s">
        <v>43</v>
      </c>
      <c r="F260" s="8" t="s">
        <v>43</v>
      </c>
      <c r="G260" s="8" t="s">
        <v>43</v>
      </c>
      <c r="H260" s="8">
        <v>181839000</v>
      </c>
      <c r="I260" s="8">
        <v>117370000</v>
      </c>
      <c r="J260" s="8" t="s">
        <v>43</v>
      </c>
      <c r="K260" s="10">
        <v>89395000</v>
      </c>
      <c r="L260" s="8" t="s">
        <v>43</v>
      </c>
      <c r="M260" s="8" t="s">
        <v>43</v>
      </c>
      <c r="N260" s="8">
        <v>-9860000</v>
      </c>
      <c r="O260" s="10" t="s">
        <v>43</v>
      </c>
      <c r="P260" s="10" t="s">
        <v>43</v>
      </c>
      <c r="Q260" s="8" t="s">
        <v>43</v>
      </c>
      <c r="R260" s="10" t="s">
        <v>43</v>
      </c>
      <c r="S260" s="8" t="s">
        <v>43</v>
      </c>
      <c r="T260" s="8" t="s">
        <v>43</v>
      </c>
      <c r="U260" s="8" t="s">
        <v>43</v>
      </c>
      <c r="V260" s="10" t="s">
        <v>43</v>
      </c>
      <c r="W260" s="10" t="s">
        <v>43</v>
      </c>
      <c r="X260" s="10" t="s">
        <v>43</v>
      </c>
      <c r="Y260" s="8" t="s">
        <v>43</v>
      </c>
      <c r="Z260" s="8" t="s">
        <v>43</v>
      </c>
      <c r="AA260" s="10" t="s">
        <v>43</v>
      </c>
      <c r="AB260" s="10" t="s">
        <v>43</v>
      </c>
      <c r="AC260" s="8">
        <v>-27709000</v>
      </c>
      <c r="AD260" s="8"/>
      <c r="AE260" s="8"/>
      <c r="AF260" s="8"/>
      <c r="AG260" s="8"/>
      <c r="AH260" s="8"/>
      <c r="AI260" s="8"/>
      <c r="AJ260" s="8"/>
      <c r="AK260" s="8"/>
      <c r="AL260" s="8"/>
      <c r="AM260" s="8"/>
      <c r="AN260" s="8"/>
      <c r="AO260" s="8"/>
      <c r="AP260" s="8"/>
    </row>
    <row r="261" spans="1:42" ht="17">
      <c r="A261" s="8" t="s">
        <v>129</v>
      </c>
      <c r="B261" s="8" t="s">
        <v>42</v>
      </c>
      <c r="C261" s="8">
        <v>-4196000</v>
      </c>
      <c r="D261" s="8" t="s">
        <v>43</v>
      </c>
      <c r="E261" s="10" t="s">
        <v>43</v>
      </c>
      <c r="F261" s="8" t="s">
        <v>43</v>
      </c>
      <c r="G261" s="8" t="s">
        <v>43</v>
      </c>
      <c r="H261" s="8">
        <v>175366000</v>
      </c>
      <c r="I261" s="8">
        <v>75558000</v>
      </c>
      <c r="J261" s="8" t="s">
        <v>43</v>
      </c>
      <c r="K261" s="10">
        <v>-127876000</v>
      </c>
      <c r="L261" s="8" t="s">
        <v>43</v>
      </c>
      <c r="M261" s="8" t="s">
        <v>43</v>
      </c>
      <c r="N261" s="8">
        <v>172220000</v>
      </c>
      <c r="O261" s="10" t="s">
        <v>43</v>
      </c>
      <c r="P261" s="10" t="s">
        <v>43</v>
      </c>
      <c r="Q261" s="8" t="s">
        <v>43</v>
      </c>
      <c r="R261" s="10" t="s">
        <v>43</v>
      </c>
      <c r="S261" s="8">
        <v>244734000</v>
      </c>
      <c r="T261" s="8">
        <v>244734000</v>
      </c>
      <c r="U261" s="8" t="s">
        <v>43</v>
      </c>
      <c r="V261" s="10" t="s">
        <v>43</v>
      </c>
      <c r="W261" s="10" t="s">
        <v>43</v>
      </c>
      <c r="X261" s="10" t="s">
        <v>43</v>
      </c>
      <c r="Y261" s="8" t="s">
        <v>43</v>
      </c>
      <c r="Z261" s="8" t="s">
        <v>43</v>
      </c>
      <c r="AA261" s="10" t="s">
        <v>43</v>
      </c>
      <c r="AB261" s="10" t="s">
        <v>43</v>
      </c>
      <c r="AC261" s="8">
        <v>-148115000</v>
      </c>
      <c r="AD261" s="8"/>
      <c r="AE261" s="8"/>
      <c r="AF261" s="8"/>
      <c r="AG261" s="8"/>
      <c r="AH261" s="8"/>
      <c r="AI261" s="8"/>
      <c r="AJ261" s="8"/>
      <c r="AK261" s="8"/>
      <c r="AL261" s="8"/>
      <c r="AM261" s="8"/>
      <c r="AN261" s="8"/>
      <c r="AO261" s="8"/>
      <c r="AP261" s="8"/>
    </row>
    <row r="262" spans="1:42" ht="17">
      <c r="A262" s="8" t="s">
        <v>60</v>
      </c>
      <c r="B262" s="8" t="s">
        <v>42</v>
      </c>
      <c r="C262" s="8">
        <v>252576000</v>
      </c>
      <c r="D262" s="8" t="s">
        <v>43</v>
      </c>
      <c r="E262" s="10" t="s">
        <v>43</v>
      </c>
      <c r="F262" s="8" t="s">
        <v>43</v>
      </c>
      <c r="G262" s="8" t="s">
        <v>43</v>
      </c>
      <c r="H262" s="8">
        <v>192422000</v>
      </c>
      <c r="I262" s="8">
        <v>144145000</v>
      </c>
      <c r="J262" s="8" t="s">
        <v>43</v>
      </c>
      <c r="K262" s="10">
        <v>148393000</v>
      </c>
      <c r="L262" s="8" t="s">
        <v>43</v>
      </c>
      <c r="M262" s="8" t="s">
        <v>43</v>
      </c>
      <c r="N262" s="8">
        <v>-33454000</v>
      </c>
      <c r="O262" s="10" t="s">
        <v>43</v>
      </c>
      <c r="P262" s="10" t="s">
        <v>43</v>
      </c>
      <c r="Q262" s="8" t="s">
        <v>43</v>
      </c>
      <c r="R262" s="10" t="s">
        <v>43</v>
      </c>
      <c r="S262" s="8" t="s">
        <v>43</v>
      </c>
      <c r="T262" s="8" t="s">
        <v>43</v>
      </c>
      <c r="U262" s="8" t="s">
        <v>43</v>
      </c>
      <c r="V262" s="10" t="s">
        <v>43</v>
      </c>
      <c r="W262" s="10" t="s">
        <v>43</v>
      </c>
      <c r="X262" s="10" t="s">
        <v>43</v>
      </c>
      <c r="Y262" s="8" t="s">
        <v>43</v>
      </c>
      <c r="Z262" s="8" t="s">
        <v>43</v>
      </c>
      <c r="AA262" s="10" t="s">
        <v>43</v>
      </c>
      <c r="AB262" s="10" t="s">
        <v>43</v>
      </c>
      <c r="AC262" s="8">
        <v>-31400000</v>
      </c>
      <c r="AD262" s="8"/>
      <c r="AE262" s="8"/>
      <c r="AF262" s="8"/>
      <c r="AG262" s="8"/>
      <c r="AH262" s="8"/>
      <c r="AI262" s="8"/>
      <c r="AJ262" s="8"/>
      <c r="AK262" s="8"/>
      <c r="AL262" s="8"/>
      <c r="AM262" s="8"/>
      <c r="AN262" s="8"/>
      <c r="AO262" s="8"/>
      <c r="AP262" s="8"/>
    </row>
    <row r="263" spans="1:42" ht="17">
      <c r="A263" s="8" t="s">
        <v>130</v>
      </c>
      <c r="B263" s="8" t="s">
        <v>42</v>
      </c>
      <c r="C263" s="8">
        <v>57882000</v>
      </c>
      <c r="D263" s="8" t="s">
        <v>43</v>
      </c>
      <c r="E263" s="10" t="s">
        <v>43</v>
      </c>
      <c r="F263" s="8" t="s">
        <v>43</v>
      </c>
      <c r="G263" s="8" t="s">
        <v>43</v>
      </c>
      <c r="H263" s="8">
        <v>197532000</v>
      </c>
      <c r="I263" s="8">
        <v>77684000</v>
      </c>
      <c r="J263" s="8" t="s">
        <v>43</v>
      </c>
      <c r="K263" s="10">
        <v>-146736000</v>
      </c>
      <c r="L263" s="8" t="s">
        <v>43</v>
      </c>
      <c r="M263" s="8" t="s">
        <v>43</v>
      </c>
      <c r="N263" s="8">
        <v>-28834000</v>
      </c>
      <c r="O263" s="10" t="s">
        <v>43</v>
      </c>
      <c r="P263" s="10" t="s">
        <v>43</v>
      </c>
      <c r="Q263" s="8" t="s">
        <v>43</v>
      </c>
      <c r="R263" s="10" t="s">
        <v>43</v>
      </c>
      <c r="S263" s="8" t="s">
        <v>43</v>
      </c>
      <c r="T263" s="8" t="s">
        <v>43</v>
      </c>
      <c r="U263" s="8" t="s">
        <v>43</v>
      </c>
      <c r="V263" s="10" t="s">
        <v>43</v>
      </c>
      <c r="W263" s="10" t="s">
        <v>43</v>
      </c>
      <c r="X263" s="10" t="s">
        <v>43</v>
      </c>
      <c r="Y263" s="8" t="s">
        <v>43</v>
      </c>
      <c r="Z263" s="8" t="s">
        <v>43</v>
      </c>
      <c r="AA263" s="10" t="s">
        <v>43</v>
      </c>
      <c r="AB263" s="10" t="s">
        <v>43</v>
      </c>
      <c r="AC263" s="8">
        <v>-67291000</v>
      </c>
      <c r="AD263" s="8"/>
      <c r="AE263" s="8"/>
      <c r="AF263" s="8"/>
      <c r="AG263" s="8"/>
      <c r="AH263" s="8"/>
      <c r="AI263" s="8"/>
      <c r="AJ263" s="8"/>
      <c r="AK263" s="8"/>
      <c r="AL263" s="8"/>
      <c r="AM263" s="8"/>
      <c r="AN263" s="8"/>
      <c r="AO263" s="8"/>
      <c r="AP263" s="8"/>
    </row>
    <row r="264" spans="1:42" ht="17">
      <c r="A264" s="8" t="s">
        <v>131</v>
      </c>
      <c r="B264" s="8" t="s">
        <v>42</v>
      </c>
      <c r="C264" s="8">
        <v>188809000</v>
      </c>
      <c r="D264" s="8" t="s">
        <v>43</v>
      </c>
      <c r="E264" s="10" t="s">
        <v>43</v>
      </c>
      <c r="F264" s="8" t="s">
        <v>43</v>
      </c>
      <c r="G264" s="8" t="s">
        <v>43</v>
      </c>
      <c r="H264" s="8">
        <v>189641000</v>
      </c>
      <c r="I264" s="8">
        <v>76483000</v>
      </c>
      <c r="J264" s="8" t="s">
        <v>43</v>
      </c>
      <c r="K264" s="10" t="s">
        <v>43</v>
      </c>
      <c r="L264" s="8" t="s">
        <v>43</v>
      </c>
      <c r="M264" s="8" t="s">
        <v>43</v>
      </c>
      <c r="N264" s="8">
        <v>-383783000</v>
      </c>
      <c r="O264" s="10" t="s">
        <v>43</v>
      </c>
      <c r="P264" s="10" t="s">
        <v>43</v>
      </c>
      <c r="Q264" s="8" t="s">
        <v>43</v>
      </c>
      <c r="R264" s="10" t="s">
        <v>43</v>
      </c>
      <c r="S264" s="8" t="s">
        <v>43</v>
      </c>
      <c r="T264" s="8" t="s">
        <v>43</v>
      </c>
      <c r="U264" s="8" t="s">
        <v>43</v>
      </c>
      <c r="V264" s="10" t="s">
        <v>43</v>
      </c>
      <c r="W264" s="10" t="s">
        <v>43</v>
      </c>
      <c r="X264" s="10" t="s">
        <v>43</v>
      </c>
      <c r="Y264" s="8" t="s">
        <v>43</v>
      </c>
      <c r="Z264" s="8" t="s">
        <v>43</v>
      </c>
      <c r="AA264" s="10" t="s">
        <v>43</v>
      </c>
      <c r="AB264" s="10" t="s">
        <v>43</v>
      </c>
      <c r="AC264" s="8">
        <v>-37975000</v>
      </c>
      <c r="AD264" s="8"/>
      <c r="AE264" s="8"/>
      <c r="AF264" s="8"/>
      <c r="AG264" s="8"/>
      <c r="AH264" s="8"/>
      <c r="AI264" s="8"/>
      <c r="AJ264" s="8"/>
      <c r="AK264" s="8"/>
      <c r="AL264" s="8"/>
      <c r="AM264" s="8"/>
      <c r="AN264" s="8"/>
      <c r="AO264" s="8"/>
      <c r="AP264" s="8"/>
    </row>
    <row r="265" spans="1:42" ht="17">
      <c r="A265" s="8" t="s">
        <v>132</v>
      </c>
      <c r="B265" s="8" t="s">
        <v>42</v>
      </c>
      <c r="C265" s="8">
        <v>-125309000</v>
      </c>
      <c r="D265" s="8" t="s">
        <v>43</v>
      </c>
      <c r="E265" s="10" t="s">
        <v>43</v>
      </c>
      <c r="F265" s="8" t="s">
        <v>43</v>
      </c>
      <c r="G265" s="8" t="s">
        <v>43</v>
      </c>
      <c r="H265" s="8">
        <v>183711000</v>
      </c>
      <c r="I265" s="8">
        <v>63969000</v>
      </c>
      <c r="J265" s="8" t="s">
        <v>43</v>
      </c>
      <c r="K265" s="10">
        <v>-206065000</v>
      </c>
      <c r="L265" s="8" t="s">
        <v>43</v>
      </c>
      <c r="M265" s="8" t="s">
        <v>43</v>
      </c>
      <c r="N265" s="8">
        <v>-252045000</v>
      </c>
      <c r="O265" s="10" t="s">
        <v>43</v>
      </c>
      <c r="P265" s="10" t="s">
        <v>43</v>
      </c>
      <c r="Q265" s="8" t="s">
        <v>43</v>
      </c>
      <c r="R265" s="10" t="s">
        <v>43</v>
      </c>
      <c r="S265" s="8" t="s">
        <v>43</v>
      </c>
      <c r="T265" s="8" t="s">
        <v>43</v>
      </c>
      <c r="U265" s="8" t="s">
        <v>43</v>
      </c>
      <c r="V265" s="10" t="s">
        <v>43</v>
      </c>
      <c r="W265" s="10" t="s">
        <v>43</v>
      </c>
      <c r="X265" s="10" t="s">
        <v>43</v>
      </c>
      <c r="Y265" s="8" t="s">
        <v>43</v>
      </c>
      <c r="Z265" s="8" t="s">
        <v>43</v>
      </c>
      <c r="AA265" s="10" t="s">
        <v>43</v>
      </c>
      <c r="AB265" s="10" t="s">
        <v>43</v>
      </c>
      <c r="AC265" s="8">
        <v>-131363000</v>
      </c>
      <c r="AD265" s="8"/>
      <c r="AE265" s="8"/>
      <c r="AF265" s="8"/>
      <c r="AG265" s="8"/>
      <c r="AH265" s="8"/>
      <c r="AI265" s="8"/>
      <c r="AJ265" s="8"/>
      <c r="AK265" s="8"/>
      <c r="AL265" s="8"/>
      <c r="AM265" s="8"/>
      <c r="AN265" s="8"/>
      <c r="AO265" s="8"/>
      <c r="AP265" s="8"/>
    </row>
    <row r="266" spans="1:42" ht="17">
      <c r="A266" s="8" t="s">
        <v>62</v>
      </c>
      <c r="B266" s="8" t="s">
        <v>42</v>
      </c>
      <c r="C266" s="8">
        <v>265831000</v>
      </c>
      <c r="D266" s="8" t="s">
        <v>43</v>
      </c>
      <c r="E266" s="10" t="s">
        <v>43</v>
      </c>
      <c r="F266" s="8" t="s">
        <v>43</v>
      </c>
      <c r="G266" s="8" t="s">
        <v>43</v>
      </c>
      <c r="H266" s="8">
        <v>183278000</v>
      </c>
      <c r="I266" s="8">
        <v>88169000</v>
      </c>
      <c r="J266" s="8" t="s">
        <v>43</v>
      </c>
      <c r="K266" s="10">
        <v>-3474000</v>
      </c>
      <c r="L266" s="8" t="s">
        <v>43</v>
      </c>
      <c r="M266" s="8" t="s">
        <v>43</v>
      </c>
      <c r="N266" s="8">
        <v>29119000</v>
      </c>
      <c r="O266" s="10" t="s">
        <v>43</v>
      </c>
      <c r="P266" s="10" t="s">
        <v>43</v>
      </c>
      <c r="Q266" s="8" t="s">
        <v>43</v>
      </c>
      <c r="R266" s="10" t="s">
        <v>43</v>
      </c>
      <c r="S266" s="8" t="s">
        <v>43</v>
      </c>
      <c r="T266" s="8" t="s">
        <v>43</v>
      </c>
      <c r="U266" s="8" t="s">
        <v>43</v>
      </c>
      <c r="V266" s="10" t="s">
        <v>43</v>
      </c>
      <c r="W266" s="10" t="s">
        <v>43</v>
      </c>
      <c r="X266" s="10" t="s">
        <v>43</v>
      </c>
      <c r="Y266" s="8" t="s">
        <v>43</v>
      </c>
      <c r="Z266" s="8" t="s">
        <v>43</v>
      </c>
      <c r="AA266" s="10" t="s">
        <v>43</v>
      </c>
      <c r="AB266" s="10" t="s">
        <v>43</v>
      </c>
      <c r="AC266" s="8">
        <v>-55627000</v>
      </c>
      <c r="AD266" s="8"/>
      <c r="AE266" s="8"/>
      <c r="AF266" s="8"/>
      <c r="AG266" s="8"/>
      <c r="AH266" s="8"/>
      <c r="AI266" s="8"/>
      <c r="AJ266" s="8"/>
      <c r="AK266" s="8"/>
      <c r="AL266" s="8"/>
      <c r="AM266" s="8"/>
      <c r="AN266" s="8"/>
      <c r="AO266" s="8"/>
      <c r="AP266" s="8"/>
    </row>
    <row r="267" spans="1:42" ht="17">
      <c r="A267" s="8" t="s">
        <v>133</v>
      </c>
      <c r="B267" s="8" t="s">
        <v>42</v>
      </c>
      <c r="C267" s="8">
        <v>263750000</v>
      </c>
      <c r="D267" s="8" t="s">
        <v>43</v>
      </c>
      <c r="E267" s="10" t="s">
        <v>43</v>
      </c>
      <c r="F267" s="8" t="s">
        <v>43</v>
      </c>
      <c r="G267" s="8" t="s">
        <v>43</v>
      </c>
      <c r="H267" s="8">
        <v>184079000</v>
      </c>
      <c r="I267" s="8">
        <v>65996000</v>
      </c>
      <c r="J267" s="8" t="s">
        <v>43</v>
      </c>
      <c r="K267" s="10" t="s">
        <v>43</v>
      </c>
      <c r="L267" s="8" t="s">
        <v>43</v>
      </c>
      <c r="M267" s="8" t="s">
        <v>43</v>
      </c>
      <c r="N267" s="8">
        <v>-7860000</v>
      </c>
      <c r="O267" s="10" t="s">
        <v>43</v>
      </c>
      <c r="P267" s="10" t="s">
        <v>43</v>
      </c>
      <c r="Q267" s="8" t="s">
        <v>43</v>
      </c>
      <c r="R267" s="10" t="s">
        <v>43</v>
      </c>
      <c r="S267" s="8" t="s">
        <v>43</v>
      </c>
      <c r="T267" s="8" t="s">
        <v>43</v>
      </c>
      <c r="U267" s="8" t="s">
        <v>43</v>
      </c>
      <c r="V267" s="10" t="s">
        <v>43</v>
      </c>
      <c r="W267" s="10" t="s">
        <v>43</v>
      </c>
      <c r="X267" s="10" t="s">
        <v>43</v>
      </c>
      <c r="Y267" s="8" t="s">
        <v>43</v>
      </c>
      <c r="Z267" s="8" t="s">
        <v>43</v>
      </c>
      <c r="AA267" s="10" t="s">
        <v>43</v>
      </c>
      <c r="AB267" s="10" t="s">
        <v>43</v>
      </c>
      <c r="AC267" s="8">
        <v>-150392000</v>
      </c>
      <c r="AD267" s="8"/>
      <c r="AE267" s="8"/>
      <c r="AF267" s="8"/>
      <c r="AG267" s="8"/>
      <c r="AH267" s="8"/>
      <c r="AI267" s="8"/>
      <c r="AJ267" s="8"/>
      <c r="AK267" s="8"/>
      <c r="AL267" s="8"/>
      <c r="AM267" s="8"/>
      <c r="AN267" s="8"/>
      <c r="AO267" s="8"/>
      <c r="AP267" s="8"/>
    </row>
    <row r="268" spans="1:42" ht="17">
      <c r="A268" s="8" t="s">
        <v>134</v>
      </c>
      <c r="B268" s="8" t="s">
        <v>42</v>
      </c>
      <c r="C268" s="8">
        <v>22557000</v>
      </c>
      <c r="D268" s="8" t="s">
        <v>43</v>
      </c>
      <c r="E268" s="10" t="s">
        <v>43</v>
      </c>
      <c r="F268" s="8" t="s">
        <v>43</v>
      </c>
      <c r="G268" s="8" t="s">
        <v>43</v>
      </c>
      <c r="H268" s="8">
        <v>184178000</v>
      </c>
      <c r="I268" s="8">
        <v>48085000</v>
      </c>
      <c r="J268" s="8" t="s">
        <v>43</v>
      </c>
      <c r="K268" s="10" t="s">
        <v>43</v>
      </c>
      <c r="L268" s="8" t="s">
        <v>43</v>
      </c>
      <c r="M268" s="8" t="s">
        <v>43</v>
      </c>
      <c r="N268" s="8">
        <v>33775000</v>
      </c>
      <c r="O268" s="10" t="s">
        <v>43</v>
      </c>
      <c r="P268" s="10" t="s">
        <v>43</v>
      </c>
      <c r="Q268" s="8" t="s">
        <v>43</v>
      </c>
      <c r="R268" s="10" t="s">
        <v>43</v>
      </c>
      <c r="S268" s="8" t="s">
        <v>43</v>
      </c>
      <c r="T268" s="8" t="s">
        <v>43</v>
      </c>
      <c r="U268" s="8" t="s">
        <v>43</v>
      </c>
      <c r="V268" s="10" t="s">
        <v>43</v>
      </c>
      <c r="W268" s="10" t="s">
        <v>43</v>
      </c>
      <c r="X268" s="10" t="s">
        <v>43</v>
      </c>
      <c r="Y268" s="8" t="s">
        <v>43</v>
      </c>
      <c r="Z268" s="8" t="s">
        <v>43</v>
      </c>
      <c r="AA268" s="10" t="s">
        <v>43</v>
      </c>
      <c r="AB268" s="10" t="s">
        <v>43</v>
      </c>
      <c r="AC268" s="8">
        <v>-77207000</v>
      </c>
      <c r="AD268" s="8"/>
      <c r="AE268" s="8"/>
      <c r="AF268" s="8"/>
      <c r="AG268" s="8"/>
      <c r="AH268" s="8"/>
      <c r="AI268" s="8"/>
      <c r="AJ268" s="8"/>
      <c r="AK268" s="8"/>
      <c r="AL268" s="8"/>
      <c r="AM268" s="8"/>
      <c r="AN268" s="8"/>
      <c r="AO268" s="8"/>
      <c r="AP268" s="8"/>
    </row>
    <row r="269" spans="1:42" ht="17">
      <c r="A269" s="8" t="s">
        <v>135</v>
      </c>
      <c r="B269" s="8" t="s">
        <v>42</v>
      </c>
      <c r="C269" s="8">
        <v>30235000</v>
      </c>
      <c r="D269" s="8" t="s">
        <v>43</v>
      </c>
      <c r="E269" s="10" t="s">
        <v>43</v>
      </c>
      <c r="F269" s="8" t="s">
        <v>43</v>
      </c>
      <c r="G269" s="8" t="s">
        <v>43</v>
      </c>
      <c r="H269" s="8">
        <v>181334000</v>
      </c>
      <c r="I269" s="8">
        <v>55324000</v>
      </c>
      <c r="J269" s="8" t="s">
        <v>43</v>
      </c>
      <c r="K269" s="10">
        <v>-9959000</v>
      </c>
      <c r="L269" s="8" t="s">
        <v>43</v>
      </c>
      <c r="M269" s="8" t="s">
        <v>43</v>
      </c>
      <c r="N269" s="8">
        <v>-360278000</v>
      </c>
      <c r="O269" s="10" t="s">
        <v>43</v>
      </c>
      <c r="P269" s="10" t="s">
        <v>43</v>
      </c>
      <c r="Q269" s="8" t="s">
        <v>43</v>
      </c>
      <c r="R269" s="10" t="s">
        <v>43</v>
      </c>
      <c r="S269" s="8" t="s">
        <v>43</v>
      </c>
      <c r="T269" s="8" t="s">
        <v>43</v>
      </c>
      <c r="U269" s="8" t="s">
        <v>43</v>
      </c>
      <c r="V269" s="10" t="s">
        <v>43</v>
      </c>
      <c r="W269" s="10" t="s">
        <v>43</v>
      </c>
      <c r="X269" s="10" t="s">
        <v>43</v>
      </c>
      <c r="Y269" s="8">
        <v>36000</v>
      </c>
      <c r="Z269" s="8" t="s">
        <v>43</v>
      </c>
      <c r="AA269" s="10" t="s">
        <v>43</v>
      </c>
      <c r="AB269" s="10" t="s">
        <v>43</v>
      </c>
      <c r="AC269" s="8">
        <v>-179627000</v>
      </c>
      <c r="AD269" s="8"/>
      <c r="AE269" s="8"/>
      <c r="AF269" s="8"/>
      <c r="AG269" s="8"/>
      <c r="AH269" s="8"/>
      <c r="AI269" s="8"/>
      <c r="AJ269" s="8"/>
      <c r="AK269" s="8"/>
      <c r="AL269" s="8"/>
      <c r="AM269" s="8"/>
      <c r="AN269" s="8"/>
      <c r="AO269" s="8"/>
      <c r="AP269" s="8"/>
    </row>
    <row r="270" spans="1:42" ht="17">
      <c r="A270" s="8" t="s">
        <v>63</v>
      </c>
      <c r="B270" s="8" t="s">
        <v>42</v>
      </c>
      <c r="C270" s="8">
        <v>171073000</v>
      </c>
      <c r="D270" s="8" t="s">
        <v>43</v>
      </c>
      <c r="E270" s="10" t="s">
        <v>43</v>
      </c>
      <c r="F270" s="8" t="s">
        <v>43</v>
      </c>
      <c r="G270" s="8" t="s">
        <v>43</v>
      </c>
      <c r="H270" s="8">
        <v>191480000</v>
      </c>
      <c r="I270" s="8">
        <v>72993000</v>
      </c>
      <c r="J270" s="8" t="s">
        <v>43</v>
      </c>
      <c r="K270" s="10">
        <v>-71291000</v>
      </c>
      <c r="L270" s="8" t="s">
        <v>43</v>
      </c>
      <c r="M270" s="8" t="s">
        <v>43</v>
      </c>
      <c r="N270" s="8">
        <v>412881000</v>
      </c>
      <c r="O270" s="10" t="s">
        <v>43</v>
      </c>
      <c r="P270" s="10" t="s">
        <v>43</v>
      </c>
      <c r="Q270" s="8" t="s">
        <v>43</v>
      </c>
      <c r="R270" s="10" t="s">
        <v>43</v>
      </c>
      <c r="S270" s="8" t="s">
        <v>43</v>
      </c>
      <c r="T270" s="8" t="s">
        <v>43</v>
      </c>
      <c r="U270" s="8" t="s">
        <v>43</v>
      </c>
      <c r="V270" s="10" t="s">
        <v>43</v>
      </c>
      <c r="W270" s="10" t="s">
        <v>43</v>
      </c>
      <c r="X270" s="10" t="s">
        <v>43</v>
      </c>
      <c r="Y270" s="8">
        <v>36000</v>
      </c>
      <c r="Z270" s="8" t="s">
        <v>43</v>
      </c>
      <c r="AA270" s="10" t="s">
        <v>43</v>
      </c>
      <c r="AB270" s="10" t="s">
        <v>43</v>
      </c>
      <c r="AC270" s="8">
        <v>149667000</v>
      </c>
      <c r="AD270" s="8"/>
      <c r="AE270" s="8"/>
      <c r="AF270" s="8"/>
      <c r="AG270" s="8"/>
      <c r="AH270" s="8"/>
      <c r="AI270" s="8"/>
      <c r="AJ270" s="8"/>
      <c r="AK270" s="8"/>
      <c r="AL270" s="8"/>
      <c r="AM270" s="8"/>
      <c r="AN270" s="8"/>
      <c r="AO270" s="8"/>
      <c r="AP270" s="8"/>
    </row>
    <row r="271" spans="1:42" ht="17">
      <c r="A271" s="8" t="s">
        <v>136</v>
      </c>
      <c r="B271" s="8" t="s">
        <v>42</v>
      </c>
      <c r="C271" s="8">
        <v>94055000</v>
      </c>
      <c r="D271" s="8" t="s">
        <v>43</v>
      </c>
      <c r="E271" s="10" t="s">
        <v>43</v>
      </c>
      <c r="F271" s="8" t="s">
        <v>43</v>
      </c>
      <c r="G271" s="8" t="s">
        <v>43</v>
      </c>
      <c r="H271" s="8">
        <v>190189000</v>
      </c>
      <c r="I271" s="8">
        <v>51246000</v>
      </c>
      <c r="J271" s="8" t="s">
        <v>43</v>
      </c>
      <c r="K271" s="10" t="s">
        <v>43</v>
      </c>
      <c r="L271" s="8" t="s">
        <v>43</v>
      </c>
      <c r="M271" s="8" t="s">
        <v>43</v>
      </c>
      <c r="N271" s="8">
        <v>-181657000</v>
      </c>
      <c r="O271" s="10" t="s">
        <v>43</v>
      </c>
      <c r="P271" s="10" t="s">
        <v>43</v>
      </c>
      <c r="Q271" s="8" t="s">
        <v>43</v>
      </c>
      <c r="R271" s="10" t="s">
        <v>43</v>
      </c>
      <c r="S271" s="8" t="s">
        <v>43</v>
      </c>
      <c r="T271" s="8" t="s">
        <v>43</v>
      </c>
      <c r="U271" s="8" t="s">
        <v>43</v>
      </c>
      <c r="V271" s="10" t="s">
        <v>43</v>
      </c>
      <c r="W271" s="10" t="s">
        <v>43</v>
      </c>
      <c r="X271" s="10" t="s">
        <v>43</v>
      </c>
      <c r="Y271" s="8">
        <v>-98000</v>
      </c>
      <c r="Z271" s="8" t="s">
        <v>43</v>
      </c>
      <c r="AA271" s="10" t="s">
        <v>43</v>
      </c>
      <c r="AB271" s="10" t="s">
        <v>43</v>
      </c>
      <c r="AC271" s="8">
        <v>-92671000</v>
      </c>
      <c r="AD271" s="8"/>
      <c r="AE271" s="8"/>
      <c r="AF271" s="8"/>
      <c r="AG271" s="8"/>
      <c r="AH271" s="8"/>
      <c r="AI271" s="8"/>
      <c r="AJ271" s="8"/>
      <c r="AK271" s="8"/>
      <c r="AL271" s="8"/>
      <c r="AM271" s="8"/>
      <c r="AN271" s="8"/>
      <c r="AO271" s="8"/>
      <c r="AP271" s="8"/>
    </row>
    <row r="272" spans="1:42" ht="17">
      <c r="A272" s="8" t="s">
        <v>137</v>
      </c>
      <c r="B272" s="8" t="s">
        <v>42</v>
      </c>
      <c r="C272" s="8">
        <v>43066000</v>
      </c>
      <c r="D272" s="8" t="s">
        <v>43</v>
      </c>
      <c r="E272" s="10" t="s">
        <v>43</v>
      </c>
      <c r="F272" s="8" t="s">
        <v>43</v>
      </c>
      <c r="G272" s="8" t="s">
        <v>43</v>
      </c>
      <c r="H272" s="8">
        <v>208246000</v>
      </c>
      <c r="I272" s="8">
        <v>46277000</v>
      </c>
      <c r="J272" s="8" t="s">
        <v>43</v>
      </c>
      <c r="K272" s="10" t="s">
        <v>43</v>
      </c>
      <c r="L272" s="8" t="s">
        <v>43</v>
      </c>
      <c r="M272" s="8" t="s">
        <v>43</v>
      </c>
      <c r="N272" s="8">
        <v>-92569000</v>
      </c>
      <c r="O272" s="10" t="s">
        <v>43</v>
      </c>
      <c r="P272" s="10" t="s">
        <v>43</v>
      </c>
      <c r="Q272" s="8" t="s">
        <v>43</v>
      </c>
      <c r="R272" s="10" t="s">
        <v>43</v>
      </c>
      <c r="S272" s="8" t="s">
        <v>43</v>
      </c>
      <c r="T272" s="8" t="s">
        <v>43</v>
      </c>
      <c r="U272" s="8" t="s">
        <v>43</v>
      </c>
      <c r="V272" s="10" t="s">
        <v>43</v>
      </c>
      <c r="W272" s="10" t="s">
        <v>43</v>
      </c>
      <c r="X272" s="10" t="s">
        <v>43</v>
      </c>
      <c r="Y272" s="8">
        <v>-122000</v>
      </c>
      <c r="Z272" s="8" t="s">
        <v>43</v>
      </c>
      <c r="AA272" s="10" t="s">
        <v>43</v>
      </c>
      <c r="AB272" s="10" t="s">
        <v>43</v>
      </c>
      <c r="AC272" s="9">
        <v>-3678000000</v>
      </c>
      <c r="AD272" s="8"/>
      <c r="AE272" s="8"/>
      <c r="AF272" s="8"/>
      <c r="AG272" s="8"/>
      <c r="AH272" s="8"/>
      <c r="AI272" s="8"/>
      <c r="AJ272" s="8"/>
      <c r="AK272" s="8"/>
      <c r="AL272" s="8"/>
      <c r="AM272" s="8"/>
      <c r="AN272" s="8"/>
      <c r="AO272" s="8"/>
      <c r="AP272" s="8"/>
    </row>
    <row r="273" spans="1:42" ht="17">
      <c r="A273" s="8" t="s">
        <v>138</v>
      </c>
      <c r="B273" s="8" t="s">
        <v>42</v>
      </c>
      <c r="C273" s="8">
        <v>-127019000</v>
      </c>
      <c r="D273" s="8" t="s">
        <v>43</v>
      </c>
      <c r="E273" s="10" t="s">
        <v>43</v>
      </c>
      <c r="F273" s="8" t="s">
        <v>43</v>
      </c>
      <c r="G273" s="8" t="s">
        <v>43</v>
      </c>
      <c r="H273" s="8">
        <v>175559000</v>
      </c>
      <c r="I273" s="8">
        <v>53276000</v>
      </c>
      <c r="J273" s="8" t="s">
        <v>43</v>
      </c>
      <c r="K273" s="10" t="s">
        <v>43</v>
      </c>
      <c r="L273" s="8" t="s">
        <v>43</v>
      </c>
      <c r="M273" s="8" t="s">
        <v>43</v>
      </c>
      <c r="N273" s="8">
        <v>1466067000</v>
      </c>
      <c r="O273" s="10" t="s">
        <v>43</v>
      </c>
      <c r="P273" s="10" t="s">
        <v>43</v>
      </c>
      <c r="Q273" s="8" t="s">
        <v>43</v>
      </c>
      <c r="R273" s="10" t="s">
        <v>43</v>
      </c>
      <c r="S273" s="8" t="s">
        <v>43</v>
      </c>
      <c r="T273" s="8" t="s">
        <v>43</v>
      </c>
      <c r="U273" s="8" t="s">
        <v>43</v>
      </c>
      <c r="V273" s="10" t="s">
        <v>43</v>
      </c>
      <c r="W273" s="10" t="s">
        <v>43</v>
      </c>
      <c r="X273" s="10" t="s">
        <v>43</v>
      </c>
      <c r="Y273" s="8">
        <v>-46000</v>
      </c>
      <c r="Z273" s="8" t="s">
        <v>43</v>
      </c>
      <c r="AA273" s="10" t="s">
        <v>43</v>
      </c>
      <c r="AB273" s="10" t="s">
        <v>43</v>
      </c>
      <c r="AC273" s="8">
        <v>-427999000</v>
      </c>
      <c r="AD273" s="8"/>
      <c r="AE273" s="8"/>
      <c r="AF273" s="8"/>
      <c r="AG273" s="8"/>
      <c r="AH273" s="8"/>
      <c r="AI273" s="8"/>
      <c r="AJ273" s="8"/>
      <c r="AK273" s="8"/>
      <c r="AL273" s="8"/>
      <c r="AM273" s="8"/>
      <c r="AN273" s="8"/>
      <c r="AO273" s="8"/>
      <c r="AP273" s="8"/>
    </row>
    <row r="274" spans="1:42" ht="17">
      <c r="A274" s="8" t="s">
        <v>64</v>
      </c>
      <c r="B274" s="8" t="s">
        <v>42</v>
      </c>
      <c r="C274" s="8">
        <v>205131000</v>
      </c>
      <c r="D274" s="8" t="s">
        <v>43</v>
      </c>
      <c r="E274" s="10" t="s">
        <v>43</v>
      </c>
      <c r="F274" s="8" t="s">
        <v>43</v>
      </c>
      <c r="G274" s="8" t="s">
        <v>43</v>
      </c>
      <c r="H274" s="8">
        <v>239901000</v>
      </c>
      <c r="I274" s="8">
        <v>141316000</v>
      </c>
      <c r="J274" s="8" t="s">
        <v>43</v>
      </c>
      <c r="K274" s="10" t="s">
        <v>43</v>
      </c>
      <c r="L274" s="8" t="s">
        <v>43</v>
      </c>
      <c r="M274" s="8" t="s">
        <v>43</v>
      </c>
      <c r="N274" s="8">
        <v>-5532000</v>
      </c>
      <c r="O274" s="10" t="s">
        <v>43</v>
      </c>
      <c r="P274" s="10" t="s">
        <v>43</v>
      </c>
      <c r="Q274" s="8" t="s">
        <v>43</v>
      </c>
      <c r="R274" s="10" t="s">
        <v>43</v>
      </c>
      <c r="S274" s="8">
        <v>93367000</v>
      </c>
      <c r="T274" s="8">
        <v>93367000</v>
      </c>
      <c r="U274" s="8" t="s">
        <v>43</v>
      </c>
      <c r="V274" s="10" t="s">
        <v>43</v>
      </c>
      <c r="W274" s="10" t="s">
        <v>43</v>
      </c>
      <c r="X274" s="10" t="s">
        <v>43</v>
      </c>
      <c r="Y274" s="8">
        <v>-46000</v>
      </c>
      <c r="Z274" s="8" t="s">
        <v>43</v>
      </c>
      <c r="AA274" s="10" t="s">
        <v>43</v>
      </c>
      <c r="AB274" s="10" t="s">
        <v>43</v>
      </c>
      <c r="AC274" s="9">
        <v>-5006000000</v>
      </c>
      <c r="AD274" s="8"/>
      <c r="AE274" s="8"/>
      <c r="AF274" s="8"/>
      <c r="AG274" s="8"/>
      <c r="AH274" s="8"/>
      <c r="AI274" s="8"/>
      <c r="AJ274" s="8"/>
      <c r="AK274" s="8"/>
      <c r="AL274" s="8"/>
      <c r="AM274" s="8"/>
      <c r="AN274" s="8"/>
      <c r="AO274" s="8"/>
      <c r="AP274" s="8"/>
    </row>
    <row r="275" spans="1:42" ht="17">
      <c r="A275" s="8" t="s">
        <v>139</v>
      </c>
      <c r="B275" s="8" t="s">
        <v>42</v>
      </c>
      <c r="C275" s="8">
        <v>409902000</v>
      </c>
      <c r="D275" s="8" t="s">
        <v>43</v>
      </c>
      <c r="E275" s="10" t="s">
        <v>43</v>
      </c>
      <c r="F275" s="8" t="s">
        <v>43</v>
      </c>
      <c r="G275" s="8" t="s">
        <v>43</v>
      </c>
      <c r="H275" s="8">
        <v>162463000</v>
      </c>
      <c r="I275" s="8">
        <v>77413000</v>
      </c>
      <c r="J275" s="8" t="s">
        <v>43</v>
      </c>
      <c r="K275" s="10" t="s">
        <v>43</v>
      </c>
      <c r="L275" s="8" t="s">
        <v>43</v>
      </c>
      <c r="M275" s="8" t="s">
        <v>43</v>
      </c>
      <c r="N275" s="9">
        <v>16912000000</v>
      </c>
      <c r="O275" s="10" t="s">
        <v>43</v>
      </c>
      <c r="P275" s="10" t="s">
        <v>43</v>
      </c>
      <c r="Q275" s="8" t="s">
        <v>43</v>
      </c>
      <c r="R275" s="10" t="s">
        <v>43</v>
      </c>
      <c r="S275" s="8" t="s">
        <v>43</v>
      </c>
      <c r="T275" s="8" t="s">
        <v>43</v>
      </c>
      <c r="U275" s="8" t="s">
        <v>43</v>
      </c>
      <c r="V275" s="10" t="s">
        <v>43</v>
      </c>
      <c r="W275" s="10" t="s">
        <v>43</v>
      </c>
      <c r="X275" s="10" t="s">
        <v>43</v>
      </c>
      <c r="Y275" s="8">
        <v>-2000</v>
      </c>
      <c r="Z275" s="8" t="s">
        <v>43</v>
      </c>
      <c r="AA275" s="10" t="s">
        <v>43</v>
      </c>
      <c r="AB275" s="10" t="s">
        <v>43</v>
      </c>
      <c r="AC275" s="8">
        <v>-60096000</v>
      </c>
      <c r="AD275" s="8"/>
      <c r="AE275" s="8"/>
      <c r="AF275" s="8"/>
      <c r="AG275" s="8"/>
      <c r="AH275" s="8"/>
      <c r="AI275" s="8"/>
      <c r="AJ275" s="8"/>
      <c r="AK275" s="8"/>
      <c r="AL275" s="8"/>
      <c r="AM275" s="8"/>
      <c r="AN275" s="8"/>
      <c r="AO275" s="8"/>
      <c r="AP275" s="8"/>
    </row>
    <row r="276" spans="1:42" ht="17">
      <c r="A276" s="8" t="s">
        <v>140</v>
      </c>
      <c r="B276" s="8" t="s">
        <v>42</v>
      </c>
      <c r="C276" s="8">
        <v>321278000</v>
      </c>
      <c r="D276" s="8" t="s">
        <v>43</v>
      </c>
      <c r="E276" s="10" t="s">
        <v>43</v>
      </c>
      <c r="F276" s="8" t="s">
        <v>43</v>
      </c>
      <c r="G276" s="8" t="s">
        <v>43</v>
      </c>
      <c r="H276" s="8">
        <v>142188000</v>
      </c>
      <c r="I276" s="8">
        <v>34136000</v>
      </c>
      <c r="J276" s="8" t="s">
        <v>43</v>
      </c>
      <c r="K276" s="10" t="s">
        <v>43</v>
      </c>
      <c r="L276" s="8" t="s">
        <v>43</v>
      </c>
      <c r="M276" s="8" t="s">
        <v>43</v>
      </c>
      <c r="N276" s="8">
        <v>-244292000</v>
      </c>
      <c r="O276" s="10" t="s">
        <v>43</v>
      </c>
      <c r="P276" s="10" t="s">
        <v>43</v>
      </c>
      <c r="Q276" s="8" t="s">
        <v>43</v>
      </c>
      <c r="R276" s="10" t="s">
        <v>43</v>
      </c>
      <c r="S276" s="8" t="s">
        <v>43</v>
      </c>
      <c r="T276" s="8" t="s">
        <v>43</v>
      </c>
      <c r="U276" s="8" t="s">
        <v>43</v>
      </c>
      <c r="V276" s="10" t="s">
        <v>43</v>
      </c>
      <c r="W276" s="10" t="s">
        <v>43</v>
      </c>
      <c r="X276" s="10" t="s">
        <v>43</v>
      </c>
      <c r="Y276" s="8">
        <v>-2523000</v>
      </c>
      <c r="Z276" s="8" t="s">
        <v>43</v>
      </c>
      <c r="AA276" s="10" t="s">
        <v>43</v>
      </c>
      <c r="AB276" s="10" t="s">
        <v>43</v>
      </c>
      <c r="AC276" s="8">
        <v>268906000</v>
      </c>
      <c r="AD276" s="8"/>
      <c r="AE276" s="8"/>
      <c r="AF276" s="8"/>
      <c r="AG276" s="8"/>
      <c r="AH276" s="8"/>
      <c r="AI276" s="8"/>
      <c r="AJ276" s="8"/>
      <c r="AK276" s="8"/>
      <c r="AL276" s="8"/>
      <c r="AM276" s="8"/>
      <c r="AN276" s="8"/>
      <c r="AO276" s="8"/>
      <c r="AP276" s="8"/>
    </row>
    <row r="277" spans="1:42" ht="17">
      <c r="A277" s="8" t="s">
        <v>141</v>
      </c>
      <c r="B277" s="8" t="s">
        <v>42</v>
      </c>
      <c r="C277" s="8">
        <v>279651000</v>
      </c>
      <c r="D277" s="8" t="s">
        <v>43</v>
      </c>
      <c r="E277" s="10" t="s">
        <v>43</v>
      </c>
      <c r="F277" s="8" t="s">
        <v>43</v>
      </c>
      <c r="G277" s="8" t="s">
        <v>43</v>
      </c>
      <c r="H277" s="8">
        <v>152278000</v>
      </c>
      <c r="I277" s="8">
        <v>177590000</v>
      </c>
      <c r="J277" s="8" t="s">
        <v>43</v>
      </c>
      <c r="K277" s="10" t="s">
        <v>43</v>
      </c>
      <c r="L277" s="8" t="s">
        <v>43</v>
      </c>
      <c r="M277" s="8" t="s">
        <v>43</v>
      </c>
      <c r="N277" s="8">
        <v>-754449000</v>
      </c>
      <c r="O277" s="10" t="s">
        <v>43</v>
      </c>
      <c r="P277" s="10" t="s">
        <v>43</v>
      </c>
      <c r="Q277" s="8" t="s">
        <v>43</v>
      </c>
      <c r="R277" s="10" t="s">
        <v>43</v>
      </c>
      <c r="S277" s="8">
        <v>93367000</v>
      </c>
      <c r="T277" s="8">
        <v>93367000</v>
      </c>
      <c r="U277" s="8" t="s">
        <v>43</v>
      </c>
      <c r="V277" s="10" t="s">
        <v>43</v>
      </c>
      <c r="W277" s="10" t="s">
        <v>43</v>
      </c>
      <c r="X277" s="10" t="s">
        <v>43</v>
      </c>
      <c r="Y277" s="8">
        <v>-1257000</v>
      </c>
      <c r="Z277" s="8" t="s">
        <v>43</v>
      </c>
      <c r="AA277" s="10" t="s">
        <v>43</v>
      </c>
      <c r="AB277" s="10" t="s">
        <v>43</v>
      </c>
      <c r="AC277" s="8">
        <v>169780000</v>
      </c>
      <c r="AD277" s="8"/>
      <c r="AE277" s="8"/>
      <c r="AF277" s="8"/>
      <c r="AG277" s="8"/>
      <c r="AH277" s="8"/>
      <c r="AI277" s="8"/>
      <c r="AJ277" s="8"/>
      <c r="AK277" s="8"/>
      <c r="AL277" s="8"/>
      <c r="AM277" s="8"/>
      <c r="AN277" s="8"/>
      <c r="AO277" s="8"/>
      <c r="AP277"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AA170"/>
  <sheetViews>
    <sheetView showGridLines="0" topLeftCell="A2" zoomScaleNormal="100" workbookViewId="0">
      <selection activeCell="A28" sqref="A28"/>
    </sheetView>
  </sheetViews>
  <sheetFormatPr baseColWidth="10" defaultColWidth="12.5" defaultRowHeight="15.75" customHeight="1"/>
  <cols>
    <col min="1" max="1" width="9.33203125" style="230" customWidth="1"/>
    <col min="2" max="2" width="18.33203125" bestFit="1" customWidth="1"/>
    <col min="3" max="3" width="0" hidden="1" customWidth="1"/>
    <col min="4" max="4" width="28.5" hidden="1" customWidth="1"/>
    <col min="5" max="5" width="18.33203125" customWidth="1"/>
    <col min="6" max="7" width="15.33203125" hidden="1" customWidth="1"/>
    <col min="8" max="8" width="12.6640625" hidden="1" customWidth="1"/>
    <col min="9" max="18" width="18.33203125" style="22" customWidth="1"/>
    <col min="19" max="19" width="12.6640625" style="23" bestFit="1" customWidth="1"/>
    <col min="20" max="20" width="11.6640625" hidden="1" customWidth="1"/>
    <col min="21" max="21" width="0" hidden="1" customWidth="1"/>
  </cols>
  <sheetData>
    <row r="1" spans="1:27" ht="15.75" hidden="1" customHeight="1"/>
    <row r="2" spans="1:27" ht="21" customHeight="1">
      <c r="A2" s="254" t="s">
        <v>183</v>
      </c>
      <c r="B2" s="20" t="str" cm="1">
        <f t="array" aca="1" ref="B2" ca="1">_FV(E2,"Ticker symbol",TRUE)</f>
        <v>DG</v>
      </c>
      <c r="D2" t="s">
        <v>183</v>
      </c>
      <c r="E2" s="28" t="e" vm="1">
        <v>#VALUE!</v>
      </c>
      <c r="F2" s="29"/>
      <c r="G2" s="29"/>
      <c r="H2" s="30"/>
      <c r="I2" s="355" t="str">
        <f>Ticker!A4</f>
        <v>Dollar General Corporation is an American chain of variety stores headquartered in Goodlettsville, Tennessee.</v>
      </c>
      <c r="J2" s="355"/>
      <c r="K2" s="355"/>
      <c r="L2" s="355"/>
      <c r="M2" s="355"/>
      <c r="N2" s="355"/>
      <c r="O2" s="355"/>
      <c r="P2" s="355"/>
      <c r="Q2" s="355"/>
      <c r="R2" s="355"/>
    </row>
    <row r="3" spans="1:27" ht="45" customHeight="1" thickBot="1">
      <c r="D3" s="13"/>
      <c r="E3" s="69" t="s">
        <v>539</v>
      </c>
      <c r="F3" s="13"/>
      <c r="G3" s="13"/>
      <c r="H3" s="13"/>
      <c r="I3" s="355"/>
      <c r="J3" s="355"/>
      <c r="K3" s="355"/>
      <c r="L3" s="355"/>
      <c r="M3" s="355"/>
      <c r="N3" s="355"/>
      <c r="O3" s="355"/>
      <c r="P3" s="355"/>
      <c r="Q3" s="355"/>
      <c r="R3" s="355"/>
      <c r="X3" s="20" t="s">
        <v>582</v>
      </c>
      <c r="AA3" t="s">
        <v>585</v>
      </c>
    </row>
    <row r="4" spans="1:27" ht="15.75" hidden="1" customHeight="1">
      <c r="D4" t="s">
        <v>184</v>
      </c>
      <c r="E4" t="s">
        <v>185</v>
      </c>
      <c r="F4">
        <v>14</v>
      </c>
      <c r="G4">
        <v>13</v>
      </c>
      <c r="H4">
        <v>12</v>
      </c>
      <c r="I4" s="24">
        <v>11</v>
      </c>
      <c r="J4" s="22">
        <v>10</v>
      </c>
      <c r="K4" s="22">
        <v>9</v>
      </c>
      <c r="L4" s="22">
        <v>8</v>
      </c>
      <c r="M4" s="22">
        <v>7</v>
      </c>
      <c r="N4" s="22">
        <v>6</v>
      </c>
      <c r="O4" s="22">
        <v>5</v>
      </c>
      <c r="P4" s="22">
        <v>4</v>
      </c>
      <c r="Q4" s="22">
        <v>3</v>
      </c>
      <c r="R4" s="22">
        <v>2</v>
      </c>
    </row>
    <row r="5" spans="1:27" ht="17" customHeight="1" thickBot="1">
      <c r="D5" s="13" t="s">
        <v>14</v>
      </c>
      <c r="E5" s="60" t="s">
        <v>241</v>
      </c>
      <c r="F5" s="61"/>
      <c r="G5" s="61"/>
      <c r="H5" s="61"/>
      <c r="I5" s="62">
        <f>IFERROR(
  IF($E$3="Annual",
    IFERROR(HLOOKUP($D$5, Annual!$A$3:$AX$100, I$4, FALSE), ""),
    IFERROR(HLOOKUP($D$5, Quarterly!$A$3:$AX$100, I$4, FALSE), "")
  ),
"")</f>
        <v>42400</v>
      </c>
      <c r="J5" s="62">
        <f>IFERROR(
  IF($E$3="Annual",
    IFERROR(HLOOKUP($D$5, Annual!$A$3:$AX$100, J$4, FALSE), ""),
    IFERROR(HLOOKUP($D$5, Quarterly!$A$3:$AX$100, J$4, FALSE), "")
  ),
"")</f>
        <v>42766</v>
      </c>
      <c r="K5" s="62">
        <f>IFERROR(
  IF($E$3="Annual",
    IFERROR(HLOOKUP($D$5, Annual!$A$3:$AX$100, K$4, FALSE), ""),
    IFERROR(HLOOKUP($D$5, Quarterly!$A$3:$AX$100, K$4, FALSE), "")
  ),
"")</f>
        <v>43131</v>
      </c>
      <c r="L5" s="62">
        <f>IFERROR(
  IF($E$3="Annual",
    IFERROR(HLOOKUP($D$5, Annual!$A$3:$AX$100, L$4, FALSE), ""),
    IFERROR(HLOOKUP($D$5, Quarterly!$A$3:$AX$100, L$4, FALSE), "")
  ),
"")</f>
        <v>43496</v>
      </c>
      <c r="M5" s="62">
        <f>IFERROR(
  IF($E$3="Annual",
    IFERROR(HLOOKUP($D$5, Annual!$A$3:$AX$100, M$4, FALSE), ""),
    IFERROR(HLOOKUP($D$5, Quarterly!$A$3:$AX$100, M$4, FALSE), "")
  ),
"")</f>
        <v>43861</v>
      </c>
      <c r="N5" s="62">
        <f>IFERROR(
  IF($E$3="Annual",
    IFERROR(HLOOKUP($D$5, Annual!$A$3:$AX$100, N$4, FALSE), ""),
    IFERROR(HLOOKUP($D$5, Quarterly!$A$3:$AX$100, N$4, FALSE), "")
  ),
"")</f>
        <v>44227</v>
      </c>
      <c r="O5" s="62">
        <f>IFERROR(
  IF($E$3="Annual",
    IFERROR(HLOOKUP($D$5, Annual!$A$3:$AX$100, O$4, FALSE), ""),
    IFERROR(HLOOKUP($D$5, Quarterly!$A$3:$AX$100, O$4, FALSE), "")
  ),
"")</f>
        <v>44592</v>
      </c>
      <c r="P5" s="62">
        <f>IFERROR(
  IF($E$3="Annual",
    IFERROR(HLOOKUP($D$5, Annual!$A$3:$AX$100, P$4, FALSE), ""),
    IFERROR(HLOOKUP($D$5, Quarterly!$A$3:$AX$100, P$4, FALSE), "")
  ),
"")</f>
        <v>44957</v>
      </c>
      <c r="Q5" s="62">
        <f>IFERROR(
  IF($E$3="Annual",
    IFERROR(HLOOKUP($D$5, Annual!$A$3:$AX$100, Q$4, FALSE), ""),
    IFERROR(HLOOKUP($D$5, Quarterly!$A$3:$AX$100, Q$4, FALSE), "")
  ),
"")</f>
        <v>45322</v>
      </c>
      <c r="R5" s="62">
        <f>IFERROR(
  IF($E$3="Annual",
    IFERROR(HLOOKUP($D$5, Annual!$A$3:$AX$100, R$4, FALSE), ""),
    IFERROR(HLOOKUP($D$5, Quarterly!$A$3:$AX$100, R$4, FALSE), "")
  ),
"")</f>
        <v>45688</v>
      </c>
      <c r="T5" s="20" t="s">
        <v>267</v>
      </c>
      <c r="U5" s="20" t="s">
        <v>268</v>
      </c>
      <c r="X5" s="20" t="s">
        <v>583</v>
      </c>
      <c r="Y5" s="273">
        <f ca="1">Y6-(10*365)</f>
        <v>42216</v>
      </c>
    </row>
    <row r="6" spans="1:27" ht="15.75" customHeight="1">
      <c r="A6" s="230" t="s">
        <v>186</v>
      </c>
      <c r="B6" s="215" cm="1">
        <f t="array" aca="1" ref="B6" ca="1">_FV(E2,"Price")</f>
        <v>105.49</v>
      </c>
      <c r="D6" s="14" t="s">
        <v>84</v>
      </c>
      <c r="E6" s="53" t="s">
        <v>243</v>
      </c>
      <c r="F6" s="248">
        <f>IFERROR(
  IF($E$3="Annual",
    IFERROR(HLOOKUP($D$6, Annual!$A$46:$AX$100, F$4, FALSE), ""),
    IFERROR(HLOOKUP($D$6, Quarterly!$A$101:$AX$200, F$4, FALSE), "")
  ),
"")</f>
        <v>334469002</v>
      </c>
      <c r="G6" s="248">
        <f>IFERROR(
  IF($E$3="Annual",
    IFERROR(HLOOKUP($D$6, Annual!$A$46:$AX$100, G$4, FALSE), ""),
    IFERROR(HLOOKUP($D$6, Quarterly!$A$101:$AX$200, G$4, FALSE), "")
  ),
"")</f>
        <v>323854002</v>
      </c>
      <c r="H6" s="248">
        <f>IFERROR(
  IF($E$3="Annual",
    IFERROR(HLOOKUP($D$6, Annual!$A$46:$AX$100, H$4, FALSE), ""),
    IFERROR(HLOOKUP($D$6, Quarterly!$A$101:$AX$200, H$4, FALSE), "")
  ),
"")</f>
        <v>305681002</v>
      </c>
      <c r="I6" s="248">
        <f>IFERROR(
  IF($E$3="Annual",
    IFERROR(HLOOKUP($D$6, Annual!$A$46:$AX$100, I$4, FALSE), ""),
    IFERROR(HLOOKUP($D$6, Quarterly!$A$101:$AX$200, I$4, FALSE), "")
  ),
"")</f>
        <v>295211002</v>
      </c>
      <c r="J6" s="248">
        <f>IFERROR(
  IF($E$3="Annual",
    IFERROR(HLOOKUP($D$6, Annual!$A$46:$AX$100, J$4, FALSE), ""),
    IFERROR(HLOOKUP($D$6, Quarterly!$A$101:$AX$200, J$4, FALSE), "")
  ),
"")</f>
        <v>282261002</v>
      </c>
      <c r="K6" s="248">
        <f>IFERROR(
  IF($E$3="Annual",
    IFERROR(HLOOKUP($D$6, Annual!$A$46:$AX$100, K$4, FALSE), ""),
    IFERROR(HLOOKUP($D$6, Quarterly!$A$101:$AX$200, K$4, FALSE), "")
  ),
"")</f>
        <v>273362002</v>
      </c>
      <c r="L6" s="248">
        <f>IFERROR(
  IF($E$3="Annual",
    IFERROR(HLOOKUP($D$6, Annual!$A$46:$AX$100, L$4, FALSE), ""),
    IFERROR(HLOOKUP($D$6, Quarterly!$A$101:$AX$200, L$4, FALSE), "")
  ),
"")</f>
        <v>266105002</v>
      </c>
      <c r="M6" s="248">
        <f>IFERROR(
  IF($E$3="Annual",
    IFERROR(HLOOKUP($D$6, Annual!$A$46:$AX$100, M$4, FALSE), ""),
    IFERROR(HLOOKUP($D$6, Quarterly!$A$101:$AX$200, M$4, FALSE), "")
  ),
"")</f>
        <v>258053000</v>
      </c>
      <c r="N6" s="248">
        <f>IFERROR(
  IF($E$3="Annual",
    IFERROR(HLOOKUP($D$6, Annual!$A$46:$AX$100, N$4, FALSE), ""),
    IFERROR(HLOOKUP($D$6, Quarterly!$A$101:$AX$200, N$4, FALSE), "")
  ),
"")</f>
        <v>250076000</v>
      </c>
      <c r="O6" s="248">
        <f>IFERROR(
  IF($E$3="Annual",
    IFERROR(HLOOKUP($D$6, Annual!$A$46:$AX$100, O$4, FALSE), ""),
    IFERROR(HLOOKUP($D$6, Quarterly!$A$101:$AX$200, O$4, FALSE), "")
  ),
"")</f>
        <v>235812000</v>
      </c>
      <c r="P6" s="248">
        <f>IFERROR(
  IF($E$3="Annual",
    IFERROR(HLOOKUP($D$6, Annual!$A$46:$AX$100, P$4, FALSE), ""),
    IFERROR(HLOOKUP($D$6, Quarterly!$A$101:$AX$200, P$4, FALSE), "")
  ),
"")</f>
        <v>226297000</v>
      </c>
      <c r="Q6" s="248">
        <f>IFERROR(
  IF($E$3="Annual",
    IFERROR(HLOOKUP($D$6, Annual!$A$46:$AX$100, Q$4, FALSE), ""),
    IFERROR(HLOOKUP($D$6, Quarterly!$A$101:$AX$200, Q$4, FALSE), "")
  ),
"")</f>
        <v>219938000</v>
      </c>
      <c r="R6" s="248">
        <f>IFERROR(
  IF($E$3="Annual",
    IFERROR(HLOOKUP($D$6, Annual!$A$46:$AX$100, R$4, FALSE), ""),
    IFERROR(HLOOKUP($D$6, Quarterly!$A$101:$AX$200, R$4, FALSE), "")
  ),
"")</f>
        <v>220027000</v>
      </c>
      <c r="T6" s="27">
        <f>AVERAGE(I6:R6)</f>
        <v>252714200.80000001</v>
      </c>
      <c r="U6">
        <f>T6*0.1</f>
        <v>25271420.080000002</v>
      </c>
      <c r="X6" s="20" t="s">
        <v>584</v>
      </c>
      <c r="Y6" s="21">
        <f ca="1">TODAY()</f>
        <v>45866</v>
      </c>
    </row>
    <row r="7" spans="1:27" ht="15.75" customHeight="1">
      <c r="A7" s="230" t="s">
        <v>187</v>
      </c>
      <c r="B7" s="260" cm="1">
        <f t="array" aca="1" ref="B7" ca="1">_FV(E2,"Market cap",TRUE)</f>
        <v>23215247594</v>
      </c>
      <c r="D7" s="14"/>
      <c r="E7" s="54"/>
      <c r="F7" s="25" t="str">
        <f>IFERROR(
  IF($E$3="Annual",
    IFERROR(HLOOKUP(D7, Annual!$A$25:$AX$100, $F$4, FALSE), ""),
    IFERROR(HLOOKUP(D7, Quarterly!$A$2:$AX$100, $F$4, FALSE), "")
  ),
"")</f>
        <v/>
      </c>
      <c r="I7" s="248"/>
      <c r="J7" s="248"/>
      <c r="K7" s="248"/>
      <c r="L7" s="248"/>
      <c r="M7" s="248"/>
      <c r="N7" s="248"/>
      <c r="O7" s="248"/>
      <c r="P7" s="248"/>
      <c r="Q7" s="248"/>
      <c r="R7" s="249"/>
      <c r="T7" s="27"/>
    </row>
    <row r="8" spans="1:27" ht="15.75" customHeight="1">
      <c r="A8" s="230" t="s">
        <v>1</v>
      </c>
      <c r="B8" s="261">
        <f ca="1">B7+Annual!AB26-Annual!F26</f>
        <v>23215247594</v>
      </c>
      <c r="D8" s="16" t="s">
        <v>17</v>
      </c>
      <c r="E8" s="55" t="s">
        <v>244</v>
      </c>
      <c r="F8" s="250">
        <f>IFERROR(
  IF($E$3="Annual",
    IFERROR(HLOOKUP($D$8, Annual!$A$3:$AX$100, F$4, FALSE), ""),
    IFERROR(HLOOKUP($D$8, Quarterly!$A$3:$AX$100, F$4, FALSE), "")
  ),
"")</f>
        <v>16022128000</v>
      </c>
      <c r="G8" s="250">
        <f>IFERROR(
  IF($E$3="Annual",
    IFERROR(HLOOKUP($D$8, Annual!$A$3:$AX$100, G$4, FALSE), ""),
    IFERROR(HLOOKUP($D$8, Quarterly!$A$3:$AX$100, G$4, FALSE), "")
  ),
"")</f>
        <v>17504167000</v>
      </c>
      <c r="H8" s="250">
        <f>IFERROR(
  IF($E$3="Annual",
    IFERROR(HLOOKUP($D$8, Annual!$A$3:$AX$100, H$4, FALSE), ""),
    IFERROR(HLOOKUP($D$8, Quarterly!$A$3:$AX$100, H$4, FALSE), "")
  ),
"")</f>
        <v>18909588000</v>
      </c>
      <c r="I8" s="250">
        <f>IFERROR(
  IF($E$3="Annual",
    IFERROR(HLOOKUP($D$8, Annual!$A$3:$AX$100, I$4, FALSE), ""),
    IFERROR(HLOOKUP($D$8, Quarterly!$A$3:$AX$100, I$4, FALSE), "")
  ),
"")</f>
        <v>20368562000</v>
      </c>
      <c r="J8" s="250">
        <f>IFERROR(
  IF($E$3="Annual",
    IFERROR(HLOOKUP($D$8, Annual!$A$3:$AX$100, J$4, FALSE), ""),
    IFERROR(HLOOKUP($D$8, Quarterly!$A$3:$AX$100, J$4, FALSE), "")
  ),
"")</f>
        <v>21986598000</v>
      </c>
      <c r="K8" s="250">
        <f>IFERROR(
  IF($E$3="Annual",
    IFERROR(HLOOKUP($D$8, Annual!$A$3:$AX$100, K$4, FALSE), ""),
    IFERROR(HLOOKUP($D$8, Quarterly!$A$3:$AX$100, K$4, FALSE), "")
  ),
"")</f>
        <v>23470967000</v>
      </c>
      <c r="L8" s="250">
        <f>IFERROR(
  IF($E$3="Annual",
    IFERROR(HLOOKUP($D$8, Annual!$A$3:$AX$100, L$4, FALSE), ""),
    IFERROR(HLOOKUP($D$8, Quarterly!$A$3:$AX$100, L$4, FALSE), "")
  ),
"")</f>
        <v>25625043000</v>
      </c>
      <c r="M8" s="250">
        <f>IFERROR(
  IF($E$3="Annual",
    IFERROR(HLOOKUP($D$8, Annual!$A$3:$AX$100, M$4, FALSE), ""),
    IFERROR(HLOOKUP($D$8, Quarterly!$A$3:$AX$100, M$4, FALSE), "")
  ),
"")</f>
        <v>27753973000</v>
      </c>
      <c r="N8" s="250">
        <f>IFERROR(
  IF($E$3="Annual",
    IFERROR(HLOOKUP($D$8, Annual!$A$3:$AX$100, N$4, FALSE), ""),
    IFERROR(HLOOKUP($D$8, Quarterly!$A$3:$AX$100, N$4, FALSE), "")
  ),
"")</f>
        <v>33746839000</v>
      </c>
      <c r="O8" s="250">
        <f>IFERROR(
  IF($E$3="Annual",
    IFERROR(HLOOKUP($D$8, Annual!$A$3:$AX$100, O$4, FALSE), ""),
    IFERROR(HLOOKUP($D$8, Quarterly!$A$3:$AX$100, O$4, FALSE), "")
  ),
"")</f>
        <v>34220449000</v>
      </c>
      <c r="P8" s="250">
        <f>IFERROR(
  IF($E$3="Annual",
    IFERROR(HLOOKUP($D$8, Annual!$A$3:$AX$100, P$4, FALSE), ""),
    IFERROR(HLOOKUP($D$8, Quarterly!$A$3:$AX$100, P$4, FALSE), "")
  ),
"")</f>
        <v>37844863000</v>
      </c>
      <c r="Q8" s="250">
        <f>IFERROR(
  IF($E$3="Annual",
    IFERROR(HLOOKUP($D$8, Annual!$A$3:$AX$100, Q$4, FALSE), ""),
    IFERROR(HLOOKUP($D$8, Quarterly!$A$3:$AX$100, Q$4, FALSE), "")
  ),
"")</f>
        <v>38691609000</v>
      </c>
      <c r="R8" s="250">
        <f>IFERROR(
  IF($E$3="Annual",
    IFERROR(HLOOKUP($D$8, Annual!$A$3:$AX$100, R$4, FALSE), ""),
    IFERROR(HLOOKUP($D$8, Quarterly!$A$3:$AX$100, R$4, FALSE), "")
  ),
"")</f>
        <v>40612308000</v>
      </c>
      <c r="T8" s="27">
        <f t="shared" ref="T8:T68" si="0">AVERAGE(I8:R8)</f>
        <v>30432121100</v>
      </c>
      <c r="U8">
        <f t="shared" ref="U8:U68" si="1">T8*0.1</f>
        <v>3043212110</v>
      </c>
    </row>
    <row r="9" spans="1:27" ht="15.75" customHeight="1">
      <c r="A9" s="255" t="s">
        <v>534</v>
      </c>
      <c r="B9" s="262" cm="1">
        <f t="array" aca="1" ref="B9" ca="1">_FV(E2,"52 week low",TRUE)</f>
        <v>66.430000000000007</v>
      </c>
      <c r="D9" s="16" t="s">
        <v>18</v>
      </c>
      <c r="E9" s="56" t="s">
        <v>245</v>
      </c>
      <c r="F9" s="248">
        <f>IFERROR(
  IF($E$3="Annual",
    IFERROR(HLOOKUP($D$9, Annual!$A$3:$AX$100, F$4, FALSE), ""),
    IFERROR(HLOOKUP($D$9, Quarterly!$A$3:$AX$100, F$4, FALSE), "")
  ),
"")</f>
        <v>10936727000</v>
      </c>
      <c r="G9" s="248">
        <f>IFERROR(
  IF($E$3="Annual",
    IFERROR(HLOOKUP($D$9, Annual!$A$3:$AX$100, G$4, FALSE), ""),
    IFERROR(HLOOKUP($D$9, Quarterly!$A$3:$AX$100, G$4, FALSE), "")
  ),
"")</f>
        <v>12068425000</v>
      </c>
      <c r="H9" s="248">
        <f>IFERROR(
  IF($E$3="Annual",
    IFERROR(HLOOKUP($D$9, Annual!$A$3:$AX$100, H$4, FALSE), ""),
    IFERROR(HLOOKUP($D$9, Quarterly!$A$3:$AX$100, H$4, FALSE), "")
  ),
"")</f>
        <v>13107081000</v>
      </c>
      <c r="I9" s="248">
        <f>IFERROR(
  IF($E$3="Annual",
    IFERROR(HLOOKUP($D$9, Annual!$A$3:$AX$100, I$4, FALSE), ""),
    IFERROR(HLOOKUP($D$9, Quarterly!$A$3:$AX$100, I$4, FALSE), "")
  ),
"")</f>
        <v>14062471000</v>
      </c>
      <c r="J9" s="248">
        <f>IFERROR(
  IF($E$3="Annual",
    IFERROR(HLOOKUP($D$9, Annual!$A$3:$AX$100, J$4, FALSE), ""),
    IFERROR(HLOOKUP($D$9, Quarterly!$A$3:$AX$100, J$4, FALSE), "")
  ),
"")</f>
        <v>15203960000</v>
      </c>
      <c r="K9" s="248">
        <f>IFERROR(
  IF($E$3="Annual",
    IFERROR(HLOOKUP($D$9, Annual!$A$3:$AX$100, K$4, FALSE), ""),
    IFERROR(HLOOKUP($D$9, Quarterly!$A$3:$AX$100, K$4, FALSE), "")
  ),
"")</f>
        <v>16249608000</v>
      </c>
      <c r="L9" s="248">
        <f>IFERROR(
  IF($E$3="Annual",
    IFERROR(HLOOKUP($D$9, Annual!$A$3:$AX$100, L$4, FALSE), ""),
    IFERROR(HLOOKUP($D$9, Quarterly!$A$3:$AX$100, L$4, FALSE), "")
  ),
"")</f>
        <v>17821173000</v>
      </c>
      <c r="M9" s="248">
        <f>IFERROR(
  IF($E$3="Annual",
    IFERROR(HLOOKUP($D$9, Annual!$A$3:$AX$100, M$4, FALSE), ""),
    IFERROR(HLOOKUP($D$9, Quarterly!$A$3:$AX$100, M$4, FALSE), "")
  ),
"")</f>
        <v>19264912000</v>
      </c>
      <c r="N9" s="248">
        <f>IFERROR(
  IF($E$3="Annual",
    IFERROR(HLOOKUP($D$9, Annual!$A$3:$AX$100, N$4, FALSE), ""),
    IFERROR(HLOOKUP($D$9, Quarterly!$A$3:$AX$100, N$4, FALSE), "")
  ),
"")</f>
        <v>23027977000</v>
      </c>
      <c r="O9" s="248">
        <f>IFERROR(
  IF($E$3="Annual",
    IFERROR(HLOOKUP($D$9, Annual!$A$3:$AX$100, O$4, FALSE), ""),
    IFERROR(HLOOKUP($D$9, Quarterly!$A$3:$AX$100, O$4, FALSE), "")
  ),
"")</f>
        <v>23407443000</v>
      </c>
      <c r="P9" s="248">
        <f>IFERROR(
  IF($E$3="Annual",
    IFERROR(HLOOKUP($D$9, Annual!$A$3:$AX$100, P$4, FALSE), ""),
    IFERROR(HLOOKUP($D$9, Quarterly!$A$3:$AX$100, P$4, FALSE), "")
  ),
"")</f>
        <v>26024765000</v>
      </c>
      <c r="Q9" s="248">
        <f>IFERROR(
  IF($E$3="Annual",
    IFERROR(HLOOKUP($D$9, Annual!$A$3:$AX$100, Q$4, FALSE), ""),
    IFERROR(HLOOKUP($D$9, Quarterly!$A$3:$AX$100, Q$4, FALSE), "")
  ),
"")</f>
        <v>26972585000</v>
      </c>
      <c r="R9" s="248">
        <f>IFERROR(
  IF($E$3="Annual",
    IFERROR(HLOOKUP($D$9, Annual!$A$3:$AX$100, R$4, FALSE), ""),
    IFERROR(HLOOKUP($D$9, Quarterly!$A$3:$AX$100, R$4, FALSE), "")
  ),
"")</f>
        <v>28594811000</v>
      </c>
      <c r="T9" s="27">
        <f t="shared" si="0"/>
        <v>21062970500</v>
      </c>
      <c r="U9">
        <f t="shared" si="1"/>
        <v>2106297050</v>
      </c>
    </row>
    <row r="10" spans="1:27" ht="15.75" customHeight="1">
      <c r="A10" s="256" t="s">
        <v>535</v>
      </c>
      <c r="B10" s="262" cm="1">
        <f t="array" aca="1" ref="B10" ca="1">_FV(E2,"52 week high",TRUE)</f>
        <v>126.98</v>
      </c>
      <c r="D10" s="16" t="s">
        <v>20</v>
      </c>
      <c r="E10" s="55" t="s">
        <v>246</v>
      </c>
      <c r="F10" s="250">
        <f>IFERROR(
  IF($E$3="Annual",
    IFERROR(HLOOKUP($D$10, Annual!$A$3:$AX$100, F$4, FALSE), ""),
    IFERROR(HLOOKUP($D$10, Quarterly!$A$3:$AX$100, F$4, FALSE), "")
  ),
"")</f>
        <v>1655276000</v>
      </c>
      <c r="G10" s="250">
        <f>IFERROR(
  IF($E$3="Annual",
    IFERROR(HLOOKUP($D$10, Annual!$A$3:$AX$100, G$4, FALSE), ""),
    IFERROR(HLOOKUP($D$10, Quarterly!$A$3:$AX$100, G$4, FALSE), "")
  ),
"")</f>
        <v>1736185000</v>
      </c>
      <c r="H10" s="250">
        <f>IFERROR(
  IF($E$3="Annual",
    IFERROR(HLOOKUP($D$10, Annual!$A$3:$AX$100, H$4, FALSE), ""),
    IFERROR(HLOOKUP($D$10, Quarterly!$A$3:$AX$100, H$4, FALSE), "")
  ),
"")</f>
        <v>1769093000</v>
      </c>
      <c r="I10" s="250">
        <f>IFERROR(
  IF($E$3="Annual",
    IFERROR(HLOOKUP($D$10, Annual!$A$3:$AX$100, I$4, FALSE), ""),
    IFERROR(HLOOKUP($D$10, Quarterly!$A$3:$AX$100, I$4, FALSE), "")
  ),
"")</f>
        <v>1940294000</v>
      </c>
      <c r="J10" s="250">
        <f>IFERROR(
  IF($E$3="Annual",
    IFERROR(HLOOKUP($D$10, Annual!$A$3:$AX$100, J$4, FALSE), ""),
    IFERROR(HLOOKUP($D$10, Quarterly!$A$3:$AX$100, J$4, FALSE), "")
  ),
"")</f>
        <v>2063449000</v>
      </c>
      <c r="K10" s="250">
        <f>IFERROR(
  IF($E$3="Annual",
    IFERROR(HLOOKUP($D$10, Annual!$A$3:$AX$100, K$4, FALSE), ""),
    IFERROR(HLOOKUP($D$10, Quarterly!$A$3:$AX$100, K$4, FALSE), "")
  ),
"")</f>
        <v>2007818000</v>
      </c>
      <c r="L10" s="250">
        <f>IFERROR(
  IF($E$3="Annual",
    IFERROR(HLOOKUP($D$10, Annual!$A$3:$AX$100, L$4, FALSE), ""),
    IFERROR(HLOOKUP($D$10, Quarterly!$A$3:$AX$100, L$4, FALSE), "")
  ),
"")</f>
        <v>2116306000</v>
      </c>
      <c r="M10" s="250">
        <f>IFERROR(
  IF($E$3="Annual",
    IFERROR(HLOOKUP($D$10, Annual!$A$3:$AX$100, M$4, FALSE), ""),
    IFERROR(HLOOKUP($D$10, Quarterly!$A$3:$AX$100, M$4, FALSE), "")
  ),
"")</f>
        <v>2302304000</v>
      </c>
      <c r="N10" s="250">
        <f>IFERROR(
  IF($E$3="Annual",
    IFERROR(HLOOKUP($D$10, Annual!$A$3:$AX$100, N$4, FALSE), ""),
    IFERROR(HLOOKUP($D$10, Quarterly!$A$3:$AX$100, N$4, FALSE), "")
  ),
"")</f>
        <v>3554765000</v>
      </c>
      <c r="O10" s="250">
        <f>IFERROR(
  IF($E$3="Annual",
    IFERROR(HLOOKUP($D$10, Annual!$A$3:$AX$100, O$4, FALSE), ""),
    IFERROR(HLOOKUP($D$10, Quarterly!$A$3:$AX$100, O$4, FALSE), "")
  ),
"")</f>
        <v>3220675000</v>
      </c>
      <c r="P10" s="250">
        <f>IFERROR(
  IF($E$3="Annual",
    IFERROR(HLOOKUP($D$10, Annual!$A$3:$AX$100, P$4, FALSE), ""),
    IFERROR(HLOOKUP($D$10, Quarterly!$A$3:$AX$100, P$4, FALSE), "")
  ),
"")</f>
        <v>3328302000</v>
      </c>
      <c r="Q10" s="250">
        <f>IFERROR(
  IF($E$3="Annual",
    IFERROR(HLOOKUP($D$10, Annual!$A$3:$AX$100, Q$4, FALSE), ""),
    IFERROR(HLOOKUP($D$10, Quarterly!$A$3:$AX$100, Q$4, FALSE), "")
  ),
"")</f>
        <v>2446300000</v>
      </c>
      <c r="R10" s="250">
        <f>IFERROR(
  IF($E$3="Annual",
    IFERROR(HLOOKUP($D$10, Annual!$A$3:$AX$100, R$4, FALSE), ""),
    IFERROR(HLOOKUP($D$10, Quarterly!$A$3:$AX$100, R$4, FALSE), "")
  ),
"")</f>
        <v>1714074000</v>
      </c>
      <c r="T10" s="27">
        <f t="shared" si="0"/>
        <v>2469428700</v>
      </c>
      <c r="U10">
        <f t="shared" si="1"/>
        <v>246942870</v>
      </c>
    </row>
    <row r="11" spans="1:27" ht="15.75" customHeight="1">
      <c r="A11" s="257"/>
      <c r="D11" t="s">
        <v>21</v>
      </c>
      <c r="E11" s="56" t="s">
        <v>188</v>
      </c>
      <c r="F11" s="248">
        <f>IFERROR(
  IF($E$3="Annual",
    IFERROR(HLOOKUP($D$11, Annual!$A$3:$AX$100, F$4, FALSE), ""),
    IFERROR(HLOOKUP($D$11, Quarterly!$A$3:$AX$100, F$4, FALSE), "")
  ),
"")</f>
        <v>3368425000</v>
      </c>
      <c r="G11" s="248">
        <f>IFERROR(
  IF($E$3="Annual",
    IFERROR(HLOOKUP($D$11, Annual!$A$3:$AX$100, G$4, FALSE), ""),
    IFERROR(HLOOKUP($D$11, Quarterly!$A$3:$AX$100, G$4, FALSE), "")
  ),
"")</f>
        <v>3617545000</v>
      </c>
      <c r="H11" s="248">
        <f>IFERROR(
  IF($E$3="Annual",
    IFERROR(HLOOKUP($D$11, Annual!$A$3:$AX$100, H$4, FALSE), ""),
    IFERROR(HLOOKUP($D$11, Quarterly!$A$3:$AX$100, H$4, FALSE), "")
  ),
"")</f>
        <v>3956114000</v>
      </c>
      <c r="I11" s="248">
        <f>IFERROR(
  IF($E$3="Annual",
    IFERROR(HLOOKUP($D$11, Annual!$A$3:$AX$100, I$4, FALSE), ""),
    IFERROR(HLOOKUP($D$11, Quarterly!$A$3:$AX$100, I$4, FALSE), "")
  ),
"")</f>
        <v>4276497000</v>
      </c>
      <c r="J11" s="248">
        <f>IFERROR(
  IF($E$3="Annual",
    IFERROR(HLOOKUP($D$11, Annual!$A$3:$AX$100, J$4, FALSE), ""),
    IFERROR(HLOOKUP($D$11, Quarterly!$A$3:$AX$100, J$4, FALSE), "")
  ),
"")</f>
        <v>4636489000</v>
      </c>
      <c r="K11" s="248">
        <f>IFERROR(
  IF($E$3="Annual",
    IFERROR(HLOOKUP($D$11, Annual!$A$3:$AX$100, K$4, FALSE), ""),
    IFERROR(HLOOKUP($D$11, Quarterly!$A$3:$AX$100, K$4, FALSE), "")
  ),
"")</f>
        <v>5144741000</v>
      </c>
      <c r="L11" s="248">
        <f>IFERROR(
  IF($E$3="Annual",
    IFERROR(HLOOKUP($D$11, Annual!$A$3:$AX$100, L$4, FALSE), ""),
    IFERROR(HLOOKUP($D$11, Quarterly!$A$3:$AX$100, L$4, FALSE), "")
  ),
"")</f>
        <v>5617064000</v>
      </c>
      <c r="M11" s="248">
        <f>IFERROR(
  IF($E$3="Annual",
    IFERROR(HLOOKUP($D$11, Annual!$A$3:$AX$100, M$4, FALSE), ""),
    IFERROR(HLOOKUP($D$11, Quarterly!$A$3:$AX$100, M$4, FALSE), "")
  ),
"")</f>
        <v>6095757000</v>
      </c>
      <c r="N11" s="248">
        <f>IFERROR(
  IF($E$3="Annual",
    IFERROR(HLOOKUP($D$11, Annual!$A$3:$AX$100, N$4, FALSE), ""),
    IFERROR(HLOOKUP($D$11, Quarterly!$A$3:$AX$100, N$4, FALSE), "")
  ),
"")</f>
        <v>7056697000</v>
      </c>
      <c r="O11" s="248">
        <f>IFERROR(
  IF($E$3="Annual",
    IFERROR(HLOOKUP($D$11, Annual!$A$3:$AX$100, O$4, FALSE), ""),
    IFERROR(HLOOKUP($D$11, Quarterly!$A$3:$AX$100, O$4, FALSE), "")
  ),
"")</f>
        <v>7475131000</v>
      </c>
      <c r="P11" s="248">
        <f>IFERROR(
  IF($E$3="Annual",
    IFERROR(HLOOKUP($D$11, Annual!$A$3:$AX$100, P$4, FALSE), ""),
    IFERROR(HLOOKUP($D$11, Quarterly!$A$3:$AX$100, P$4, FALSE), "")
  ),
"")</f>
        <v>8365796000</v>
      </c>
      <c r="Q11" s="248">
        <f>IFERROR(
  IF($E$3="Annual",
    IFERROR(HLOOKUP($D$11, Annual!$A$3:$AX$100, Q$4, FALSE), ""),
    IFERROR(HLOOKUP($D$11, Quarterly!$A$3:$AX$100, Q$4, FALSE), "")
  ),
"")</f>
        <v>9135424000</v>
      </c>
      <c r="R11" s="248">
        <f>IFERROR(
  IF($E$3="Annual",
    IFERROR(HLOOKUP($D$11, Annual!$A$3:$AX$100, R$4, FALSE), ""),
    IFERROR(HLOOKUP($D$11, Quarterly!$A$3:$AX$100, R$4, FALSE), "")
  ),
"")</f>
        <v>10303423000</v>
      </c>
      <c r="T11" s="27">
        <f t="shared" si="0"/>
        <v>6810701900</v>
      </c>
      <c r="U11">
        <f t="shared" si="1"/>
        <v>681070190</v>
      </c>
    </row>
    <row r="12" spans="1:27" ht="15.75" customHeight="1">
      <c r="A12" s="257"/>
      <c r="D12" s="16" t="s">
        <v>22</v>
      </c>
      <c r="E12" s="55" t="s">
        <v>189</v>
      </c>
      <c r="F12" s="250">
        <f>IFERROR(
  IF($E$3="Annual",
    IFERROR(HLOOKUP($D$12, Annual!$A$3:$AX$100, F$4, FALSE), ""),
    IFERROR(HLOOKUP($D$12, Quarterly!$A$3:$AX$100, F$4, FALSE), "")
  ),
"")</f>
        <v>0</v>
      </c>
      <c r="G12" s="250">
        <f>IFERROR(
  IF($E$3="Annual",
    IFERROR(HLOOKUP($D$12, Annual!$A$3:$AX$100, G$4, FALSE), ""),
    IFERROR(HLOOKUP($D$12, Quarterly!$A$3:$AX$100, G$4, FALSE), "")
  ),
"")</f>
        <v>0</v>
      </c>
      <c r="H12" s="250">
        <f>IFERROR(
  IF($E$3="Annual",
    IFERROR(HLOOKUP($D$12, Annual!$A$3:$AX$100, H$4, FALSE), ""),
    IFERROR(HLOOKUP($D$12, Quarterly!$A$3:$AX$100, H$4, FALSE), "")
  ),
"")</f>
        <v>0</v>
      </c>
      <c r="I12" s="250">
        <f>IFERROR(
  IF($E$3="Annual",
    IFERROR(HLOOKUP($D$12, Annual!$A$3:$AX$100, I$4, FALSE), ""),
    IFERROR(HLOOKUP($D$12, Quarterly!$A$3:$AX$100, I$4, FALSE), "")
  ),
"")</f>
        <v>0</v>
      </c>
      <c r="J12" s="250">
        <f>IFERROR(
  IF($E$3="Annual",
    IFERROR(HLOOKUP($D$12, Annual!$A$3:$AX$100, J$4, FALSE), ""),
    IFERROR(HLOOKUP($D$12, Quarterly!$A$3:$AX$100, J$4, FALSE), "")
  ),
"")</f>
        <v>0</v>
      </c>
      <c r="K12" s="250">
        <f>IFERROR(
  IF($E$3="Annual",
    IFERROR(HLOOKUP($D$12, Annual!$A$3:$AX$100, K$4, FALSE), ""),
    IFERROR(HLOOKUP($D$12, Quarterly!$A$3:$AX$100, K$4, FALSE), "")
  ),
"")</f>
        <v>0</v>
      </c>
      <c r="L12" s="250">
        <f>IFERROR(
  IF($E$3="Annual",
    IFERROR(HLOOKUP($D$12, Annual!$A$3:$AX$100, L$4, FALSE), ""),
    IFERROR(HLOOKUP($D$12, Quarterly!$A$3:$AX$100, L$4, FALSE), "")
  ),
"")</f>
        <v>0</v>
      </c>
      <c r="M12" s="250">
        <f>IFERROR(
  IF($E$3="Annual",
    IFERROR(HLOOKUP($D$12, Annual!$A$3:$AX$100, M$4, FALSE), ""),
    IFERROR(HLOOKUP($D$12, Quarterly!$A$3:$AX$100, M$4, FALSE), "")
  ),
"")</f>
        <v>0</v>
      </c>
      <c r="N12" s="250">
        <f>IFERROR(
  IF($E$3="Annual",
    IFERROR(HLOOKUP($D$12, Annual!$A$3:$AX$100, N$4, FALSE), ""),
    IFERROR(HLOOKUP($D$12, Quarterly!$A$3:$AX$100, N$4, FALSE), "")
  ),
"")</f>
        <v>0</v>
      </c>
      <c r="O12" s="250">
        <f>IFERROR(
  IF($E$3="Annual",
    IFERROR(HLOOKUP($D$12, Annual!$A$3:$AX$100, O$4, FALSE), ""),
    IFERROR(HLOOKUP($D$12, Quarterly!$A$3:$AX$100, O$4, FALSE), "")
  ),
"")</f>
        <v>0</v>
      </c>
      <c r="P12" s="250">
        <f>IFERROR(
  IF($E$3="Annual",
    IFERROR(HLOOKUP($D$12, Annual!$A$3:$AX$100, P$4, FALSE), ""),
    IFERROR(HLOOKUP($D$12, Quarterly!$A$3:$AX$100, P$4, FALSE), "")
  ),
"")</f>
        <v>0</v>
      </c>
      <c r="Q12" s="250">
        <f>IFERROR(
  IF($E$3="Annual",
    IFERROR(HLOOKUP($D$12, Annual!$A$3:$AX$100, Q$4, FALSE), ""),
    IFERROR(HLOOKUP($D$12, Quarterly!$A$3:$AX$100, Q$4, FALSE), "")
  ),
"")</f>
        <v>0</v>
      </c>
      <c r="R12" s="250">
        <f>IFERROR(
  IF($E$3="Annual",
    IFERROR(HLOOKUP($D$12, Annual!$A$3:$AX$100, R$4, FALSE), ""),
    IFERROR(HLOOKUP($D$12, Quarterly!$A$3:$AX$100, R$4, FALSE), "")
  ),
"")</f>
        <v>0</v>
      </c>
      <c r="T12" s="27">
        <f t="shared" si="0"/>
        <v>0</v>
      </c>
      <c r="U12">
        <f t="shared" si="1"/>
        <v>0</v>
      </c>
    </row>
    <row r="13" spans="1:27" ht="15.75" customHeight="1">
      <c r="A13" s="230" t="s">
        <v>3</v>
      </c>
      <c r="B13" s="64" cm="1">
        <f t="array" aca="1" ref="B13" ca="1">_FV(E2,"Beta")</f>
        <v>0.30990000000000001</v>
      </c>
      <c r="D13" s="16" t="s">
        <v>38</v>
      </c>
      <c r="E13" s="56" t="s">
        <v>247</v>
      </c>
      <c r="F13" s="248">
        <f>IFERROR(
  IF($E$3="Annual",
    IFERROR(HLOOKUP($D$13, Annual!$A$3:$AX$100, F$4, FALSE), ""),
    IFERROR(HLOOKUP($D$13, Quarterly!$A$3:$AX$100, F$4, FALSE), "")
  ),
"")</f>
        <v>1914904000</v>
      </c>
      <c r="G13" s="248">
        <f>IFERROR(
  IF($E$3="Annual",
    IFERROR(HLOOKUP($D$13, Annual!$A$3:$AX$100, G$4, FALSE), ""),
    IFERROR(HLOOKUP($D$13, Quarterly!$A$3:$AX$100, G$4, FALSE), "")
  ),
"")</f>
        <v>2078022000</v>
      </c>
      <c r="H13" s="248">
        <f>IFERROR(
  IF($E$3="Annual",
    IFERROR(HLOOKUP($D$13, Annual!$A$3:$AX$100, H$4, FALSE), ""),
    IFERROR(HLOOKUP($D$13, Quarterly!$A$3:$AX$100, H$4, FALSE), "")
  ),
"")</f>
        <v>2111446000</v>
      </c>
      <c r="I13" s="248">
        <f>IFERROR(
  IF($E$3="Annual",
    IFERROR(HLOOKUP($D$13, Annual!$A$3:$AX$100, I$4, FALSE), ""),
    IFERROR(HLOOKUP($D$13, Quarterly!$A$3:$AX$100, I$4, FALSE), "")
  ),
"")</f>
        <v>2298625000</v>
      </c>
      <c r="J13" s="248">
        <f>IFERROR(
  IF($E$3="Annual",
    IFERROR(HLOOKUP($D$13, Annual!$A$3:$AX$100, J$4, FALSE), ""),
    IFERROR(HLOOKUP($D$13, Quarterly!$A$3:$AX$100, J$4, FALSE), "")
  ),
"")</f>
        <v>2443380000</v>
      </c>
      <c r="K13" s="248">
        <f>IFERROR(
  IF($E$3="Annual",
    IFERROR(HLOOKUP($D$13, Annual!$A$3:$AX$100, K$4, FALSE), ""),
    IFERROR(HLOOKUP($D$13, Quarterly!$A$3:$AX$100, K$4, FALSE), "")
  ),
"")</f>
        <v>2408547000</v>
      </c>
      <c r="L13" s="248">
        <f>IFERROR(
  IF($E$3="Annual",
    IFERROR(HLOOKUP($D$13, Annual!$A$3:$AX$100, L$4, FALSE), ""),
    IFERROR(HLOOKUP($D$13, Quarterly!$A$3:$AX$100, L$4, FALSE), "")
  ),
"")</f>
        <v>2569421000</v>
      </c>
      <c r="M13" s="248">
        <f>IFERROR(
  IF($E$3="Annual",
    IFERROR(HLOOKUP($D$13, Annual!$A$3:$AX$100, M$4, FALSE), ""),
    IFERROR(HLOOKUP($D$13, Quarterly!$A$3:$AX$100, M$4, FALSE), "")
  ),
"")</f>
        <v>2807108000</v>
      </c>
      <c r="N13" s="248">
        <f>IFERROR(
  IF($E$3="Annual",
    IFERROR(HLOOKUP($D$13, Annual!$A$3:$AX$100, N$4, FALSE), ""),
    IFERROR(HLOOKUP($D$13, Quarterly!$A$3:$AX$100, N$4, FALSE), "")
  ),
"")</f>
        <v>4129002000</v>
      </c>
      <c r="O13" s="248">
        <f>IFERROR(
  IF($E$3="Annual",
    IFERROR(HLOOKUP($D$13, Annual!$A$3:$AX$100, O$4, FALSE), ""),
    IFERROR(HLOOKUP($D$13, Quarterly!$A$3:$AX$100, O$4, FALSE), "")
  ),
"")</f>
        <v>3861991000</v>
      </c>
      <c r="P13" s="248">
        <f>IFERROR(
  IF($E$3="Annual",
    IFERROR(HLOOKUP($D$13, Annual!$A$3:$AX$100, P$4, FALSE), ""),
    IFERROR(HLOOKUP($D$13, Quarterly!$A$3:$AX$100, P$4, FALSE), "")
  ),
"")</f>
        <v>4052764000</v>
      </c>
      <c r="Q13" s="248">
        <f>IFERROR(
  IF($E$3="Annual",
    IFERROR(HLOOKUP($D$13, Annual!$A$3:$AX$100, Q$4, FALSE), ""),
    IFERROR(HLOOKUP($D$13, Quarterly!$A$3:$AX$100, Q$4, FALSE), "")
  ),
"")</f>
        <v>3295093000</v>
      </c>
      <c r="R13" s="248">
        <f>IFERROR(
  IF($E$3="Annual",
    IFERROR(HLOOKUP($D$13, Annual!$A$3:$AX$100, R$4, FALSE), ""),
    IFERROR(HLOOKUP($D$13, Quarterly!$A$3:$AX$100, R$4, FALSE), "")
  ),
"")</f>
        <v>2685777000</v>
      </c>
      <c r="T13" s="27">
        <f t="shared" si="0"/>
        <v>3055170800</v>
      </c>
      <c r="U13">
        <f t="shared" si="1"/>
        <v>305517080</v>
      </c>
    </row>
    <row r="14" spans="1:27" ht="15.75" customHeight="1">
      <c r="A14" s="230" t="s">
        <v>190</v>
      </c>
      <c r="B14" s="64" cm="1">
        <f t="array" aca="1" ref="B14" ca="1">_FV(E2,"P/E",TRUE)</f>
        <v>20.119</v>
      </c>
      <c r="D14" s="16" t="s">
        <v>31</v>
      </c>
      <c r="E14" s="55" t="s">
        <v>248</v>
      </c>
      <c r="F14" s="248">
        <f>IFERROR(
  IF($E$3="Annual",
    IFERROR(HLOOKUP($D$14, Annual!$A$3:$AX$100, F$4, FALSE), ""),
    IFERROR(HLOOKUP($D$14, Quarterly!$A$3:$AX$100, F$4, FALSE), "")
  ),
"")</f>
        <v>302911000</v>
      </c>
      <c r="G14" s="248">
        <f>IFERROR(
  IF($E$3="Annual",
    IFERROR(HLOOKUP($D$14, Annual!$A$3:$AX$100, G$4, FALSE), ""),
    IFERROR(HLOOKUP($D$14, Quarterly!$A$3:$AX$100, G$4, FALSE), "")
  ),
"")</f>
        <v>332837000</v>
      </c>
      <c r="H14" s="248">
        <f>IFERROR(
  IF($E$3="Annual",
    IFERROR(HLOOKUP($D$14, Annual!$A$3:$AX$100, H$4, FALSE), ""),
    IFERROR(HLOOKUP($D$14, Quarterly!$A$3:$AX$100, H$4, FALSE), "")
  ),
"")</f>
        <v>342353000</v>
      </c>
      <c r="I14" s="248">
        <f>IFERROR(
  IF($E$3="Annual",
    IFERROR(HLOOKUP($D$14, Annual!$A$3:$AX$100, I$4, FALSE), ""),
    IFERROR(HLOOKUP($D$14, Quarterly!$A$3:$AX$100, I$4, FALSE), "")
  ),
"")</f>
        <v>352431000</v>
      </c>
      <c r="J14" s="248">
        <f>IFERROR(
  IF($E$3="Annual",
    IFERROR(HLOOKUP($D$14, Annual!$A$3:$AX$100, J$4, FALSE), ""),
    IFERROR(HLOOKUP($D$14, Quarterly!$A$3:$AX$100, J$4, FALSE), "")
  ),
"")</f>
        <v>379931000</v>
      </c>
      <c r="K14" s="248">
        <f>IFERROR(
  IF($E$3="Annual",
    IFERROR(HLOOKUP($D$14, Annual!$A$3:$AX$100, K$4, FALSE), ""),
    IFERROR(HLOOKUP($D$14, Quarterly!$A$3:$AX$100, K$4, FALSE), "")
  ),
"")</f>
        <v>404231000</v>
      </c>
      <c r="L14" s="248">
        <f>IFERROR(
  IF($E$3="Annual",
    IFERROR(HLOOKUP($D$14, Annual!$A$3:$AX$100, L$4, FALSE), ""),
    IFERROR(HLOOKUP($D$14, Quarterly!$A$3:$AX$100, L$4, FALSE), "")
  ),
"")</f>
        <v>454134000</v>
      </c>
      <c r="M14" s="248">
        <f>IFERROR(
  IF($E$3="Annual",
    IFERROR(HLOOKUP($D$14, Annual!$A$3:$AX$100, M$4, FALSE), ""),
    IFERROR(HLOOKUP($D$14, Quarterly!$A$3:$AX$100, M$4, FALSE), "")
  ),
"")</f>
        <v>504804000</v>
      </c>
      <c r="N14" s="248">
        <f>IFERROR(
  IF($E$3="Annual",
    IFERROR(HLOOKUP($D$14, Annual!$A$3:$AX$100, N$4, FALSE), ""),
    IFERROR(HLOOKUP($D$14, Quarterly!$A$3:$AX$100, N$4, FALSE), "")
  ),
"")</f>
        <v>574237000</v>
      </c>
      <c r="O14" s="248">
        <f>IFERROR(
  IF($E$3="Annual",
    IFERROR(HLOOKUP($D$14, Annual!$A$3:$AX$100, O$4, FALSE), ""),
    IFERROR(HLOOKUP($D$14, Quarterly!$A$3:$AX$100, O$4, FALSE), "")
  ),
"")</f>
        <v>641316000</v>
      </c>
      <c r="P14" s="248">
        <f>IFERROR(
  IF($E$3="Annual",
    IFERROR(HLOOKUP($D$14, Annual!$A$3:$AX$100, P$4, FALSE), ""),
    IFERROR(HLOOKUP($D$14, Quarterly!$A$3:$AX$100, P$4, FALSE), "")
  ),
"")</f>
        <v>724877000</v>
      </c>
      <c r="Q14" s="248">
        <f>IFERROR(
  IF($E$3="Annual",
    IFERROR(HLOOKUP($D$14, Annual!$A$3:$AX$100, Q$4, FALSE), ""),
    IFERROR(HLOOKUP($D$14, Quarterly!$A$3:$AX$100, Q$4, FALSE), "")
  ),
"")</f>
        <v>848793000</v>
      </c>
      <c r="R14" s="248">
        <f>IFERROR(
  IF($E$3="Annual",
    IFERROR(HLOOKUP($D$14, Annual!$A$3:$AX$100, R$4, FALSE), ""),
    IFERROR(HLOOKUP($D$14, Quarterly!$A$3:$AX$100, R$4, FALSE), "")
  ),
"")</f>
        <v>971703000</v>
      </c>
      <c r="T14" s="27">
        <f t="shared" si="0"/>
        <v>585645700</v>
      </c>
      <c r="U14">
        <f t="shared" si="1"/>
        <v>58564570</v>
      </c>
    </row>
    <row r="15" spans="1:27" ht="15.75" customHeight="1">
      <c r="A15" s="230" t="s">
        <v>191</v>
      </c>
      <c r="D15" s="16" t="s">
        <v>27</v>
      </c>
      <c r="E15" s="56" t="s">
        <v>249</v>
      </c>
      <c r="F15" s="248">
        <f>IFERROR(
  IF($E$3="Annual",
    IFERROR(HLOOKUP($D$15, Annual!$A$3:$AX$100, F$4, FALSE), ""),
    IFERROR(HLOOKUP($D$15, Quarterly!$A$3:$AX$100, F$4, FALSE), "")
  ),
"")</f>
        <v>127926000</v>
      </c>
      <c r="G15" s="248">
        <f>IFERROR(
  IF($E$3="Annual",
    IFERROR(HLOOKUP($D$15, Annual!$A$3:$AX$100, G$4, FALSE), ""),
    IFERROR(HLOOKUP($D$15, Quarterly!$A$3:$AX$100, G$4, FALSE), "")
  ),
"")</f>
        <v>88984000</v>
      </c>
      <c r="H15" s="248">
        <f>IFERROR(
  IF($E$3="Annual",
    IFERROR(HLOOKUP($D$15, Annual!$A$3:$AX$100, H$4, FALSE), ""),
    IFERROR(HLOOKUP($D$15, Quarterly!$A$3:$AX$100, H$4, FALSE), "")
  ),
"")</f>
        <v>88232000</v>
      </c>
      <c r="I15" s="248">
        <f>IFERROR(
  IF($E$3="Annual",
    IFERROR(HLOOKUP($D$15, Annual!$A$3:$AX$100, I$4, FALSE), ""),
    IFERROR(HLOOKUP($D$15, Quarterly!$A$3:$AX$100, I$4, FALSE), "")
  ),
"")</f>
        <v>86944000</v>
      </c>
      <c r="J15" s="248">
        <f>IFERROR(
  IF($E$3="Annual",
    IFERROR(HLOOKUP($D$15, Annual!$A$3:$AX$100, J$4, FALSE), ""),
    IFERROR(HLOOKUP($D$15, Quarterly!$A$3:$AX$100, J$4, FALSE), "")
  ),
"")</f>
        <v>97821000</v>
      </c>
      <c r="K15" s="248">
        <f>IFERROR(
  IF($E$3="Annual",
    IFERROR(HLOOKUP($D$15, Annual!$A$3:$AX$100, K$4, FALSE), ""),
    IFERROR(HLOOKUP($D$15, Quarterly!$A$3:$AX$100, K$4, FALSE), "")
  ),
"")</f>
        <v>97036000</v>
      </c>
      <c r="L15" s="248">
        <f>IFERROR(
  IF($E$3="Annual",
    IFERROR(HLOOKUP($D$15, Annual!$A$3:$AX$100, L$4, FALSE), ""),
    IFERROR(HLOOKUP($D$15, Quarterly!$A$3:$AX$100, L$4, FALSE), "")
  ),
"")</f>
        <v>99871000</v>
      </c>
      <c r="M15" s="248">
        <f>IFERROR(
  IF($E$3="Annual",
    IFERROR(HLOOKUP($D$15, Annual!$A$3:$AX$100, M$4, FALSE), ""),
    IFERROR(HLOOKUP($D$15, Quarterly!$A$3:$AX$100, M$4, FALSE), "")
  ),
"")</f>
        <v>100574000</v>
      </c>
      <c r="N15" s="248">
        <f>IFERROR(
  IF($E$3="Annual",
    IFERROR(HLOOKUP($D$15, Annual!$A$3:$AX$100, N$4, FALSE), ""),
    IFERROR(HLOOKUP($D$15, Quarterly!$A$3:$AX$100, N$4, FALSE), "")
  ),
"")</f>
        <v>150385000</v>
      </c>
      <c r="O15" s="248">
        <f>IFERROR(
  IF($E$3="Annual",
    IFERROR(HLOOKUP($D$15, Annual!$A$3:$AX$100, O$4, FALSE), ""),
    IFERROR(HLOOKUP($D$15, Quarterly!$A$3:$AX$100, O$4, FALSE), "")
  ),
"")</f>
        <v>157526000</v>
      </c>
      <c r="P15" s="248">
        <f>IFERROR(
  IF($E$3="Annual",
    IFERROR(HLOOKUP($D$15, Annual!$A$3:$AX$100, P$4, FALSE), ""),
    IFERROR(HLOOKUP($D$15, Quarterly!$A$3:$AX$100, P$4, FALSE), "")
  ),
"")</f>
        <v>211273000</v>
      </c>
      <c r="Q15" s="248">
        <f>IFERROR(
  IF($E$3="Annual",
    IFERROR(HLOOKUP($D$15, Annual!$A$3:$AX$100, Q$4, FALSE), ""),
    IFERROR(HLOOKUP($D$15, Quarterly!$A$3:$AX$100, Q$4, FALSE), "")
  ),
"")</f>
        <v>326781000</v>
      </c>
      <c r="R15" s="248">
        <f>IFERROR(
  IF($E$3="Annual",
    IFERROR(HLOOKUP($D$15, Annual!$A$3:$AX$100, R$4, FALSE), ""),
    IFERROR(HLOOKUP($D$15, Quarterly!$A$3:$AX$100, R$4, FALSE), "")
  ),
"")</f>
        <v>274320000</v>
      </c>
      <c r="T15" s="27">
        <f t="shared" si="0"/>
        <v>160253100</v>
      </c>
      <c r="U15">
        <f t="shared" si="1"/>
        <v>16025310</v>
      </c>
    </row>
    <row r="16" spans="1:27" ht="15.75" customHeight="1">
      <c r="A16" s="258" t="s">
        <v>192</v>
      </c>
      <c r="B16" s="29">
        <f ca="1">B8/Annual!Y4</f>
        <v>8.6437733266760421</v>
      </c>
      <c r="D16" s="16" t="s">
        <v>33</v>
      </c>
      <c r="E16" s="55" t="s">
        <v>250</v>
      </c>
      <c r="F16" s="250">
        <f>IFERROR(
  IF($E$3="Annual",
    IFERROR(HLOOKUP($D$16, Annual!$A$3:$AX$100, F$4, FALSE), ""),
    IFERROR(HLOOKUP($D$16, Quarterly!$A$3:$AX$100, F$4, FALSE), "")
  ),
"")</f>
        <v>544732000</v>
      </c>
      <c r="G16" s="250">
        <f>IFERROR(
  IF($E$3="Annual",
    IFERROR(HLOOKUP($D$16, Annual!$A$3:$AX$100, G$4, FALSE), ""),
    IFERROR(HLOOKUP($D$16, Quarterly!$A$3:$AX$100, G$4, FALSE), "")
  ),
"")</f>
        <v>603214000</v>
      </c>
      <c r="H16" s="250">
        <f>IFERROR(
  IF($E$3="Annual",
    IFERROR(HLOOKUP($D$16, Annual!$A$3:$AX$100, H$4, FALSE), ""),
    IFERROR(HLOOKUP($D$16, Quarterly!$A$3:$AX$100, H$4, FALSE), "")
  ),
"")</f>
        <v>615516000</v>
      </c>
      <c r="I16" s="250">
        <f>IFERROR(
  IF($E$3="Annual",
    IFERROR(HLOOKUP($D$16, Annual!$A$3:$AX$100, I$4, FALSE), ""),
    IFERROR(HLOOKUP($D$16, Quarterly!$A$3:$AX$100, I$4, FALSE), "")
  ),
"")</f>
        <v>687944000</v>
      </c>
      <c r="J16" s="250">
        <f>IFERROR(
  IF($E$3="Annual",
    IFERROR(HLOOKUP($D$16, Annual!$A$3:$AX$100, J$4, FALSE), ""),
    IFERROR(HLOOKUP($D$16, Quarterly!$A$3:$AX$100, J$4, FALSE), "")
  ),
"")</f>
        <v>714495000</v>
      </c>
      <c r="K16" s="250">
        <f>IFERROR(
  IF($E$3="Annual",
    IFERROR(HLOOKUP($D$16, Annual!$A$3:$AX$100, K$4, FALSE), ""),
    IFERROR(HLOOKUP($D$16, Quarterly!$A$3:$AX$100, K$4, FALSE), "")
  ),
"")</f>
        <v>368320000</v>
      </c>
      <c r="L16" s="250">
        <f>IFERROR(
  IF($E$3="Annual",
    IFERROR(HLOOKUP($D$16, Annual!$A$3:$AX$100, L$4, FALSE), ""),
    IFERROR(HLOOKUP($D$16, Quarterly!$A$3:$AX$100, L$4, FALSE), "")
  ),
"")</f>
        <v>425944000</v>
      </c>
      <c r="M16" s="250">
        <f>IFERROR(
  IF($E$3="Annual",
    IFERROR(HLOOKUP($D$16, Annual!$A$3:$AX$100, M$4, FALSE), ""),
    IFERROR(HLOOKUP($D$16, Quarterly!$A$3:$AX$100, M$4, FALSE), "")
  ),
"")</f>
        <v>489175000</v>
      </c>
      <c r="N16" s="250">
        <f>IFERROR(
  IF($E$3="Annual",
    IFERROR(HLOOKUP($D$16, Annual!$A$3:$AX$100, N$4, FALSE), ""),
    IFERROR(HLOOKUP($D$16, Quarterly!$A$3:$AX$100, N$4, FALSE), "")
  ),
"")</f>
        <v>749330000</v>
      </c>
      <c r="O16" s="250">
        <f>IFERROR(
  IF($E$3="Annual",
    IFERROR(HLOOKUP($D$16, Annual!$A$3:$AX$100, O$4, FALSE), ""),
    IFERROR(HLOOKUP($D$16, Quarterly!$A$3:$AX$100, O$4, FALSE), "")
  ),
"")</f>
        <v>663917000</v>
      </c>
      <c r="P16" s="250">
        <f>IFERROR(
  IF($E$3="Annual",
    IFERROR(HLOOKUP($D$16, Annual!$A$3:$AX$100, P$4, FALSE), ""),
    IFERROR(HLOOKUP($D$16, Quarterly!$A$3:$AX$100, P$4, FALSE), "")
  ),
"")</f>
        <v>700625000</v>
      </c>
      <c r="Q16" s="250">
        <f>IFERROR(
  IF($E$3="Annual",
    IFERROR(HLOOKUP($D$16, Annual!$A$3:$AX$100, Q$4, FALSE), ""),
    IFERROR(HLOOKUP($D$16, Quarterly!$A$3:$AX$100, Q$4, FALSE), "")
  ),
"")</f>
        <v>458245000</v>
      </c>
      <c r="R16" s="250">
        <f>IFERROR(
  IF($E$3="Annual",
    IFERROR(HLOOKUP($D$16, Annual!$A$3:$AX$100, R$4, FALSE), ""),
    IFERROR(HLOOKUP($D$16, Quarterly!$A$3:$AX$100, R$4, FALSE), "")
  ),
"")</f>
        <v>314501000</v>
      </c>
      <c r="T16" s="27">
        <f t="shared" si="0"/>
        <v>557249600</v>
      </c>
      <c r="U16">
        <f t="shared" si="1"/>
        <v>55724960</v>
      </c>
    </row>
    <row r="17" spans="1:21" ht="15.75" customHeight="1">
      <c r="D17" s="16" t="s">
        <v>37</v>
      </c>
      <c r="E17" s="56" t="s">
        <v>251</v>
      </c>
      <c r="F17" s="248">
        <f t="shared" ref="F17:Q17" si="2">F13-F14</f>
        <v>1611993000</v>
      </c>
      <c r="G17" s="248">
        <f t="shared" si="2"/>
        <v>1745185000</v>
      </c>
      <c r="H17" s="270">
        <f>H13-H14</f>
        <v>1769093000</v>
      </c>
      <c r="I17" s="248">
        <f t="shared" si="2"/>
        <v>1946194000</v>
      </c>
      <c r="J17" s="248">
        <f t="shared" si="2"/>
        <v>2063449000</v>
      </c>
      <c r="K17" s="248">
        <f t="shared" si="2"/>
        <v>2004316000</v>
      </c>
      <c r="L17" s="248">
        <f t="shared" si="2"/>
        <v>2115287000</v>
      </c>
      <c r="M17" s="248">
        <f t="shared" si="2"/>
        <v>2302304000</v>
      </c>
      <c r="N17" s="248">
        <f t="shared" si="2"/>
        <v>3554765000</v>
      </c>
      <c r="O17" s="248">
        <f t="shared" si="2"/>
        <v>3220675000</v>
      </c>
      <c r="P17" s="248">
        <f t="shared" si="2"/>
        <v>3327887000</v>
      </c>
      <c r="Q17" s="248">
        <f t="shared" si="2"/>
        <v>2446300000</v>
      </c>
      <c r="R17" s="248">
        <f>R13-R14</f>
        <v>1714074000</v>
      </c>
      <c r="T17" s="27">
        <f t="shared" si="0"/>
        <v>2469525100</v>
      </c>
      <c r="U17">
        <f t="shared" si="1"/>
        <v>246952510</v>
      </c>
    </row>
    <row r="18" spans="1:21" ht="15.75" customHeight="1">
      <c r="C18" s="19"/>
      <c r="D18" s="16" t="s">
        <v>193</v>
      </c>
      <c r="E18" s="55" t="s">
        <v>252</v>
      </c>
      <c r="F18" s="38">
        <f t="shared" ref="F18:Q18" si="3">F16/F8</f>
        <v>3.3998729756746421E-2</v>
      </c>
      <c r="G18" s="38">
        <f t="shared" si="3"/>
        <v>3.4461165732708104E-2</v>
      </c>
      <c r="H18" s="38">
        <f t="shared" si="3"/>
        <v>3.2550471221266163E-2</v>
      </c>
      <c r="I18" s="66">
        <f t="shared" si="3"/>
        <v>3.3774794705684182E-2</v>
      </c>
      <c r="J18" s="66">
        <f t="shared" si="3"/>
        <v>3.2496841939803511E-2</v>
      </c>
      <c r="K18" s="66">
        <f t="shared" si="3"/>
        <v>1.5692578835801694E-2</v>
      </c>
      <c r="L18" s="66">
        <f t="shared" si="3"/>
        <v>1.6622176985224963E-2</v>
      </c>
      <c r="M18" s="66">
        <f t="shared" si="3"/>
        <v>1.7625404478126428E-2</v>
      </c>
      <c r="N18" s="66">
        <f t="shared" si="3"/>
        <v>2.2204450022711757E-2</v>
      </c>
      <c r="O18" s="66">
        <f t="shared" si="3"/>
        <v>1.9401177348666584E-2</v>
      </c>
      <c r="P18" s="66">
        <f t="shared" si="3"/>
        <v>1.8513080626028425E-2</v>
      </c>
      <c r="Q18" s="66">
        <f t="shared" si="3"/>
        <v>1.1843524005424535E-2</v>
      </c>
      <c r="R18" s="66">
        <f>R16/R8</f>
        <v>7.7439824400031632E-3</v>
      </c>
      <c r="T18" s="27">
        <f t="shared" si="0"/>
        <v>1.9591801138747526E-2</v>
      </c>
      <c r="U18">
        <f t="shared" si="1"/>
        <v>1.9591801138747525E-3</v>
      </c>
    </row>
    <row r="19" spans="1:21" ht="15.75" customHeight="1">
      <c r="A19" s="254" t="s">
        <v>538</v>
      </c>
      <c r="B19" s="263">
        <f ca="1">WACC!E30</f>
        <v>6.8594000000000002E-2</v>
      </c>
      <c r="C19" s="19"/>
      <c r="D19" s="16" t="s">
        <v>195</v>
      </c>
      <c r="E19" s="56" t="s">
        <v>253</v>
      </c>
      <c r="F19" s="35">
        <f t="shared" ref="F19:Q19" si="4">F17*(1-F18)</f>
        <v>1557187285.6232331</v>
      </c>
      <c r="G19" s="35">
        <f t="shared" si="4"/>
        <v>1685043890.4807639</v>
      </c>
      <c r="H19" s="35">
        <f t="shared" si="4"/>
        <v>1711508189.2157564</v>
      </c>
      <c r="I19" s="248">
        <f t="shared" si="4"/>
        <v>1880461697.1925657</v>
      </c>
      <c r="J19" s="248">
        <f t="shared" si="4"/>
        <v>1996393423.9961543</v>
      </c>
      <c r="K19" s="248">
        <f t="shared" si="4"/>
        <v>1972863113.1581414</v>
      </c>
      <c r="L19" s="248">
        <f t="shared" si="4"/>
        <v>2080126325.1114545</v>
      </c>
      <c r="M19" s="248">
        <f t="shared" si="4"/>
        <v>2261724960.7683916</v>
      </c>
      <c r="N19" s="248">
        <f t="shared" si="4"/>
        <v>3475833398.2150149</v>
      </c>
      <c r="O19" s="248">
        <f t="shared" si="4"/>
        <v>3158190113.1425834</v>
      </c>
      <c r="P19" s="248">
        <f t="shared" si="4"/>
        <v>3266277559.6546884</v>
      </c>
      <c r="Q19" s="248">
        <f t="shared" si="4"/>
        <v>2417327187.2255301</v>
      </c>
      <c r="R19" s="248">
        <f>R17*(1-R18)</f>
        <v>1700800241.043134</v>
      </c>
      <c r="T19" s="27">
        <f t="shared" si="0"/>
        <v>2420999801.9507656</v>
      </c>
      <c r="U19">
        <f t="shared" si="1"/>
        <v>242099980.19507658</v>
      </c>
    </row>
    <row r="20" spans="1:21" ht="15.75" customHeight="1">
      <c r="D20" t="s">
        <v>39</v>
      </c>
      <c r="E20" s="55" t="s">
        <v>6</v>
      </c>
      <c r="F20" s="250">
        <f>IFERROR(
  IF($E$3="Annual",
    IFERROR(HLOOKUP($D$20, Annual!$A$3:$AX$100, F$4, FALSE), ""),
    IFERROR(HLOOKUP($D$20, Quarterly!$A$3:$AX$100, F$4, FALSE), "")
  ),
"")</f>
        <v>952662000</v>
      </c>
      <c r="G20" s="250">
        <f>IFERROR(
  IF($E$3="Annual",
    IFERROR(HLOOKUP($D$20, Annual!$A$3:$AX$100, G$4, FALSE), ""),
    IFERROR(HLOOKUP($D$20, Quarterly!$A$3:$AX$100, G$4, FALSE), "")
  ),
"")</f>
        <v>1025116000</v>
      </c>
      <c r="H20" s="250">
        <f>IFERROR(
  IF($E$3="Annual",
    IFERROR(HLOOKUP($D$20, Annual!$A$3:$AX$100, H$4, FALSE), ""),
    IFERROR(HLOOKUP($D$20, Quarterly!$A$3:$AX$100, H$4, FALSE), "")
  ),
"")</f>
        <v>1065345000</v>
      </c>
      <c r="I20" s="250">
        <f>IFERROR(
  IF($E$3="Annual",
    IFERROR(HLOOKUP($D$20, Annual!$A$3:$AX$100, I$4, FALSE), ""),
    IFERROR(HLOOKUP($D$20, Quarterly!$A$3:$AX$100, I$4, FALSE), "")
  ),
"")</f>
        <v>1165080000</v>
      </c>
      <c r="J20" s="250">
        <f>IFERROR(
  IF($E$3="Annual",
    IFERROR(HLOOKUP($D$20, Annual!$A$3:$AX$100, J$4, FALSE), ""),
    IFERROR(HLOOKUP($D$20, Quarterly!$A$3:$AX$100, J$4, FALSE), "")
  ),
"")</f>
        <v>1251133000</v>
      </c>
      <c r="K20" s="250">
        <f>IFERROR(
  IF($E$3="Annual",
    IFERROR(HLOOKUP($D$20, Annual!$A$3:$AX$100, K$4, FALSE), ""),
    IFERROR(HLOOKUP($D$20, Quarterly!$A$3:$AX$100, K$4, FALSE), "")
  ),
"")</f>
        <v>1538960000</v>
      </c>
      <c r="L20" s="250">
        <f>IFERROR(
  IF($E$3="Annual",
    IFERROR(HLOOKUP($D$20, Annual!$A$3:$AX$100, L$4, FALSE), ""),
    IFERROR(HLOOKUP($D$20, Quarterly!$A$3:$AX$100, L$4, FALSE), "")
  ),
"")</f>
        <v>1589472000</v>
      </c>
      <c r="M20" s="250">
        <f>IFERROR(
  IF($E$3="Annual",
    IFERROR(HLOOKUP($D$20, Annual!$A$3:$AX$100, M$4, FALSE), ""),
    IFERROR(HLOOKUP($D$20, Quarterly!$A$3:$AX$100, M$4, FALSE), "")
  ),
"")</f>
        <v>1712555000</v>
      </c>
      <c r="N20" s="250">
        <f>IFERROR(
  IF($E$3="Annual",
    IFERROR(HLOOKUP($D$20, Annual!$A$3:$AX$100, N$4, FALSE), ""),
    IFERROR(HLOOKUP($D$20, Quarterly!$A$3:$AX$100, N$4, FALSE), "")
  ),
"")</f>
        <v>2655050000</v>
      </c>
      <c r="O20" s="250">
        <f>IFERROR(
  IF($E$3="Annual",
    IFERROR(HLOOKUP($D$20, Annual!$A$3:$AX$100, O$4, FALSE), ""),
    IFERROR(HLOOKUP($D$20, Quarterly!$A$3:$AX$100, O$4, FALSE), "")
  ),
"")</f>
        <v>2399232000</v>
      </c>
      <c r="P20" s="250">
        <f>IFERROR(
  IF($E$3="Annual",
    IFERROR(HLOOKUP($D$20, Annual!$A$3:$AX$100, P$4, FALSE), ""),
    IFERROR(HLOOKUP($D$20, Quarterly!$A$3:$AX$100, P$4, FALSE), "")
  ),
"")</f>
        <v>2415989000</v>
      </c>
      <c r="Q20" s="250">
        <f>IFERROR(
  IF($E$3="Annual",
    IFERROR(HLOOKUP($D$20, Annual!$A$3:$AX$100, Q$4, FALSE), ""),
    IFERROR(HLOOKUP($D$20, Quarterly!$A$3:$AX$100, Q$4, FALSE), "")
  ),
"")</f>
        <v>1661274000</v>
      </c>
      <c r="R20" s="250">
        <f>IFERROR(
  IF($E$3="Annual",
    IFERROR(HLOOKUP($D$20, Annual!$A$3:$AX$100, R$4, FALSE), ""),
    IFERROR(HLOOKUP($D$20, Quarterly!$A$3:$AX$100, R$4, FALSE), "")
  ),
"")</f>
        <v>1125253000</v>
      </c>
      <c r="T20" s="27">
        <f t="shared" si="0"/>
        <v>1751399800</v>
      </c>
      <c r="U20">
        <f t="shared" si="1"/>
        <v>175139980</v>
      </c>
    </row>
    <row r="21" spans="1:21" ht="15.75" customHeight="1">
      <c r="E21" s="56"/>
      <c r="F21" s="35"/>
      <c r="G21" s="35"/>
      <c r="H21" s="35"/>
      <c r="I21" s="265"/>
      <c r="J21" s="265"/>
      <c r="K21" s="265"/>
      <c r="L21" s="265"/>
      <c r="M21" s="265"/>
      <c r="N21" s="265"/>
      <c r="O21" s="265"/>
      <c r="P21" s="265"/>
      <c r="Q21" s="267"/>
      <c r="R21" s="265"/>
      <c r="T21" s="27"/>
    </row>
    <row r="22" spans="1:21" ht="15.75" customHeight="1">
      <c r="D22" s="16"/>
      <c r="E22" s="56"/>
      <c r="F22" s="16"/>
      <c r="G22" s="12"/>
      <c r="I22" s="31"/>
      <c r="J22" s="31"/>
      <c r="K22" s="31"/>
      <c r="L22" s="31"/>
      <c r="M22" s="31"/>
      <c r="N22" s="31"/>
      <c r="O22" s="31"/>
      <c r="P22" s="31"/>
      <c r="Q22" s="32"/>
      <c r="R22" s="33"/>
      <c r="T22" s="27"/>
    </row>
    <row r="23" spans="1:21" ht="15.75" customHeight="1">
      <c r="A23" s="230" t="s">
        <v>196</v>
      </c>
      <c r="B23" s="63">
        <f ca="1">(Annual!D4/Annual!AL47)/Funda!B6</f>
        <v>1.7497274353375525</v>
      </c>
      <c r="D23" t="s">
        <v>179</v>
      </c>
      <c r="E23" s="55" t="s">
        <v>5</v>
      </c>
      <c r="F23" s="251" t="str">
        <f>IFERROR(
  IF($E$3="Annual",
    IFERROR(HLOOKUP($D$23, Annual!$A$91:$AX$100, F$4, FALSE), ""),
    IFERROR(HLOOKUP($D$23, Quarterly!$A$201:$AX$301, F$4, FALSE), "")
  ),
"")</f>
        <v/>
      </c>
      <c r="G23" s="251" t="str">
        <f>IFERROR(
  IF($E$3="Annual",
    IFERROR(HLOOKUP($D$23, Annual!$A$91:$AX$100, G$4, FALSE), ""),
    IFERROR(HLOOKUP($D$23, Quarterly!$A$201:$AX$301, G$4, FALSE), "")
  ),
"")</f>
        <v/>
      </c>
      <c r="H23" s="251" t="str">
        <f>IFERROR(
  IF($E$3="Annual",
    IFERROR(HLOOKUP($D$23, Annual!$A$91:$AX$100, H$4, FALSE), ""),
    IFERROR(HLOOKUP($D$23, Quarterly!$A$201:$AX$301, H$4, FALSE), "")
  ),
"")</f>
        <v/>
      </c>
      <c r="I23" s="251" t="str">
        <f>IFERROR(
  IF($E$3="Annual",
    IFERROR(HLOOKUP($D$23, Annual!$A$91:$AX$100, I$4, FALSE), ""),
    IFERROR(HLOOKUP($D$23, Quarterly!$A$201:$AX$301, I$4, FALSE), "")
  ),
"")</f>
        <v/>
      </c>
      <c r="J23" s="251">
        <f>IFERROR(
  IF($E$3="Annual",
    IFERROR(HLOOKUP($D$23, Annual!$A$91:$AX$100, J$4, FALSE), ""),
    IFERROR(HLOOKUP($D$23, Quarterly!$A$201:$AX$301, J$4, FALSE), "")
  ),
"")</f>
        <v>281135000</v>
      </c>
      <c r="K23" s="251">
        <f>IFERROR(
  IF($E$3="Annual",
    IFERROR(HLOOKUP($D$23, Annual!$A$91:$AX$100, K$4, FALSE), ""),
    IFERROR(HLOOKUP($D$23, Quarterly!$A$201:$AX$301, K$4, FALSE), "")
  ),
"")</f>
        <v>282931000</v>
      </c>
      <c r="L23" s="251">
        <f>IFERROR(
  IF($E$3="Annual",
    IFERROR(HLOOKUP($D$23, Annual!$A$91:$AX$100, L$4, FALSE), ""),
    IFERROR(HLOOKUP($D$23, Quarterly!$A$201:$AX$301, L$4, FALSE), "")
  ),
"")</f>
        <v>306523000</v>
      </c>
      <c r="M23" s="251">
        <f>IFERROR(
  IF($E$3="Annual",
    IFERROR(HLOOKUP($D$23, Annual!$A$91:$AX$100, M$4, FALSE), ""),
    IFERROR(HLOOKUP($D$23, Quarterly!$A$201:$AX$301, M$4, FALSE), "")
  ),
"")</f>
        <v>327568000</v>
      </c>
      <c r="N23" s="251">
        <f>IFERROR(
  IF($E$3="Annual",
    IFERROR(HLOOKUP($D$23, Annual!$A$91:$AX$100, N$4, FALSE), ""),
    IFERROR(HLOOKUP($D$23, Quarterly!$A$201:$AX$301, N$4, FALSE), "")
  ),
"")</f>
        <v>355926000</v>
      </c>
      <c r="O23" s="251">
        <f>IFERROR(
  IF($E$3="Annual",
    IFERROR(HLOOKUP($D$23, Annual!$A$91:$AX$100, O$4, FALSE), ""),
    IFERROR(HLOOKUP($D$23, Quarterly!$A$201:$AX$301, O$4, FALSE), "")
  ),
"")</f>
        <v>392188000</v>
      </c>
      <c r="P23" s="251">
        <f>IFERROR(
  IF($E$3="Annual",
    IFERROR(HLOOKUP($D$23, Annual!$A$91:$AX$100, P$4, FALSE), ""),
    IFERROR(HLOOKUP($D$23, Quarterly!$A$201:$AX$301, P$4, FALSE), "")
  ),
"")</f>
        <v>493726000</v>
      </c>
      <c r="Q23" s="251">
        <f>IFERROR(
  IF($E$3="Annual",
    IFERROR(HLOOKUP($D$23, Annual!$A$91:$AX$100, Q$4, FALSE), ""),
    IFERROR(HLOOKUP($D$23, Quarterly!$A$201:$AX$301, Q$4, FALSE), "")
  ),
"")</f>
        <v>517979000</v>
      </c>
      <c r="R23" s="251">
        <f>IFERROR(
  IF($E$3="Annual",
    IFERROR(HLOOKUP($D$23, Annual!$A$91:$AX$100, R$4, FALSE), ""),
    IFERROR(HLOOKUP($D$23, Quarterly!$A$201:$AX$301, R$4, FALSE), "")
  ),
"")</f>
        <v>518983000</v>
      </c>
      <c r="T23" s="27">
        <f t="shared" si="0"/>
        <v>386328777.77777779</v>
      </c>
      <c r="U23">
        <f t="shared" si="1"/>
        <v>38632877.777777784</v>
      </c>
    </row>
    <row r="24" spans="1:21" ht="15.75" customHeight="1">
      <c r="A24" s="230" t="s">
        <v>197</v>
      </c>
      <c r="B24" s="63">
        <f ca="1">(Annual!C92/Annual!AL47)/Funda!B6</f>
        <v>0.12908144444357039</v>
      </c>
      <c r="D24" t="s">
        <v>80</v>
      </c>
      <c r="E24" s="57" t="s">
        <v>254</v>
      </c>
      <c r="F24" s="250">
        <f>IFERROR(
  IF($E$3="Annual",
    IFERROR(HLOOKUP($D$24, Annual!$A$46:$AX$100, F$4, FALSE), ""),
    IFERROR(HLOOKUP($D$24, Quarterly!$A$101:$AX$200, F$4, FALSE), "")
  ),
"")</f>
        <v>4985330000</v>
      </c>
      <c r="G24" s="250">
        <f>IFERROR(
  IF($E$3="Annual",
    IFERROR(HLOOKUP($D$24, Annual!$A$46:$AX$100, G$4, FALSE), ""),
    IFERROR(HLOOKUP($D$24, Quarterly!$A$101:$AX$200, G$4, FALSE), "")
  ),
"")</f>
        <v>5402193000</v>
      </c>
      <c r="H24" s="250">
        <f>IFERROR(
  IF($E$3="Annual",
    IFERROR(HLOOKUP($D$24, Annual!$A$46:$AX$100, H$4, FALSE), ""),
    IFERROR(HLOOKUP($D$24, Quarterly!$A$101:$AX$200, H$4, FALSE), "")
  ),
"")</f>
        <v>5710038000</v>
      </c>
      <c r="I24" s="250">
        <f>IFERROR(
  IF($E$3="Annual",
    IFERROR(HLOOKUP($D$24, Annual!$A$46:$AX$100, I$4, FALSE), ""),
    IFERROR(HLOOKUP($D$24, Quarterly!$A$101:$AX$200, I$4, FALSE), "")
  ),
"")</f>
        <v>5377876000</v>
      </c>
      <c r="J24" s="250">
        <f>IFERROR(
  IF($E$3="Annual",
    IFERROR(HLOOKUP($D$24, Annual!$A$46:$AX$100, J$4, FALSE), ""),
    IFERROR(HLOOKUP($D$24, Quarterly!$A$101:$AX$200, J$4, FALSE), "")
  ),
"")</f>
        <v>5406294000</v>
      </c>
      <c r="K24" s="250">
        <f>IFERROR(
  IF($E$3="Annual",
    IFERROR(HLOOKUP($D$24, Annual!$A$46:$AX$100, K$4, FALSE), ""),
    IFERROR(HLOOKUP($D$24, Quarterly!$A$101:$AX$200, K$4, FALSE), "")
  ),
"")</f>
        <v>6125774000</v>
      </c>
      <c r="L24" s="250">
        <f>IFERROR(
  IF($E$3="Annual",
    IFERROR(HLOOKUP($D$24, Annual!$A$46:$AX$100, L$4, FALSE), ""),
    IFERROR(HLOOKUP($D$24, Quarterly!$A$101:$AX$200, L$4, FALSE), "")
  ),
"")</f>
        <v>6417393000</v>
      </c>
      <c r="M24" s="250">
        <f>IFERROR(
  IF($E$3="Annual",
    IFERROR(HLOOKUP($D$24, Annual!$A$46:$AX$100, M$4, FALSE), ""),
    IFERROR(HLOOKUP($D$24, Quarterly!$A$101:$AX$200, M$4, FALSE), "")
  ),
"")</f>
        <v>6702500000</v>
      </c>
      <c r="N24" s="250">
        <f>IFERROR(
  IF($E$3="Annual",
    IFERROR(HLOOKUP($D$24, Annual!$A$46:$AX$100, N$4, FALSE), ""),
    IFERROR(HLOOKUP($D$24, Quarterly!$A$101:$AX$200, N$4, FALSE), "")
  ),
"")</f>
        <v>6661238000</v>
      </c>
      <c r="O24" s="250">
        <f>IFERROR(
  IF($E$3="Annual",
    IFERROR(HLOOKUP($D$24, Annual!$A$46:$AX$100, O$4, FALSE), ""),
    IFERROR(HLOOKUP($D$24, Quarterly!$A$101:$AX$200, O$4, FALSE), "")
  ),
"")</f>
        <v>6261986000</v>
      </c>
      <c r="P24" s="250">
        <f>IFERROR(
  IF($E$3="Annual",
    IFERROR(HLOOKUP($D$24, Annual!$A$46:$AX$100, P$4, FALSE), ""),
    IFERROR(HLOOKUP($D$24, Quarterly!$A$101:$AX$200, P$4, FALSE), "")
  ),
"")</f>
        <v>5541772000</v>
      </c>
      <c r="Q24" s="250">
        <f>IFERROR(
  IF($E$3="Annual",
    IFERROR(HLOOKUP($D$24, Annual!$A$46:$AX$100, Q$4, FALSE), ""),
    IFERROR(HLOOKUP($D$24, Quarterly!$A$101:$AX$200, Q$4, FALSE), "")
  ),
"")</f>
        <v>6749119000</v>
      </c>
      <c r="R24" s="250">
        <f>IFERROR(
  IF($E$3="Annual",
    IFERROR(HLOOKUP($D$24, Annual!$A$46:$AX$100, R$4, FALSE), ""),
    IFERROR(HLOOKUP($D$24, Quarterly!$A$101:$AX$200, R$4, FALSE), "")
  ),
"")</f>
        <v>7413707000</v>
      </c>
      <c r="T24" s="27">
        <f t="shared" si="0"/>
        <v>6265765900</v>
      </c>
      <c r="U24">
        <f t="shared" si="1"/>
        <v>626576590</v>
      </c>
    </row>
    <row r="25" spans="1:21" ht="15.75" customHeight="1">
      <c r="B25" s="63"/>
      <c r="E25" s="57"/>
      <c r="F25" s="35"/>
      <c r="G25" s="35"/>
      <c r="H25" s="35"/>
      <c r="I25" s="265"/>
      <c r="J25" s="265"/>
      <c r="K25" s="265"/>
      <c r="L25" s="265"/>
      <c r="M25" s="265"/>
      <c r="N25" s="265"/>
      <c r="O25" s="265"/>
      <c r="P25" s="265"/>
      <c r="Q25" s="265"/>
      <c r="R25" s="265"/>
      <c r="T25" s="27"/>
    </row>
    <row r="26" spans="1:21" ht="15.75" customHeight="1">
      <c r="E26" s="57"/>
      <c r="F26" s="25"/>
      <c r="G26" s="25"/>
      <c r="H26" s="25"/>
      <c r="I26" s="31"/>
      <c r="J26" s="31"/>
      <c r="K26" s="31"/>
      <c r="L26" s="31"/>
      <c r="M26" s="31"/>
      <c r="N26" s="31"/>
      <c r="O26" s="31"/>
      <c r="P26" s="31"/>
      <c r="Q26" s="31"/>
      <c r="R26" s="33"/>
      <c r="T26" s="27"/>
    </row>
    <row r="27" spans="1:21" ht="15.75" customHeight="1">
      <c r="A27" s="259" t="str">
        <f ca="1">HYPERLINK("https://www.tradingview.com/chart/?symbol="&amp;B2&amp;"", "Chart")</f>
        <v>Chart</v>
      </c>
      <c r="B27" s="18"/>
      <c r="D27" s="16" t="s">
        <v>146</v>
      </c>
      <c r="E27" s="55" t="s">
        <v>255</v>
      </c>
      <c r="F27" s="250">
        <f>IFERROR(
  IF($E$3="Annual",
    IFERROR(HLOOKUP($D$27, Annual!$A$46:$AX$100, F$4, FALSE), ""),
    IFERROR(HLOOKUP($D$27, Quarterly!$A$101:$AX$200, F$4, FALSE), "")
  ),
"")</f>
        <v>140809000</v>
      </c>
      <c r="G27" s="250">
        <f>IFERROR(
  IF($E$3="Annual",
    IFERROR(HLOOKUP($D$27, Annual!$A$46:$AX$100, G$4, FALSE), ""),
    IFERROR(HLOOKUP($D$27, Quarterly!$A$101:$AX$200, G$4, FALSE), "")
  ),
"")</f>
        <v>505566000</v>
      </c>
      <c r="H27" s="250">
        <f>IFERROR(
  IF($E$3="Annual",
    IFERROR(HLOOKUP($D$27, Annual!$A$46:$AX$100, H$4, FALSE), ""),
    IFERROR(HLOOKUP($D$27, Quarterly!$A$101:$AX$200, H$4, FALSE), "")
  ),
"")</f>
        <v>579823000</v>
      </c>
      <c r="I27" s="250">
        <f>IFERROR(
  IF($E$3="Annual",
    IFERROR(HLOOKUP($D$27, Annual!$A$46:$AX$100, I$4, FALSE), ""),
    IFERROR(HLOOKUP($D$27, Quarterly!$A$101:$AX$200, I$4, FALSE), "")
  ),
"")</f>
        <v>157947000</v>
      </c>
      <c r="J27" s="250">
        <f>IFERROR(
  IF($E$3="Annual",
    IFERROR(HLOOKUP($D$27, Annual!$A$46:$AX$100, J$4, FALSE), ""),
    IFERROR(HLOOKUP($D$27, Quarterly!$A$101:$AX$200, J$4, FALSE), "")
  ),
"")</f>
        <v>187915000</v>
      </c>
      <c r="K27" s="250">
        <f>IFERROR(
  IF($E$3="Annual",
    IFERROR(HLOOKUP($D$27, Annual!$A$46:$AX$100, K$4, FALSE), ""),
    IFERROR(HLOOKUP($D$27, Quarterly!$A$101:$AX$200, K$4, FALSE), "")
  ),
"")</f>
        <v>267441000</v>
      </c>
      <c r="L27" s="250">
        <f>IFERROR(
  IF($E$3="Annual",
    IFERROR(HLOOKUP($D$27, Annual!$A$46:$AX$100, L$4, FALSE), ""),
    IFERROR(HLOOKUP($D$27, Quarterly!$A$101:$AX$200, L$4, FALSE), "")
  ),
"")</f>
        <v>235487000</v>
      </c>
      <c r="M27" s="250">
        <f>IFERROR(
  IF($E$3="Annual",
    IFERROR(HLOOKUP($D$27, Annual!$A$46:$AX$100, M$4, FALSE), ""),
    IFERROR(HLOOKUP($D$27, Quarterly!$A$101:$AX$200, M$4, FALSE), "")
  ),
"")</f>
        <v>240320000</v>
      </c>
      <c r="N27" s="250">
        <f>IFERROR(
  IF($E$3="Annual",
    IFERROR(HLOOKUP($D$27, Annual!$A$46:$AX$100, N$4, FALSE), ""),
    IFERROR(HLOOKUP($D$27, Quarterly!$A$101:$AX$200, N$4, FALSE), "")
  ),
"")</f>
        <v>1376577000</v>
      </c>
      <c r="O27" s="250">
        <f>IFERROR(
  IF($E$3="Annual",
    IFERROR(HLOOKUP($D$27, Annual!$A$46:$AX$100, O$4, FALSE), ""),
    IFERROR(HLOOKUP($D$27, Quarterly!$A$101:$AX$200, O$4, FALSE), "")
  ),
"")</f>
        <v>344829000</v>
      </c>
      <c r="P27" s="250">
        <f>IFERROR(
  IF($E$3="Annual",
    IFERROR(HLOOKUP($D$27, Annual!$A$46:$AX$100, P$4, FALSE), ""),
    IFERROR(HLOOKUP($D$27, Quarterly!$A$101:$AX$200, P$4, FALSE), "")
  ),
"")</f>
        <v>381576000</v>
      </c>
      <c r="Q27" s="250">
        <f>IFERROR(
  IF($E$3="Annual",
    IFERROR(HLOOKUP($D$27, Annual!$A$46:$AX$100, Q$4, FALSE), ""),
    IFERROR(HLOOKUP($D$27, Quarterly!$A$101:$AX$200, Q$4, FALSE), "")
  ),
"")</f>
        <v>537283000</v>
      </c>
      <c r="R27" s="250">
        <f>IFERROR(
  IF($E$3="Annual",
    IFERROR(HLOOKUP($D$27, Annual!$A$46:$AX$100, R$4, FALSE), ""),
    IFERROR(HLOOKUP($D$27, Quarterly!$A$101:$AX$200, R$4, FALSE), "")
  ),
"")</f>
        <v>932576000</v>
      </c>
      <c r="T27" s="27">
        <f t="shared" si="0"/>
        <v>466195100</v>
      </c>
      <c r="U27">
        <f t="shared" si="1"/>
        <v>46619510</v>
      </c>
    </row>
    <row r="28" spans="1:21" ht="15.75" customHeight="1">
      <c r="A28" s="259" t="str">
        <f ca="1">HYPERLINK("https://www.nasdaq.com/market-activity/stocks/"&amp;B2&amp;"/earnings","EPS date &amp; Estimates")</f>
        <v>EPS date &amp; Estimates</v>
      </c>
      <c r="D28" s="16" t="s">
        <v>144</v>
      </c>
      <c r="E28" s="56" t="s">
        <v>198</v>
      </c>
      <c r="F28" s="250">
        <f>IFERROR(
  IF($E$3="Annual",
    IFERROR(HLOOKUP($D$28, Annual!$A$46:$AX$100, F$4, FALSE), ""),
    IFERROR(HLOOKUP($D$28, Quarterly!$A$101:$AX$200, F$4, FALSE), "")
  ),
"")</f>
        <v>2677113000</v>
      </c>
      <c r="G28" s="250">
        <f>IFERROR(
  IF($E$3="Annual",
    IFERROR(HLOOKUP($D$28, Annual!$A$46:$AX$100, G$4, FALSE), ""),
    IFERROR(HLOOKUP($D$28, Quarterly!$A$101:$AX$200, G$4, FALSE), "")
  ),
"")</f>
        <v>3205607000</v>
      </c>
      <c r="H28" s="250">
        <f>IFERROR(
  IF($E$3="Annual",
    IFERROR(HLOOKUP($D$28, Annual!$A$46:$AX$100, H$4, FALSE), ""),
    IFERROR(HLOOKUP($D$28, Quarterly!$A$101:$AX$200, H$4, FALSE), "")
  ),
"")</f>
        <v>3532609000</v>
      </c>
      <c r="I28" s="250">
        <f>IFERROR(
  IF($E$3="Annual",
    IFERROR(HLOOKUP($D$28, Annual!$A$46:$AX$100, I$4, FALSE), ""),
    IFERROR(HLOOKUP($D$28, Quarterly!$A$101:$AX$200, I$4, FALSE), "")
  ),
"")</f>
        <v>3432410000</v>
      </c>
      <c r="J28" s="250">
        <f>IFERROR(
  IF($E$3="Annual",
    IFERROR(HLOOKUP($D$28, Annual!$A$46:$AX$100, J$4, FALSE), ""),
    IFERROR(HLOOKUP($D$28, Quarterly!$A$101:$AX$200, J$4, FALSE), "")
  ),
"")</f>
        <v>3677771000</v>
      </c>
      <c r="K28" s="250">
        <f>IFERROR(
  IF($E$3="Annual",
    IFERROR(HLOOKUP($D$28, Annual!$A$46:$AX$100, K$4, FALSE), ""),
    IFERROR(HLOOKUP($D$28, Quarterly!$A$101:$AX$200, K$4, FALSE), "")
  ),
"")</f>
        <v>4247852000</v>
      </c>
      <c r="L28" s="250">
        <f>IFERROR(
  IF($E$3="Annual",
    IFERROR(HLOOKUP($D$28, Annual!$A$46:$AX$100, L$4, FALSE), ""),
    IFERROR(HLOOKUP($D$28, Quarterly!$A$101:$AX$200, L$4, FALSE), "")
  ),
"")</f>
        <v>4663020000</v>
      </c>
      <c r="M28" s="250">
        <f>IFERROR(
  IF($E$3="Annual",
    IFERROR(HLOOKUP($D$28, Annual!$A$46:$AX$100, M$4, FALSE), ""),
    IFERROR(HLOOKUP($D$28, Quarterly!$A$101:$AX$200, M$4, FALSE), "")
  ),
"")</f>
        <v>5177868000</v>
      </c>
      <c r="N28" s="250">
        <f>IFERROR(
  IF($E$3="Annual",
    IFERROR(HLOOKUP($D$28, Annual!$A$46:$AX$100, N$4, FALSE), ""),
    IFERROR(HLOOKUP($D$28, Quarterly!$A$101:$AX$200, N$4, FALSE), "")
  ),
"")</f>
        <v>6914219000</v>
      </c>
      <c r="O28" s="250">
        <f>IFERROR(
  IF($E$3="Annual",
    IFERROR(HLOOKUP($D$28, Annual!$A$46:$AX$100, O$4, FALSE), ""),
    IFERROR(HLOOKUP($D$28, Quarterly!$A$101:$AX$200, O$4, FALSE), "")
  ),
"")</f>
        <v>6303843000</v>
      </c>
      <c r="P28" s="250">
        <f>IFERROR(
  IF($E$3="Annual",
    IFERROR(HLOOKUP($D$28, Annual!$A$46:$AX$100, P$4, FALSE), ""),
    IFERROR(HLOOKUP($D$28, Quarterly!$A$101:$AX$200, P$4, FALSE), "")
  ),
"")</f>
        <v>7581009000</v>
      </c>
      <c r="Q28" s="250">
        <f>IFERROR(
  IF($E$3="Annual",
    IFERROR(HLOOKUP($D$28, Annual!$A$46:$AX$100, Q$4, FALSE), ""),
    IFERROR(HLOOKUP($D$28, Quarterly!$A$101:$AX$200, Q$4, FALSE), "")
  ),
"")</f>
        <v>8010724000</v>
      </c>
      <c r="R28" s="250">
        <f>IFERROR(
  IF($E$3="Annual",
    IFERROR(HLOOKUP($D$28, Annual!$A$46:$AX$100, R$4, FALSE), ""),
    IFERROR(HLOOKUP($D$28, Quarterly!$A$101:$AX$200, R$4, FALSE), "")
  ),
"")</f>
        <v>8163925000</v>
      </c>
      <c r="T28" s="27">
        <f t="shared" si="0"/>
        <v>5817264100</v>
      </c>
      <c r="U28">
        <f t="shared" si="1"/>
        <v>581726410</v>
      </c>
    </row>
    <row r="29" spans="1:21" ht="15.75" customHeight="1">
      <c r="A29" s="259" t="str">
        <f ca="1">HYPERLINK("https://www.google.com/search?q=whale+wisdom+"&amp;B2, "Ownership")</f>
        <v>Ownership</v>
      </c>
      <c r="D29" s="16" t="s">
        <v>154</v>
      </c>
      <c r="E29" s="55" t="s">
        <v>199</v>
      </c>
      <c r="F29" s="248">
        <f>IFERROR(
  IF($E$3="Annual",
    IFERROR(HLOOKUP($D$29, Annual!$A$46:$AX$100, F$4, FALSE), ""),
    IFERROR(HLOOKUP($D$29, Quarterly!$A$101:$AX$200, F$4, FALSE), "")
  ),
"")</f>
        <v>4338589000</v>
      </c>
      <c r="G29" s="248">
        <f>IFERROR(
  IF($E$3="Annual",
    IFERROR(HLOOKUP($D$29, Annual!$A$46:$AX$100, G$4, FALSE), ""),
    IFERROR(HLOOKUP($D$29, Quarterly!$A$101:$AX$200, G$4, FALSE), "")
  ),
"")</f>
        <v>4338589000</v>
      </c>
      <c r="H29" s="248">
        <f>IFERROR(
  IF($E$3="Annual",
    IFERROR(HLOOKUP($D$29, Annual!$A$46:$AX$100, H$4, FALSE), ""),
    IFERROR(HLOOKUP($D$29, Quarterly!$A$101:$AX$200, H$4, FALSE), "")
  ),
"")</f>
        <v>4338589000</v>
      </c>
      <c r="I29" s="248">
        <f>IFERROR(
  IF($E$3="Annual",
    IFERROR(HLOOKUP($D$29, Annual!$A$46:$AX$100, I$4, FALSE), ""),
    IFERROR(HLOOKUP($D$29, Quarterly!$A$101:$AX$200, I$4, FALSE), "")
  ),
"")</f>
        <v>4338589000</v>
      </c>
      <c r="J29" s="248">
        <f>IFERROR(
  IF($E$3="Annual",
    IFERROR(HLOOKUP($D$29, Annual!$A$46:$AX$100, J$4, FALSE), ""),
    IFERROR(HLOOKUP($D$29, Quarterly!$A$101:$AX$200, J$4, FALSE), "")
  ),
"")</f>
        <v>4338589000</v>
      </c>
      <c r="K29" s="248">
        <f>IFERROR(
  IF($E$3="Annual",
    IFERROR(HLOOKUP($D$29, Annual!$A$46:$AX$100, K$4, FALSE), ""),
    IFERROR(HLOOKUP($D$29, Quarterly!$A$101:$AX$200, K$4, FALSE), "")
  ),
"")</f>
        <v>4338589000</v>
      </c>
      <c r="L29" s="248">
        <f>IFERROR(
  IF($E$3="Annual",
    IFERROR(HLOOKUP($D$29, Annual!$A$46:$AX$100, L$4, FALSE), ""),
    IFERROR(HLOOKUP($D$29, Quarterly!$A$101:$AX$200, L$4, FALSE), "")
  ),
"")</f>
        <v>4338589000</v>
      </c>
      <c r="M29" s="248">
        <f>IFERROR(
  IF($E$3="Annual",
    IFERROR(HLOOKUP($D$29, Annual!$A$46:$AX$100, M$4, FALSE), ""),
    IFERROR(HLOOKUP($D$29, Quarterly!$A$101:$AX$200, M$4, FALSE), "")
  ),
"")</f>
        <v>4338589000</v>
      </c>
      <c r="N29" s="248">
        <f>IFERROR(
  IF($E$3="Annual",
    IFERROR(HLOOKUP($D$29, Annual!$A$46:$AX$100, N$4, FALSE), ""),
    IFERROR(HLOOKUP($D$29, Quarterly!$A$101:$AX$200, N$4, FALSE), "")
  ),
"")</f>
        <v>4338589000</v>
      </c>
      <c r="O29" s="248">
        <f>IFERROR(
  IF($E$3="Annual",
    IFERROR(HLOOKUP($D$29, Annual!$A$46:$AX$100, O$4, FALSE), ""),
    IFERROR(HLOOKUP($D$29, Quarterly!$A$101:$AX$200, O$4, FALSE), "")
  ),
"")</f>
        <v>4338589000</v>
      </c>
      <c r="P29" s="248">
        <f>IFERROR(
  IF($E$3="Annual",
    IFERROR(HLOOKUP($D$29, Annual!$A$46:$AX$100, P$4, FALSE), ""),
    IFERROR(HLOOKUP($D$29, Quarterly!$A$101:$AX$200, P$4, FALSE), "")
  ),
"")</f>
        <v>4338589000</v>
      </c>
      <c r="Q29" s="248">
        <f>IFERROR(
  IF($E$3="Annual",
    IFERROR(HLOOKUP($D$29, Annual!$A$46:$AX$100, Q$4, FALSE), ""),
    IFERROR(HLOOKUP($D$29, Quarterly!$A$101:$AX$200, Q$4, FALSE), "")
  ),
"")</f>
        <v>4338589000</v>
      </c>
      <c r="R29" s="248">
        <f>IFERROR(
  IF($E$3="Annual",
    IFERROR(HLOOKUP($D$29, Annual!$A$46:$AX$100, R$4, FALSE), ""),
    IFERROR(HLOOKUP($D$29, Quarterly!$A$101:$AX$200, R$4, FALSE), "")
  ),
"")</f>
        <v>4338589000</v>
      </c>
      <c r="T29" s="27">
        <f t="shared" si="0"/>
        <v>4338589000</v>
      </c>
      <c r="U29">
        <f t="shared" si="1"/>
        <v>433858900</v>
      </c>
    </row>
    <row r="30" spans="1:21" ht="15.75" customHeight="1">
      <c r="A30" s="259" t="str">
        <f ca="1">HYPERLINK("http://openinsider.com/"&amp;B2, "Insiders")</f>
        <v>Insiders</v>
      </c>
      <c r="D30" s="16" t="s">
        <v>152</v>
      </c>
      <c r="E30" s="56" t="s">
        <v>257</v>
      </c>
      <c r="F30" s="250">
        <f>IFERROR(
  IF($E$3="Annual",
    IFERROR(HLOOKUP($D$30, Annual!$A$46:$AX$100, F$4, FALSE), ""),
    IFERROR(HLOOKUP($D$30, Quarterly!$A$101:$AX$200, F$4, FALSE), "")
  ),
"")</f>
        <v>1219543000</v>
      </c>
      <c r="G30" s="250">
        <f>IFERROR(
  IF($E$3="Annual",
    IFERROR(HLOOKUP($D$30, Annual!$A$46:$AX$100, G$4, FALSE), ""),
    IFERROR(HLOOKUP($D$30, Quarterly!$A$101:$AX$200, G$4, FALSE), "")
  ),
"")</f>
        <v>1207645000</v>
      </c>
      <c r="H30" s="250">
        <f>IFERROR(
  IF($E$3="Annual",
    IFERROR(HLOOKUP($D$30, Annual!$A$46:$AX$100, H$4, FALSE), ""),
    IFERROR(HLOOKUP($D$30, Quarterly!$A$101:$AX$200, H$4, FALSE), "")
  ),
"")</f>
        <v>1201870000</v>
      </c>
      <c r="I30" s="250">
        <f>IFERROR(
  IF($E$3="Annual",
    IFERROR(HLOOKUP($D$30, Annual!$A$46:$AX$100, I$4, FALSE), ""),
    IFERROR(HLOOKUP($D$30, Quarterly!$A$101:$AX$200, I$4, FALSE), "")
  ),
"")</f>
        <v>1200994000</v>
      </c>
      <c r="J30" s="250">
        <f>IFERROR(
  IF($E$3="Annual",
    IFERROR(HLOOKUP($D$30, Annual!$A$46:$AX$100, J$4, FALSE), ""),
    IFERROR(HLOOKUP($D$30, Quarterly!$A$101:$AX$200, J$4, FALSE), "")
  ),
"")</f>
        <v>1200659000</v>
      </c>
      <c r="K30" s="250">
        <f>IFERROR(
  IF($E$3="Annual",
    IFERROR(HLOOKUP($D$30, Annual!$A$46:$AX$100, K$4, FALSE), ""),
    IFERROR(HLOOKUP($D$30, Quarterly!$A$101:$AX$200, K$4, FALSE), "")
  ),
"")</f>
        <v>1200428000</v>
      </c>
      <c r="L30" s="250">
        <f>IFERROR(
  IF($E$3="Annual",
    IFERROR(HLOOKUP($D$30, Annual!$A$46:$AX$100, L$4, FALSE), ""),
    IFERROR(HLOOKUP($D$30, Quarterly!$A$101:$AX$200, L$4, FALSE), "")
  ),
"")</f>
        <v>1200217000</v>
      </c>
      <c r="M30" s="250">
        <f>IFERROR(
  IF($E$3="Annual",
    IFERROR(HLOOKUP($D$30, Annual!$A$46:$AX$100, M$4, FALSE), ""),
    IFERROR(HLOOKUP($D$30, Quarterly!$A$101:$AX$200, M$4, FALSE), "")
  ),
"")</f>
        <v>1200006000</v>
      </c>
      <c r="N30" s="250">
        <f>IFERROR(
  IF($E$3="Annual",
    IFERROR(HLOOKUP($D$30, Annual!$A$46:$AX$100, N$4, FALSE), ""),
    IFERROR(HLOOKUP($D$30, Quarterly!$A$101:$AX$200, N$4, FALSE), "")
  ),
"")</f>
        <v>1199870000</v>
      </c>
      <c r="O30" s="250">
        <f>IFERROR(
  IF($E$3="Annual",
    IFERROR(HLOOKUP($D$30, Annual!$A$46:$AX$100, O$4, FALSE), ""),
    IFERROR(HLOOKUP($D$30, Quarterly!$A$101:$AX$200, O$4, FALSE), "")
  ),
"")</f>
        <v>1199750000</v>
      </c>
      <c r="P30" s="250">
        <f>IFERROR(
  IF($E$3="Annual",
    IFERROR(HLOOKUP($D$30, Annual!$A$46:$AX$100, P$4, FALSE), ""),
    IFERROR(HLOOKUP($D$30, Quarterly!$A$101:$AX$200, P$4, FALSE), "")
  ),
"")</f>
        <v>1199700000</v>
      </c>
      <c r="Q30" s="250">
        <f>IFERROR(
  IF($E$3="Annual",
    IFERROR(HLOOKUP($D$30, Annual!$A$46:$AX$100, Q$4, FALSE), ""),
    IFERROR(HLOOKUP($D$30, Quarterly!$A$101:$AX$200, Q$4, FALSE), "")
  ),
"")</f>
        <v>1199700000</v>
      </c>
      <c r="R30" s="250">
        <f>IFERROR(
  IF($E$3="Annual",
    IFERROR(HLOOKUP($D$30, Annual!$A$46:$AX$100, R$4, FALSE), ""),
    IFERROR(HLOOKUP($D$30, Quarterly!$A$101:$AX$200, R$4, FALSE), "")
  ),
"")</f>
        <v>1199700000</v>
      </c>
      <c r="T30" s="27">
        <f t="shared" si="0"/>
        <v>1200102400</v>
      </c>
      <c r="U30">
        <f t="shared" si="1"/>
        <v>120010240</v>
      </c>
    </row>
    <row r="31" spans="1:21" ht="15.75" customHeight="1">
      <c r="A31" s="259"/>
      <c r="D31" s="16" t="s">
        <v>150</v>
      </c>
      <c r="E31" s="55" t="s">
        <v>200</v>
      </c>
      <c r="F31" s="250">
        <f>IFERROR(
  IF($E$3="Annual",
    IFERROR(HLOOKUP($D$31, Annual!$A$46:$AX$100, F$4, FALSE), ""),
    IFERROR(HLOOKUP($D$31, Quarterly!$A$101:$AX$200, F$4, FALSE), "")
  ),
"")</f>
        <v>2088665000</v>
      </c>
      <c r="G31" s="250">
        <f>IFERROR(
  IF($E$3="Annual",
    IFERROR(HLOOKUP($D$31, Annual!$A$46:$AX$100, G$4, FALSE), ""),
    IFERROR(HLOOKUP($D$31, Quarterly!$A$101:$AX$200, G$4, FALSE), "")
  ),
"")</f>
        <v>2080305000</v>
      </c>
      <c r="H31" s="250">
        <f>IFERROR(
  IF($E$3="Annual",
    IFERROR(HLOOKUP($D$31, Annual!$A$46:$AX$100, H$4, FALSE), ""),
    IFERROR(HLOOKUP($D$31, Quarterly!$A$101:$AX$200, H$4, FALSE), "")
  ),
"")</f>
        <v>2116075000</v>
      </c>
      <c r="I31" s="250">
        <f>IFERROR(
  IF($E$3="Annual",
    IFERROR(HLOOKUP($D$31, Annual!$A$46:$AX$100, I$4, FALSE), ""),
    IFERROR(HLOOKUP($D$31, Quarterly!$A$101:$AX$200, I$4, FALSE), "")
  ),
"")</f>
        <v>2264062000</v>
      </c>
      <c r="J31" s="250">
        <f>IFERROR(
  IF($E$3="Annual",
    IFERROR(HLOOKUP($D$31, Annual!$A$46:$AX$100, J$4, FALSE), ""),
    IFERROR(HLOOKUP($D$31, Quarterly!$A$101:$AX$200, J$4, FALSE), "")
  ),
"")</f>
        <v>2434456000</v>
      </c>
      <c r="K31" s="250">
        <f>IFERROR(
  IF($E$3="Annual",
    IFERROR(HLOOKUP($D$31, Annual!$A$46:$AX$100, K$4, FALSE), ""),
    IFERROR(HLOOKUP($D$31, Quarterly!$A$101:$AX$200, K$4, FALSE), "")
  ),
"")</f>
        <v>2701282000</v>
      </c>
      <c r="L31" s="250">
        <f>IFERROR(
  IF($E$3="Annual",
    IFERROR(HLOOKUP($D$31, Annual!$A$46:$AX$100, L$4, FALSE), ""),
    IFERROR(HLOOKUP($D$31, Quarterly!$A$101:$AX$200, L$4, FALSE), "")
  ),
"")</f>
        <v>2970806000</v>
      </c>
      <c r="M31" s="250">
        <f>IFERROR(
  IF($E$3="Annual",
    IFERROR(HLOOKUP($D$31, Annual!$A$46:$AX$100, M$4, FALSE), ""),
    IFERROR(HLOOKUP($D$31, Quarterly!$A$101:$AX$200, M$4, FALSE), "")
  ),
"")</f>
        <v>3278359000</v>
      </c>
      <c r="N31" s="250">
        <f>IFERROR(
  IF($E$3="Annual",
    IFERROR(HLOOKUP($D$31, Annual!$A$46:$AX$100, N$4, FALSE), ""),
    IFERROR(HLOOKUP($D$31, Quarterly!$A$101:$AX$200, N$4, FALSE), "")
  ),
"")</f>
        <v>13373327000</v>
      </c>
      <c r="O31" s="250">
        <f>IFERROR(
  IF($E$3="Annual",
    IFERROR(HLOOKUP($D$31, Annual!$A$46:$AX$100, O$4, FALSE), ""),
    IFERROR(HLOOKUP($D$31, Quarterly!$A$101:$AX$200, O$4, FALSE), "")
  ),
"")</f>
        <v>4346127000</v>
      </c>
      <c r="P31" s="250">
        <f>IFERROR(
  IF($E$3="Annual",
    IFERROR(HLOOKUP($D$31, Annual!$A$46:$AX$100, P$4, FALSE), ""),
    IFERROR(HLOOKUP($D$31, Quarterly!$A$101:$AX$200, P$4, FALSE), "")
  ),
"")</f>
        <v>15906323000</v>
      </c>
      <c r="Q31" s="250">
        <f>IFERROR(
  IF($E$3="Annual",
    IFERROR(HLOOKUP($D$31, Annual!$A$46:$AX$100, Q$4, FALSE), ""),
    IFERROR(HLOOKUP($D$31, Quarterly!$A$101:$AX$200, Q$4, FALSE), "")
  ),
"")</f>
        <v>0</v>
      </c>
      <c r="R31" s="250">
        <f>IFERROR(
  IF($E$3="Annual",
    IFERROR(HLOOKUP($D$31, Annual!$A$46:$AX$100, R$4, FALSE), ""),
    IFERROR(HLOOKUP($D$31, Quarterly!$A$101:$AX$200, R$4, FALSE), "")
  ),
"")</f>
        <v>0</v>
      </c>
      <c r="T31" s="27">
        <f t="shared" si="0"/>
        <v>4727474200</v>
      </c>
      <c r="U31">
        <f t="shared" si="1"/>
        <v>472747420</v>
      </c>
    </row>
    <row r="32" spans="1:21" ht="15.75" customHeight="1">
      <c r="D32" s="16" t="s">
        <v>143</v>
      </c>
      <c r="E32" s="56" t="s">
        <v>256</v>
      </c>
      <c r="F32" s="250">
        <f>IFERROR(
  IF($E$3="Annual",
    IFERROR(HLOOKUP($D$32, Annual!$A$46:$AX$100, F$4, FALSE), ""),
    IFERROR(HLOOKUP($D$32, Quarterly!$A$101:$AX$200, F$4, FALSE), "")
  ),
"")</f>
        <v>10367682000</v>
      </c>
      <c r="G32" s="250">
        <f>IFERROR(
  IF($E$3="Annual",
    IFERROR(HLOOKUP($D$32, Annual!$A$46:$AX$100, G$4, FALSE), ""),
    IFERROR(HLOOKUP($D$32, Quarterly!$A$101:$AX$200, G$4, FALSE), "")
  ),
"")</f>
        <v>10867524000</v>
      </c>
      <c r="H32" s="250">
        <f>IFERROR(
  IF($E$3="Annual",
    IFERROR(HLOOKUP($D$32, Annual!$A$46:$AX$100, H$4, FALSE), ""),
    IFERROR(HLOOKUP($D$32, Quarterly!$A$101:$AX$200, H$4, FALSE), "")
  ),
"")</f>
        <v>11224104000</v>
      </c>
      <c r="I32" s="250">
        <f>IFERROR(
  IF($E$3="Annual",
    IFERROR(HLOOKUP($D$32, Annual!$A$46:$AX$100, I$4, FALSE), ""),
    IFERROR(HLOOKUP($D$32, Quarterly!$A$101:$AX$200, I$4, FALSE), "")
  ),
"")</f>
        <v>11257885000</v>
      </c>
      <c r="J32" s="250">
        <f>IFERROR(
  IF($E$3="Annual",
    IFERROR(HLOOKUP($D$32, Annual!$A$46:$AX$100, J$4, FALSE), ""),
    IFERROR(HLOOKUP($D$32, Quarterly!$A$101:$AX$200, J$4, FALSE), "")
  ),
"")</f>
        <v>11672298000</v>
      </c>
      <c r="K32" s="250">
        <f>IFERROR(
  IF($E$3="Annual",
    IFERROR(HLOOKUP($D$32, Annual!$A$46:$AX$100, K$4, FALSE), ""),
    IFERROR(HLOOKUP($D$32, Quarterly!$A$101:$AX$200, K$4, FALSE), "")
  ),
"")</f>
        <v>12516911000</v>
      </c>
      <c r="L32" s="250">
        <f>IFERROR(
  IF($E$3="Annual",
    IFERROR(HLOOKUP($D$32, Annual!$A$46:$AX$100, L$4, FALSE), ""),
    IFERROR(HLOOKUP($D$32, Quarterly!$A$101:$AX$200, L$4, FALSE), "")
  ),
"")</f>
        <v>13204038000</v>
      </c>
      <c r="M32" s="250">
        <f>IFERROR(
  IF($E$3="Annual",
    IFERROR(HLOOKUP($D$32, Annual!$A$46:$AX$100, M$4, FALSE), ""),
    IFERROR(HLOOKUP($D$32, Quarterly!$A$101:$AX$200, M$4, FALSE), "")
  ),
"")</f>
        <v>22825084000</v>
      </c>
      <c r="N32" s="250">
        <f>IFERROR(
  IF($E$3="Annual",
    IFERROR(HLOOKUP($D$32, Annual!$A$46:$AX$100, N$4, FALSE), ""),
    IFERROR(HLOOKUP($D$32, Quarterly!$A$101:$AX$200, N$4, FALSE), "")
  ),
"")</f>
        <v>25862624000</v>
      </c>
      <c r="O32" s="250">
        <f>IFERROR(
  IF($E$3="Annual",
    IFERROR(HLOOKUP($D$32, Annual!$A$46:$AX$100, O$4, FALSE), ""),
    IFERROR(HLOOKUP($D$32, Quarterly!$A$101:$AX$200, O$4, FALSE), "")
  ),
"")</f>
        <v>26327371000</v>
      </c>
      <c r="P32" s="250">
        <f>IFERROR(
  IF($E$3="Annual",
    IFERROR(HLOOKUP($D$32, Annual!$A$46:$AX$100, P$4, FALSE), ""),
    IFERROR(HLOOKUP($D$32, Quarterly!$A$101:$AX$200, P$4, FALSE), "")
  ),
"")</f>
        <v>29083367000</v>
      </c>
      <c r="Q32" s="250">
        <f>IFERROR(
  IF($E$3="Annual",
    IFERROR(HLOOKUP($D$32, Annual!$A$46:$AX$100, Q$4, FALSE), ""),
    IFERROR(HLOOKUP($D$32, Quarterly!$A$101:$AX$200, Q$4, FALSE), "")
  ),
"")</f>
        <v>30795591000</v>
      </c>
      <c r="R32" s="250">
        <f>IFERROR(
  IF($E$3="Annual",
    IFERROR(HLOOKUP($D$32, Annual!$A$46:$AX$100, R$4, FALSE), ""),
    IFERROR(HLOOKUP($D$32, Quarterly!$A$101:$AX$200, R$4, FALSE), "")
  ),
"")</f>
        <v>31132733000</v>
      </c>
      <c r="T32" s="27">
        <f t="shared" si="0"/>
        <v>21467790200</v>
      </c>
      <c r="U32">
        <f t="shared" si="1"/>
        <v>2146779020</v>
      </c>
    </row>
    <row r="33" spans="1:21" ht="15.75" customHeight="1">
      <c r="D33" s="16" t="s">
        <v>161</v>
      </c>
      <c r="E33" s="55" t="s">
        <v>258</v>
      </c>
      <c r="F33" s="250">
        <f>IFERROR(
  IF($E$3="Annual",
    IFERROR(HLOOKUP($D$33, Annual!$A$46:$AX$100, F$4, FALSE), ""),
    IFERROR(HLOOKUP($D$33, Quarterly!$A$101:$AX$200, F$4, FALSE), "")
  ),
"")</f>
        <v>1738547000</v>
      </c>
      <c r="G33" s="250">
        <f>IFERROR(
  IF($E$3="Annual",
    IFERROR(HLOOKUP($D$33, Annual!$A$46:$AX$100, G$4, FALSE), ""),
    IFERROR(HLOOKUP($D$33, Quarterly!$A$101:$AX$200, G$4, FALSE), "")
  ),
"")</f>
        <v>1811971000</v>
      </c>
      <c r="H33" s="250">
        <f>IFERROR(
  IF($E$3="Annual",
    IFERROR(HLOOKUP($D$33, Annual!$A$46:$AX$100, H$4, FALSE), ""),
    IFERROR(HLOOKUP($D$33, Quarterly!$A$101:$AX$200, H$4, FALSE), "")
  ),
"")</f>
        <v>1987740000</v>
      </c>
      <c r="I33" s="250">
        <f>IFERROR(
  IF($E$3="Annual",
    IFERROR(HLOOKUP($D$33, Annual!$A$46:$AX$100, I$4, FALSE), ""),
    IFERROR(HLOOKUP($D$33, Quarterly!$A$101:$AX$200, I$4, FALSE), "")
  ),
"")</f>
        <v>1995596000</v>
      </c>
      <c r="J33" s="250">
        <f>IFERROR(
  IF($E$3="Annual",
    IFERROR(HLOOKUP($D$33, Annual!$A$46:$AX$100, J$4, FALSE), ""),
    IFERROR(HLOOKUP($D$33, Quarterly!$A$101:$AX$200, J$4, FALSE), "")
  ),
"")</f>
        <v>2622805000</v>
      </c>
      <c r="K33" s="250">
        <f>IFERROR(
  IF($E$3="Annual",
    IFERROR(HLOOKUP($D$33, Annual!$A$46:$AX$100, K$4, FALSE), ""),
    IFERROR(HLOOKUP($D$33, Quarterly!$A$101:$AX$200, K$4, FALSE), "")
  ),
"")</f>
        <v>2964878000</v>
      </c>
      <c r="L33" s="250">
        <f>IFERROR(
  IF($E$3="Annual",
    IFERROR(HLOOKUP($D$33, Annual!$A$46:$AX$100, L$4, FALSE), ""),
    IFERROR(HLOOKUP($D$33, Quarterly!$A$101:$AX$200, L$4, FALSE), "")
  ),
"")</f>
        <v>3015857000</v>
      </c>
      <c r="M33" s="250">
        <f>IFERROR(
  IF($E$3="Annual",
    IFERROR(HLOOKUP($D$33, Annual!$A$46:$AX$100, M$4, FALSE), ""),
    IFERROR(HLOOKUP($D$33, Quarterly!$A$101:$AX$200, M$4, FALSE), "")
  ),
"")</f>
        <v>4543560000</v>
      </c>
      <c r="N33" s="250">
        <f>IFERROR(
  IF($E$3="Annual",
    IFERROR(HLOOKUP($D$33, Annual!$A$46:$AX$100, N$4, FALSE), ""),
    IFERROR(HLOOKUP($D$33, Quarterly!$A$101:$AX$200, N$4, FALSE), "")
  ),
"")</f>
        <v>5710783000</v>
      </c>
      <c r="O33" s="250">
        <f>IFERROR(
  IF($E$3="Annual",
    IFERROR(HLOOKUP($D$33, Annual!$A$46:$AX$100, O$4, FALSE), ""),
    IFERROR(HLOOKUP($D$33, Quarterly!$A$101:$AX$200, O$4, FALSE), "")
  ),
"")</f>
        <v>5979357000</v>
      </c>
      <c r="P33" s="250">
        <f>IFERROR(
  IF($E$3="Annual",
    IFERROR(HLOOKUP($D$33, Annual!$A$46:$AX$100, P$4, FALSE), ""),
    IFERROR(HLOOKUP($D$33, Quarterly!$A$101:$AX$200, P$4, FALSE), "")
  ),
"")</f>
        <v>5887768000</v>
      </c>
      <c r="Q33" s="250">
        <f>IFERROR(
  IF($E$3="Annual",
    IFERROR(HLOOKUP($D$33, Annual!$A$46:$AX$100, Q$4, FALSE), ""),
    IFERROR(HLOOKUP($D$33, Quarterly!$A$101:$AX$200, Q$4, FALSE), "")
  ),
"")</f>
        <v>6725701000</v>
      </c>
      <c r="R33" s="250">
        <f>IFERROR(
  IF($E$3="Annual",
    IFERROR(HLOOKUP($D$33, Annual!$A$46:$AX$100, R$4, FALSE), ""),
    IFERROR(HLOOKUP($D$33, Quarterly!$A$101:$AX$200, R$4, FALSE), "")
  ),
"")</f>
        <v>6868702000</v>
      </c>
      <c r="T33" s="27">
        <f t="shared" si="0"/>
        <v>4631500700</v>
      </c>
      <c r="U33">
        <f t="shared" si="1"/>
        <v>463150070</v>
      </c>
    </row>
    <row r="34" spans="1:21" ht="15.75" customHeight="1">
      <c r="D34" s="16" t="s">
        <v>74</v>
      </c>
      <c r="E34" s="56" t="s">
        <v>201</v>
      </c>
      <c r="F34" s="250">
        <f>IFERROR(
  IF($E$3="Annual",
    IFERROR(HLOOKUP($D$34, Annual!$A$46:$AX$100, F$4, FALSE), ""),
    IFERROR(HLOOKUP($D$34, Quarterly!$A$101:$AX$200, F$4, FALSE), "")
  ),
"")</f>
        <v>2771336000</v>
      </c>
      <c r="G34" s="250">
        <f>IFERROR(
  IF($E$3="Annual",
    IFERROR(HLOOKUP($D$34, Annual!$A$46:$AX$100, G$4, FALSE), ""),
    IFERROR(HLOOKUP($D$34, Quarterly!$A$101:$AX$200, G$4, FALSE), "")
  ),
"")</f>
        <v>2742788000</v>
      </c>
      <c r="H34" s="250">
        <f>IFERROR(
  IF($E$3="Annual",
    IFERROR(HLOOKUP($D$34, Annual!$A$46:$AX$100, H$4, FALSE), ""),
    IFERROR(HLOOKUP($D$34, Quarterly!$A$101:$AX$200, H$4, FALSE), "")
  ),
"")</f>
        <v>2639427000</v>
      </c>
      <c r="I34" s="250">
        <f>IFERROR(
  IF($E$3="Annual",
    IFERROR(HLOOKUP($D$34, Annual!$A$46:$AX$100, I$4, FALSE), ""),
    IFERROR(HLOOKUP($D$34, Quarterly!$A$101:$AX$200, I$4, FALSE), "")
  ),
"")</f>
        <v>2965533000</v>
      </c>
      <c r="J34" s="250">
        <f>IFERROR(
  IF($E$3="Annual",
    IFERROR(HLOOKUP($D$34, Annual!$A$46:$AX$100, J$4, FALSE), ""),
    IFERROR(HLOOKUP($D$34, Quarterly!$A$101:$AX$200, J$4, FALSE), "")
  ),
"")</f>
        <v>2710576000</v>
      </c>
      <c r="K34" s="250">
        <f>IFERROR(
  IF($E$3="Annual",
    IFERROR(HLOOKUP($D$34, Annual!$A$46:$AX$100, K$4, FALSE), ""),
    IFERROR(HLOOKUP($D$34, Quarterly!$A$101:$AX$200, K$4, FALSE), "")
  ),
"")</f>
        <v>2604613000</v>
      </c>
      <c r="L34" s="250">
        <f>IFERROR(
  IF($E$3="Annual",
    IFERROR(HLOOKUP($D$34, Annual!$A$46:$AX$100, L$4, FALSE), ""),
    IFERROR(HLOOKUP($D$34, Quarterly!$A$101:$AX$200, L$4, FALSE), "")
  ),
"")</f>
        <v>2862740000</v>
      </c>
      <c r="M34" s="250">
        <f>IFERROR(
  IF($E$3="Annual",
    IFERROR(HLOOKUP($D$34, Annual!$A$46:$AX$100, M$4, FALSE), ""),
    IFERROR(HLOOKUP($D$34, Quarterly!$A$101:$AX$200, M$4, FALSE), "")
  ),
"")</f>
        <v>2911438000</v>
      </c>
      <c r="N34" s="250">
        <f>IFERROR(
  IF($E$3="Annual",
    IFERROR(HLOOKUP($D$34, Annual!$A$46:$AX$100, N$4, FALSE), ""),
    IFERROR(HLOOKUP($D$34, Quarterly!$A$101:$AX$200, N$4, FALSE), "")
  ),
"")</f>
        <v>4130975000</v>
      </c>
      <c r="O34" s="250">
        <f>IFERROR(
  IF($E$3="Annual",
    IFERROR(HLOOKUP($D$34, Annual!$A$46:$AX$100, O$4, FALSE), ""),
    IFERROR(HLOOKUP($D$34, Quarterly!$A$101:$AX$200, O$4, FALSE), "")
  ),
"")</f>
        <v>4172068000</v>
      </c>
      <c r="P34" s="250">
        <f>IFERROR(
  IF($E$3="Annual",
    IFERROR(HLOOKUP($D$34, Annual!$A$46:$AX$100, P$4, FALSE), ""),
    IFERROR(HLOOKUP($D$34, Quarterly!$A$101:$AX$200, P$4, FALSE), "")
  ),
"")</f>
        <v>7009399000</v>
      </c>
      <c r="Q34" s="250">
        <f>IFERROR(
  IF($E$3="Annual",
    IFERROR(HLOOKUP($D$34, Annual!$A$46:$AX$100, Q$4, FALSE), ""),
    IFERROR(HLOOKUP($D$34, Quarterly!$A$101:$AX$200, Q$4, FALSE), "")
  ),
"")</f>
        <v>6231539000</v>
      </c>
      <c r="R34" s="250">
        <f>IFERROR(
  IF($E$3="Annual",
    IFERROR(HLOOKUP($D$34, Annual!$A$46:$AX$100, R$4, FALSE), ""),
    IFERROR(HLOOKUP($D$34, Quarterly!$A$101:$AX$200, R$4, FALSE), "")
  ),
"")</f>
        <v>5719025000</v>
      </c>
      <c r="T34" s="27">
        <f t="shared" si="0"/>
        <v>4131790600</v>
      </c>
      <c r="U34">
        <f t="shared" si="1"/>
        <v>413179060</v>
      </c>
    </row>
    <row r="35" spans="1:21" ht="15.75" customHeight="1">
      <c r="A35" s="230" t="s">
        <v>191</v>
      </c>
      <c r="D35" s="16" t="s">
        <v>160</v>
      </c>
      <c r="E35" s="55" t="s">
        <v>259</v>
      </c>
      <c r="F35" s="250">
        <f>IFERROR(
  IF($E$3="Annual",
    IFERROR(HLOOKUP($D$35, Annual!$A$46:$AX$100, F$4, FALSE), ""),
    IFERROR(HLOOKUP($D$35, Quarterly!$A$101:$AX$200, F$4, FALSE), "")
  ),
"")</f>
        <v>5382352000</v>
      </c>
      <c r="G35" s="250">
        <f>IFERROR(
  IF($E$3="Annual",
    IFERROR(HLOOKUP($D$35, Annual!$A$46:$AX$100, G$4, FALSE), ""),
    IFERROR(HLOOKUP($D$35, Quarterly!$A$101:$AX$200, G$4, FALSE), "")
  ),
"")</f>
        <v>5465331000</v>
      </c>
      <c r="H35" s="250">
        <f>IFERROR(
  IF($E$3="Annual",
    IFERROR(HLOOKUP($D$35, Annual!$A$46:$AX$100, H$4, FALSE), ""),
    IFERROR(HLOOKUP($D$35, Quarterly!$A$101:$AX$200, H$4, FALSE), "")
  ),
"")</f>
        <v>5514066000</v>
      </c>
      <c r="I35" s="250">
        <f>IFERROR(
  IF($E$3="Annual",
    IFERROR(HLOOKUP($D$35, Annual!$A$46:$AX$100, I$4, FALSE), ""),
    IFERROR(HLOOKUP($D$35, Quarterly!$A$101:$AX$200, I$4, FALSE), "")
  ),
"")</f>
        <v>5880009000</v>
      </c>
      <c r="J35" s="250">
        <f>IFERROR(
  IF($E$3="Annual",
    IFERROR(HLOOKUP($D$35, Annual!$A$46:$AX$100, J$4, FALSE), ""),
    IFERROR(HLOOKUP($D$35, Quarterly!$A$101:$AX$200, J$4, FALSE), "")
  ),
"")</f>
        <v>6266004000</v>
      </c>
      <c r="K35" s="250">
        <f>IFERROR(
  IF($E$3="Annual",
    IFERROR(HLOOKUP($D$35, Annual!$A$46:$AX$100, K$4, FALSE), ""),
    IFERROR(HLOOKUP($D$35, Quarterly!$A$101:$AX$200, K$4, FALSE), "")
  ),
"")</f>
        <v>6391137000</v>
      </c>
      <c r="L35" s="250">
        <f>IFERROR(
  IF($E$3="Annual",
    IFERROR(HLOOKUP($D$35, Annual!$A$46:$AX$100, L$4, FALSE), ""),
    IFERROR(HLOOKUP($D$35, Quarterly!$A$101:$AX$200, L$4, FALSE), "")
  ),
"")</f>
        <v>6786645000</v>
      </c>
      <c r="M35" s="250">
        <f>IFERROR(
  IF($E$3="Annual",
    IFERROR(HLOOKUP($D$35, Annual!$A$46:$AX$100, M$4, FALSE), ""),
    IFERROR(HLOOKUP($D$35, Quarterly!$A$101:$AX$200, M$4, FALSE), "")
  ),
"")</f>
        <v>16122584000</v>
      </c>
      <c r="N35" s="250">
        <f>IFERROR(
  IF($E$3="Annual",
    IFERROR(HLOOKUP($D$35, Annual!$A$46:$AX$100, N$4, FALSE), ""),
    IFERROR(HLOOKUP($D$35, Quarterly!$A$101:$AX$200, N$4, FALSE), "")
  ),
"")</f>
        <v>19201386000</v>
      </c>
      <c r="O35" s="250">
        <f>IFERROR(
  IF($E$3="Annual",
    IFERROR(HLOOKUP($D$35, Annual!$A$46:$AX$100, O$4, FALSE), ""),
    IFERROR(HLOOKUP($D$35, Quarterly!$A$101:$AX$200, O$4, FALSE), "")
  ),
"")</f>
        <v>20065385000</v>
      </c>
      <c r="P35" s="250">
        <f>IFERROR(
  IF($E$3="Annual",
    IFERROR(HLOOKUP($D$35, Annual!$A$46:$AX$100, P$4, FALSE), ""),
    IFERROR(HLOOKUP($D$35, Quarterly!$A$101:$AX$200, P$4, FALSE), "")
  ),
"")</f>
        <v>23541595000</v>
      </c>
      <c r="Q35" s="250">
        <f>IFERROR(
  IF($E$3="Annual",
    IFERROR(HLOOKUP($D$35, Annual!$A$46:$AX$100, Q$4, FALSE), ""),
    IFERROR(HLOOKUP($D$35, Quarterly!$A$101:$AX$200, Q$4, FALSE), "")
  ),
"")</f>
        <v>24046472000</v>
      </c>
      <c r="R35" s="250">
        <f>IFERROR(
  IF($E$3="Annual",
    IFERROR(HLOOKUP($D$35, Annual!$A$46:$AX$100, R$4, FALSE), ""),
    IFERROR(HLOOKUP($D$35, Quarterly!$A$101:$AX$200, R$4, FALSE), "")
  ),
"")</f>
        <v>23719026000</v>
      </c>
      <c r="T35" s="27">
        <f t="shared" si="0"/>
        <v>15202024300</v>
      </c>
      <c r="U35">
        <f t="shared" si="1"/>
        <v>1520202430</v>
      </c>
    </row>
    <row r="36" spans="1:21" ht="15.75" customHeight="1">
      <c r="D36" t="s">
        <v>202</v>
      </c>
      <c r="E36" s="57" t="s">
        <v>533</v>
      </c>
      <c r="F36" s="250">
        <f t="shared" ref="F36:H36" si="5">(F34+F24)-F27</f>
        <v>7615857000</v>
      </c>
      <c r="G36" s="250">
        <f t="shared" si="5"/>
        <v>7639415000</v>
      </c>
      <c r="H36" s="250">
        <f t="shared" si="5"/>
        <v>7769642000</v>
      </c>
      <c r="I36" s="250">
        <f>(I34+I24)-I27</f>
        <v>8185462000</v>
      </c>
      <c r="J36" s="250">
        <f t="shared" ref="J36:Q36" si="6">(J34+J24)-J27</f>
        <v>7928955000</v>
      </c>
      <c r="K36" s="250">
        <f t="shared" si="6"/>
        <v>8462946000</v>
      </c>
      <c r="L36" s="250">
        <f t="shared" si="6"/>
        <v>9044646000</v>
      </c>
      <c r="M36" s="250">
        <f t="shared" si="6"/>
        <v>9373618000</v>
      </c>
      <c r="N36" s="250">
        <f t="shared" si="6"/>
        <v>9415636000</v>
      </c>
      <c r="O36" s="250">
        <f t="shared" si="6"/>
        <v>10089225000</v>
      </c>
      <c r="P36" s="250">
        <f t="shared" si="6"/>
        <v>12169595000</v>
      </c>
      <c r="Q36" s="250">
        <f t="shared" si="6"/>
        <v>12443375000</v>
      </c>
      <c r="R36" s="250">
        <f>(R34+R24)-R27</f>
        <v>12200156000</v>
      </c>
      <c r="T36" s="27">
        <f t="shared" si="0"/>
        <v>9931361400</v>
      </c>
      <c r="U36">
        <f t="shared" si="1"/>
        <v>993136140</v>
      </c>
    </row>
    <row r="37" spans="1:21" ht="15.75" customHeight="1">
      <c r="B37" s="20"/>
      <c r="D37" s="16" t="s">
        <v>163</v>
      </c>
      <c r="E37" s="55" t="s">
        <v>7</v>
      </c>
      <c r="F37" s="250" t="str">
        <f>IFERROR(
  IF($E$3="Annual",
    IFERROR(HLOOKUP($D$37, Annual!$A$91:$AX$100, F$4, FALSE), ""),
    IFERROR(HLOOKUP($D$37, Quarterly!$A$201:$AX$301, F$4, FALSE), "")
  ),
"")</f>
        <v/>
      </c>
      <c r="G37" s="250" t="str">
        <f>IFERROR(
  IF($E$3="Annual",
    IFERROR(HLOOKUP($D$37, Annual!$A$91:$AX$100, G$4, FALSE), ""),
    IFERROR(HLOOKUP($D$37, Quarterly!$A$201:$AX$301, G$4, FALSE), "")
  ),
"")</f>
        <v/>
      </c>
      <c r="H37" s="250" t="str">
        <f>IFERROR(
  IF($E$3="Annual",
    IFERROR(HLOOKUP($D$37, Annual!$A$91:$AX$100, H$4, FALSE), ""),
    IFERROR(HLOOKUP($D$37, Quarterly!$A$201:$AX$301, H$4, FALSE), "")
  ),
"")</f>
        <v/>
      </c>
      <c r="I37" s="250" t="str">
        <f>IFERROR(
  IF($E$3="Annual",
    IFERROR(HLOOKUP($D$37, Annual!$A$91:$AX$100, I$4, FALSE), ""),
    IFERROR(HLOOKUP($D$37, Quarterly!$A$201:$AX$301, I$4, FALSE), "")
  ),
"")</f>
        <v/>
      </c>
      <c r="J37" s="250">
        <f>IFERROR(
  IF($E$3="Annual",
    IFERROR(HLOOKUP($D$37, Annual!$A$91:$AX$100, J$4, FALSE), ""),
    IFERROR(HLOOKUP($D$37, Quarterly!$A$201:$AX$301, J$4, FALSE), "")
  ),
"")</f>
        <v>1605041000</v>
      </c>
      <c r="K37" s="250">
        <f>IFERROR(
  IF($E$3="Annual",
    IFERROR(HLOOKUP($D$37, Annual!$A$91:$AX$100, K$4, FALSE), ""),
    IFERROR(HLOOKUP($D$37, Quarterly!$A$201:$AX$301, K$4, FALSE), "")
  ),
"")</f>
        <v>1802108000</v>
      </c>
      <c r="L37" s="250">
        <f>IFERROR(
  IF($E$3="Annual",
    IFERROR(HLOOKUP($D$37, Annual!$A$91:$AX$100, L$4, FALSE), ""),
    IFERROR(HLOOKUP($D$37, Quarterly!$A$201:$AX$301, L$4, FALSE), "")
  ),
"")</f>
        <v>2143550000</v>
      </c>
      <c r="M37" s="250">
        <f>IFERROR(
  IF($E$3="Annual",
    IFERROR(HLOOKUP($D$37, Annual!$A$91:$AX$100, M$4, FALSE), ""),
    IFERROR(HLOOKUP($D$37, Quarterly!$A$201:$AX$301, M$4, FALSE), "")
  ),
"")</f>
        <v>2237998000</v>
      </c>
      <c r="N37" s="250">
        <f>IFERROR(
  IF($E$3="Annual",
    IFERROR(HLOOKUP($D$37, Annual!$A$91:$AX$100, N$4, FALSE), ""),
    IFERROR(HLOOKUP($D$37, Quarterly!$A$201:$AX$301, N$4, FALSE), "")
  ),
"")</f>
        <v>3876159000</v>
      </c>
      <c r="O37" s="250">
        <f>IFERROR(
  IF($E$3="Annual",
    IFERROR(HLOOKUP($D$37, Annual!$A$91:$AX$100, O$4, FALSE), ""),
    IFERROR(HLOOKUP($D$37, Quarterly!$A$201:$AX$301, O$4, FALSE), "")
  ),
"")</f>
        <v>2865811000</v>
      </c>
      <c r="P37" s="250">
        <f>IFERROR(
  IF($E$3="Annual",
    IFERROR(HLOOKUP($D$37, Annual!$A$91:$AX$100, P$4, FALSE), ""),
    IFERROR(HLOOKUP($D$37, Quarterly!$A$201:$AX$301, P$4, FALSE), "")
  ),
"")</f>
        <v>1984555000</v>
      </c>
      <c r="Q37" s="250">
        <f>IFERROR(
  IF($E$3="Annual",
    IFERROR(HLOOKUP($D$37, Annual!$A$91:$AX$100, Q$4, FALSE), ""),
    IFERROR(HLOOKUP($D$37, Quarterly!$A$201:$AX$301, Q$4, FALSE), "")
  ),
"")</f>
        <v>2391798000</v>
      </c>
      <c r="R37" s="250">
        <f>IFERROR(
  IF($E$3="Annual",
    IFERROR(HLOOKUP($D$37, Annual!$A$91:$AX$100, R$4, FALSE), ""),
    IFERROR(HLOOKUP($D$37, Quarterly!$A$201:$AX$301, R$4, FALSE), "")
  ),
"")</f>
        <v>2996064000</v>
      </c>
      <c r="T37" s="27">
        <f t="shared" si="0"/>
        <v>2433676000</v>
      </c>
      <c r="U37">
        <f t="shared" si="1"/>
        <v>243367600</v>
      </c>
    </row>
    <row r="38" spans="1:21" ht="15.75" hidden="1" customHeight="1">
      <c r="C38" s="19"/>
      <c r="D38" s="16"/>
      <c r="E38" s="264"/>
      <c r="F38" s="35">
        <f>IFERROR(
  IF($E$3="Annual",
    IFERROR(HLOOKUP(D38, Annual!$A$48:$AX$100, $F$4, FALSE), ""),
    IFERROR(HLOOKUP(D38, Quarterly!$A$170:$AX$200, $F$4, FALSE), "")
  ),
"")</f>
        <v>1524575000</v>
      </c>
      <c r="G38" s="35">
        <f>IFERROR(
  IF($E$3="Annual",
    IFERROR(HLOOKUP(D38, Annual!$A$48:$AX$100, $G$4, FALSE), ""),
    IFERROR(HLOOKUP(D38, Quarterly!$A$170:$AX$200, $G$4, FALSE), "")
  ),
"")</f>
        <v>1794960000</v>
      </c>
      <c r="H38" s="35">
        <f>IFERROR(
  IF($E$3="Annual",
    IFERROR(HLOOKUP(D38, Annual!$A$48:$AX$100, $H$4, FALSE), ""),
    IFERROR(HLOOKUP(D38, Quarterly!$A$170:$AX$200, $H$4, FALSE), "")
  ),
"")</f>
        <v>2088665000</v>
      </c>
      <c r="I38" s="265"/>
      <c r="J38" s="265"/>
      <c r="K38" s="265"/>
      <c r="L38" s="265"/>
      <c r="M38" s="265"/>
      <c r="N38" s="265"/>
      <c r="O38" s="265"/>
      <c r="P38" s="265"/>
      <c r="Q38" s="265"/>
      <c r="R38" s="249"/>
      <c r="T38" s="27"/>
    </row>
    <row r="39" spans="1:21" ht="15.75" customHeight="1">
      <c r="D39" s="16" t="s">
        <v>169</v>
      </c>
      <c r="E39" s="268" t="s">
        <v>203</v>
      </c>
      <c r="F39" s="250" t="str">
        <f>IFERROR(
  IF($E$3="Annual",
    IFERROR(HLOOKUP($D$39, Annual!$A$91:$AX$100, F$4, FALSE), ""),
    IFERROR(HLOOKUP($D$39, Quarterly!$A$201:$AX$301, F$4, FALSE), "")
  ),
"")</f>
        <v/>
      </c>
      <c r="G39" s="250" t="str">
        <f>IFERROR(
  IF($E$3="Annual",
    IFERROR(HLOOKUP($D$39, Annual!$A$91:$AX$100, G$4, FALSE), ""),
    IFERROR(HLOOKUP($D$39, Quarterly!$A$201:$AX$301, G$4, FALSE), "")
  ),
"")</f>
        <v/>
      </c>
      <c r="H39" s="250" t="str">
        <f>IFERROR(
  IF($E$3="Annual",
    IFERROR(HLOOKUP($D$39, Annual!$A$91:$AX$100, H$4, FALSE), ""),
    IFERROR(HLOOKUP($D$39, Quarterly!$A$201:$AX$301, H$4, FALSE), "")
  ),
"")</f>
        <v/>
      </c>
      <c r="I39" s="250" t="str">
        <f>IFERROR(
  IF($E$3="Annual",
    IFERROR(HLOOKUP($D$39, Annual!$A$91:$AX$100, I$4, FALSE), ""),
    IFERROR(HLOOKUP($D$39, Quarterly!$A$201:$AX$301, I$4, FALSE), "")
  ),
"")</f>
        <v/>
      </c>
      <c r="J39" s="250">
        <f>IFERROR(
  IF($E$3="Annual",
    IFERROR(HLOOKUP($D$39, Annual!$A$91:$AX$100, J$4, FALSE), ""),
    IFERROR(HLOOKUP($D$39, Quarterly!$A$201:$AX$301, J$4, FALSE), "")
  ),
"")</f>
        <v>560296000</v>
      </c>
      <c r="K39" s="250">
        <f>IFERROR(
  IF($E$3="Annual",
    IFERROR(HLOOKUP($D$39, Annual!$A$91:$AX$100, K$4, FALSE), ""),
    IFERROR(HLOOKUP($D$39, Quarterly!$A$201:$AX$301, K$4, FALSE), "")
  ),
"")</f>
        <v>646456000</v>
      </c>
      <c r="L39" s="250">
        <f>IFERROR(
  IF($E$3="Annual",
    IFERROR(HLOOKUP($D$39, Annual!$A$91:$AX$100, L$4, FALSE), ""),
    IFERROR(HLOOKUP($D$39, Quarterly!$A$201:$AX$301, L$4, FALSE), "")
  ),
"")</f>
        <v>734380000</v>
      </c>
      <c r="M39" s="250">
        <f>IFERROR(
  IF($E$3="Annual",
    IFERROR(HLOOKUP($D$39, Annual!$A$91:$AX$100, M$4, FALSE), ""),
    IFERROR(HLOOKUP($D$39, Quarterly!$A$201:$AX$301, M$4, FALSE), "")
  ),
"")</f>
        <v>784843000</v>
      </c>
      <c r="N39" s="250">
        <f>IFERROR(
  IF($E$3="Annual",
    IFERROR(HLOOKUP($D$39, Annual!$A$91:$AX$100, N$4, FALSE), ""),
    IFERROR(HLOOKUP($D$39, Quarterly!$A$201:$AX$301, N$4, FALSE), "")
  ),
"")</f>
        <v>1027963000</v>
      </c>
      <c r="O39" s="250">
        <f>IFERROR(
  IF($E$3="Annual",
    IFERROR(HLOOKUP($D$39, Annual!$A$91:$AX$100, O$4, FALSE), ""),
    IFERROR(HLOOKUP($D$39, Quarterly!$A$201:$AX$301, O$4, FALSE), "")
  ),
"")</f>
        <v>1070460000</v>
      </c>
      <c r="P39" s="250">
        <f>IFERROR(
  IF($E$3="Annual",
    IFERROR(HLOOKUP($D$39, Annual!$A$91:$AX$100, P$4, FALSE), ""),
    IFERROR(HLOOKUP($D$39, Quarterly!$A$201:$AX$301, P$4, FALSE), "")
  ),
"")</f>
        <v>1560582000</v>
      </c>
      <c r="Q39" s="250">
        <f>IFERROR(
  IF($E$3="Annual",
    IFERROR(HLOOKUP($D$39, Annual!$A$91:$AX$100, Q$4, FALSE), ""),
    IFERROR(HLOOKUP($D$39, Quarterly!$A$201:$AX$301, Q$4, FALSE), "")
  ),
"")</f>
        <v>1700222000</v>
      </c>
      <c r="R39" s="250">
        <f>IFERROR(
  IF($E$3="Annual",
    IFERROR(HLOOKUP($D$39, Annual!$A$91:$AX$100, R$4, FALSE), ""),
    IFERROR(HLOOKUP($D$39, Quarterly!$A$201:$AX$301, R$4, FALSE), "")
  ),
"")</f>
        <v>1309888000</v>
      </c>
      <c r="T39" s="27">
        <f t="shared" si="0"/>
        <v>1043898888.8888888</v>
      </c>
      <c r="U39">
        <f t="shared" si="1"/>
        <v>104389888.8888889</v>
      </c>
    </row>
    <row r="40" spans="1:21" ht="15.75" customHeight="1">
      <c r="D40" s="16" t="s">
        <v>156</v>
      </c>
      <c r="E40" s="55" t="s">
        <v>260</v>
      </c>
      <c r="F40" s="250">
        <f>IFERROR(
  IF($E$3="Annual",
    IFERROR(HLOOKUP($D$40, Annual!$A$46:$AX$100, F$4, FALSE), ""),
    IFERROR(HLOOKUP($D$40, Quarterly!$A$101:$AX$200, F$4, FALSE), "")
  ),
"")</f>
        <v>0</v>
      </c>
      <c r="G40" s="250">
        <f>IFERROR(
  IF($E$3="Annual",
    IFERROR(HLOOKUP($D$40, Annual!$A$46:$AX$100, G$4, FALSE), ""),
    IFERROR(HLOOKUP($D$40, Quarterly!$A$101:$AX$200, G$4, FALSE), "")
  ),
"")</f>
        <v>0</v>
      </c>
      <c r="H40" s="250">
        <f>IFERROR(
  IF($E$3="Annual",
    IFERROR(HLOOKUP($D$40, Annual!$A$46:$AX$100, H$4, FALSE), ""),
    IFERROR(HLOOKUP($D$40, Quarterly!$A$101:$AX$200, H$4, FALSE), "")
  ),
"")</f>
        <v>0</v>
      </c>
      <c r="I40" s="250">
        <f>IFERROR(
  IF($E$3="Annual",
    IFERROR(HLOOKUP($D$40, Annual!$A$46:$AX$100, I$4, FALSE), ""),
    IFERROR(HLOOKUP($D$40, Quarterly!$A$101:$AX$200, I$4, FALSE), "")
  ),
"")</f>
        <v>0</v>
      </c>
      <c r="J40" s="250">
        <f>IFERROR(
  IF($E$3="Annual",
    IFERROR(HLOOKUP($D$40, Annual!$A$46:$AX$100, J$4, FALSE), ""),
    IFERROR(HLOOKUP($D$40, Quarterly!$A$101:$AX$200, J$4, FALSE), "")
  ),
"")</f>
        <v>0</v>
      </c>
      <c r="K40" s="250">
        <f>IFERROR(
  IF($E$3="Annual",
    IFERROR(HLOOKUP($D$40, Annual!$A$46:$AX$100, K$4, FALSE), ""),
    IFERROR(HLOOKUP($D$40, Quarterly!$A$101:$AX$200, K$4, FALSE), "")
  ),
"")</f>
        <v>0</v>
      </c>
      <c r="L40" s="250">
        <f>IFERROR(
  IF($E$3="Annual",
    IFERROR(HLOOKUP($D$40, Annual!$A$46:$AX$100, L$4, FALSE), ""),
    IFERROR(HLOOKUP($D$40, Quarterly!$A$101:$AX$200, L$4, FALSE), "")
  ),
"")</f>
        <v>0</v>
      </c>
      <c r="M40" s="250">
        <f>IFERROR(
  IF($E$3="Annual",
    IFERROR(HLOOKUP($D$40, Annual!$A$46:$AX$100, M$4, FALSE), ""),
    IFERROR(HLOOKUP($D$40, Quarterly!$A$101:$AX$200, M$4, FALSE), "")
  ),
"")</f>
        <v>0</v>
      </c>
      <c r="N40" s="250">
        <f>IFERROR(
  IF($E$3="Annual",
    IFERROR(HLOOKUP($D$40, Annual!$A$46:$AX$100, N$4, FALSE), ""),
    IFERROR(HLOOKUP($D$40, Quarterly!$A$101:$AX$200, N$4, FALSE), "")
  ),
"")</f>
        <v>0</v>
      </c>
      <c r="O40" s="250">
        <f>IFERROR(
  IF($E$3="Annual",
    IFERROR(HLOOKUP($D$40, Annual!$A$46:$AX$100, O$4, FALSE), ""),
    IFERROR(HLOOKUP($D$40, Quarterly!$A$101:$AX$200, O$4, FALSE), "")
  ),
"")</f>
        <v>0</v>
      </c>
      <c r="P40" s="250">
        <f>IFERROR(
  IF($E$3="Annual",
    IFERROR(HLOOKUP($D$40, Annual!$A$46:$AX$100, P$4, FALSE), ""),
    IFERROR(HLOOKUP($D$40, Quarterly!$A$101:$AX$200, P$4, FALSE), "")
  ),
"")</f>
        <v>0</v>
      </c>
      <c r="Q40" s="250">
        <f>IFERROR(
  IF($E$3="Annual",
    IFERROR(HLOOKUP($D$40, Annual!$A$46:$AX$100, Q$4, FALSE), ""),
    IFERROR(HLOOKUP($D$40, Quarterly!$A$101:$AX$200, Q$4, FALSE), "")
  ),
"")</f>
        <v>0</v>
      </c>
      <c r="R40" s="250">
        <f>IFERROR(
  IF($E$3="Annual",
    IFERROR(HLOOKUP($D$40, Annual!$A$46:$AX$100, R$4, FALSE), ""),
    IFERROR(HLOOKUP($D$40, Quarterly!$A$101:$AX$200, R$4, FALSE), "")
  ),
"")</f>
        <v>0</v>
      </c>
      <c r="T40" s="27"/>
    </row>
    <row r="41" spans="1:21" ht="15.75" customHeight="1">
      <c r="D41" s="16" t="s">
        <v>173</v>
      </c>
      <c r="E41" s="56" t="s">
        <v>204</v>
      </c>
      <c r="F41" s="250" t="str">
        <f>IFERROR(
  IF($E$3="Annual",
    IFERROR(HLOOKUP($D$41, Annual!$A$91:$AX$100, F$4, FALSE), ""),
    IFERROR(HLOOKUP($D$41, Quarterly!$A$201:$AX$301, F$4, FALSE), "")
  ),
"")</f>
        <v/>
      </c>
      <c r="G41" s="250" t="str">
        <f>IFERROR(
  IF($E$3="Annual",
    IFERROR(HLOOKUP($D$41, Annual!$A$91:$AX$100, G$4, FALSE), ""),
    IFERROR(HLOOKUP($D$41, Quarterly!$A$201:$AX$301, G$4, FALSE), "")
  ),
"")</f>
        <v/>
      </c>
      <c r="H41" s="250" t="str">
        <f>IFERROR(
  IF($E$3="Annual",
    IFERROR(HLOOKUP($D$41, Annual!$A$91:$AX$100, H$4, FALSE), ""),
    IFERROR(HLOOKUP($D$41, Quarterly!$A$201:$AX$301, H$4, FALSE), "")
  ),
"")</f>
        <v/>
      </c>
      <c r="I41" s="250" t="str">
        <f>IFERROR(
  IF($E$3="Annual",
    IFERROR(HLOOKUP($D$41, Annual!$A$91:$AX$100, I$4, FALSE), ""),
    IFERROR(HLOOKUP($D$41, Quarterly!$A$201:$AX$301, I$4, FALSE), "")
  ),
"")</f>
        <v/>
      </c>
      <c r="J41" s="250">
        <f>IFERROR(
  IF($E$3="Annual",
    IFERROR(HLOOKUP($D$41, Annual!$A$91:$AX$100, J$4, FALSE), ""),
    IFERROR(HLOOKUP($D$41, Quarterly!$A$201:$AX$301, J$4, FALSE), "")
  ),
"")</f>
        <v>-550936000</v>
      </c>
      <c r="K41" s="250">
        <f>IFERROR(
  IF($E$3="Annual",
    IFERROR(HLOOKUP($D$41, Annual!$A$91:$AX$100, K$4, FALSE), ""),
    IFERROR(HLOOKUP($D$41, Quarterly!$A$201:$AX$301, K$4, FALSE), "")
  ),
"")</f>
        <v>-645028000</v>
      </c>
      <c r="L41" s="250">
        <f>IFERROR(
  IF($E$3="Annual",
    IFERROR(HLOOKUP($D$41, Annual!$A$91:$AX$100, L$4, FALSE), ""),
    IFERROR(HLOOKUP($D$41, Quarterly!$A$201:$AX$301, L$4, FALSE), "")
  ),
"")</f>
        <v>-731603000</v>
      </c>
      <c r="M41" s="250">
        <f>IFERROR(
  IF($E$3="Annual",
    IFERROR(HLOOKUP($D$41, Annual!$A$91:$AX$100, M$4, FALSE), ""),
    IFERROR(HLOOKUP($D$41, Quarterly!$A$201:$AX$301, M$4, FALSE), "")
  ),
"")</f>
        <v>-782485000</v>
      </c>
      <c r="N41" s="250">
        <f>IFERROR(
  IF($E$3="Annual",
    IFERROR(HLOOKUP($D$41, Annual!$A$91:$AX$100, N$4, FALSE), ""),
    IFERROR(HLOOKUP($D$41, Quarterly!$A$201:$AX$301, N$4, FALSE), "")
  ),
"")</f>
        <v>-1024910000</v>
      </c>
      <c r="O41" s="250">
        <f>IFERROR(
  IF($E$3="Annual",
    IFERROR(HLOOKUP($D$41, Annual!$A$91:$AX$100, O$4, FALSE), ""),
    IFERROR(HLOOKUP($D$41, Quarterly!$A$201:$AX$301, O$4, FALSE), "")
  ),
"")</f>
        <v>-1065557000</v>
      </c>
      <c r="P41" s="250">
        <f>IFERROR(
  IF($E$3="Annual",
    IFERROR(HLOOKUP($D$41, Annual!$A$91:$AX$100, P$4, FALSE), ""),
    IFERROR(HLOOKUP($D$41, Quarterly!$A$201:$AX$301, P$4, FALSE), "")
  ),
"")</f>
        <v>-1555346000</v>
      </c>
      <c r="Q41" s="250">
        <f>IFERROR(
  IF($E$3="Annual",
    IFERROR(HLOOKUP($D$41, Annual!$A$91:$AX$100, Q$4, FALSE), ""),
    IFERROR(HLOOKUP($D$41, Quarterly!$A$201:$AX$301, Q$4, FALSE), "")
  ),
"")</f>
        <v>0</v>
      </c>
      <c r="R41" s="250">
        <f>IFERROR(
  IF($E$3="Annual",
    IFERROR(HLOOKUP($D$41, Annual!$A$91:$AX$100, R$4, FALSE), ""),
    IFERROR(HLOOKUP($D$41, Quarterly!$A$201:$AX$301, R$4, FALSE), "")
  ),
"")</f>
        <v>0</v>
      </c>
      <c r="T41" s="27">
        <f t="shared" si="0"/>
        <v>-706207222.22222221</v>
      </c>
      <c r="U41">
        <f t="shared" si="1"/>
        <v>-70620722.222222224</v>
      </c>
    </row>
    <row r="42" spans="1:21" ht="15.75" customHeight="1">
      <c r="D42" s="16" t="s">
        <v>174</v>
      </c>
      <c r="E42" s="55" t="s">
        <v>205</v>
      </c>
      <c r="F42" s="250" t="str">
        <f>IFERROR(
  IF($E$3="Annual",
    IFERROR(HLOOKUP($D$42, Annual!$A$91:$AX$100, F$4, FALSE), ""),
    IFERROR(HLOOKUP($D$42, Quarterly!$A$201:$AX$301, F$4, FALSE), "")
  ),
"")</f>
        <v/>
      </c>
      <c r="G42" s="250" t="str">
        <f>IFERROR(
  IF($E$3="Annual",
    IFERROR(HLOOKUP($D$42, Annual!$A$91:$AX$100, G$4, FALSE), ""),
    IFERROR(HLOOKUP($D$42, Quarterly!$A$201:$AX$301, G$4, FALSE), "")
  ),
"")</f>
        <v/>
      </c>
      <c r="H42" s="250" t="str">
        <f>IFERROR(
  IF($E$3="Annual",
    IFERROR(HLOOKUP($D$42, Annual!$A$91:$AX$100, H$4, FALSE), ""),
    IFERROR(HLOOKUP($D$42, Quarterly!$A$201:$AX$301, H$4, FALSE), "")
  ),
"")</f>
        <v/>
      </c>
      <c r="I42" s="250" t="str">
        <f>IFERROR(
  IF($E$3="Annual",
    IFERROR(HLOOKUP($D$42, Annual!$A$91:$AX$100, I$4, FALSE), ""),
    IFERROR(HLOOKUP($D$42, Quarterly!$A$201:$AX$301, I$4, FALSE), "")
  ),
"")</f>
        <v/>
      </c>
      <c r="J42" s="250">
        <f>IFERROR(
  IF($E$3="Annual",
    IFERROR(HLOOKUP($D$42, Annual!$A$91:$AX$100, J$4, FALSE), ""),
    IFERROR(HLOOKUP($D$42, Quarterly!$A$201:$AX$301, J$4, FALSE), "")
  ),
"")</f>
        <v>-1024137000</v>
      </c>
      <c r="K42" s="250">
        <f>IFERROR(
  IF($E$3="Annual",
    IFERROR(HLOOKUP($D$42, Annual!$A$91:$AX$100, K$4, FALSE), ""),
    IFERROR(HLOOKUP($D$42, Quarterly!$A$201:$AX$301, K$4, FALSE), "")
  ),
"")</f>
        <v>-1077554000</v>
      </c>
      <c r="L42" s="250">
        <f>IFERROR(
  IF($E$3="Annual",
    IFERROR(HLOOKUP($D$42, Annual!$A$91:$AX$100, L$4, FALSE), ""),
    IFERROR(HLOOKUP($D$42, Quarterly!$A$201:$AX$301, L$4, FALSE), "")
  ),
"")</f>
        <v>-1443901000</v>
      </c>
      <c r="M42" s="250">
        <f>IFERROR(
  IF($E$3="Annual",
    IFERROR(HLOOKUP($D$42, Annual!$A$91:$AX$100, M$4, FALSE), ""),
    IFERROR(HLOOKUP($D$42, Quarterly!$A$201:$AX$301, M$4, FALSE), "")
  ),
"")</f>
        <v>-1450680000</v>
      </c>
      <c r="N42" s="250">
        <f>IFERROR(
  IF($E$3="Annual",
    IFERROR(HLOOKUP($D$42, Annual!$A$91:$AX$100, N$4, FALSE), ""),
    IFERROR(HLOOKUP($D$42, Quarterly!$A$201:$AX$301, N$4, FALSE), "")
  ),
"")</f>
        <v>-1714992000</v>
      </c>
      <c r="O42" s="250">
        <f>IFERROR(
  IF($E$3="Annual",
    IFERROR(HLOOKUP($D$42, Annual!$A$91:$AX$100, O$4, FALSE), ""),
    IFERROR(HLOOKUP($D$42, Quarterly!$A$201:$AX$301, O$4, FALSE), "")
  ),
"")</f>
        <v>-2832002000</v>
      </c>
      <c r="P42" s="250">
        <f>IFERROR(
  IF($E$3="Annual",
    IFERROR(HLOOKUP($D$42, Annual!$A$91:$AX$100, P$4, FALSE), ""),
    IFERROR(HLOOKUP($D$42, Quarterly!$A$201:$AX$301, P$4, FALSE), "")
  ),
"")</f>
        <v>-392462000</v>
      </c>
      <c r="Q42" s="250">
        <f>IFERROR(
  IF($E$3="Annual",
    IFERROR(HLOOKUP($D$42, Annual!$A$91:$AX$100, Q$4, FALSE), ""),
    IFERROR(HLOOKUP($D$42, Quarterly!$A$201:$AX$301, Q$4, FALSE), "")
  ),
"")</f>
        <v>-542068000</v>
      </c>
      <c r="R42" s="250">
        <f>IFERROR(
  IF($E$3="Annual",
    IFERROR(HLOOKUP($D$42, Annual!$A$91:$AX$100, R$4, FALSE), ""),
    IFERROR(HLOOKUP($D$42, Quarterly!$A$201:$AX$301, R$4, FALSE), "")
  ),
"")</f>
        <v>-1294444000</v>
      </c>
      <c r="T42" s="27">
        <f t="shared" si="0"/>
        <v>-1308026666.6666667</v>
      </c>
      <c r="U42">
        <f t="shared" si="1"/>
        <v>-130802666.66666669</v>
      </c>
    </row>
    <row r="43" spans="1:21" ht="15.75" hidden="1" customHeight="1">
      <c r="B43" s="19"/>
      <c r="C43" s="19"/>
      <c r="D43" s="16"/>
      <c r="E43" s="55"/>
      <c r="F43" s="34"/>
      <c r="G43" s="39"/>
      <c r="H43" s="125"/>
      <c r="I43" s="250"/>
      <c r="J43" s="251"/>
      <c r="K43" s="251"/>
      <c r="L43" s="250"/>
      <c r="M43" s="250"/>
      <c r="N43" s="250"/>
      <c r="O43" s="250"/>
      <c r="P43" s="250"/>
      <c r="Q43" s="251"/>
      <c r="R43" s="250"/>
      <c r="T43" s="27"/>
    </row>
    <row r="44" spans="1:21" ht="15.75" customHeight="1">
      <c r="D44" s="16"/>
      <c r="E44" s="56"/>
      <c r="F44" s="40"/>
      <c r="G44" s="41"/>
      <c r="H44" s="27"/>
      <c r="I44" s="36"/>
      <c r="J44" s="42"/>
      <c r="K44" s="42"/>
      <c r="L44" s="42"/>
      <c r="M44" s="42"/>
      <c r="N44" s="42"/>
      <c r="O44" s="36" t="str">
        <f>IFERROR(
  IF($E$3="Annual",
    IFERROR(HLOOKUP(D44, Annual!$A$2:$AX$100, $O$4, FALSE), ""),
    IFERROR(HLOOKUP(D44, Quarterly!$A$2:$AX$100, $O$4, FALSE), "")
  ),
"")</f>
        <v/>
      </c>
      <c r="P44" s="42"/>
      <c r="Q44" s="42"/>
      <c r="R44" s="37" t="str">
        <f>IFERROR(
  IF($E$3="Annual",
    IFERROR(HLOOKUP(D44, Annual!$A$2:$AX$100, $R$4, FALSE), ""),
    IFERROR(HLOOKUP(D44, Quarterly!$A$2:$AX$100, $R$4, FALSE), "")
  ),
"")</f>
        <v/>
      </c>
      <c r="T44" s="27"/>
    </row>
    <row r="45" spans="1:21" ht="15.75" customHeight="1">
      <c r="D45" s="12"/>
      <c r="E45" s="56"/>
      <c r="F45" s="12"/>
      <c r="G45" s="16"/>
      <c r="I45" s="31"/>
      <c r="J45" s="32"/>
      <c r="K45" s="32"/>
      <c r="L45" s="32"/>
      <c r="M45" s="32"/>
      <c r="N45" s="32"/>
      <c r="O45" s="31" t="str">
        <f>IFERROR(
  IF($E$3="Annual",
    IFERROR(HLOOKUP(D45, Annual!$A$2:$AX$100, $O$4, FALSE), ""),
    IFERROR(HLOOKUP(D45, Quarterly!$A$2:$AX$100, $O$4, FALSE), "")
  ),
"")</f>
        <v/>
      </c>
      <c r="P45" s="32"/>
      <c r="Q45" s="32"/>
      <c r="R45" s="33" t="str">
        <f>IFERROR(
  IF($E$3="Annual",
    IFERROR(HLOOKUP(D45, Annual!$A$2:$AX$100, $R$4, FALSE), ""),
    IFERROR(HLOOKUP(D45, Quarterly!$A$2:$AX$100, $R$4, FALSE), "")
  ),
"")</f>
        <v/>
      </c>
      <c r="T45" s="27"/>
    </row>
    <row r="46" spans="1:21" ht="15.75" customHeight="1">
      <c r="C46" s="19"/>
      <c r="D46" s="16" t="s">
        <v>206</v>
      </c>
      <c r="E46" s="55" t="s">
        <v>206</v>
      </c>
      <c r="F46" s="43"/>
      <c r="G46" s="44"/>
      <c r="H46" s="45"/>
      <c r="I46" s="266">
        <f t="shared" ref="I46:Q46" si="7">(I8-I9)/I8</f>
        <v>0.30959922453043076</v>
      </c>
      <c r="J46" s="266">
        <f t="shared" si="7"/>
        <v>0.30848965356077368</v>
      </c>
      <c r="K46" s="266">
        <f t="shared" si="7"/>
        <v>0.30767198471200613</v>
      </c>
      <c r="L46" s="266">
        <f t="shared" si="7"/>
        <v>0.3045407572584366</v>
      </c>
      <c r="M46" s="266">
        <f t="shared" si="7"/>
        <v>0.30586831658299879</v>
      </c>
      <c r="N46" s="266">
        <f t="shared" si="7"/>
        <v>0.31762565969511991</v>
      </c>
      <c r="O46" s="266">
        <f t="shared" si="7"/>
        <v>0.31598083356533402</v>
      </c>
      <c r="P46" s="266">
        <f t="shared" si="7"/>
        <v>0.31233031547769113</v>
      </c>
      <c r="Q46" s="266">
        <f t="shared" si="7"/>
        <v>0.30288282919430931</v>
      </c>
      <c r="R46" s="266">
        <f>(R8-R9)/R8</f>
        <v>0.29590775781568485</v>
      </c>
      <c r="T46" s="27">
        <f t="shared" si="0"/>
        <v>0.30808973323927852</v>
      </c>
      <c r="U46">
        <f t="shared" si="1"/>
        <v>3.0808973323927853E-2</v>
      </c>
    </row>
    <row r="47" spans="1:21" ht="15.75" customHeight="1">
      <c r="C47" s="19"/>
      <c r="D47" s="16" t="s">
        <v>207</v>
      </c>
      <c r="E47" s="56" t="s">
        <v>263</v>
      </c>
      <c r="F47" s="12"/>
      <c r="G47" s="16"/>
      <c r="I47" s="266">
        <f t="shared" ref="I47:Q47" si="8">I13/I8</f>
        <v>0.11285160925940672</v>
      </c>
      <c r="J47" s="266">
        <f t="shared" si="8"/>
        <v>0.11113042590763701</v>
      </c>
      <c r="K47" s="266">
        <f t="shared" si="8"/>
        <v>0.10261814095686812</v>
      </c>
      <c r="L47" s="266">
        <f t="shared" si="8"/>
        <v>0.10026991954706184</v>
      </c>
      <c r="M47" s="266">
        <f t="shared" si="8"/>
        <v>0.10114256434565243</v>
      </c>
      <c r="N47" s="266">
        <f t="shared" si="8"/>
        <v>0.12235225942198616</v>
      </c>
      <c r="O47" s="266">
        <f t="shared" si="8"/>
        <v>0.11285623400207286</v>
      </c>
      <c r="P47" s="266">
        <f t="shared" si="8"/>
        <v>0.10708888020020049</v>
      </c>
      <c r="Q47" s="266">
        <f t="shared" si="8"/>
        <v>8.5162987147936908E-2</v>
      </c>
      <c r="R47" s="266">
        <f>R13/R8</f>
        <v>6.613209473344879E-2</v>
      </c>
      <c r="T47" s="27">
        <f t="shared" si="0"/>
        <v>0.10216051155222712</v>
      </c>
      <c r="U47">
        <f t="shared" si="1"/>
        <v>1.0216051155222713E-2</v>
      </c>
    </row>
    <row r="48" spans="1:21" ht="15.75" customHeight="1">
      <c r="C48" s="19"/>
      <c r="D48" s="16" t="s">
        <v>208</v>
      </c>
      <c r="E48" s="55" t="s">
        <v>261</v>
      </c>
      <c r="F48" s="43"/>
      <c r="G48" s="44"/>
      <c r="H48" s="45"/>
      <c r="I48" s="266">
        <f t="shared" ref="I48:Q48" si="9">I20/I8</f>
        <v>5.7199914260024839E-2</v>
      </c>
      <c r="J48" s="266">
        <f t="shared" si="9"/>
        <v>5.6904346911695936E-2</v>
      </c>
      <c r="K48" s="266">
        <f t="shared" si="9"/>
        <v>6.556866617383085E-2</v>
      </c>
      <c r="L48" s="266">
        <f t="shared" si="9"/>
        <v>6.202807152362632E-2</v>
      </c>
      <c r="M48" s="266">
        <f t="shared" si="9"/>
        <v>6.1704859336715503E-2</v>
      </c>
      <c r="N48" s="266">
        <f t="shared" si="9"/>
        <v>7.8675516838777104E-2</v>
      </c>
      <c r="O48" s="266">
        <f t="shared" si="9"/>
        <v>7.0111061371520872E-2</v>
      </c>
      <c r="P48" s="266">
        <f t="shared" si="9"/>
        <v>6.3839285136268034E-2</v>
      </c>
      <c r="Q48" s="266">
        <f t="shared" si="9"/>
        <v>4.2936286262998266E-2</v>
      </c>
      <c r="R48" s="266">
        <f>R20/R8</f>
        <v>2.7707191622795731E-2</v>
      </c>
      <c r="T48" s="27">
        <f t="shared" si="0"/>
        <v>5.8667519943825353E-2</v>
      </c>
      <c r="U48">
        <f t="shared" si="1"/>
        <v>5.8667519943825354E-3</v>
      </c>
    </row>
    <row r="49" spans="1:21" ht="15.75" customHeight="1">
      <c r="C49" s="19"/>
      <c r="D49" s="16" t="s">
        <v>209</v>
      </c>
      <c r="E49" s="56" t="s">
        <v>262</v>
      </c>
      <c r="F49" s="12"/>
      <c r="G49" s="16"/>
      <c r="I49" s="266" t="e">
        <f t="shared" ref="I49:Q49" si="10">I37/I8</f>
        <v>#VALUE!</v>
      </c>
      <c r="J49" s="266">
        <f t="shared" si="10"/>
        <v>7.300087989965523E-2</v>
      </c>
      <c r="K49" s="266">
        <f>K37/K8</f>
        <v>7.6780304791021173E-2</v>
      </c>
      <c r="L49" s="266">
        <f t="shared" si="10"/>
        <v>8.3650591337544294E-2</v>
      </c>
      <c r="M49" s="266">
        <f t="shared" si="10"/>
        <v>8.0637031678311433E-2</v>
      </c>
      <c r="N49" s="266">
        <f t="shared" si="10"/>
        <v>0.11485991324994912</v>
      </c>
      <c r="O49" s="266">
        <f t="shared" si="10"/>
        <v>8.3745569790741201E-2</v>
      </c>
      <c r="P49" s="266">
        <f t="shared" si="10"/>
        <v>5.2439217444121812E-2</v>
      </c>
      <c r="Q49" s="266">
        <f t="shared" si="10"/>
        <v>6.1816969152148724E-2</v>
      </c>
      <c r="R49" s="266">
        <f>R37/R8</f>
        <v>7.3772315525628337E-2</v>
      </c>
      <c r="T49" s="27" t="e">
        <f t="shared" si="0"/>
        <v>#VALUE!</v>
      </c>
      <c r="U49" t="e">
        <f t="shared" si="1"/>
        <v>#VALUE!</v>
      </c>
    </row>
    <row r="50" spans="1:21" ht="15.75" customHeight="1">
      <c r="C50" s="19"/>
      <c r="D50" s="16" t="s">
        <v>210</v>
      </c>
      <c r="E50" s="55" t="s">
        <v>210</v>
      </c>
      <c r="F50" s="46"/>
      <c r="G50" s="43"/>
      <c r="H50" s="45"/>
      <c r="I50" s="266">
        <f t="shared" ref="I50:Q50" si="11">I11/I8</f>
        <v>0.20995576418207629</v>
      </c>
      <c r="J50" s="266">
        <f t="shared" si="11"/>
        <v>0.21087796302092757</v>
      </c>
      <c r="K50" s="266">
        <f t="shared" si="11"/>
        <v>0.21919595387782703</v>
      </c>
      <c r="L50" s="266">
        <f t="shared" si="11"/>
        <v>0.21920212972910913</v>
      </c>
      <c r="M50" s="266">
        <f t="shared" si="11"/>
        <v>0.21963547345095422</v>
      </c>
      <c r="N50" s="266">
        <f t="shared" si="11"/>
        <v>0.20910690331618911</v>
      </c>
      <c r="O50" s="266">
        <f t="shared" si="11"/>
        <v>0.21844047107622697</v>
      </c>
      <c r="P50" s="266">
        <f t="shared" si="11"/>
        <v>0.22105499496721656</v>
      </c>
      <c r="Q50" s="266">
        <f t="shared" si="11"/>
        <v>0.23610866118284199</v>
      </c>
      <c r="R50" s="266">
        <f>R11/R8</f>
        <v>0.25370198118265036</v>
      </c>
      <c r="T50" s="27">
        <f t="shared" si="0"/>
        <v>0.22172802959860188</v>
      </c>
      <c r="U50">
        <f t="shared" si="1"/>
        <v>2.217280295986019E-2</v>
      </c>
    </row>
    <row r="51" spans="1:21" ht="15.75" customHeight="1">
      <c r="D51" s="16"/>
      <c r="E51" s="56"/>
      <c r="F51" s="12"/>
      <c r="G51" s="12"/>
      <c r="I51" s="31"/>
      <c r="J51" s="32"/>
      <c r="K51" s="32"/>
      <c r="L51" s="32"/>
      <c r="M51" s="32"/>
      <c r="N51" s="32"/>
      <c r="O51" s="32"/>
      <c r="P51" s="32"/>
      <c r="Q51" s="32"/>
      <c r="R51" s="33" t="str">
        <f>IFERROR(
  IF($E$3="Annual",
    IFERROR(HLOOKUP(D51, Annual!$A$2:$AX$100, $R$4, FALSE), ""),
    IFERROR(HLOOKUP(D51, Quarterly!$A$2:$AX$100, $R$4, FALSE), "")
  ),
"")</f>
        <v/>
      </c>
      <c r="T51" s="27"/>
    </row>
    <row r="52" spans="1:21" ht="15.75" customHeight="1">
      <c r="D52" s="16"/>
      <c r="E52" s="56"/>
      <c r="F52" s="12"/>
      <c r="G52" s="12"/>
      <c r="I52" s="31"/>
      <c r="J52" s="32"/>
      <c r="K52" s="32"/>
      <c r="L52" s="32"/>
      <c r="M52" s="32"/>
      <c r="N52" s="32"/>
      <c r="O52" s="32"/>
      <c r="P52" s="32"/>
      <c r="Q52" s="32"/>
      <c r="R52" s="33"/>
      <c r="T52" s="27"/>
    </row>
    <row r="53" spans="1:21" ht="15.75" customHeight="1">
      <c r="C53" s="19"/>
      <c r="D53" s="16" t="s">
        <v>211</v>
      </c>
      <c r="E53" s="55" t="s">
        <v>211</v>
      </c>
      <c r="F53" s="43"/>
      <c r="G53" s="43"/>
      <c r="H53" s="45"/>
      <c r="I53" s="252">
        <f t="shared" ref="I53:Q53" si="12">I28/I33</f>
        <v>1.7199924233161421</v>
      </c>
      <c r="J53" s="252">
        <f t="shared" si="12"/>
        <v>1.4022281488711512</v>
      </c>
      <c r="K53" s="252">
        <f t="shared" si="12"/>
        <v>1.4327240446318532</v>
      </c>
      <c r="L53" s="252">
        <f t="shared" si="12"/>
        <v>1.5461674741209546</v>
      </c>
      <c r="M53" s="252">
        <f>M28/M33</f>
        <v>1.1396059477590259</v>
      </c>
      <c r="N53" s="252">
        <f t="shared" si="12"/>
        <v>1.2107304725113877</v>
      </c>
      <c r="O53" s="252">
        <f t="shared" si="12"/>
        <v>1.0542677080495444</v>
      </c>
      <c r="P53" s="252">
        <f t="shared" si="12"/>
        <v>1.2875862296204605</v>
      </c>
      <c r="Q53" s="252">
        <f t="shared" si="12"/>
        <v>1.1910615711284223</v>
      </c>
      <c r="R53" s="252">
        <f>R28/R33</f>
        <v>1.1885688154763447</v>
      </c>
      <c r="T53" s="27">
        <f t="shared" si="0"/>
        <v>1.3172932835485285</v>
      </c>
      <c r="U53">
        <f t="shared" si="1"/>
        <v>0.13172932835485285</v>
      </c>
    </row>
    <row r="54" spans="1:21" ht="15.75" customHeight="1">
      <c r="C54" s="19"/>
      <c r="D54" s="16" t="s">
        <v>212</v>
      </c>
      <c r="E54" s="56" t="s">
        <v>212</v>
      </c>
      <c r="F54" s="15"/>
      <c r="G54" s="12"/>
      <c r="I54" s="252">
        <f t="shared" ref="I54:R54" si="13">(I13-I14)/I15</f>
        <v>22.384454361428045</v>
      </c>
      <c r="J54" s="252">
        <f t="shared" si="13"/>
        <v>21.094131117040309</v>
      </c>
      <c r="K54" s="252">
        <f t="shared" si="13"/>
        <v>20.655385630075436</v>
      </c>
      <c r="L54" s="252">
        <f t="shared" si="13"/>
        <v>21.180192448258254</v>
      </c>
      <c r="M54" s="252">
        <f t="shared" si="13"/>
        <v>22.891641975063138</v>
      </c>
      <c r="N54" s="252">
        <f t="shared" si="13"/>
        <v>23.637763074774746</v>
      </c>
      <c r="O54" s="252">
        <f t="shared" si="13"/>
        <v>20.44535505249927</v>
      </c>
      <c r="P54" s="252">
        <f t="shared" si="13"/>
        <v>15.751596275908422</v>
      </c>
      <c r="Q54" s="252">
        <f t="shared" si="13"/>
        <v>7.4860533507150047</v>
      </c>
      <c r="R54" s="252">
        <f t="shared" si="13"/>
        <v>6.2484470691163603</v>
      </c>
      <c r="T54" s="27">
        <f t="shared" si="0"/>
        <v>18.177502035487898</v>
      </c>
      <c r="U54">
        <f t="shared" si="1"/>
        <v>1.8177502035487898</v>
      </c>
    </row>
    <row r="55" spans="1:21" ht="15.75" customHeight="1">
      <c r="C55" s="19"/>
      <c r="D55" s="16" t="s">
        <v>213</v>
      </c>
      <c r="E55" s="55" t="s">
        <v>213</v>
      </c>
      <c r="F55" s="43"/>
      <c r="G55" s="44"/>
      <c r="H55" s="45"/>
      <c r="I55" s="252">
        <f t="shared" ref="I55:R55" si="14">I32/I34</f>
        <v>3.7962433734509107</v>
      </c>
      <c r="J55" s="252">
        <f t="shared" si="14"/>
        <v>4.3062057658593602</v>
      </c>
      <c r="K55" s="252">
        <f t="shared" si="14"/>
        <v>4.8056701705781242</v>
      </c>
      <c r="L55" s="252">
        <f t="shared" si="14"/>
        <v>4.6123776521793802</v>
      </c>
      <c r="M55" s="252">
        <f t="shared" si="14"/>
        <v>7.8397973784775772</v>
      </c>
      <c r="N55" s="252">
        <f t="shared" si="14"/>
        <v>6.2606585612355437</v>
      </c>
      <c r="O55" s="252">
        <f t="shared" si="14"/>
        <v>6.3103887568467245</v>
      </c>
      <c r="P55" s="252">
        <f t="shared" si="14"/>
        <v>4.1491955301731291</v>
      </c>
      <c r="Q55" s="252">
        <f t="shared" si="14"/>
        <v>4.9418917220930494</v>
      </c>
      <c r="R55" s="252">
        <f t="shared" si="14"/>
        <v>5.4437133952028534</v>
      </c>
      <c r="T55" s="27">
        <f t="shared" si="0"/>
        <v>5.2466142306096657</v>
      </c>
      <c r="U55">
        <f t="shared" si="1"/>
        <v>0.52466142306096664</v>
      </c>
    </row>
    <row r="56" spans="1:21" ht="15.75" customHeight="1">
      <c r="C56" s="19"/>
      <c r="D56" s="16" t="s">
        <v>214</v>
      </c>
      <c r="E56" s="56" t="s">
        <v>214</v>
      </c>
      <c r="F56" s="12"/>
      <c r="G56" s="16"/>
      <c r="I56" s="253">
        <f>I32/I24</f>
        <v>2.0933701334876447</v>
      </c>
      <c r="J56" s="253">
        <f t="shared" ref="J56:R56" si="15">J32/J24</f>
        <v>2.1590202086678971</v>
      </c>
      <c r="K56" s="253">
        <f t="shared" si="15"/>
        <v>2.0433190973091726</v>
      </c>
      <c r="L56" s="253">
        <f t="shared" si="15"/>
        <v>2.0575392530892218</v>
      </c>
      <c r="M56" s="253">
        <f t="shared" si="15"/>
        <v>3.4054582618425959</v>
      </c>
      <c r="N56" s="253">
        <f t="shared" si="15"/>
        <v>3.8825551646705914</v>
      </c>
      <c r="O56" s="253">
        <f t="shared" si="15"/>
        <v>4.2043164900081225</v>
      </c>
      <c r="P56" s="253">
        <f t="shared" si="15"/>
        <v>5.2480266239751474</v>
      </c>
      <c r="Q56" s="253">
        <f t="shared" si="15"/>
        <v>4.5629053214204696</v>
      </c>
      <c r="R56" s="253">
        <f t="shared" si="15"/>
        <v>4.1993476407956232</v>
      </c>
      <c r="T56" s="27">
        <f t="shared" si="0"/>
        <v>3.3855858195266486</v>
      </c>
      <c r="U56">
        <f t="shared" si="1"/>
        <v>0.33855858195266486</v>
      </c>
    </row>
    <row r="57" spans="1:21" ht="15.75" customHeight="1">
      <c r="C57" s="19"/>
      <c r="D57" s="16" t="s">
        <v>215</v>
      </c>
      <c r="E57" s="55" t="s">
        <v>215</v>
      </c>
      <c r="F57" s="43"/>
      <c r="G57" s="44"/>
      <c r="H57" s="45"/>
      <c r="I57" s="252" t="e">
        <f t="shared" ref="I57:R57" si="16">I23/I20</f>
        <v>#VALUE!</v>
      </c>
      <c r="J57" s="252">
        <f t="shared" si="16"/>
        <v>0.22470432799710344</v>
      </c>
      <c r="K57" s="252">
        <f t="shared" si="16"/>
        <v>0.18384558403077403</v>
      </c>
      <c r="L57" s="252">
        <f t="shared" si="16"/>
        <v>0.192845800366411</v>
      </c>
      <c r="M57" s="252">
        <f t="shared" si="16"/>
        <v>0.19127444082087874</v>
      </c>
      <c r="N57" s="252">
        <f t="shared" si="16"/>
        <v>0.13405623246266549</v>
      </c>
      <c r="O57" s="252">
        <f t="shared" si="16"/>
        <v>0.16346397513871105</v>
      </c>
      <c r="P57" s="252">
        <f t="shared" si="16"/>
        <v>0.20435771851610252</v>
      </c>
      <c r="Q57" s="252">
        <f t="shared" si="16"/>
        <v>0.31179624793983413</v>
      </c>
      <c r="R57" s="252">
        <f t="shared" si="16"/>
        <v>0.46121450020573151</v>
      </c>
      <c r="T57" s="27" t="e">
        <f t="shared" si="0"/>
        <v>#VALUE!</v>
      </c>
      <c r="U57" t="e">
        <f t="shared" si="1"/>
        <v>#VALUE!</v>
      </c>
    </row>
    <row r="58" spans="1:21" ht="15.75" customHeight="1">
      <c r="A58" s="230" t="s">
        <v>191</v>
      </c>
      <c r="E58" s="57"/>
      <c r="F58" s="12"/>
      <c r="G58" s="16"/>
      <c r="I58" s="31"/>
      <c r="J58" s="32"/>
      <c r="K58" s="32"/>
      <c r="L58" s="32"/>
      <c r="M58" s="32"/>
      <c r="N58" s="32"/>
      <c r="O58" s="32"/>
      <c r="P58" s="32"/>
      <c r="Q58" s="32"/>
      <c r="R58" s="33" t="str">
        <f>IFERROR(
  IF($E$3="Annual",
    IFERROR(HLOOKUP(D58, Annual!$A$2:$AX$100, $R$4, FALSE), ""),
    IFERROR(HLOOKUP(D58, Quarterly!$A$2:$AX$100, $R$4, FALSE), "")
  ),
"")</f>
        <v/>
      </c>
      <c r="T58" s="27" t="e">
        <f t="shared" si="0"/>
        <v>#DIV/0!</v>
      </c>
      <c r="U58" t="e">
        <f t="shared" si="1"/>
        <v>#DIV/0!</v>
      </c>
    </row>
    <row r="59" spans="1:21" ht="15.75" customHeight="1">
      <c r="A59" s="230" t="s">
        <v>216</v>
      </c>
      <c r="E59" s="57"/>
      <c r="F59" s="12"/>
      <c r="G59" s="16"/>
      <c r="I59" s="31"/>
      <c r="J59" s="32"/>
      <c r="K59" s="32"/>
      <c r="L59" s="32"/>
      <c r="M59" s="32"/>
      <c r="N59" s="32"/>
      <c r="O59" s="32"/>
      <c r="P59" s="32"/>
      <c r="Q59" s="32"/>
      <c r="R59" s="33" t="str">
        <f>IFERROR(
  IF($E$3="Annual",
    IFERROR(HLOOKUP(D59, Annual!$A$2:$AX$100, $R$4, FALSE), ""),
    IFERROR(HLOOKUP(D59, Quarterly!$A$2:$AX$100, $R$4, FALSE), "")
  ),
"")</f>
        <v/>
      </c>
      <c r="T59" s="27" t="e">
        <f t="shared" si="0"/>
        <v>#DIV/0!</v>
      </c>
      <c r="U59" t="e">
        <f t="shared" si="1"/>
        <v>#DIV/0!</v>
      </c>
    </row>
    <row r="60" spans="1:21" ht="15.75" customHeight="1">
      <c r="C60" s="19"/>
      <c r="D60" s="16" t="s">
        <v>217</v>
      </c>
      <c r="E60" s="55" t="s">
        <v>264</v>
      </c>
      <c r="F60" s="43"/>
      <c r="G60" s="44"/>
      <c r="H60" s="45"/>
      <c r="I60" s="67">
        <f t="shared" ref="I60:R60" si="17">IF($E3="Annual",(I8/I6),(I8+H8+G8+F8)/I6)</f>
        <v>68.99662228713278</v>
      </c>
      <c r="J60" s="67">
        <f t="shared" si="17"/>
        <v>77.894565116012728</v>
      </c>
      <c r="K60" s="67">
        <f t="shared" si="17"/>
        <v>85.860385965420321</v>
      </c>
      <c r="L60" s="67">
        <f t="shared" si="17"/>
        <v>96.296735526978182</v>
      </c>
      <c r="M60" s="67">
        <f t="shared" si="17"/>
        <v>107.5514448582268</v>
      </c>
      <c r="N60" s="67">
        <f t="shared" si="17"/>
        <v>134.94633231497625</v>
      </c>
      <c r="O60" s="67">
        <f t="shared" si="17"/>
        <v>145.11750462232627</v>
      </c>
      <c r="P60" s="67">
        <f t="shared" si="17"/>
        <v>167.23537209949757</v>
      </c>
      <c r="Q60" s="67">
        <f t="shared" si="17"/>
        <v>175.92052760323364</v>
      </c>
      <c r="R60" s="67">
        <f t="shared" si="17"/>
        <v>184.5787471537584</v>
      </c>
      <c r="T60" s="27">
        <f t="shared" si="0"/>
        <v>124.4398237547563</v>
      </c>
      <c r="U60">
        <f t="shared" si="1"/>
        <v>12.443982375475631</v>
      </c>
    </row>
    <row r="61" spans="1:21" ht="15.75" customHeight="1">
      <c r="C61" s="19"/>
      <c r="D61" s="16" t="s">
        <v>218</v>
      </c>
      <c r="E61" s="56" t="s">
        <v>265</v>
      </c>
      <c r="F61" s="12"/>
      <c r="G61" s="16"/>
      <c r="I61" s="67" t="e">
        <f t="shared" ref="I61:R61" si="18">I23/I6</f>
        <v>#VALUE!</v>
      </c>
      <c r="J61" s="67">
        <f t="shared" si="18"/>
        <v>0.99601077728761123</v>
      </c>
      <c r="K61" s="67">
        <f t="shared" si="18"/>
        <v>1.0350048577709787</v>
      </c>
      <c r="L61" s="67">
        <f t="shared" si="18"/>
        <v>1.1518874042059533</v>
      </c>
      <c r="M61" s="67">
        <f t="shared" si="18"/>
        <v>1.2693826462005866</v>
      </c>
      <c r="N61" s="67">
        <f t="shared" si="18"/>
        <v>1.4232713255170428</v>
      </c>
      <c r="O61" s="67">
        <f t="shared" si="18"/>
        <v>1.6631384323104845</v>
      </c>
      <c r="P61" s="67">
        <f t="shared" si="18"/>
        <v>2.181761136912995</v>
      </c>
      <c r="Q61" s="67">
        <f t="shared" si="18"/>
        <v>2.3551137138648164</v>
      </c>
      <c r="R61" s="67">
        <f t="shared" si="18"/>
        <v>2.358724156580783</v>
      </c>
      <c r="T61" s="27" t="e">
        <f t="shared" si="0"/>
        <v>#VALUE!</v>
      </c>
      <c r="U61" t="e">
        <f t="shared" si="1"/>
        <v>#VALUE!</v>
      </c>
    </row>
    <row r="62" spans="1:21" ht="15.75" customHeight="1">
      <c r="C62" s="19"/>
      <c r="D62" s="16" t="s">
        <v>219</v>
      </c>
      <c r="E62" s="55" t="s">
        <v>219</v>
      </c>
      <c r="F62" s="48">
        <f t="shared" ref="F62:H62" si="19">(F32-F35)/F6</f>
        <v>14.905207867364641</v>
      </c>
      <c r="G62" s="48">
        <f t="shared" si="19"/>
        <v>16.680951807413514</v>
      </c>
      <c r="H62" s="48">
        <f t="shared" si="19"/>
        <v>18.679728091181801</v>
      </c>
      <c r="I62" s="67">
        <f t="shared" ref="I62:R62" si="20">(I32-I35)/I6</f>
        <v>18.217058184030687</v>
      </c>
      <c r="J62" s="67">
        <f t="shared" si="20"/>
        <v>19.153527981878277</v>
      </c>
      <c r="K62" s="67">
        <f t="shared" si="20"/>
        <v>22.409017914640529</v>
      </c>
      <c r="L62" s="67">
        <f t="shared" si="20"/>
        <v>24.116017931898927</v>
      </c>
      <c r="M62" s="67">
        <f t="shared" si="20"/>
        <v>25.973346560590265</v>
      </c>
      <c r="N62" s="67">
        <f t="shared" si="20"/>
        <v>26.636854396263537</v>
      </c>
      <c r="O62" s="67">
        <f t="shared" si="20"/>
        <v>26.554992960493951</v>
      </c>
      <c r="P62" s="67">
        <f t="shared" si="20"/>
        <v>24.488932685806706</v>
      </c>
      <c r="Q62" s="67">
        <f t="shared" si="20"/>
        <v>30.686461639189226</v>
      </c>
      <c r="R62" s="67">
        <f t="shared" si="20"/>
        <v>33.694532943684187</v>
      </c>
      <c r="T62" s="27">
        <f t="shared" si="0"/>
        <v>25.193074319847629</v>
      </c>
      <c r="U62">
        <f t="shared" si="1"/>
        <v>2.519307431984763</v>
      </c>
    </row>
    <row r="63" spans="1:21" ht="15.75" customHeight="1">
      <c r="C63" s="19"/>
      <c r="D63" s="16" t="s">
        <v>220</v>
      </c>
      <c r="E63" s="56" t="s">
        <v>266</v>
      </c>
      <c r="F63" s="25">
        <f>(F32-F35-F30)/F6</f>
        <v>11.259001514286815</v>
      </c>
      <c r="G63" s="25">
        <f t="shared" ref="G63:H63" si="21">(G32-G35-G30)/G6</f>
        <v>12.951972105010455</v>
      </c>
      <c r="H63" s="25">
        <f t="shared" si="21"/>
        <v>14.747949563447191</v>
      </c>
      <c r="I63" s="67">
        <f t="shared" ref="I63:R63" si="22">(I32-I35-I30)/I6</f>
        <v>14.148801947428774</v>
      </c>
      <c r="J63" s="67">
        <f t="shared" si="22"/>
        <v>14.899808936411272</v>
      </c>
      <c r="K63" s="67">
        <f t="shared" si="22"/>
        <v>18.017668746807026</v>
      </c>
      <c r="L63" s="67">
        <f t="shared" si="22"/>
        <v>19.605704367781858</v>
      </c>
      <c r="M63" s="67">
        <f t="shared" si="22"/>
        <v>21.323115794042309</v>
      </c>
      <c r="N63" s="67">
        <f t="shared" si="22"/>
        <v>21.838832994769589</v>
      </c>
      <c r="O63" s="67">
        <f t="shared" si="22"/>
        <v>21.467253574881685</v>
      </c>
      <c r="P63" s="67">
        <f t="shared" si="22"/>
        <v>19.187492542985545</v>
      </c>
      <c r="Q63" s="67">
        <f t="shared" si="22"/>
        <v>25.231742582000383</v>
      </c>
      <c r="R63" s="67">
        <f t="shared" si="22"/>
        <v>28.242020297508944</v>
      </c>
      <c r="T63" s="27">
        <f t="shared" si="0"/>
        <v>20.396244178461739</v>
      </c>
      <c r="U63">
        <f t="shared" si="1"/>
        <v>2.039624417846174</v>
      </c>
    </row>
    <row r="64" spans="1:21" ht="15.75" customHeight="1">
      <c r="C64" s="19"/>
      <c r="D64" s="16" t="s">
        <v>9</v>
      </c>
      <c r="E64" s="55" t="s">
        <v>9</v>
      </c>
      <c r="F64" s="47"/>
      <c r="G64" s="47"/>
      <c r="H64" s="47"/>
      <c r="I64" s="67">
        <f t="shared" ref="I64:R64" si="23">IF($E3="Annual",(I20/I6),(I20+H20+G20+F20)/I6)</f>
        <v>3.946600879055314</v>
      </c>
      <c r="J64" s="67">
        <f t="shared" si="23"/>
        <v>4.4325393558972772</v>
      </c>
      <c r="K64" s="67">
        <f t="shared" si="23"/>
        <v>5.6297509849229153</v>
      </c>
      <c r="L64" s="67">
        <f t="shared" si="23"/>
        <v>5.9731007987591305</v>
      </c>
      <c r="M64" s="67">
        <f t="shared" si="23"/>
        <v>6.6364467764373982</v>
      </c>
      <c r="N64" s="67">
        <f t="shared" si="23"/>
        <v>10.616972440378126</v>
      </c>
      <c r="O64" s="67">
        <f t="shared" si="23"/>
        <v>10.17434227265788</v>
      </c>
      <c r="P64" s="67">
        <f t="shared" si="23"/>
        <v>10.676186604329708</v>
      </c>
      <c r="Q64" s="67">
        <f t="shared" si="23"/>
        <v>7.5533741327101271</v>
      </c>
      <c r="R64" s="67">
        <f t="shared" si="23"/>
        <v>5.114158716884746</v>
      </c>
      <c r="T64" s="27">
        <f t="shared" si="0"/>
        <v>7.0753472962032617</v>
      </c>
      <c r="U64">
        <f t="shared" si="1"/>
        <v>0.70753472962032626</v>
      </c>
    </row>
    <row r="65" spans="3:21" ht="15.75" customHeight="1">
      <c r="D65" s="26"/>
      <c r="E65" s="58"/>
      <c r="F65" s="12"/>
      <c r="G65" s="12"/>
      <c r="I65" s="269"/>
      <c r="J65" s="269"/>
      <c r="K65" s="269"/>
      <c r="L65" s="269"/>
      <c r="M65" s="269"/>
      <c r="N65" s="269"/>
      <c r="O65" s="269"/>
      <c r="P65" s="269"/>
      <c r="Q65" s="269"/>
      <c r="R65" s="269" t="str">
        <f>IFERROR(
  IF($E$3="Annual",
    IFERROR(HLOOKUP(D65, Annual!$A$2:$AX$100, $R$4, FALSE), ""),
    IFERROR(HLOOKUP(D65, Quarterly!$A$2:$AX$100, $R$4, FALSE), "")
  ),
"")</f>
        <v/>
      </c>
      <c r="T65" s="27" t="e">
        <f t="shared" si="0"/>
        <v>#DIV/0!</v>
      </c>
      <c r="U65" t="e">
        <f t="shared" si="1"/>
        <v>#DIV/0!</v>
      </c>
    </row>
    <row r="66" spans="3:21" ht="15.75" customHeight="1">
      <c r="C66" s="19"/>
      <c r="D66" s="16" t="s">
        <v>221</v>
      </c>
      <c r="E66" s="55" t="s">
        <v>222</v>
      </c>
      <c r="F66" s="38" t="e">
        <f>IF(#REF!="Annual",(F20/F8)*(F8/F32)*(F32/F24),(F20+E20+D20+C20)/(F8+E8+D8+C8)*(F8+E8+D8+C8)/F32)*(F32/F24)</f>
        <v>#REF!</v>
      </c>
      <c r="G66" s="38"/>
      <c r="H66" s="38"/>
      <c r="I66" s="67">
        <f>IF($E3="Annual",(I20/I8)*(I8/I32)*(I32/I24),(I20+H20+G20+F20)/(I8+H8+G8+F8)*(I8+H8+G8+F8)/I32)*(I32/I24)</f>
        <v>0.45351430102214807</v>
      </c>
      <c r="J66" s="67">
        <f t="shared" ref="J66:R66" si="24">IF($E3="Annual",(J20/J8)*(J8/J32)*(J32/J24),(J20+I20+H20+G20)/(J8+I8+H8+G8)*(J8+I8+H8+G8)/J32)*(J32/J24)</f>
        <v>0.49964382823636533</v>
      </c>
      <c r="K66" s="67">
        <f t="shared" si="24"/>
        <v>0.51333698533359606</v>
      </c>
      <c r="L66" s="67">
        <f t="shared" si="24"/>
        <v>0.50961520226145285</v>
      </c>
      <c r="M66" s="67">
        <f t="shared" si="24"/>
        <v>0.87012824671538191</v>
      </c>
      <c r="N66" s="67">
        <f t="shared" si="24"/>
        <v>1.5475168564700215</v>
      </c>
      <c r="O66" s="67">
        <f t="shared" si="24"/>
        <v>1.6108516788372202</v>
      </c>
      <c r="P66" s="67">
        <f t="shared" si="24"/>
        <v>2.2879278676984711</v>
      </c>
      <c r="Q66" s="67">
        <f t="shared" si="24"/>
        <v>1.1231445133709259</v>
      </c>
      <c r="R66" s="67">
        <f t="shared" si="24"/>
        <v>0.63737729732887993</v>
      </c>
      <c r="T66" s="27">
        <f t="shared" si="0"/>
        <v>1.0053056777274463</v>
      </c>
      <c r="U66">
        <f t="shared" si="1"/>
        <v>0.10053056777274463</v>
      </c>
    </row>
    <row r="67" spans="3:21" ht="15.75" customHeight="1">
      <c r="C67" s="19"/>
      <c r="D67" s="16" t="s">
        <v>223</v>
      </c>
      <c r="E67" s="56" t="s">
        <v>223</v>
      </c>
      <c r="F67" s="12"/>
      <c r="G67" s="12"/>
      <c r="H67" s="49"/>
      <c r="I67" s="67">
        <f>IF($E3="Annual",I20/(I32+H32/2),(I20+H20+G20+F20)/(I32+H32/2))</f>
        <v>6.9062498573646131E-2</v>
      </c>
      <c r="J67" s="67">
        <f t="shared" ref="J67:R67" si="25">IF($E3="Annual",J20/(J32+I32/2),(J20+I20+H20+G20)/(J32+I32/2))</f>
        <v>7.2314641253614156E-2</v>
      </c>
      <c r="K67" s="67">
        <f t="shared" si="25"/>
        <v>8.3853046848863355E-2</v>
      </c>
      <c r="L67" s="67">
        <f t="shared" si="25"/>
        <v>8.1668466581633029E-2</v>
      </c>
      <c r="M67" s="67">
        <f t="shared" si="25"/>
        <v>5.8196520398219286E-2</v>
      </c>
      <c r="N67" s="67">
        <f t="shared" si="25"/>
        <v>7.1228388359155792E-2</v>
      </c>
      <c r="O67" s="67">
        <f t="shared" si="25"/>
        <v>6.1113410248632129E-2</v>
      </c>
      <c r="P67" s="67">
        <f t="shared" si="25"/>
        <v>5.7187161163491818E-2</v>
      </c>
      <c r="Q67" s="67">
        <f t="shared" si="25"/>
        <v>3.6642564387058603E-2</v>
      </c>
      <c r="R67" s="67">
        <f t="shared" si="25"/>
        <v>2.4183112383948099E-2</v>
      </c>
      <c r="T67" s="27">
        <f t="shared" si="0"/>
        <v>6.1544981019826236E-2</v>
      </c>
      <c r="U67">
        <f t="shared" si="1"/>
        <v>6.1544981019826242E-3</v>
      </c>
    </row>
    <row r="68" spans="3:21" ht="15.75" customHeight="1" thickBot="1">
      <c r="C68" s="19"/>
      <c r="D68" s="16" t="s">
        <v>224</v>
      </c>
      <c r="E68" s="59" t="s">
        <v>11</v>
      </c>
      <c r="F68" s="50"/>
      <c r="G68" s="51"/>
      <c r="H68" s="52"/>
      <c r="I68" s="68">
        <f t="shared" ref="I68:Q68" si="26">I19/I36</f>
        <v>0.22973189505889413</v>
      </c>
      <c r="J68" s="68">
        <f t="shared" si="26"/>
        <v>0.25178518783322068</v>
      </c>
      <c r="K68" s="68">
        <f t="shared" si="26"/>
        <v>0.23311777165518266</v>
      </c>
      <c r="L68" s="68">
        <f t="shared" si="26"/>
        <v>0.22998427192301993</v>
      </c>
      <c r="M68" s="68">
        <f t="shared" si="26"/>
        <v>0.24128623128960361</v>
      </c>
      <c r="N68" s="68">
        <f t="shared" si="26"/>
        <v>0.36915545569253261</v>
      </c>
      <c r="O68" s="68">
        <f t="shared" si="26"/>
        <v>0.31302603650355537</v>
      </c>
      <c r="P68" s="68">
        <f t="shared" si="26"/>
        <v>0.268396570276553</v>
      </c>
      <c r="Q68" s="68">
        <f t="shared" si="26"/>
        <v>0.19426620086797433</v>
      </c>
      <c r="R68" s="68">
        <f>R19/R36</f>
        <v>0.13940807322817297</v>
      </c>
      <c r="T68" s="27">
        <f t="shared" si="0"/>
        <v>0.2470157694328709</v>
      </c>
      <c r="U68">
        <f t="shared" si="1"/>
        <v>2.470157694328709E-2</v>
      </c>
    </row>
    <row r="69" spans="3:21" ht="15.75" customHeight="1">
      <c r="C69" s="19"/>
      <c r="D69" s="16"/>
      <c r="E69" s="16"/>
      <c r="F69" s="12"/>
      <c r="G69" s="16"/>
      <c r="I69" s="25"/>
      <c r="R69" s="25" t="str">
        <f>IFERROR(
  IF($E$3="Annual",
    IFERROR(HLOOKUP(D69, Annual!$A$2:$AX$100, $R$4, FALSE), ""),
    IFERROR(HLOOKUP(D69, Quarterly!$A$2:$AX$100, $R$4, FALSE), "")
  ),
"")</f>
        <v/>
      </c>
      <c r="T69" s="27"/>
    </row>
    <row r="70" spans="3:21" ht="15.75" customHeight="1">
      <c r="C70" s="19"/>
      <c r="D70" s="16"/>
      <c r="E70" s="16"/>
      <c r="F70" s="12"/>
      <c r="G70" s="16"/>
      <c r="I70" s="25"/>
      <c r="R70" s="25" t="str">
        <f>IFERROR(
  IF($E$3="Annual",
    IFERROR(HLOOKUP(D70, Annual!$A$2:$AX$100, $R$4, FALSE), ""),
    IFERROR(HLOOKUP(D70, Quarterly!$A$2:$AX$100, $R$4, FALSE), "")
  ),
"")</f>
        <v/>
      </c>
    </row>
    <row r="71" spans="3:21" ht="15.75" customHeight="1">
      <c r="C71" s="19"/>
      <c r="D71" s="16"/>
      <c r="E71" s="16"/>
      <c r="F71" s="12"/>
      <c r="G71" s="16"/>
      <c r="I71" s="25"/>
      <c r="R71" s="25" t="str">
        <f>IFERROR(
  IF($E$3="Annual",
    IFERROR(HLOOKUP(D71, Annual!$A$2:$AX$100, $R$4, FALSE), ""),
    IFERROR(HLOOKUP(D71, Quarterly!$A$2:$AX$100, $R$4, FALSE), "")
  ),
"")</f>
        <v/>
      </c>
    </row>
    <row r="72" spans="3:21" ht="15.75" customHeight="1">
      <c r="F72" s="12"/>
      <c r="G72" s="16"/>
      <c r="I72" s="25"/>
      <c r="R72" s="25" t="str">
        <f>IFERROR(
  IF($E$3="Annual",
    IFERROR(HLOOKUP(D72, Annual!$A$2:$AX$100, $R$4, FALSE), ""),
    IFERROR(HLOOKUP(D72, Quarterly!$A$2:$AX$100, $R$4, FALSE), "")
  ),
"")</f>
        <v/>
      </c>
    </row>
    <row r="73" spans="3:21" ht="15.75" customHeight="1">
      <c r="D73" s="26"/>
      <c r="E73" s="16"/>
      <c r="F73" s="12"/>
      <c r="G73" s="16"/>
      <c r="I73" s="25"/>
      <c r="R73" s="25" t="str">
        <f>IFERROR(
  IF($E$3="Annual",
    IFERROR(HLOOKUP(D73, Annual!$A$2:$AX$100, $R$4, FALSE), ""),
    IFERROR(HLOOKUP(D73, Quarterly!$A$2:$AX$100, $R$4, FALSE), "")
  ),
"")</f>
        <v/>
      </c>
    </row>
    <row r="74" spans="3:21" ht="15.75" customHeight="1">
      <c r="E74" s="16"/>
      <c r="F74" s="12"/>
      <c r="G74" s="16"/>
      <c r="I74" s="25"/>
      <c r="R74" s="25" t="str">
        <f>IFERROR(
  IF($E$3="Annual",
    IFERROR(HLOOKUP(D74, Annual!$A$2:$AX$100, $R$4, FALSE), ""),
    IFERROR(HLOOKUP(D74, Quarterly!$A$2:$AX$100, $R$4, FALSE), "")
  ),
"")</f>
        <v/>
      </c>
    </row>
    <row r="75" spans="3:21" ht="15.75" customHeight="1">
      <c r="F75" s="17"/>
      <c r="G75" s="16"/>
      <c r="I75" s="25"/>
      <c r="R75" s="25" t="str">
        <f>IFERROR(
  IF($E$3="Annual",
    IFERROR(HLOOKUP(D75, Annual!$A$2:$AX$100, $R$4, FALSE), ""),
    IFERROR(HLOOKUP(D75, Quarterly!$A$2:$AX$100, $R$4, FALSE), "")
  ),
"")</f>
        <v/>
      </c>
    </row>
    <row r="76" spans="3:21" ht="15.75" customHeight="1">
      <c r="F76" s="12"/>
      <c r="G76" s="12"/>
      <c r="R76" s="25" t="str">
        <f>IFERROR(
  IF($E$3="Annual",
    IFERROR(HLOOKUP(D76, Annual!$A$2:$AX$100, $R$4, FALSE), ""),
    IFERROR(HLOOKUP(D76, Quarterly!$A$2:$AX$100, $R$4, FALSE), "")
  ),
"")</f>
        <v/>
      </c>
    </row>
    <row r="77" spans="3:21" ht="15.75" customHeight="1">
      <c r="F77" s="12"/>
      <c r="G77" s="12"/>
      <c r="R77" s="25" t="str">
        <f>IFERROR(
  IF($E$3="Annual",
    IFERROR(HLOOKUP(D77, Annual!$A$2:$AX$100, $R$4, FALSE), ""),
    IFERROR(HLOOKUP(D77, Quarterly!$A$2:$AX$100, $R$4, FALSE), "")
  ),
"")</f>
        <v/>
      </c>
    </row>
    <row r="78" spans="3:21" ht="15.75" customHeight="1">
      <c r="F78" s="15"/>
      <c r="G78" s="12"/>
      <c r="R78" s="25" t="str">
        <f>IFERROR(
  IF($E$3="Annual",
    IFERROR(HLOOKUP(D78, Annual!$A$2:$AX$100, $R$4, FALSE), ""),
    IFERROR(HLOOKUP(D78, Quarterly!$A$2:$AX$100, $R$4, FALSE), "")
  ),
"")</f>
        <v/>
      </c>
    </row>
    <row r="79" spans="3:21" ht="15.75" customHeight="1">
      <c r="F79" s="12"/>
      <c r="G79" s="16"/>
    </row>
    <row r="80" spans="3:21" ht="15.75" customHeight="1">
      <c r="F80" s="12"/>
      <c r="G80" s="16"/>
    </row>
    <row r="81" spans="6:7" ht="15.75" customHeight="1">
      <c r="F81" s="12"/>
      <c r="G81" s="16"/>
    </row>
    <row r="82" spans="6:7" ht="15.75" customHeight="1">
      <c r="F82" s="12"/>
      <c r="G82" s="16"/>
    </row>
    <row r="83" spans="6:7" ht="15.75" customHeight="1">
      <c r="F83" s="12"/>
      <c r="G83" s="16"/>
    </row>
    <row r="84" spans="6:7" ht="15.75" customHeight="1">
      <c r="F84" s="12"/>
      <c r="G84" s="16"/>
    </row>
    <row r="85" spans="6:7" ht="15.75" customHeight="1">
      <c r="F85" s="17"/>
      <c r="G85" s="12"/>
    </row>
    <row r="86" spans="6:7" ht="15.75" customHeight="1">
      <c r="F86" s="12"/>
      <c r="G86" s="12"/>
    </row>
    <row r="87" spans="6:7" ht="15.75" customHeight="1">
      <c r="F87" s="12"/>
      <c r="G87" s="12"/>
    </row>
    <row r="88" spans="6:7" ht="15.75" customHeight="1">
      <c r="F88" s="12"/>
      <c r="G88" s="12"/>
    </row>
    <row r="89" spans="6:7" ht="15.75" customHeight="1">
      <c r="F89" s="12"/>
      <c r="G89" s="12"/>
    </row>
    <row r="90" spans="6:7" ht="15.75" customHeight="1">
      <c r="F90" s="15"/>
      <c r="G90" s="12"/>
    </row>
    <row r="91" spans="6:7" ht="15.75" customHeight="1">
      <c r="F91" s="12"/>
      <c r="G91" s="16"/>
    </row>
    <row r="92" spans="6:7" ht="15.75" customHeight="1">
      <c r="F92" s="12"/>
      <c r="G92" s="16"/>
    </row>
    <row r="93" spans="6:7" ht="15.75" customHeight="1">
      <c r="F93" s="12"/>
      <c r="G93" s="16"/>
    </row>
    <row r="94" spans="6:7" ht="15.75" customHeight="1">
      <c r="F94" s="12"/>
      <c r="G94" s="16"/>
    </row>
    <row r="95" spans="6:7" ht="15.75" customHeight="1">
      <c r="F95" s="12"/>
      <c r="G95" s="16"/>
    </row>
    <row r="96" spans="6:7" ht="15.75" customHeight="1">
      <c r="F96" s="12"/>
      <c r="G96" s="16"/>
    </row>
    <row r="97" spans="6:7" ht="15.75" customHeight="1">
      <c r="F97" s="17"/>
      <c r="G97" s="12"/>
    </row>
    <row r="98" spans="6:7" ht="15.75" customHeight="1">
      <c r="F98" s="12"/>
      <c r="G98" s="12"/>
    </row>
    <row r="99" spans="6:7" ht="15.75" customHeight="1">
      <c r="F99" s="12"/>
      <c r="G99" s="12"/>
    </row>
    <row r="100" spans="6:7" ht="15.75" customHeight="1">
      <c r="F100" s="15"/>
      <c r="G100" s="12"/>
    </row>
    <row r="101" spans="6:7" ht="15.75" customHeight="1">
      <c r="F101" s="12"/>
      <c r="G101" s="16"/>
    </row>
    <row r="102" spans="6:7" ht="15.75" customHeight="1">
      <c r="F102" s="12"/>
      <c r="G102" s="16"/>
    </row>
    <row r="103" spans="6:7" ht="15.75" customHeight="1">
      <c r="F103" s="12"/>
      <c r="G103" s="16"/>
    </row>
    <row r="104" spans="6:7" ht="15.75" customHeight="1">
      <c r="F104" s="12"/>
      <c r="G104" s="16"/>
    </row>
    <row r="105" spans="6:7" ht="15.75" customHeight="1">
      <c r="F105" s="12"/>
      <c r="G105" s="16"/>
    </row>
    <row r="106" spans="6:7" ht="15.75" customHeight="1">
      <c r="F106" s="12"/>
      <c r="G106" s="16"/>
    </row>
    <row r="107" spans="6:7" ht="15.75" customHeight="1">
      <c r="F107" s="17"/>
      <c r="G107" s="12"/>
    </row>
    <row r="108" spans="6:7" ht="15.75" customHeight="1">
      <c r="F108" s="12"/>
      <c r="G108" s="12"/>
    </row>
    <row r="109" spans="6:7" ht="15.75" customHeight="1">
      <c r="F109" s="12"/>
      <c r="G109" s="12"/>
    </row>
    <row r="110" spans="6:7" ht="15.75" customHeight="1">
      <c r="F110" s="15"/>
      <c r="G110" s="12"/>
    </row>
    <row r="111" spans="6:7" ht="15.75" customHeight="1">
      <c r="F111" s="12"/>
      <c r="G111" s="16" t="s">
        <v>14</v>
      </c>
    </row>
    <row r="112" spans="6:7" ht="15.75" customHeight="1">
      <c r="F112" s="12"/>
      <c r="G112" s="16" t="s">
        <v>84</v>
      </c>
    </row>
    <row r="113" spans="6:7" ht="15.75" customHeight="1">
      <c r="F113" s="16"/>
      <c r="G113" s="12"/>
    </row>
    <row r="114" spans="6:7" ht="15.75" customHeight="1">
      <c r="F114" s="12"/>
      <c r="G114" s="12"/>
    </row>
    <row r="115" spans="6:7" ht="15.75" customHeight="1">
      <c r="F115" s="12"/>
      <c r="G115" s="12"/>
    </row>
    <row r="116" spans="6:7" ht="15.75" customHeight="1">
      <c r="F116" s="12"/>
      <c r="G116" s="12"/>
    </row>
    <row r="117" spans="6:7" ht="15.75" customHeight="1">
      <c r="F117" s="12"/>
      <c r="G117" s="12"/>
    </row>
    <row r="118" spans="6:7" ht="15.75" customHeight="1">
      <c r="F118" s="12"/>
      <c r="G118" s="12"/>
    </row>
    <row r="119" spans="6:7" ht="15.75" customHeight="1">
      <c r="F119" s="12"/>
      <c r="G119" s="12"/>
    </row>
    <row r="120" spans="6:7" ht="15.75" customHeight="1">
      <c r="F120" s="12"/>
      <c r="G120" s="12"/>
    </row>
    <row r="121" spans="6:7" ht="15.75" customHeight="1">
      <c r="F121" s="12"/>
      <c r="G121" s="12"/>
    </row>
    <row r="122" spans="6:7" ht="15.75" customHeight="1">
      <c r="F122" s="12"/>
      <c r="G122" s="12"/>
    </row>
    <row r="123" spans="6:7" ht="15.75" customHeight="1">
      <c r="F123" s="12"/>
      <c r="G123" s="12"/>
    </row>
    <row r="124" spans="6:7" ht="15.75" customHeight="1">
      <c r="F124" s="12"/>
      <c r="G124" s="12"/>
    </row>
    <row r="125" spans="6:7" ht="15.75" customHeight="1">
      <c r="F125" s="16"/>
      <c r="G125" s="12"/>
    </row>
    <row r="126" spans="6:7" ht="15.75" customHeight="1">
      <c r="F126" s="12"/>
      <c r="G126" s="12"/>
    </row>
    <row r="127" spans="6:7" ht="15.75" customHeight="1">
      <c r="F127" s="12"/>
      <c r="G127" s="12"/>
    </row>
    <row r="128" spans="6:7" ht="15.75" customHeight="1">
      <c r="F128" s="12"/>
      <c r="G128" s="12"/>
    </row>
    <row r="129" spans="6:7" ht="15.75" customHeight="1">
      <c r="F129" s="12"/>
      <c r="G129" s="12"/>
    </row>
    <row r="130" spans="6:7" ht="15.75" customHeight="1">
      <c r="F130" s="12"/>
      <c r="G130" s="12"/>
    </row>
    <row r="131" spans="6:7" ht="15.75" customHeight="1">
      <c r="F131" s="12"/>
      <c r="G131" s="12"/>
    </row>
    <row r="132" spans="6:7" ht="15.75" customHeight="1">
      <c r="F132" s="12"/>
      <c r="G132" s="12"/>
    </row>
    <row r="133" spans="6:7" ht="15.75" customHeight="1">
      <c r="F133" s="12"/>
      <c r="G133" s="12"/>
    </row>
    <row r="134" spans="6:7" ht="15.75" customHeight="1">
      <c r="F134" s="16"/>
      <c r="G134" s="12"/>
    </row>
    <row r="135" spans="6:7" ht="15.75" customHeight="1">
      <c r="F135" s="12"/>
      <c r="G135" s="12"/>
    </row>
    <row r="136" spans="6:7" ht="15.75" customHeight="1">
      <c r="F136" s="12"/>
      <c r="G136" s="12"/>
    </row>
    <row r="137" spans="6:7" ht="15.75" customHeight="1">
      <c r="F137" s="12"/>
      <c r="G137" s="12"/>
    </row>
    <row r="138" spans="6:7" ht="15.75" customHeight="1">
      <c r="F138" s="12"/>
      <c r="G138" s="12"/>
    </row>
    <row r="139" spans="6:7" ht="15.75" customHeight="1">
      <c r="F139" s="12"/>
      <c r="G139" s="12"/>
    </row>
    <row r="140" spans="6:7" ht="15.75" customHeight="1">
      <c r="F140" s="12"/>
      <c r="G140" s="12"/>
    </row>
    <row r="141" spans="6:7" ht="15.75" customHeight="1">
      <c r="F141" s="12"/>
      <c r="G141" s="12"/>
    </row>
    <row r="142" spans="6:7" ht="15.75" customHeight="1">
      <c r="F142" s="12"/>
      <c r="G142" s="12"/>
    </row>
    <row r="143" spans="6:7" ht="15.75" customHeight="1">
      <c r="F143" s="16"/>
      <c r="G143" s="12"/>
    </row>
    <row r="144" spans="6:7" ht="15.75" customHeight="1">
      <c r="F144" s="12"/>
      <c r="G144" s="12"/>
    </row>
    <row r="145" spans="6:7" ht="15.75" customHeight="1">
      <c r="F145" s="12"/>
      <c r="G145" s="12"/>
    </row>
    <row r="146" spans="6:7" ht="15.75" customHeight="1">
      <c r="F146" s="12"/>
      <c r="G146" s="12"/>
    </row>
    <row r="147" spans="6:7" ht="15.75" customHeight="1">
      <c r="F147" s="12"/>
      <c r="G147" s="12"/>
    </row>
    <row r="148" spans="6:7" ht="15.75" customHeight="1">
      <c r="F148" s="12"/>
      <c r="G148" s="12"/>
    </row>
    <row r="149" spans="6:7" ht="15.75" customHeight="1">
      <c r="F149" s="12"/>
      <c r="G149" s="12"/>
    </row>
    <row r="150" spans="6:7" ht="15.75" customHeight="1">
      <c r="F150" s="16"/>
      <c r="G150" s="12"/>
    </row>
    <row r="151" spans="6:7" ht="15.75" customHeight="1">
      <c r="F151" s="12"/>
      <c r="G151" s="12"/>
    </row>
    <row r="152" spans="6:7" ht="15.75" customHeight="1">
      <c r="F152" s="12"/>
      <c r="G152" s="12"/>
    </row>
    <row r="153" spans="6:7" ht="15.75" customHeight="1">
      <c r="F153" s="12"/>
      <c r="G153" s="12"/>
    </row>
    <row r="154" spans="6:7" ht="15.75" customHeight="1">
      <c r="F154" s="12"/>
      <c r="G154" s="12"/>
    </row>
    <row r="155" spans="6:7" ht="15.75" customHeight="1">
      <c r="F155" s="12"/>
      <c r="G155" s="12"/>
    </row>
    <row r="156" spans="6:7" ht="15.75" customHeight="1">
      <c r="F156" s="12"/>
      <c r="G156" s="12"/>
    </row>
    <row r="157" spans="6:7" ht="15.75" customHeight="1">
      <c r="F157" s="16"/>
      <c r="G157" s="12"/>
    </row>
    <row r="158" spans="6:7" ht="15.75" customHeight="1">
      <c r="F158" s="12"/>
      <c r="G158" s="12"/>
    </row>
    <row r="159" spans="6:7" ht="15.75" customHeight="1">
      <c r="F159" s="12"/>
      <c r="G159" s="12"/>
    </row>
    <row r="160" spans="6:7" ht="15.75" customHeight="1">
      <c r="F160" s="12"/>
      <c r="G160" s="12"/>
    </row>
    <row r="161" spans="6:7" ht="15.75" customHeight="1">
      <c r="F161" s="12"/>
      <c r="G161" s="12"/>
    </row>
    <row r="162" spans="6:7" ht="15.75" customHeight="1">
      <c r="F162" s="12"/>
      <c r="G162" s="12"/>
    </row>
    <row r="163" spans="6:7" ht="15.75" customHeight="1">
      <c r="F163" s="12"/>
      <c r="G163" s="12"/>
    </row>
    <row r="164" spans="6:7" ht="15.75" customHeight="1">
      <c r="F164" s="16"/>
      <c r="G164" s="12"/>
    </row>
    <row r="165" spans="6:7" ht="15.75" customHeight="1">
      <c r="F165" s="12"/>
      <c r="G165" s="12"/>
    </row>
    <row r="166" spans="6:7" ht="15.75" customHeight="1">
      <c r="F166" s="12"/>
      <c r="G166" s="12"/>
    </row>
    <row r="167" spans="6:7" ht="15.75" customHeight="1">
      <c r="F167" s="12"/>
      <c r="G167" s="12"/>
    </row>
    <row r="168" spans="6:7" ht="15.75" customHeight="1">
      <c r="F168" s="12"/>
      <c r="G168" s="12"/>
    </row>
    <row r="169" spans="6:7" ht="15.75" customHeight="1">
      <c r="F169" s="12"/>
      <c r="G169" s="12"/>
    </row>
    <row r="170" spans="6:7" ht="15.75" customHeight="1">
      <c r="F170" s="12"/>
      <c r="G170" s="12"/>
    </row>
  </sheetData>
  <mergeCells count="1">
    <mergeCell ref="I2:R3"/>
  </mergeCells>
  <conditionalFormatting sqref="F24:H24 I24:R25">
    <cfRule type="expression" dxfId="70" priority="21">
      <formula>F24 &lt; $T24 - 1.5 * $U24</formula>
    </cfRule>
    <cfRule type="expression" dxfId="69" priority="24">
      <formula>F24 &lt; $T24 - 1 * $U24</formula>
    </cfRule>
    <cfRule type="expression" dxfId="68" priority="23">
      <formula>F24 &gt; $T24 + 1 * $U24</formula>
    </cfRule>
    <cfRule type="expression" dxfId="67" priority="22">
      <formula>F24 &gt; $T24 + 1.5 * $U24</formula>
    </cfRule>
  </conditionalFormatting>
  <conditionalFormatting sqref="F6:R6">
    <cfRule type="expression" dxfId="66" priority="49">
      <formula>F6 &lt; $T6 - 1 * $U6</formula>
    </cfRule>
    <cfRule type="expression" dxfId="65" priority="50">
      <formula>F6 &lt; $T6 - 1 * $U6</formula>
    </cfRule>
    <cfRule type="expression" dxfId="64" priority="51">
      <formula>F6 &gt; $T6 + 1.5 * $U6</formula>
    </cfRule>
    <cfRule type="expression" dxfId="63" priority="52">
      <formula>F6 &lt; $T6 - 1.5 * $U6</formula>
    </cfRule>
  </conditionalFormatting>
  <conditionalFormatting sqref="F8:R17 I18:R21 F20:H20">
    <cfRule type="expression" dxfId="62" priority="84">
      <formula>F8 &lt; $T8 - 1 * $U8</formula>
    </cfRule>
    <cfRule type="expression" dxfId="61" priority="81">
      <formula>F8 &lt; $T8 - 1.5 * $U8</formula>
    </cfRule>
    <cfRule type="expression" dxfId="60" priority="82">
      <formula>F8 &gt; $T8 + 1.5 * $U8</formula>
    </cfRule>
    <cfRule type="expression" dxfId="59" priority="83">
      <formula>F8 &gt; $T8 + 1 * $U8</formula>
    </cfRule>
  </conditionalFormatting>
  <conditionalFormatting sqref="F27:R28">
    <cfRule type="expression" dxfId="58" priority="77">
      <formula>F27 &lt; $T27 - 1.5 * $U27</formula>
    </cfRule>
    <cfRule type="expression" dxfId="57" priority="78">
      <formula>F27 &gt; $T27 + 1.5 * $U27</formula>
    </cfRule>
    <cfRule type="expression" dxfId="56" priority="79">
      <formula>F27 &gt; $T27 + 1 * $U27</formula>
    </cfRule>
    <cfRule type="expression" dxfId="55" priority="80">
      <formula>F27 &lt; $T27 - 1 * $U27</formula>
    </cfRule>
  </conditionalFormatting>
  <conditionalFormatting sqref="F29:R29">
    <cfRule type="expression" dxfId="54" priority="48">
      <formula>F29 &lt; $T29 - 1.5 * $U29</formula>
    </cfRule>
    <cfRule type="expression" dxfId="53" priority="47">
      <formula>F29 &gt; $T29 + 1.5 * $U29</formula>
    </cfRule>
    <cfRule type="expression" dxfId="52" priority="46">
      <formula>F29 &lt; $T29 - 1 * $U29</formula>
    </cfRule>
    <cfRule type="expression" dxfId="51" priority="45">
      <formula>F29 &lt; $T29 - 1 * $U29</formula>
    </cfRule>
  </conditionalFormatting>
  <conditionalFormatting sqref="F30:R37">
    <cfRule type="expression" dxfId="50" priority="18">
      <formula>F30 &gt; $T30 + 1.5 * $U30</formula>
    </cfRule>
    <cfRule type="expression" dxfId="49" priority="19">
      <formula>F30 &gt; $T30 + 1 * $U30</formula>
    </cfRule>
    <cfRule type="expression" dxfId="48" priority="20">
      <formula>F30 &lt; $T30 - 1 * $U30</formula>
    </cfRule>
    <cfRule type="expression" dxfId="47" priority="17">
      <formula>F30 &lt; $T30 - 1.5 * $U30</formula>
    </cfRule>
  </conditionalFormatting>
  <conditionalFormatting sqref="F39:R42">
    <cfRule type="expression" dxfId="46" priority="1">
      <formula>F39 &lt; $T39 - 1.5 * $U39</formula>
    </cfRule>
    <cfRule type="expression" dxfId="45" priority="4">
      <formula>F39 &lt; $T39 - 1 * $U39</formula>
    </cfRule>
    <cfRule type="expression" dxfId="44" priority="3">
      <formula>F39 &gt; $T39 + 1 * $U39</formula>
    </cfRule>
    <cfRule type="expression" dxfId="43" priority="2">
      <formula>F39 &gt; $T39 + 1.5 * $U39</formula>
    </cfRule>
  </conditionalFormatting>
  <conditionalFormatting sqref="I46:R50">
    <cfRule type="expression" dxfId="42" priority="8">
      <formula>I46 &lt; $T46 - 1 * $U46</formula>
    </cfRule>
    <cfRule type="expression" dxfId="41" priority="7">
      <formula>I46 &gt; $T46 + 1 * $U46</formula>
    </cfRule>
    <cfRule type="expression" dxfId="40" priority="6">
      <formula>I46 &gt; $T46 + 1.5 * $U46</formula>
    </cfRule>
    <cfRule type="expression" dxfId="39" priority="5">
      <formula>I46 &lt; $T46 - 1.5 * $U46</formula>
    </cfRule>
  </conditionalFormatting>
  <conditionalFormatting sqref="I53:R55">
    <cfRule type="expression" dxfId="38" priority="34">
      <formula>I53 &gt; $T53 + 1.5 * $U53</formula>
    </cfRule>
    <cfRule type="expression" dxfId="37" priority="35">
      <formula>I53 &gt; $T53 + 1 * $U53</formula>
    </cfRule>
    <cfRule type="expression" dxfId="36" priority="36">
      <formula>I53 &lt; $T53 - 1 * $U53</formula>
    </cfRule>
    <cfRule type="expression" dxfId="35" priority="33">
      <formula>I53 &lt; $T53 - 1.5 * $U53</formula>
    </cfRule>
  </conditionalFormatting>
  <conditionalFormatting sqref="I56:R56">
    <cfRule type="expression" dxfId="34" priority="32">
      <formula>I56 &lt; $T56 - 1.5 * $U56</formula>
    </cfRule>
    <cfRule type="expression" dxfId="33" priority="31">
      <formula>I56 &gt; $T56 + 1.5 * $U56</formula>
    </cfRule>
    <cfRule type="expression" dxfId="32" priority="30">
      <formula>I56 &lt; $T56 - 1 * $U56</formula>
    </cfRule>
    <cfRule type="expression" dxfId="31" priority="29">
      <formula>I56 &lt; $T56 - 1 * $U56</formula>
    </cfRule>
  </conditionalFormatting>
  <conditionalFormatting sqref="I57:R57">
    <cfRule type="expression" dxfId="30" priority="28">
      <formula>I57 &lt; $T57 - 1 * $U57</formula>
    </cfRule>
    <cfRule type="expression" dxfId="29" priority="27">
      <formula>I57 &gt; $T57 + 1 * $U57</formula>
    </cfRule>
    <cfRule type="expression" dxfId="28" priority="26">
      <formula>I57 &gt; $T57 + 1.5 * $U57</formula>
    </cfRule>
    <cfRule type="expression" dxfId="27" priority="25">
      <formula>I57 &lt; $T57 - 1.5 * $U57</formula>
    </cfRule>
  </conditionalFormatting>
  <conditionalFormatting sqref="I60:R68">
    <cfRule type="expression" dxfId="26" priority="53">
      <formula>I60 &lt; $T60 - 1.5 * $U60</formula>
    </cfRule>
    <cfRule type="expression" dxfId="25" priority="54">
      <formula>I60 &gt; $T60 + 1.5 * $U60</formula>
    </cfRule>
    <cfRule type="expression" dxfId="24" priority="55">
      <formula>I60 &gt; $T60 + 1 * $U60</formula>
    </cfRule>
    <cfRule type="expression" dxfId="23" priority="56">
      <formula>I60 &lt; $T60 - 1 * $U60</formula>
    </cfRule>
  </conditionalFormatting>
  <dataValidations count="1">
    <dataValidation type="list" allowBlank="1" showInputMessage="1" showErrorMessage="1" sqref="E3 C4" xr:uid="{03E09647-9B65-4837-A49A-128CB80DA969}">
      <formula1>"Annual, Quarterly"</formula1>
    </dataValidation>
  </dataValidation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0626-4470-C246-8A7B-353887475B9B}">
  <dimension ref="A1:AD24"/>
  <sheetViews>
    <sheetView workbookViewId="0">
      <selection activeCell="B2" sqref="B2"/>
    </sheetView>
  </sheetViews>
  <sheetFormatPr baseColWidth="10" defaultRowHeight="13"/>
  <sheetData>
    <row r="1" spans="1:30">
      <c r="A1" t="s">
        <v>231</v>
      </c>
    </row>
    <row r="2" spans="1:30">
      <c r="B2" t="s">
        <v>411</v>
      </c>
      <c r="C2" t="s">
        <v>412</v>
      </c>
      <c r="D2" t="s">
        <v>413</v>
      </c>
      <c r="E2" t="s">
        <v>414</v>
      </c>
      <c r="F2" t="s">
        <v>415</v>
      </c>
      <c r="G2" t="s">
        <v>416</v>
      </c>
      <c r="H2" t="s">
        <v>417</v>
      </c>
      <c r="I2" t="s">
        <v>418</v>
      </c>
      <c r="J2" t="s">
        <v>419</v>
      </c>
      <c r="K2" t="s">
        <v>244</v>
      </c>
      <c r="L2" t="s">
        <v>420</v>
      </c>
      <c r="M2" t="s">
        <v>421</v>
      </c>
      <c r="N2" t="s">
        <v>422</v>
      </c>
      <c r="O2" t="s">
        <v>423</v>
      </c>
      <c r="P2" t="s">
        <v>424</v>
      </c>
      <c r="Q2" t="s">
        <v>425</v>
      </c>
      <c r="R2" t="s">
        <v>426</v>
      </c>
      <c r="S2" t="s">
        <v>427</v>
      </c>
      <c r="T2" t="s">
        <v>428</v>
      </c>
      <c r="U2" t="s">
        <v>429</v>
      </c>
      <c r="V2" t="s">
        <v>430</v>
      </c>
      <c r="W2" t="s">
        <v>431</v>
      </c>
      <c r="X2" t="s">
        <v>432</v>
      </c>
      <c r="Y2" t="s">
        <v>433</v>
      </c>
      <c r="Z2" t="s">
        <v>434</v>
      </c>
      <c r="AA2" t="s">
        <v>6</v>
      </c>
      <c r="AB2" t="s">
        <v>435</v>
      </c>
    </row>
    <row r="3" spans="1:30">
      <c r="A3">
        <v>0</v>
      </c>
      <c r="B3" s="21">
        <v>43738</v>
      </c>
      <c r="C3">
        <v>111052</v>
      </c>
      <c r="D3" t="s">
        <v>42</v>
      </c>
      <c r="E3">
        <v>2019</v>
      </c>
      <c r="F3" t="s">
        <v>436</v>
      </c>
      <c r="G3" s="21">
        <v>43769</v>
      </c>
      <c r="H3" s="21">
        <v>44498</v>
      </c>
      <c r="I3">
        <v>18471336000</v>
      </c>
      <c r="J3">
        <v>18595652000</v>
      </c>
      <c r="K3">
        <v>260174000000</v>
      </c>
      <c r="L3">
        <v>-161782000000</v>
      </c>
      <c r="M3">
        <v>98392000000</v>
      </c>
      <c r="N3">
        <v>-34462000000</v>
      </c>
      <c r="O3">
        <v>-18245000000</v>
      </c>
      <c r="P3">
        <v>-16217000000</v>
      </c>
      <c r="R3">
        <v>63930000000</v>
      </c>
      <c r="S3">
        <v>1807000000</v>
      </c>
      <c r="U3">
        <v>65737000000</v>
      </c>
      <c r="W3">
        <v>65737000000</v>
      </c>
      <c r="X3">
        <v>-10481000000</v>
      </c>
      <c r="Y3">
        <v>55256000000</v>
      </c>
      <c r="AA3">
        <v>55256000000</v>
      </c>
      <c r="AB3">
        <v>55256000000</v>
      </c>
    </row>
    <row r="4" spans="1:30">
      <c r="A4">
        <v>1</v>
      </c>
      <c r="B4" s="21">
        <v>44104</v>
      </c>
      <c r="C4">
        <v>111052</v>
      </c>
      <c r="D4" t="s">
        <v>42</v>
      </c>
      <c r="E4">
        <v>2020</v>
      </c>
      <c r="F4" t="s">
        <v>436</v>
      </c>
      <c r="G4" s="21">
        <v>44134</v>
      </c>
      <c r="H4" s="21">
        <v>44862</v>
      </c>
      <c r="I4">
        <v>17352119000</v>
      </c>
      <c r="J4">
        <v>17528214000</v>
      </c>
      <c r="K4">
        <v>274515000000</v>
      </c>
      <c r="L4">
        <v>-169559000000</v>
      </c>
      <c r="M4">
        <v>104956000000</v>
      </c>
      <c r="N4">
        <v>-38668000000</v>
      </c>
      <c r="O4">
        <v>-19916000000</v>
      </c>
      <c r="P4">
        <v>-18752000000</v>
      </c>
      <c r="R4">
        <v>66288000000</v>
      </c>
      <c r="S4">
        <v>803000000</v>
      </c>
      <c r="U4">
        <v>67091000000</v>
      </c>
      <c r="W4">
        <v>67091000000</v>
      </c>
      <c r="X4">
        <v>-9680000000</v>
      </c>
      <c r="Y4">
        <v>57411000000</v>
      </c>
      <c r="AA4">
        <v>57411000000</v>
      </c>
      <c r="AB4">
        <v>57411000000</v>
      </c>
    </row>
    <row r="5" spans="1:30">
      <c r="A5">
        <v>2</v>
      </c>
      <c r="B5" s="21">
        <v>44469</v>
      </c>
      <c r="C5">
        <v>111052</v>
      </c>
      <c r="D5" t="s">
        <v>42</v>
      </c>
      <c r="E5">
        <v>2021</v>
      </c>
      <c r="F5" t="s">
        <v>436</v>
      </c>
      <c r="G5" s="21">
        <v>44498</v>
      </c>
      <c r="H5" s="21">
        <v>45233</v>
      </c>
      <c r="I5">
        <v>16391724000</v>
      </c>
      <c r="J5">
        <v>16519291000</v>
      </c>
      <c r="K5">
        <v>365817000000</v>
      </c>
      <c r="L5">
        <v>-212981000000</v>
      </c>
      <c r="M5">
        <v>152836000000</v>
      </c>
      <c r="N5">
        <v>-43887000000</v>
      </c>
      <c r="O5">
        <v>-21973000000</v>
      </c>
      <c r="P5">
        <v>-21914000000</v>
      </c>
      <c r="R5">
        <v>108949000000</v>
      </c>
      <c r="S5">
        <v>258000000</v>
      </c>
      <c r="U5">
        <v>109207000000</v>
      </c>
      <c r="W5">
        <v>109207000000</v>
      </c>
      <c r="X5">
        <v>-14527000000</v>
      </c>
      <c r="Y5">
        <v>94680000000</v>
      </c>
      <c r="AA5">
        <v>94680000000</v>
      </c>
      <c r="AB5">
        <v>94680000000</v>
      </c>
    </row>
    <row r="6" spans="1:30">
      <c r="A6">
        <v>3</v>
      </c>
      <c r="B6" s="21">
        <v>44834</v>
      </c>
      <c r="C6">
        <v>111052</v>
      </c>
      <c r="D6" t="s">
        <v>42</v>
      </c>
      <c r="E6">
        <v>2022</v>
      </c>
      <c r="F6" t="s">
        <v>436</v>
      </c>
      <c r="G6" s="21">
        <v>44862</v>
      </c>
      <c r="H6" s="21">
        <v>45597</v>
      </c>
      <c r="I6">
        <v>16215963000</v>
      </c>
      <c r="J6">
        <v>16325819000</v>
      </c>
      <c r="K6">
        <v>394328000000</v>
      </c>
      <c r="L6">
        <v>-223546000000</v>
      </c>
      <c r="M6">
        <v>170782000000</v>
      </c>
      <c r="N6">
        <v>-51345000000</v>
      </c>
      <c r="O6">
        <v>-25094000000</v>
      </c>
      <c r="P6">
        <v>-26251000000</v>
      </c>
      <c r="R6">
        <v>119437000000</v>
      </c>
      <c r="S6">
        <v>-334000000</v>
      </c>
      <c r="U6">
        <v>119103000000</v>
      </c>
      <c r="W6">
        <v>119103000000</v>
      </c>
      <c r="X6">
        <v>-19300000000</v>
      </c>
      <c r="Y6">
        <v>99803000000</v>
      </c>
      <c r="AA6">
        <v>99803000000</v>
      </c>
      <c r="AB6">
        <v>99803000000</v>
      </c>
    </row>
    <row r="7" spans="1:30">
      <c r="A7">
        <v>4</v>
      </c>
      <c r="B7" s="21">
        <v>45199</v>
      </c>
      <c r="C7">
        <v>111052</v>
      </c>
      <c r="D7" t="s">
        <v>42</v>
      </c>
      <c r="E7">
        <v>2023</v>
      </c>
      <c r="F7" t="s">
        <v>436</v>
      </c>
      <c r="G7" s="21">
        <v>45233</v>
      </c>
      <c r="H7" s="21">
        <v>45597</v>
      </c>
      <c r="I7">
        <v>15744231000</v>
      </c>
      <c r="J7">
        <v>15812547000</v>
      </c>
      <c r="K7">
        <v>383285000000</v>
      </c>
      <c r="L7">
        <v>-214137000000</v>
      </c>
      <c r="M7">
        <v>169148000000</v>
      </c>
      <c r="N7">
        <v>-54847000000</v>
      </c>
      <c r="O7">
        <v>-24932000000</v>
      </c>
      <c r="P7">
        <v>-29915000000</v>
      </c>
      <c r="R7">
        <v>114301000000</v>
      </c>
      <c r="S7">
        <v>-565000000</v>
      </c>
      <c r="U7">
        <v>113736000000</v>
      </c>
      <c r="W7">
        <v>113736000000</v>
      </c>
      <c r="X7">
        <v>-16741000000</v>
      </c>
      <c r="Y7">
        <v>96995000000</v>
      </c>
      <c r="AA7">
        <v>96995000000</v>
      </c>
      <c r="AB7">
        <v>96995000000</v>
      </c>
    </row>
    <row r="9" spans="1:30">
      <c r="A9" t="s">
        <v>8</v>
      </c>
    </row>
    <row r="10" spans="1:30">
      <c r="B10" t="s">
        <v>411</v>
      </c>
      <c r="C10" t="s">
        <v>412</v>
      </c>
      <c r="D10" t="s">
        <v>413</v>
      </c>
      <c r="E10" t="s">
        <v>414</v>
      </c>
      <c r="F10" t="s">
        <v>415</v>
      </c>
      <c r="G10" t="s">
        <v>416</v>
      </c>
      <c r="H10" t="s">
        <v>417</v>
      </c>
      <c r="I10" t="s">
        <v>418</v>
      </c>
      <c r="J10" t="s">
        <v>419</v>
      </c>
      <c r="K10" t="s">
        <v>437</v>
      </c>
      <c r="L10" t="s">
        <v>438</v>
      </c>
      <c r="M10" t="s">
        <v>439</v>
      </c>
      <c r="N10" t="s">
        <v>440</v>
      </c>
      <c r="O10" t="s">
        <v>441</v>
      </c>
      <c r="P10" t="s">
        <v>442</v>
      </c>
      <c r="Q10" t="s">
        <v>443</v>
      </c>
      <c r="R10" t="s">
        <v>444</v>
      </c>
      <c r="S10" t="s">
        <v>445</v>
      </c>
      <c r="T10" t="s">
        <v>446</v>
      </c>
      <c r="U10" t="s">
        <v>447</v>
      </c>
      <c r="V10" t="s">
        <v>448</v>
      </c>
      <c r="W10" t="s">
        <v>449</v>
      </c>
      <c r="X10" t="s">
        <v>450</v>
      </c>
      <c r="Y10" t="s">
        <v>451</v>
      </c>
      <c r="Z10" t="s">
        <v>452</v>
      </c>
      <c r="AA10" t="s">
        <v>453</v>
      </c>
      <c r="AB10" t="s">
        <v>454</v>
      </c>
      <c r="AC10" t="s">
        <v>455</v>
      </c>
      <c r="AD10" t="s">
        <v>456</v>
      </c>
    </row>
    <row r="11" spans="1:30">
      <c r="A11">
        <v>0</v>
      </c>
      <c r="B11" s="21">
        <v>43738</v>
      </c>
      <c r="C11">
        <v>111052</v>
      </c>
      <c r="D11" t="s">
        <v>42</v>
      </c>
      <c r="E11">
        <v>2019</v>
      </c>
      <c r="F11" t="s">
        <v>457</v>
      </c>
      <c r="G11" s="21">
        <v>43769</v>
      </c>
      <c r="H11" s="21">
        <v>44134</v>
      </c>
      <c r="I11">
        <v>18471336000</v>
      </c>
      <c r="J11">
        <v>18595652000</v>
      </c>
      <c r="K11">
        <v>100557000000</v>
      </c>
      <c r="L11">
        <v>22926000000</v>
      </c>
      <c r="M11">
        <v>4106000000</v>
      </c>
      <c r="N11">
        <v>162819000000</v>
      </c>
      <c r="O11">
        <v>37378000000</v>
      </c>
      <c r="P11">
        <v>105341000000</v>
      </c>
      <c r="Q11">
        <v>32978000000</v>
      </c>
      <c r="R11">
        <v>175697000000</v>
      </c>
      <c r="S11">
        <v>338516000000</v>
      </c>
      <c r="T11">
        <v>46236000000</v>
      </c>
      <c r="U11">
        <v>108047000000</v>
      </c>
      <c r="V11">
        <v>197525000000</v>
      </c>
      <c r="X11">
        <v>50503000000</v>
      </c>
      <c r="Y11">
        <v>248028000000</v>
      </c>
      <c r="Z11">
        <v>45174000000</v>
      </c>
      <c r="AB11">
        <v>45898000000</v>
      </c>
      <c r="AC11">
        <v>90488000000</v>
      </c>
      <c r="AD11">
        <v>338516000000</v>
      </c>
    </row>
    <row r="12" spans="1:30">
      <c r="A12">
        <v>1</v>
      </c>
      <c r="B12" s="21">
        <v>44104</v>
      </c>
      <c r="C12">
        <v>111052</v>
      </c>
      <c r="D12" t="s">
        <v>42</v>
      </c>
      <c r="E12">
        <v>2020</v>
      </c>
      <c r="F12" t="s">
        <v>457</v>
      </c>
      <c r="G12" s="21">
        <v>44134</v>
      </c>
      <c r="H12" s="21">
        <v>44498</v>
      </c>
      <c r="I12">
        <v>17352119000</v>
      </c>
      <c r="J12">
        <v>17528214000</v>
      </c>
      <c r="K12">
        <v>90943000000</v>
      </c>
      <c r="L12">
        <v>16120000000</v>
      </c>
      <c r="M12">
        <v>4061000000</v>
      </c>
      <c r="N12">
        <v>143713000000</v>
      </c>
      <c r="O12">
        <v>36766000000</v>
      </c>
      <c r="P12">
        <v>100887000000</v>
      </c>
      <c r="Q12">
        <v>42522000000</v>
      </c>
      <c r="R12">
        <v>180175000000</v>
      </c>
      <c r="S12">
        <v>323888000000</v>
      </c>
      <c r="T12">
        <v>42296000000</v>
      </c>
      <c r="U12">
        <v>112436000000</v>
      </c>
      <c r="V12">
        <v>204059000000</v>
      </c>
      <c r="X12">
        <v>54490000000</v>
      </c>
      <c r="Y12">
        <v>258549000000</v>
      </c>
      <c r="Z12">
        <v>50779000000</v>
      </c>
      <c r="AB12">
        <v>14966000000</v>
      </c>
      <c r="AC12">
        <v>65339000000</v>
      </c>
      <c r="AD12">
        <v>323888000000</v>
      </c>
    </row>
    <row r="13" spans="1:30">
      <c r="A13">
        <v>2</v>
      </c>
      <c r="B13" s="21">
        <v>44469</v>
      </c>
      <c r="C13">
        <v>111052</v>
      </c>
      <c r="D13" t="s">
        <v>42</v>
      </c>
      <c r="E13">
        <v>2021</v>
      </c>
      <c r="F13" t="s">
        <v>457</v>
      </c>
      <c r="G13" s="21">
        <v>44498</v>
      </c>
      <c r="H13" s="21">
        <v>44862</v>
      </c>
      <c r="I13">
        <v>16391724000</v>
      </c>
      <c r="J13">
        <v>16519291000</v>
      </c>
      <c r="K13">
        <v>62639000000</v>
      </c>
      <c r="L13">
        <v>26278000000</v>
      </c>
      <c r="M13">
        <v>6580000000</v>
      </c>
      <c r="N13">
        <v>134836000000</v>
      </c>
      <c r="O13">
        <v>39440000000</v>
      </c>
      <c r="P13">
        <v>127877000000</v>
      </c>
      <c r="Q13">
        <v>48849000000</v>
      </c>
      <c r="R13">
        <v>216166000000</v>
      </c>
      <c r="S13">
        <v>351002000000</v>
      </c>
      <c r="T13">
        <v>54763000000</v>
      </c>
      <c r="U13">
        <v>15613000000</v>
      </c>
      <c r="V13">
        <v>125481000000</v>
      </c>
      <c r="W13">
        <v>109106000000</v>
      </c>
      <c r="X13">
        <v>162431000000</v>
      </c>
      <c r="Y13">
        <v>287912000000</v>
      </c>
      <c r="Z13">
        <v>57365000000</v>
      </c>
      <c r="AB13">
        <v>5562000000</v>
      </c>
      <c r="AC13">
        <v>63090000000</v>
      </c>
      <c r="AD13">
        <v>351002000000</v>
      </c>
    </row>
    <row r="14" spans="1:30">
      <c r="A14">
        <v>3</v>
      </c>
      <c r="B14" s="21">
        <v>44834</v>
      </c>
      <c r="C14">
        <v>111052</v>
      </c>
      <c r="D14" t="s">
        <v>42</v>
      </c>
      <c r="E14">
        <v>2022</v>
      </c>
      <c r="F14" t="s">
        <v>457</v>
      </c>
      <c r="G14" s="21">
        <v>44862</v>
      </c>
      <c r="H14" s="21">
        <v>45233</v>
      </c>
      <c r="I14">
        <v>16215963000</v>
      </c>
      <c r="J14">
        <v>16325819000</v>
      </c>
      <c r="K14">
        <v>48304000000</v>
      </c>
      <c r="L14">
        <v>28184000000</v>
      </c>
      <c r="M14">
        <v>4946000000</v>
      </c>
      <c r="N14">
        <v>135405000000</v>
      </c>
      <c r="O14">
        <v>42117000000</v>
      </c>
      <c r="P14">
        <v>120805000000</v>
      </c>
      <c r="Q14">
        <v>54428000000</v>
      </c>
      <c r="R14">
        <v>217350000000</v>
      </c>
      <c r="S14">
        <v>352755000000</v>
      </c>
      <c r="T14">
        <v>64115000000</v>
      </c>
      <c r="U14">
        <v>21110000000</v>
      </c>
      <c r="V14">
        <v>153982000000</v>
      </c>
      <c r="W14">
        <v>98959000000</v>
      </c>
      <c r="X14">
        <v>148101000000</v>
      </c>
      <c r="Y14">
        <v>302083000000</v>
      </c>
      <c r="Z14">
        <v>64849000000</v>
      </c>
      <c r="AB14">
        <v>-3068000000</v>
      </c>
      <c r="AC14">
        <v>50672000000</v>
      </c>
      <c r="AD14">
        <v>352755000000</v>
      </c>
    </row>
    <row r="15" spans="1:30">
      <c r="A15">
        <v>4</v>
      </c>
      <c r="B15" s="21">
        <v>45199</v>
      </c>
      <c r="C15">
        <v>111052</v>
      </c>
      <c r="D15" t="s">
        <v>42</v>
      </c>
      <c r="E15">
        <v>2023</v>
      </c>
      <c r="F15" t="s">
        <v>457</v>
      </c>
      <c r="G15" s="21">
        <v>45233</v>
      </c>
      <c r="H15" s="21">
        <v>45597</v>
      </c>
      <c r="I15">
        <v>15744231000</v>
      </c>
      <c r="J15">
        <v>15812547000</v>
      </c>
      <c r="K15">
        <v>61555000000</v>
      </c>
      <c r="L15">
        <v>29508000000</v>
      </c>
      <c r="M15">
        <v>6331000000</v>
      </c>
      <c r="N15">
        <v>143566000000</v>
      </c>
      <c r="O15">
        <v>43715000000</v>
      </c>
      <c r="P15">
        <v>100544000000</v>
      </c>
      <c r="Q15">
        <v>64758000000</v>
      </c>
      <c r="R15">
        <v>209017000000</v>
      </c>
      <c r="S15">
        <v>352583000000</v>
      </c>
      <c r="T15">
        <v>62611000000</v>
      </c>
      <c r="U15">
        <v>5985000000</v>
      </c>
      <c r="V15">
        <v>135486000000</v>
      </c>
      <c r="W15">
        <v>105103000000</v>
      </c>
      <c r="X15">
        <v>154951000000</v>
      </c>
      <c r="Y15">
        <v>290437000000</v>
      </c>
      <c r="Z15">
        <v>73812000000</v>
      </c>
      <c r="AB15">
        <v>-214000000</v>
      </c>
      <c r="AC15">
        <v>62146000000</v>
      </c>
      <c r="AD15">
        <v>352583000000</v>
      </c>
    </row>
    <row r="18" spans="1:28">
      <c r="A18" t="s">
        <v>458</v>
      </c>
    </row>
    <row r="19" spans="1:28">
      <c r="B19" t="s">
        <v>411</v>
      </c>
      <c r="C19" t="s">
        <v>412</v>
      </c>
      <c r="D19" t="s">
        <v>413</v>
      </c>
      <c r="E19" t="s">
        <v>414</v>
      </c>
      <c r="F19" t="s">
        <v>415</v>
      </c>
      <c r="G19" t="s">
        <v>416</v>
      </c>
      <c r="H19" t="s">
        <v>417</v>
      </c>
      <c r="I19" t="s">
        <v>418</v>
      </c>
      <c r="J19" t="s">
        <v>419</v>
      </c>
      <c r="K19" t="s">
        <v>459</v>
      </c>
      <c r="L19" t="s">
        <v>425</v>
      </c>
      <c r="M19" t="s">
        <v>460</v>
      </c>
      <c r="N19" t="s">
        <v>461</v>
      </c>
      <c r="O19" t="s">
        <v>462</v>
      </c>
      <c r="P19" t="s">
        <v>463</v>
      </c>
      <c r="Q19" t="s">
        <v>464</v>
      </c>
      <c r="R19" t="s">
        <v>465</v>
      </c>
      <c r="S19" t="s">
        <v>466</v>
      </c>
      <c r="T19" t="s">
        <v>467</v>
      </c>
      <c r="U19" t="s">
        <v>468</v>
      </c>
      <c r="V19" t="s">
        <v>469</v>
      </c>
      <c r="W19" t="s">
        <v>470</v>
      </c>
      <c r="X19" t="s">
        <v>471</v>
      </c>
      <c r="Y19" t="s">
        <v>472</v>
      </c>
      <c r="Z19" t="s">
        <v>473</v>
      </c>
      <c r="AA19" t="s">
        <v>474</v>
      </c>
      <c r="AB19" t="s">
        <v>475</v>
      </c>
    </row>
    <row r="20" spans="1:28">
      <c r="A20">
        <v>0</v>
      </c>
      <c r="B20" s="21">
        <v>43738</v>
      </c>
      <c r="C20">
        <v>111052</v>
      </c>
      <c r="D20" t="s">
        <v>42</v>
      </c>
      <c r="E20">
        <v>2019</v>
      </c>
      <c r="F20" t="s">
        <v>436</v>
      </c>
      <c r="G20" s="21">
        <v>43769</v>
      </c>
      <c r="H20" s="21">
        <v>44498</v>
      </c>
      <c r="I20">
        <v>18471336000</v>
      </c>
      <c r="J20">
        <v>18595652000</v>
      </c>
      <c r="K20">
        <v>55256000000</v>
      </c>
      <c r="L20">
        <v>12547000000</v>
      </c>
      <c r="M20">
        <v>5076000000</v>
      </c>
      <c r="N20">
        <v>-3488000000</v>
      </c>
      <c r="S20">
        <v>69391000000</v>
      </c>
      <c r="T20">
        <v>-10495000000</v>
      </c>
      <c r="U20">
        <v>58093000000</v>
      </c>
      <c r="V20">
        <v>-624000000</v>
      </c>
      <c r="W20">
        <v>45896000000</v>
      </c>
      <c r="X20">
        <v>-14119000000</v>
      </c>
      <c r="Y20">
        <v>-7819000000</v>
      </c>
      <c r="Z20">
        <v>-66116000000</v>
      </c>
      <c r="AA20">
        <v>-90976000000</v>
      </c>
      <c r="AB20">
        <v>24311000000</v>
      </c>
    </row>
    <row r="21" spans="1:28">
      <c r="A21">
        <v>1</v>
      </c>
      <c r="B21" s="21">
        <v>44104</v>
      </c>
      <c r="C21">
        <v>111052</v>
      </c>
      <c r="D21" t="s">
        <v>42</v>
      </c>
      <c r="E21">
        <v>2020</v>
      </c>
      <c r="F21" t="s">
        <v>436</v>
      </c>
      <c r="G21" s="21">
        <v>44134</v>
      </c>
      <c r="H21" s="21">
        <v>44862</v>
      </c>
      <c r="I21">
        <v>17352119000</v>
      </c>
      <c r="J21">
        <v>17528214000</v>
      </c>
      <c r="K21">
        <v>57411000000</v>
      </c>
      <c r="L21">
        <v>11056000000</v>
      </c>
      <c r="M21">
        <v>6517000000</v>
      </c>
      <c r="N21">
        <v>5690000000</v>
      </c>
      <c r="S21">
        <v>80674000000</v>
      </c>
      <c r="T21">
        <v>-7309000000</v>
      </c>
      <c r="U21">
        <v>5453000000</v>
      </c>
      <c r="V21">
        <v>-1524000000</v>
      </c>
      <c r="W21">
        <v>-4289000000</v>
      </c>
      <c r="X21">
        <v>-14081000000</v>
      </c>
      <c r="Y21">
        <v>2499000000</v>
      </c>
      <c r="Z21">
        <v>-72358000000</v>
      </c>
      <c r="AA21">
        <v>-86820000000</v>
      </c>
      <c r="AB21">
        <v>-10435000000</v>
      </c>
    </row>
    <row r="22" spans="1:28">
      <c r="A22">
        <v>2</v>
      </c>
      <c r="B22" s="21">
        <v>44469</v>
      </c>
      <c r="C22">
        <v>111052</v>
      </c>
      <c r="D22" t="s">
        <v>42</v>
      </c>
      <c r="E22">
        <v>2021</v>
      </c>
      <c r="F22" t="s">
        <v>436</v>
      </c>
      <c r="G22" s="21">
        <v>44498</v>
      </c>
      <c r="H22" s="21">
        <v>45233</v>
      </c>
      <c r="I22">
        <v>16391724000</v>
      </c>
      <c r="J22">
        <v>16519291000</v>
      </c>
      <c r="K22">
        <v>94680000000</v>
      </c>
      <c r="L22">
        <v>11284000000</v>
      </c>
      <c r="M22">
        <v>2985000000</v>
      </c>
      <c r="N22">
        <v>-4911000000</v>
      </c>
      <c r="S22">
        <v>104038000000</v>
      </c>
      <c r="T22">
        <v>-11085000000</v>
      </c>
      <c r="U22">
        <v>-3075000000</v>
      </c>
      <c r="W22">
        <v>-14545000000</v>
      </c>
      <c r="X22">
        <v>-14467000000</v>
      </c>
      <c r="Y22">
        <v>12665000000</v>
      </c>
      <c r="Z22">
        <v>-85971000000</v>
      </c>
      <c r="AA22">
        <v>-93353000000</v>
      </c>
      <c r="AB22">
        <v>-3860000000</v>
      </c>
    </row>
    <row r="23" spans="1:28">
      <c r="A23">
        <v>3</v>
      </c>
      <c r="B23" s="21">
        <v>44834</v>
      </c>
      <c r="C23">
        <v>111052</v>
      </c>
      <c r="D23" t="s">
        <v>42</v>
      </c>
      <c r="E23">
        <v>2022</v>
      </c>
      <c r="F23" t="s">
        <v>436</v>
      </c>
      <c r="G23" s="21">
        <v>44862</v>
      </c>
      <c r="H23" s="21">
        <v>45597</v>
      </c>
      <c r="I23">
        <v>16215963000</v>
      </c>
      <c r="J23">
        <v>16325819000</v>
      </c>
      <c r="K23">
        <v>99803000000</v>
      </c>
      <c r="L23">
        <v>11104000000</v>
      </c>
      <c r="M23">
        <v>10044000000</v>
      </c>
      <c r="N23">
        <v>1200000000</v>
      </c>
      <c r="S23">
        <v>122151000000</v>
      </c>
      <c r="T23">
        <v>-10708000000</v>
      </c>
      <c r="U23">
        <v>-9560000000</v>
      </c>
      <c r="W23">
        <v>-22354000000</v>
      </c>
      <c r="X23">
        <v>-14841000000</v>
      </c>
      <c r="Y23">
        <v>-123000000</v>
      </c>
      <c r="Z23">
        <v>-89402000000</v>
      </c>
      <c r="AA23">
        <v>-110749000000</v>
      </c>
      <c r="AB23">
        <v>-10952000000</v>
      </c>
    </row>
    <row r="24" spans="1:28">
      <c r="A24">
        <v>4</v>
      </c>
      <c r="B24" s="21">
        <v>45199</v>
      </c>
      <c r="C24">
        <v>111052</v>
      </c>
      <c r="D24" t="s">
        <v>42</v>
      </c>
      <c r="E24">
        <v>2023</v>
      </c>
      <c r="F24" t="s">
        <v>436</v>
      </c>
      <c r="G24" s="21">
        <v>45233</v>
      </c>
      <c r="H24" s="21">
        <v>45597</v>
      </c>
      <c r="I24">
        <v>15744231000</v>
      </c>
      <c r="J24">
        <v>15812547000</v>
      </c>
      <c r="K24">
        <v>96995000000</v>
      </c>
      <c r="L24">
        <v>11519000000</v>
      </c>
      <c r="M24">
        <v>8606000000</v>
      </c>
      <c r="N24">
        <v>-6577000000</v>
      </c>
      <c r="S24">
        <v>110543000000</v>
      </c>
      <c r="T24">
        <v>-10959000000</v>
      </c>
      <c r="U24">
        <v>16001000000</v>
      </c>
      <c r="W24">
        <v>3705000000</v>
      </c>
      <c r="X24">
        <v>-15025000000</v>
      </c>
      <c r="Y24">
        <v>-9901000000</v>
      </c>
      <c r="Z24">
        <v>-77550000000</v>
      </c>
      <c r="AA24">
        <v>-108488000000</v>
      </c>
      <c r="AB24">
        <v>5760000000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outlinePr summaryBelow="0" summaryRight="0"/>
  </sheetPr>
  <dimension ref="A2:AL111"/>
  <sheetViews>
    <sheetView workbookViewId="0">
      <selection activeCell="D35" sqref="D35"/>
    </sheetView>
  </sheetViews>
  <sheetFormatPr baseColWidth="10" defaultColWidth="12.5" defaultRowHeight="15.75" customHeight="1"/>
  <cols>
    <col min="4" max="4" width="24" customWidth="1"/>
    <col min="19" max="19" width="13.5" bestFit="1" customWidth="1"/>
    <col min="38" max="38" width="25.83203125" customWidth="1"/>
  </cols>
  <sheetData>
    <row r="2" spans="1:26" ht="15.75" customHeight="1">
      <c r="A2" t="s">
        <v>225</v>
      </c>
    </row>
    <row r="3" spans="1:26" ht="15.75" customHeight="1">
      <c r="A3" s="21" t="s">
        <v>14</v>
      </c>
      <c r="B3" t="s">
        <v>15</v>
      </c>
      <c r="C3" t="s">
        <v>16</v>
      </c>
      <c r="D3" t="s">
        <v>17</v>
      </c>
      <c r="E3" t="s">
        <v>18</v>
      </c>
      <c r="F3" t="s">
        <v>19</v>
      </c>
      <c r="G3" t="s">
        <v>20</v>
      </c>
      <c r="H3" t="s">
        <v>21</v>
      </c>
      <c r="I3" t="s">
        <v>22</v>
      </c>
      <c r="J3" t="s">
        <v>23</v>
      </c>
      <c r="K3" t="s">
        <v>24</v>
      </c>
      <c r="L3" t="s">
        <v>25</v>
      </c>
      <c r="M3" t="s">
        <v>26</v>
      </c>
      <c r="N3" t="s">
        <v>27</v>
      </c>
      <c r="O3" t="s">
        <v>28</v>
      </c>
      <c r="P3" t="s">
        <v>29</v>
      </c>
      <c r="Q3" t="s">
        <v>30</v>
      </c>
      <c r="R3" t="s">
        <v>31</v>
      </c>
      <c r="S3" t="s">
        <v>32</v>
      </c>
      <c r="T3" t="s">
        <v>33</v>
      </c>
      <c r="U3" t="s">
        <v>34</v>
      </c>
      <c r="V3" t="s">
        <v>35</v>
      </c>
      <c r="W3" t="s">
        <v>36</v>
      </c>
      <c r="X3" t="s">
        <v>37</v>
      </c>
      <c r="Y3" t="s">
        <v>38</v>
      </c>
      <c r="Z3" t="s">
        <v>39</v>
      </c>
    </row>
    <row r="4" spans="1:26" ht="15.75" customHeight="1">
      <c r="A4" s="21">
        <v>45688</v>
      </c>
      <c r="B4" t="s">
        <v>42</v>
      </c>
      <c r="C4">
        <v>12017497000</v>
      </c>
      <c r="D4">
        <v>40612308000</v>
      </c>
      <c r="E4">
        <v>28594811000</v>
      </c>
      <c r="F4">
        <v>28594811000</v>
      </c>
      <c r="G4">
        <v>1714074000</v>
      </c>
      <c r="H4">
        <v>10303423000</v>
      </c>
      <c r="I4">
        <v>0</v>
      </c>
      <c r="J4">
        <v>10303423000</v>
      </c>
      <c r="K4">
        <v>0</v>
      </c>
      <c r="L4">
        <v>-274320000</v>
      </c>
      <c r="M4">
        <v>0</v>
      </c>
      <c r="N4">
        <v>274320000</v>
      </c>
      <c r="O4">
        <v>0</v>
      </c>
      <c r="P4">
        <v>0</v>
      </c>
      <c r="Q4">
        <v>0</v>
      </c>
      <c r="R4">
        <v>971703000</v>
      </c>
      <c r="S4">
        <v>1439754000</v>
      </c>
      <c r="T4">
        <v>314501000</v>
      </c>
      <c r="U4">
        <v>0</v>
      </c>
      <c r="V4">
        <v>1125253000</v>
      </c>
      <c r="W4">
        <v>0</v>
      </c>
      <c r="X4">
        <v>1714074000</v>
      </c>
      <c r="Y4">
        <v>2685777000</v>
      </c>
      <c r="Z4">
        <v>1125253000</v>
      </c>
    </row>
    <row r="5" spans="1:26" ht="15.75" customHeight="1">
      <c r="A5" s="21">
        <v>45322</v>
      </c>
      <c r="B5" t="s">
        <v>42</v>
      </c>
      <c r="C5" s="1">
        <v>11719024000</v>
      </c>
      <c r="D5" s="1">
        <v>38691609000</v>
      </c>
      <c r="E5">
        <v>26972585000</v>
      </c>
      <c r="F5">
        <v>26972585000</v>
      </c>
      <c r="G5">
        <v>2446300000</v>
      </c>
      <c r="H5">
        <v>9135424000</v>
      </c>
      <c r="I5">
        <v>0</v>
      </c>
      <c r="J5">
        <v>9272724000</v>
      </c>
      <c r="K5">
        <v>0</v>
      </c>
      <c r="L5">
        <v>-326781000</v>
      </c>
      <c r="M5">
        <v>0</v>
      </c>
      <c r="N5">
        <v>326781000</v>
      </c>
      <c r="O5">
        <v>0</v>
      </c>
      <c r="P5">
        <v>0</v>
      </c>
      <c r="Q5">
        <v>0</v>
      </c>
      <c r="R5">
        <v>848793000</v>
      </c>
      <c r="S5">
        <v>2119519000</v>
      </c>
      <c r="T5">
        <v>458245000</v>
      </c>
      <c r="U5">
        <v>0</v>
      </c>
      <c r="V5">
        <v>1661274000</v>
      </c>
      <c r="W5">
        <v>0</v>
      </c>
      <c r="X5">
        <v>2446300000</v>
      </c>
      <c r="Y5">
        <v>3295093000</v>
      </c>
      <c r="Z5">
        <v>1661274000</v>
      </c>
    </row>
    <row r="6" spans="1:26" ht="15.75" customHeight="1">
      <c r="A6" s="21">
        <v>44957</v>
      </c>
      <c r="B6" t="s">
        <v>42</v>
      </c>
      <c r="C6" s="1">
        <v>11820098000</v>
      </c>
      <c r="D6" s="1">
        <v>37844863000</v>
      </c>
      <c r="E6">
        <v>26024765000</v>
      </c>
      <c r="F6" s="1">
        <v>26024765000</v>
      </c>
      <c r="G6">
        <v>3328302000</v>
      </c>
      <c r="H6">
        <v>8365796000</v>
      </c>
      <c r="I6">
        <v>0</v>
      </c>
      <c r="J6">
        <v>8491796000</v>
      </c>
      <c r="K6">
        <v>0</v>
      </c>
      <c r="L6">
        <v>-211273000</v>
      </c>
      <c r="M6">
        <v>211273000</v>
      </c>
      <c r="N6">
        <v>211273000</v>
      </c>
      <c r="O6">
        <v>0</v>
      </c>
      <c r="P6">
        <v>-415000</v>
      </c>
      <c r="Q6">
        <v>0</v>
      </c>
      <c r="R6">
        <v>724877000</v>
      </c>
      <c r="S6">
        <v>3116614000</v>
      </c>
      <c r="T6">
        <v>700625000</v>
      </c>
      <c r="U6">
        <v>0</v>
      </c>
      <c r="V6">
        <v>2415989000</v>
      </c>
      <c r="W6">
        <v>0</v>
      </c>
      <c r="X6">
        <v>3327887000</v>
      </c>
      <c r="Y6">
        <v>4052764000</v>
      </c>
      <c r="Z6">
        <v>2415989000</v>
      </c>
    </row>
    <row r="7" spans="1:26" ht="15.75" customHeight="1">
      <c r="A7" s="21">
        <v>44592</v>
      </c>
      <c r="B7" t="s">
        <v>42</v>
      </c>
      <c r="C7">
        <v>10813006000</v>
      </c>
      <c r="D7">
        <v>34220449000</v>
      </c>
      <c r="E7">
        <v>23407443000</v>
      </c>
      <c r="F7">
        <v>23407443000</v>
      </c>
      <c r="G7">
        <v>3220675000</v>
      </c>
      <c r="H7">
        <v>7475131000</v>
      </c>
      <c r="I7">
        <v>0</v>
      </c>
      <c r="J7">
        <v>7592331000</v>
      </c>
      <c r="K7">
        <v>0</v>
      </c>
      <c r="L7">
        <v>-157526000</v>
      </c>
      <c r="M7">
        <v>157526000</v>
      </c>
      <c r="N7">
        <v>157526000</v>
      </c>
      <c r="O7">
        <v>0</v>
      </c>
      <c r="P7">
        <v>0</v>
      </c>
      <c r="Q7">
        <v>0</v>
      </c>
      <c r="R7">
        <v>641316000</v>
      </c>
      <c r="S7">
        <v>3063149000</v>
      </c>
      <c r="T7">
        <v>663917000</v>
      </c>
      <c r="U7">
        <v>0</v>
      </c>
      <c r="V7">
        <v>2399232000</v>
      </c>
      <c r="W7">
        <v>0</v>
      </c>
      <c r="X7">
        <v>3220675000</v>
      </c>
      <c r="Y7">
        <v>3861991000</v>
      </c>
      <c r="Z7">
        <v>2399232000</v>
      </c>
    </row>
    <row r="8" spans="1:26" ht="15.75" customHeight="1">
      <c r="A8" s="21">
        <v>44227</v>
      </c>
      <c r="B8" t="s">
        <v>42</v>
      </c>
      <c r="C8">
        <v>10718862000</v>
      </c>
      <c r="D8">
        <v>33746839000</v>
      </c>
      <c r="E8">
        <v>23027977000</v>
      </c>
      <c r="F8">
        <v>23027977000</v>
      </c>
      <c r="G8">
        <v>3554765000</v>
      </c>
      <c r="H8">
        <v>7056697000</v>
      </c>
      <c r="I8">
        <v>0</v>
      </c>
      <c r="J8">
        <v>7164097000</v>
      </c>
      <c r="K8">
        <v>0</v>
      </c>
      <c r="L8">
        <v>-150385000</v>
      </c>
      <c r="M8">
        <v>150385000</v>
      </c>
      <c r="N8">
        <v>150385000</v>
      </c>
      <c r="O8">
        <v>0</v>
      </c>
      <c r="P8">
        <v>0</v>
      </c>
      <c r="Q8">
        <v>0</v>
      </c>
      <c r="R8">
        <v>574237000</v>
      </c>
      <c r="S8">
        <v>3404380000</v>
      </c>
      <c r="T8">
        <v>749330000</v>
      </c>
      <c r="U8">
        <v>0</v>
      </c>
      <c r="V8">
        <v>2655050000</v>
      </c>
      <c r="W8">
        <v>0</v>
      </c>
      <c r="X8">
        <v>3554765000</v>
      </c>
      <c r="Y8">
        <v>4129002000</v>
      </c>
      <c r="Z8">
        <v>2655050000</v>
      </c>
    </row>
    <row r="9" spans="1:26" ht="15.75" customHeight="1">
      <c r="A9" s="21">
        <v>43861</v>
      </c>
      <c r="B9" t="s">
        <v>42</v>
      </c>
      <c r="C9">
        <v>8489061000</v>
      </c>
      <c r="D9">
        <v>27753973000</v>
      </c>
      <c r="E9">
        <v>19264912000</v>
      </c>
      <c r="F9">
        <v>19264912000</v>
      </c>
      <c r="G9">
        <v>2302304000</v>
      </c>
      <c r="H9">
        <v>6095757000</v>
      </c>
      <c r="I9">
        <v>0</v>
      </c>
      <c r="J9">
        <v>6186757000</v>
      </c>
      <c r="K9">
        <v>0</v>
      </c>
      <c r="L9">
        <v>-100574000</v>
      </c>
      <c r="M9">
        <v>100574000</v>
      </c>
      <c r="N9">
        <v>100574000</v>
      </c>
      <c r="O9">
        <v>0</v>
      </c>
      <c r="P9">
        <v>0</v>
      </c>
      <c r="Q9">
        <v>0</v>
      </c>
      <c r="R9">
        <v>504804000</v>
      </c>
      <c r="S9">
        <v>2201730000</v>
      </c>
      <c r="T9">
        <v>489175000</v>
      </c>
      <c r="U9">
        <v>0</v>
      </c>
      <c r="V9">
        <v>1712555000</v>
      </c>
      <c r="W9">
        <v>0</v>
      </c>
      <c r="X9">
        <v>2302304000</v>
      </c>
      <c r="Y9">
        <v>2807108000</v>
      </c>
      <c r="Z9">
        <v>1712555000</v>
      </c>
    </row>
    <row r="10" spans="1:26" ht="15.75" customHeight="1">
      <c r="A10" s="21">
        <v>43496</v>
      </c>
      <c r="B10" t="s">
        <v>42</v>
      </c>
      <c r="C10">
        <v>7803870000</v>
      </c>
      <c r="D10">
        <v>25625043000</v>
      </c>
      <c r="E10">
        <v>17821173000</v>
      </c>
      <c r="F10">
        <v>17821173000</v>
      </c>
      <c r="G10">
        <v>2116306000</v>
      </c>
      <c r="H10">
        <v>5617064000</v>
      </c>
      <c r="I10">
        <v>0</v>
      </c>
      <c r="J10">
        <v>5687564000</v>
      </c>
      <c r="K10">
        <v>0</v>
      </c>
      <c r="L10">
        <v>-99871000</v>
      </c>
      <c r="M10">
        <v>99871000</v>
      </c>
      <c r="N10">
        <v>99871000</v>
      </c>
      <c r="O10">
        <v>0</v>
      </c>
      <c r="P10">
        <v>-1019000</v>
      </c>
      <c r="Q10">
        <v>0</v>
      </c>
      <c r="R10">
        <v>454134000</v>
      </c>
      <c r="S10">
        <v>2015416000</v>
      </c>
      <c r="T10">
        <v>425944000</v>
      </c>
      <c r="U10">
        <v>0</v>
      </c>
      <c r="V10">
        <v>1589472000</v>
      </c>
      <c r="W10">
        <v>0</v>
      </c>
      <c r="X10">
        <v>2115287000</v>
      </c>
      <c r="Y10">
        <v>2569421000</v>
      </c>
      <c r="Z10">
        <v>1589472000</v>
      </c>
    </row>
    <row r="11" spans="1:26" ht="15.75" customHeight="1">
      <c r="A11" s="21">
        <v>43131</v>
      </c>
      <c r="B11" t="s">
        <v>42</v>
      </c>
      <c r="C11">
        <v>7221359000</v>
      </c>
      <c r="D11">
        <v>23470967000</v>
      </c>
      <c r="E11">
        <v>16249608000</v>
      </c>
      <c r="F11">
        <v>16249608000</v>
      </c>
      <c r="G11">
        <v>2007818000</v>
      </c>
      <c r="H11">
        <v>5144741000</v>
      </c>
      <c r="I11">
        <v>0</v>
      </c>
      <c r="J11">
        <v>5213541000</v>
      </c>
      <c r="K11">
        <v>0</v>
      </c>
      <c r="L11">
        <v>-97036000</v>
      </c>
      <c r="M11">
        <v>97036000</v>
      </c>
      <c r="N11">
        <v>97036000</v>
      </c>
      <c r="O11">
        <v>0</v>
      </c>
      <c r="P11">
        <v>-3502000</v>
      </c>
      <c r="Q11">
        <v>0</v>
      </c>
      <c r="R11">
        <v>404231000</v>
      </c>
      <c r="S11">
        <v>1907280000</v>
      </c>
      <c r="T11">
        <v>368320000</v>
      </c>
      <c r="U11">
        <v>0</v>
      </c>
      <c r="V11">
        <v>1538960000</v>
      </c>
      <c r="W11">
        <v>0</v>
      </c>
      <c r="X11">
        <v>2004316000</v>
      </c>
      <c r="Y11">
        <v>2408547000</v>
      </c>
      <c r="Z11">
        <v>1538960000</v>
      </c>
    </row>
    <row r="12" spans="1:26" ht="15.75" customHeight="1">
      <c r="A12" s="21">
        <v>42766</v>
      </c>
      <c r="B12" t="s">
        <v>42</v>
      </c>
      <c r="C12">
        <v>6782638000</v>
      </c>
      <c r="D12">
        <v>21986598000</v>
      </c>
      <c r="E12">
        <v>15203960000</v>
      </c>
      <c r="F12">
        <v>15203960000</v>
      </c>
      <c r="G12">
        <v>2063449000</v>
      </c>
      <c r="H12">
        <v>4636489000</v>
      </c>
      <c r="I12">
        <v>0</v>
      </c>
      <c r="J12">
        <v>4719189000</v>
      </c>
      <c r="K12">
        <v>0</v>
      </c>
      <c r="L12">
        <v>-97821000</v>
      </c>
      <c r="M12">
        <v>97821000</v>
      </c>
      <c r="N12">
        <v>97821000</v>
      </c>
      <c r="O12">
        <v>0</v>
      </c>
      <c r="P12">
        <v>0</v>
      </c>
      <c r="Q12">
        <v>0</v>
      </c>
      <c r="R12">
        <v>379931000</v>
      </c>
      <c r="S12">
        <v>1965628000</v>
      </c>
      <c r="T12">
        <v>714495000</v>
      </c>
      <c r="U12">
        <v>0</v>
      </c>
      <c r="V12">
        <v>1251133000</v>
      </c>
      <c r="W12">
        <v>0</v>
      </c>
      <c r="X12">
        <v>2063449000</v>
      </c>
      <c r="Y12">
        <v>2443380000</v>
      </c>
      <c r="Z12">
        <v>1251133000</v>
      </c>
    </row>
    <row r="13" spans="1:26" ht="15.75" customHeight="1">
      <c r="A13" s="21">
        <v>42400</v>
      </c>
      <c r="B13" t="s">
        <v>42</v>
      </c>
      <c r="C13">
        <v>6306091000</v>
      </c>
      <c r="D13">
        <v>20368562000</v>
      </c>
      <c r="E13">
        <v>14062471000</v>
      </c>
      <c r="F13">
        <v>14062471000</v>
      </c>
      <c r="G13">
        <v>1940294000</v>
      </c>
      <c r="H13">
        <v>4276497000</v>
      </c>
      <c r="I13">
        <v>0</v>
      </c>
      <c r="J13">
        <v>4365797000</v>
      </c>
      <c r="K13">
        <v>0</v>
      </c>
      <c r="L13">
        <v>0</v>
      </c>
      <c r="M13">
        <v>86944000</v>
      </c>
      <c r="N13">
        <v>86944000</v>
      </c>
      <c r="O13">
        <v>0</v>
      </c>
      <c r="P13">
        <v>-326000</v>
      </c>
      <c r="Q13">
        <v>0</v>
      </c>
      <c r="R13">
        <v>352431000</v>
      </c>
      <c r="S13">
        <v>1853024000</v>
      </c>
      <c r="T13">
        <v>687944000</v>
      </c>
      <c r="U13">
        <v>0</v>
      </c>
      <c r="V13">
        <v>1165080000</v>
      </c>
      <c r="W13">
        <v>0</v>
      </c>
      <c r="X13">
        <v>1946194000</v>
      </c>
      <c r="Y13">
        <v>2298625000</v>
      </c>
      <c r="Z13">
        <v>1165080000</v>
      </c>
    </row>
    <row r="14" spans="1:26" ht="15.75" customHeight="1">
      <c r="A14" s="21">
        <v>42035</v>
      </c>
      <c r="B14" t="s">
        <v>42</v>
      </c>
      <c r="C14">
        <v>5802507000</v>
      </c>
      <c r="D14">
        <v>18909588000</v>
      </c>
      <c r="E14">
        <v>13107081000</v>
      </c>
      <c r="F14">
        <v>13107081000</v>
      </c>
      <c r="G14">
        <v>1769093000</v>
      </c>
      <c r="H14">
        <v>3956114000</v>
      </c>
      <c r="I14">
        <v>0</v>
      </c>
      <c r="J14">
        <v>4033414000</v>
      </c>
      <c r="K14">
        <v>0</v>
      </c>
      <c r="L14">
        <v>0</v>
      </c>
      <c r="M14">
        <v>0</v>
      </c>
      <c r="N14">
        <v>88232000</v>
      </c>
      <c r="O14">
        <v>0</v>
      </c>
      <c r="P14">
        <v>0</v>
      </c>
      <c r="Q14">
        <v>0</v>
      </c>
      <c r="R14">
        <v>342353000</v>
      </c>
      <c r="S14">
        <v>1680861000</v>
      </c>
      <c r="T14">
        <v>615516000</v>
      </c>
      <c r="U14">
        <v>0</v>
      </c>
      <c r="V14">
        <v>1065345000</v>
      </c>
      <c r="W14">
        <v>0</v>
      </c>
      <c r="X14">
        <v>1769093000</v>
      </c>
      <c r="Y14">
        <v>2111446000</v>
      </c>
      <c r="Z14">
        <v>1065345000</v>
      </c>
    </row>
    <row r="15" spans="1:26" ht="15.75" customHeight="1">
      <c r="A15" s="21">
        <v>41670</v>
      </c>
      <c r="B15" t="s">
        <v>42</v>
      </c>
      <c r="C15">
        <v>5435742000</v>
      </c>
      <c r="D15">
        <v>17504167000</v>
      </c>
      <c r="E15">
        <v>12068425000</v>
      </c>
      <c r="F15">
        <v>12068425000</v>
      </c>
      <c r="G15">
        <v>1736185000</v>
      </c>
      <c r="H15">
        <v>3617545000</v>
      </c>
      <c r="I15">
        <v>0</v>
      </c>
      <c r="J15">
        <v>3699557000</v>
      </c>
      <c r="K15">
        <v>0</v>
      </c>
      <c r="L15">
        <v>0</v>
      </c>
      <c r="M15">
        <v>0</v>
      </c>
      <c r="N15">
        <v>88984000</v>
      </c>
      <c r="O15">
        <v>0</v>
      </c>
      <c r="P15">
        <v>-18871000</v>
      </c>
      <c r="Q15">
        <v>0</v>
      </c>
      <c r="R15">
        <v>332837000</v>
      </c>
      <c r="S15">
        <v>1628330000</v>
      </c>
      <c r="T15">
        <v>603214000</v>
      </c>
      <c r="U15">
        <v>0</v>
      </c>
      <c r="V15">
        <v>1025116000</v>
      </c>
      <c r="W15">
        <v>0</v>
      </c>
      <c r="X15">
        <v>1745185000</v>
      </c>
      <c r="Y15">
        <v>2078022000</v>
      </c>
      <c r="Z15">
        <v>1025116000</v>
      </c>
    </row>
    <row r="16" spans="1:26" ht="15.75" customHeight="1">
      <c r="A16" s="21">
        <v>41305</v>
      </c>
      <c r="B16" t="s">
        <v>42</v>
      </c>
      <c r="C16">
        <v>5085401000</v>
      </c>
      <c r="D16">
        <v>16022128000</v>
      </c>
      <c r="E16">
        <v>10936727000</v>
      </c>
      <c r="F16">
        <v>10936727000</v>
      </c>
      <c r="G16">
        <v>1655276000</v>
      </c>
      <c r="H16">
        <v>3368425000</v>
      </c>
      <c r="I16">
        <v>0</v>
      </c>
      <c r="J16">
        <v>3430125000</v>
      </c>
      <c r="K16">
        <v>0</v>
      </c>
      <c r="L16">
        <v>0</v>
      </c>
      <c r="M16">
        <v>0</v>
      </c>
      <c r="N16">
        <v>127926000</v>
      </c>
      <c r="O16">
        <v>0</v>
      </c>
      <c r="P16">
        <v>-29956000</v>
      </c>
      <c r="Q16">
        <v>0</v>
      </c>
      <c r="R16">
        <v>302911000</v>
      </c>
      <c r="S16">
        <v>1497394000</v>
      </c>
      <c r="T16">
        <v>544732000</v>
      </c>
      <c r="U16">
        <v>0</v>
      </c>
      <c r="V16">
        <v>1497394000</v>
      </c>
      <c r="W16">
        <v>0</v>
      </c>
      <c r="X16">
        <v>1611993000</v>
      </c>
      <c r="Y16">
        <v>1914904000</v>
      </c>
      <c r="Z16">
        <v>952662000</v>
      </c>
    </row>
    <row r="17" spans="1:26" ht="15.75" customHeight="1">
      <c r="A17" s="21">
        <v>40939</v>
      </c>
      <c r="B17" t="s">
        <v>42</v>
      </c>
      <c r="C17">
        <v>4697910000</v>
      </c>
      <c r="D17">
        <v>14807188000</v>
      </c>
      <c r="E17">
        <v>10109278000</v>
      </c>
      <c r="F17">
        <v>10109278000</v>
      </c>
      <c r="G17">
        <v>1490804000</v>
      </c>
      <c r="H17">
        <v>3207000000</v>
      </c>
      <c r="I17">
        <v>0</v>
      </c>
      <c r="J17">
        <v>3207106000</v>
      </c>
      <c r="K17">
        <v>0</v>
      </c>
      <c r="L17">
        <v>0</v>
      </c>
      <c r="M17">
        <v>0</v>
      </c>
      <c r="N17">
        <v>204991000</v>
      </c>
      <c r="O17">
        <v>0</v>
      </c>
      <c r="P17">
        <v>-60524000</v>
      </c>
      <c r="Q17">
        <v>0</v>
      </c>
      <c r="R17">
        <v>275408000</v>
      </c>
      <c r="S17">
        <v>1225289000</v>
      </c>
      <c r="T17">
        <v>458604000</v>
      </c>
      <c r="U17">
        <v>0</v>
      </c>
      <c r="V17">
        <v>1225289000</v>
      </c>
      <c r="W17">
        <v>0</v>
      </c>
      <c r="X17">
        <v>1401647000</v>
      </c>
      <c r="Y17">
        <v>1677055000</v>
      </c>
      <c r="Z17">
        <v>766685000</v>
      </c>
    </row>
    <row r="18" spans="1:26" ht="15.75" customHeight="1">
      <c r="A18" s="21">
        <v>40574</v>
      </c>
      <c r="B18" t="s">
        <v>42</v>
      </c>
      <c r="C18">
        <v>4176556000</v>
      </c>
      <c r="D18">
        <v>13035000000</v>
      </c>
      <c r="E18">
        <v>8858444000</v>
      </c>
      <c r="F18">
        <v>8858444000</v>
      </c>
      <c r="G18">
        <v>1274065000</v>
      </c>
      <c r="H18">
        <v>2835397000</v>
      </c>
      <c r="I18">
        <v>0</v>
      </c>
      <c r="J18">
        <v>2902491000</v>
      </c>
      <c r="K18">
        <v>0</v>
      </c>
      <c r="L18">
        <v>0</v>
      </c>
      <c r="M18">
        <v>0</v>
      </c>
      <c r="N18">
        <v>274212000</v>
      </c>
      <c r="O18">
        <v>0</v>
      </c>
      <c r="P18">
        <v>0</v>
      </c>
      <c r="Q18">
        <v>0</v>
      </c>
      <c r="R18">
        <v>254927000</v>
      </c>
      <c r="S18">
        <v>984972000</v>
      </c>
      <c r="T18">
        <v>357115000</v>
      </c>
      <c r="U18">
        <v>0</v>
      </c>
      <c r="V18">
        <v>0</v>
      </c>
      <c r="W18">
        <v>0</v>
      </c>
      <c r="X18">
        <v>1216190000</v>
      </c>
      <c r="Y18">
        <v>1471117000</v>
      </c>
      <c r="Z18">
        <v>627857000</v>
      </c>
    </row>
    <row r="19" spans="1:26" ht="15.75" customHeight="1">
      <c r="A19" s="21">
        <v>40209</v>
      </c>
      <c r="B19" t="s">
        <v>42</v>
      </c>
      <c r="C19">
        <v>3689871000</v>
      </c>
      <c r="D19">
        <v>11796380000</v>
      </c>
      <c r="E19">
        <v>8106509000</v>
      </c>
      <c r="F19">
        <v>8106509000</v>
      </c>
      <c r="G19">
        <v>953258000</v>
      </c>
      <c r="H19">
        <v>2674119000</v>
      </c>
      <c r="I19">
        <v>0</v>
      </c>
      <c r="J19">
        <v>2736613000</v>
      </c>
      <c r="K19">
        <v>0</v>
      </c>
      <c r="L19">
        <v>0</v>
      </c>
      <c r="M19">
        <v>0</v>
      </c>
      <c r="N19">
        <v>345744000</v>
      </c>
      <c r="O19">
        <v>0</v>
      </c>
      <c r="P19">
        <v>0</v>
      </c>
      <c r="Q19">
        <v>0</v>
      </c>
      <c r="R19">
        <v>256771000</v>
      </c>
      <c r="S19">
        <v>552116000</v>
      </c>
      <c r="T19">
        <v>212674000</v>
      </c>
      <c r="U19">
        <v>0</v>
      </c>
      <c r="V19">
        <v>0</v>
      </c>
      <c r="W19">
        <v>0</v>
      </c>
      <c r="X19">
        <v>847720000</v>
      </c>
      <c r="Y19">
        <v>1104491000</v>
      </c>
      <c r="Z19">
        <v>339442000</v>
      </c>
    </row>
    <row r="20" spans="1:26" ht="15.75" customHeight="1">
      <c r="A20" s="21">
        <v>39844</v>
      </c>
      <c r="B20" t="s">
        <v>42</v>
      </c>
      <c r="C20">
        <v>3061097000</v>
      </c>
      <c r="D20">
        <v>10457668000</v>
      </c>
      <c r="E20">
        <v>7396571000</v>
      </c>
      <c r="F20">
        <v>7396571000</v>
      </c>
      <c r="G20">
        <v>580486000</v>
      </c>
      <c r="H20">
        <v>2391312000</v>
      </c>
      <c r="I20">
        <v>0</v>
      </c>
      <c r="J20">
        <v>2448611000</v>
      </c>
      <c r="K20">
        <v>0</v>
      </c>
      <c r="L20">
        <v>0</v>
      </c>
      <c r="M20">
        <v>0</v>
      </c>
      <c r="N20">
        <v>391932000</v>
      </c>
      <c r="O20">
        <v>0</v>
      </c>
      <c r="P20">
        <v>0</v>
      </c>
      <c r="Q20">
        <v>0</v>
      </c>
      <c r="R20">
        <v>247899000</v>
      </c>
      <c r="S20">
        <v>194403000</v>
      </c>
      <c r="T20">
        <v>86221000</v>
      </c>
      <c r="U20">
        <v>0</v>
      </c>
      <c r="V20">
        <v>0</v>
      </c>
      <c r="W20">
        <v>0</v>
      </c>
      <c r="X20">
        <v>586335000</v>
      </c>
      <c r="Y20">
        <v>834234000</v>
      </c>
      <c r="Z20">
        <v>108182000</v>
      </c>
    </row>
    <row r="21" spans="1:26" ht="15.75" customHeight="1">
      <c r="A21" s="21">
        <v>39478</v>
      </c>
      <c r="B21" t="s">
        <v>42</v>
      </c>
      <c r="C21">
        <v>2643469000</v>
      </c>
      <c r="D21">
        <v>9495246000</v>
      </c>
      <c r="E21">
        <v>6851777000</v>
      </c>
      <c r="F21">
        <v>6851777000</v>
      </c>
      <c r="G21">
        <v>255392000</v>
      </c>
      <c r="H21">
        <v>2330778000</v>
      </c>
      <c r="I21">
        <v>0</v>
      </c>
      <c r="J21">
        <v>2388077000</v>
      </c>
      <c r="K21">
        <v>0</v>
      </c>
      <c r="L21">
        <v>0</v>
      </c>
      <c r="M21">
        <v>0</v>
      </c>
      <c r="N21">
        <v>263196000</v>
      </c>
      <c r="O21">
        <v>0</v>
      </c>
      <c r="P21">
        <v>0</v>
      </c>
      <c r="Q21">
        <v>0</v>
      </c>
      <c r="R21">
        <v>234130000</v>
      </c>
      <c r="S21">
        <v>-2598000</v>
      </c>
      <c r="T21">
        <v>10218000</v>
      </c>
      <c r="U21">
        <v>0</v>
      </c>
      <c r="V21">
        <v>0</v>
      </c>
      <c r="W21">
        <v>0</v>
      </c>
      <c r="X21">
        <v>260598000</v>
      </c>
      <c r="Y21">
        <v>494728000</v>
      </c>
      <c r="Z21">
        <v>-12816000</v>
      </c>
    </row>
    <row r="22" spans="1:26" ht="15.75" customHeight="1">
      <c r="A22" s="21">
        <v>39113</v>
      </c>
      <c r="B22" t="s">
        <v>42</v>
      </c>
      <c r="C22">
        <v>2368205000</v>
      </c>
      <c r="D22">
        <v>9169822000</v>
      </c>
      <c r="E22">
        <v>6801617000</v>
      </c>
      <c r="F22">
        <v>6801617000</v>
      </c>
      <c r="G22">
        <v>248276000</v>
      </c>
      <c r="H22">
        <v>43234071000</v>
      </c>
      <c r="I22">
        <v>0</v>
      </c>
      <c r="J22">
        <v>2119929000</v>
      </c>
      <c r="K22">
        <v>0</v>
      </c>
      <c r="L22">
        <v>0</v>
      </c>
      <c r="M22">
        <v>0</v>
      </c>
      <c r="N22">
        <v>34915000</v>
      </c>
      <c r="O22">
        <v>0</v>
      </c>
      <c r="P22">
        <v>0</v>
      </c>
      <c r="Q22">
        <v>0</v>
      </c>
      <c r="R22">
        <v>200608000</v>
      </c>
      <c r="S22">
        <v>220363000</v>
      </c>
      <c r="T22">
        <v>82420000</v>
      </c>
      <c r="U22">
        <v>0</v>
      </c>
      <c r="V22">
        <v>0</v>
      </c>
      <c r="W22">
        <v>0</v>
      </c>
      <c r="X22">
        <v>255278000</v>
      </c>
      <c r="Y22">
        <v>455886000</v>
      </c>
      <c r="Z22">
        <v>137943000</v>
      </c>
    </row>
    <row r="23" spans="1:26" ht="15.75" customHeight="1">
      <c r="A23" s="21">
        <v>38748</v>
      </c>
      <c r="B23" t="s">
        <v>42</v>
      </c>
      <c r="C23">
        <v>2464824000</v>
      </c>
      <c r="D23">
        <v>8582237000</v>
      </c>
      <c r="E23">
        <v>6117413000</v>
      </c>
      <c r="F23">
        <v>6117413000</v>
      </c>
      <c r="G23">
        <v>561867000</v>
      </c>
      <c r="H23">
        <v>43451043000</v>
      </c>
      <c r="I23">
        <v>0</v>
      </c>
      <c r="J23">
        <v>1902957000</v>
      </c>
      <c r="K23">
        <v>0</v>
      </c>
      <c r="L23">
        <v>0</v>
      </c>
      <c r="M23">
        <v>0</v>
      </c>
      <c r="N23">
        <v>26226000</v>
      </c>
      <c r="O23">
        <v>0</v>
      </c>
      <c r="P23">
        <v>0</v>
      </c>
      <c r="Q23">
        <v>0</v>
      </c>
      <c r="R23">
        <v>186824000</v>
      </c>
      <c r="S23">
        <v>544642000</v>
      </c>
      <c r="T23">
        <v>194487000</v>
      </c>
      <c r="U23">
        <v>0</v>
      </c>
      <c r="V23">
        <v>0</v>
      </c>
      <c r="W23">
        <v>0</v>
      </c>
      <c r="X23">
        <v>570868000</v>
      </c>
      <c r="Y23">
        <v>757692000</v>
      </c>
      <c r="Z23">
        <v>350155000</v>
      </c>
    </row>
    <row r="24" spans="1:26" ht="15.75" customHeight="1">
      <c r="P24" s="20"/>
    </row>
    <row r="25" spans="1:26" ht="15.75" customHeight="1">
      <c r="A25" s="21"/>
    </row>
    <row r="26" spans="1:26" ht="15.75" customHeight="1">
      <c r="A26" s="21"/>
    </row>
    <row r="27" spans="1:26" ht="15.75" customHeight="1">
      <c r="A27" s="21"/>
    </row>
    <row r="28" spans="1:26" ht="15.75" customHeight="1">
      <c r="A28" s="21"/>
    </row>
    <row r="29" spans="1:26" ht="15.75" customHeight="1">
      <c r="A29" s="21"/>
    </row>
    <row r="30" spans="1:26" ht="15.75" customHeight="1">
      <c r="A30" s="21"/>
    </row>
    <row r="31" spans="1:26" ht="15.75" customHeight="1">
      <c r="A31" s="21"/>
    </row>
    <row r="32" spans="1:26" ht="15.75" customHeight="1">
      <c r="A32" s="21"/>
    </row>
    <row r="33" spans="1:38" ht="15.75" customHeight="1">
      <c r="A33" s="21"/>
    </row>
    <row r="34" spans="1:38" ht="15.75" customHeight="1">
      <c r="A34" s="21"/>
    </row>
    <row r="35" spans="1:38" ht="15.75" customHeight="1">
      <c r="A35" s="21"/>
    </row>
    <row r="36" spans="1:38" ht="15.75" customHeight="1">
      <c r="A36" s="21"/>
    </row>
    <row r="37" spans="1:38" ht="15.75" customHeight="1">
      <c r="A37" s="21"/>
    </row>
    <row r="38" spans="1:38" ht="15.75" customHeight="1">
      <c r="A38" s="21"/>
    </row>
    <row r="39" spans="1:38" ht="15.75" customHeight="1">
      <c r="A39" s="21"/>
    </row>
    <row r="40" spans="1:38" ht="15.75" customHeight="1">
      <c r="A40" s="21"/>
    </row>
    <row r="41" spans="1:38" ht="15.75" customHeight="1">
      <c r="A41" s="21"/>
    </row>
    <row r="42" spans="1:38" ht="15.75" customHeight="1">
      <c r="A42" s="21"/>
    </row>
    <row r="43" spans="1:38" ht="15.75" customHeight="1">
      <c r="A43" s="21"/>
    </row>
    <row r="44" spans="1:38" ht="15.75" customHeight="1">
      <c r="A44" s="21"/>
    </row>
    <row r="45" spans="1:38" ht="15.75" customHeight="1">
      <c r="A45" s="21" t="s">
        <v>226</v>
      </c>
    </row>
    <row r="46" spans="1:38" ht="15.75" customHeight="1">
      <c r="A46" t="s">
        <v>14</v>
      </c>
      <c r="B46" t="s">
        <v>15</v>
      </c>
      <c r="C46" t="s">
        <v>143</v>
      </c>
      <c r="D46" t="s">
        <v>144</v>
      </c>
      <c r="E46" t="s">
        <v>145</v>
      </c>
      <c r="F46" t="s">
        <v>146</v>
      </c>
      <c r="G46" t="s">
        <v>147</v>
      </c>
      <c r="H46" t="s">
        <v>148</v>
      </c>
      <c r="I46" t="s">
        <v>149</v>
      </c>
      <c r="J46" t="s">
        <v>150</v>
      </c>
      <c r="K46" t="s">
        <v>151</v>
      </c>
      <c r="L46" t="s">
        <v>152</v>
      </c>
      <c r="M46" t="s">
        <v>153</v>
      </c>
      <c r="N46" t="s">
        <v>154</v>
      </c>
      <c r="O46" t="s">
        <v>155</v>
      </c>
      <c r="P46" t="s">
        <v>156</v>
      </c>
      <c r="Q46" t="s">
        <v>157</v>
      </c>
      <c r="R46" t="s">
        <v>158</v>
      </c>
      <c r="S46" t="s">
        <v>159</v>
      </c>
      <c r="T46" t="s">
        <v>160</v>
      </c>
      <c r="U46" t="s">
        <v>161</v>
      </c>
      <c r="V46" t="s">
        <v>162</v>
      </c>
      <c r="W46" t="s">
        <v>69</v>
      </c>
      <c r="X46" t="s">
        <v>70</v>
      </c>
      <c r="Y46" t="s">
        <v>71</v>
      </c>
      <c r="Z46" t="s">
        <v>72</v>
      </c>
      <c r="AA46" t="s">
        <v>73</v>
      </c>
      <c r="AB46" t="s">
        <v>74</v>
      </c>
      <c r="AC46" t="s">
        <v>75</v>
      </c>
      <c r="AD46" t="s">
        <v>76</v>
      </c>
      <c r="AE46" t="s">
        <v>77</v>
      </c>
      <c r="AF46" t="s">
        <v>78</v>
      </c>
      <c r="AG46" t="s">
        <v>79</v>
      </c>
      <c r="AH46" t="s">
        <v>80</v>
      </c>
      <c r="AI46" t="s">
        <v>81</v>
      </c>
      <c r="AJ46" t="s">
        <v>82</v>
      </c>
      <c r="AK46" t="s">
        <v>83</v>
      </c>
      <c r="AL46" t="s">
        <v>84</v>
      </c>
    </row>
    <row r="47" spans="1:38" ht="15.75" customHeight="1">
      <c r="A47" s="21">
        <v>45688</v>
      </c>
      <c r="B47" t="s">
        <v>42</v>
      </c>
      <c r="C47">
        <v>31132733000</v>
      </c>
      <c r="D47">
        <v>8163925000</v>
      </c>
      <c r="E47">
        <v>932576000</v>
      </c>
      <c r="F47">
        <v>932576000</v>
      </c>
      <c r="G47">
        <v>6711242000</v>
      </c>
      <c r="H47">
        <v>0</v>
      </c>
      <c r="I47">
        <v>22968808000</v>
      </c>
      <c r="J47">
        <v>0</v>
      </c>
      <c r="K47">
        <v>0</v>
      </c>
      <c r="L47">
        <v>1199700000</v>
      </c>
      <c r="M47">
        <v>1199700000</v>
      </c>
      <c r="N47">
        <v>4338589000</v>
      </c>
      <c r="O47">
        <v>0</v>
      </c>
      <c r="P47">
        <v>0</v>
      </c>
      <c r="Q47">
        <v>0</v>
      </c>
      <c r="R47">
        <v>392975000</v>
      </c>
      <c r="S47">
        <v>0</v>
      </c>
      <c r="T47">
        <v>23719026000</v>
      </c>
      <c r="U47">
        <v>6868702000</v>
      </c>
      <c r="V47">
        <v>3833133000</v>
      </c>
      <c r="W47">
        <v>0</v>
      </c>
      <c r="X47">
        <v>0</v>
      </c>
      <c r="Y47">
        <v>1979577000</v>
      </c>
      <c r="Z47">
        <v>16850324000</v>
      </c>
      <c r="AA47">
        <v>11224897000</v>
      </c>
      <c r="AB47">
        <v>5719025000</v>
      </c>
      <c r="AC47">
        <v>519463000</v>
      </c>
      <c r="AD47">
        <v>0</v>
      </c>
      <c r="AE47">
        <v>17463385000</v>
      </c>
      <c r="AF47">
        <v>1045856000</v>
      </c>
      <c r="AG47">
        <v>262815000</v>
      </c>
      <c r="AH47">
        <v>7413707000</v>
      </c>
      <c r="AI47">
        <v>0</v>
      </c>
      <c r="AJ47">
        <v>3405683000</v>
      </c>
      <c r="AK47">
        <v>192447000</v>
      </c>
      <c r="AL47">
        <v>220027000</v>
      </c>
    </row>
    <row r="48" spans="1:38" ht="15.75" customHeight="1">
      <c r="A48" s="21">
        <v>45322</v>
      </c>
      <c r="B48" t="s">
        <v>42</v>
      </c>
      <c r="C48">
        <v>30795591000</v>
      </c>
      <c r="D48">
        <v>8010724000</v>
      </c>
      <c r="E48">
        <v>537283000</v>
      </c>
      <c r="F48">
        <v>537283000</v>
      </c>
      <c r="G48">
        <v>6994266000</v>
      </c>
      <c r="H48">
        <v>112262000</v>
      </c>
      <c r="I48">
        <v>22784867000</v>
      </c>
      <c r="J48">
        <v>0</v>
      </c>
      <c r="K48">
        <v>0</v>
      </c>
      <c r="L48">
        <v>1199700000</v>
      </c>
      <c r="M48">
        <v>1199700000</v>
      </c>
      <c r="N48">
        <v>4338589000</v>
      </c>
      <c r="O48">
        <v>0</v>
      </c>
      <c r="P48">
        <v>0</v>
      </c>
      <c r="Q48">
        <v>0</v>
      </c>
      <c r="R48">
        <v>366913000</v>
      </c>
      <c r="S48">
        <v>0</v>
      </c>
      <c r="T48">
        <v>24046472000</v>
      </c>
      <c r="U48">
        <v>6725701000</v>
      </c>
      <c r="V48">
        <v>3587374000</v>
      </c>
      <c r="W48">
        <v>0</v>
      </c>
      <c r="X48">
        <v>0</v>
      </c>
      <c r="Y48">
        <v>2155728000</v>
      </c>
      <c r="Z48">
        <v>17320771000</v>
      </c>
      <c r="AA48">
        <v>11090582000</v>
      </c>
      <c r="AB48">
        <v>6231539000</v>
      </c>
      <c r="AC48">
        <v>768645000</v>
      </c>
      <c r="AD48">
        <v>0</v>
      </c>
      <c r="AE48">
        <v>18090766000</v>
      </c>
      <c r="AF48">
        <v>971890000</v>
      </c>
      <c r="AG48">
        <v>251949000</v>
      </c>
      <c r="AH48">
        <v>6749119000</v>
      </c>
      <c r="AI48">
        <v>0</v>
      </c>
      <c r="AJ48">
        <v>2799415000</v>
      </c>
      <c r="AK48">
        <v>192206000</v>
      </c>
      <c r="AL48">
        <v>219938000</v>
      </c>
    </row>
    <row r="49" spans="1:38" ht="15.75" customHeight="1">
      <c r="A49" s="21">
        <v>44957</v>
      </c>
      <c r="B49" t="s">
        <v>42</v>
      </c>
      <c r="C49">
        <v>29083367000</v>
      </c>
      <c r="D49">
        <v>7581009000</v>
      </c>
      <c r="E49">
        <v>381576000</v>
      </c>
      <c r="F49">
        <v>381576000</v>
      </c>
      <c r="G49">
        <v>6760733000</v>
      </c>
      <c r="H49">
        <v>135775000</v>
      </c>
      <c r="I49">
        <v>21502358000</v>
      </c>
      <c r="J49">
        <v>15906323000</v>
      </c>
      <c r="K49">
        <v>0</v>
      </c>
      <c r="L49">
        <v>1199700000</v>
      </c>
      <c r="M49">
        <v>1199700000</v>
      </c>
      <c r="N49">
        <v>4338589000</v>
      </c>
      <c r="O49">
        <v>0</v>
      </c>
      <c r="P49">
        <v>0</v>
      </c>
      <c r="Q49">
        <v>0</v>
      </c>
      <c r="R49">
        <v>302925000</v>
      </c>
      <c r="S49">
        <v>0</v>
      </c>
      <c r="T49">
        <v>23541595000</v>
      </c>
      <c r="U49">
        <v>5887768000</v>
      </c>
      <c r="V49">
        <v>3552991000</v>
      </c>
      <c r="W49">
        <v>0</v>
      </c>
      <c r="X49">
        <v>0</v>
      </c>
      <c r="Y49">
        <v>2577878000</v>
      </c>
      <c r="Z49">
        <v>17653827000</v>
      </c>
      <c r="AA49">
        <v>10651700000</v>
      </c>
      <c r="AB49">
        <v>7009399000</v>
      </c>
      <c r="AC49">
        <v>0</v>
      </c>
      <c r="AD49">
        <v>0</v>
      </c>
      <c r="AE49">
        <v>17661099000</v>
      </c>
      <c r="AF49">
        <v>-252020000</v>
      </c>
      <c r="AG49">
        <v>220761000</v>
      </c>
      <c r="AH49">
        <v>5541772000</v>
      </c>
      <c r="AI49">
        <v>0</v>
      </c>
      <c r="AJ49">
        <v>1656140000</v>
      </c>
      <c r="AK49">
        <v>191718000</v>
      </c>
      <c r="AL49">
        <v>226297000</v>
      </c>
    </row>
    <row r="50" spans="1:38" ht="15.75" customHeight="1">
      <c r="A50" s="21">
        <v>44592</v>
      </c>
      <c r="B50" t="s">
        <v>42</v>
      </c>
      <c r="C50">
        <v>26327371000</v>
      </c>
      <c r="D50">
        <v>6303843000</v>
      </c>
      <c r="E50">
        <v>344829000</v>
      </c>
      <c r="F50">
        <v>344829000</v>
      </c>
      <c r="G50">
        <v>5614325000</v>
      </c>
      <c r="H50">
        <v>97394000</v>
      </c>
      <c r="I50">
        <v>20023528000</v>
      </c>
      <c r="J50">
        <v>4346127000</v>
      </c>
      <c r="K50">
        <v>0</v>
      </c>
      <c r="L50">
        <v>1199750000</v>
      </c>
      <c r="M50">
        <v>1199750000</v>
      </c>
      <c r="N50">
        <v>4338589000</v>
      </c>
      <c r="O50">
        <v>0</v>
      </c>
      <c r="P50">
        <v>0</v>
      </c>
      <c r="Q50">
        <v>0</v>
      </c>
      <c r="R50">
        <v>247295000</v>
      </c>
      <c r="S50">
        <v>0</v>
      </c>
      <c r="T50">
        <v>20065385000</v>
      </c>
      <c r="U50">
        <v>5979357000</v>
      </c>
      <c r="V50">
        <v>3738604000</v>
      </c>
      <c r="W50">
        <v>0</v>
      </c>
      <c r="X50">
        <v>0</v>
      </c>
      <c r="Y50">
        <v>2367118000</v>
      </c>
      <c r="Z50">
        <v>14086028000</v>
      </c>
      <c r="AA50">
        <v>10074268000</v>
      </c>
      <c r="AB50">
        <v>4172068000</v>
      </c>
      <c r="AC50">
        <v>0</v>
      </c>
      <c r="AD50">
        <v>0</v>
      </c>
      <c r="AE50">
        <v>14246336000</v>
      </c>
      <c r="AF50">
        <v>-134420000</v>
      </c>
      <c r="AG50">
        <v>197997000</v>
      </c>
      <c r="AH50">
        <v>6261986000</v>
      </c>
      <c r="AI50">
        <v>0</v>
      </c>
      <c r="AJ50">
        <v>2473999000</v>
      </c>
      <c r="AK50">
        <v>201265000</v>
      </c>
      <c r="AL50">
        <v>235812000</v>
      </c>
    </row>
    <row r="51" spans="1:38" ht="15.75" customHeight="1">
      <c r="A51" s="21">
        <v>44227</v>
      </c>
      <c r="B51" t="s">
        <v>42</v>
      </c>
      <c r="C51">
        <v>25862624000</v>
      </c>
      <c r="D51">
        <v>6914219000</v>
      </c>
      <c r="E51">
        <v>1376577000</v>
      </c>
      <c r="F51">
        <v>1376577000</v>
      </c>
      <c r="G51">
        <v>5247477000</v>
      </c>
      <c r="H51">
        <v>90760000</v>
      </c>
      <c r="I51">
        <v>18948405000</v>
      </c>
      <c r="J51">
        <v>13373327000</v>
      </c>
      <c r="K51">
        <v>0</v>
      </c>
      <c r="L51">
        <v>1199870000</v>
      </c>
      <c r="M51">
        <v>1199870000</v>
      </c>
      <c r="N51">
        <v>4338589000</v>
      </c>
      <c r="O51">
        <v>0</v>
      </c>
      <c r="P51">
        <v>0</v>
      </c>
      <c r="Q51">
        <v>0</v>
      </c>
      <c r="R51">
        <v>199405000</v>
      </c>
      <c r="S51">
        <v>0</v>
      </c>
      <c r="T51">
        <v>19201386000</v>
      </c>
      <c r="U51">
        <v>5710783000</v>
      </c>
      <c r="V51">
        <v>3614089000</v>
      </c>
      <c r="W51">
        <v>0</v>
      </c>
      <c r="X51">
        <v>0</v>
      </c>
      <c r="Y51">
        <v>2148158000</v>
      </c>
      <c r="Z51">
        <v>13490603000</v>
      </c>
      <c r="AA51">
        <v>9459467000</v>
      </c>
      <c r="AB51">
        <v>4130975000</v>
      </c>
      <c r="AC51">
        <v>0</v>
      </c>
      <c r="AD51">
        <v>0</v>
      </c>
      <c r="AE51">
        <v>13590442000</v>
      </c>
      <c r="AF51">
        <v>-67527000</v>
      </c>
      <c r="AG51">
        <v>263691000</v>
      </c>
      <c r="AH51">
        <v>6661238000</v>
      </c>
      <c r="AI51">
        <v>0</v>
      </c>
      <c r="AJ51">
        <v>3006102000</v>
      </c>
      <c r="AK51">
        <v>210687000</v>
      </c>
      <c r="AL51">
        <v>250076000</v>
      </c>
    </row>
    <row r="52" spans="1:38" ht="15.75" customHeight="1">
      <c r="A52" s="21">
        <v>43861</v>
      </c>
      <c r="B52" t="s">
        <v>42</v>
      </c>
      <c r="C52">
        <v>22825084000</v>
      </c>
      <c r="D52">
        <v>5177868000</v>
      </c>
      <c r="E52">
        <v>240320000</v>
      </c>
      <c r="F52">
        <v>240320000</v>
      </c>
      <c r="G52">
        <v>4676848000</v>
      </c>
      <c r="H52">
        <v>76537000</v>
      </c>
      <c r="I52">
        <v>17647216000</v>
      </c>
      <c r="J52">
        <v>3278359000</v>
      </c>
      <c r="K52">
        <v>0</v>
      </c>
      <c r="L52">
        <v>1200006000</v>
      </c>
      <c r="M52">
        <v>1200006000</v>
      </c>
      <c r="N52">
        <v>4338589000</v>
      </c>
      <c r="O52">
        <v>0</v>
      </c>
      <c r="P52">
        <v>0</v>
      </c>
      <c r="Q52">
        <v>0</v>
      </c>
      <c r="R52">
        <v>184163000</v>
      </c>
      <c r="S52">
        <v>0</v>
      </c>
      <c r="T52">
        <v>16122584000</v>
      </c>
      <c r="U52">
        <v>4543560000</v>
      </c>
      <c r="V52">
        <v>2860682000</v>
      </c>
      <c r="W52">
        <v>0</v>
      </c>
      <c r="X52">
        <v>0</v>
      </c>
      <c r="Y52">
        <v>1930165000</v>
      </c>
      <c r="Z52">
        <v>11579024000</v>
      </c>
      <c r="AA52">
        <v>8784488000</v>
      </c>
      <c r="AB52">
        <v>2911438000</v>
      </c>
      <c r="AC52">
        <v>555000</v>
      </c>
      <c r="AD52">
        <v>0</v>
      </c>
      <c r="AE52">
        <v>11696481000</v>
      </c>
      <c r="AF52">
        <v>-255649000</v>
      </c>
      <c r="AG52">
        <v>172676000</v>
      </c>
      <c r="AH52">
        <v>6702500000</v>
      </c>
      <c r="AI52">
        <v>0</v>
      </c>
      <c r="AJ52">
        <v>3162660000</v>
      </c>
      <c r="AK52">
        <v>220444000</v>
      </c>
      <c r="AL52">
        <v>258053000</v>
      </c>
    </row>
    <row r="53" spans="1:38" ht="15.75" customHeight="1">
      <c r="A53" s="21">
        <v>43496</v>
      </c>
      <c r="B53" t="s">
        <v>42</v>
      </c>
      <c r="C53">
        <v>13204038000</v>
      </c>
      <c r="D53">
        <v>4663020000</v>
      </c>
      <c r="E53">
        <v>235487000</v>
      </c>
      <c r="F53">
        <v>235487000</v>
      </c>
      <c r="G53">
        <v>4097004000</v>
      </c>
      <c r="H53">
        <v>57804000</v>
      </c>
      <c r="I53">
        <v>8541018000</v>
      </c>
      <c r="J53">
        <v>2970806000</v>
      </c>
      <c r="K53">
        <v>0</v>
      </c>
      <c r="L53">
        <v>1200217000</v>
      </c>
      <c r="M53">
        <v>1200217000</v>
      </c>
      <c r="N53">
        <v>4338589000</v>
      </c>
      <c r="O53">
        <v>0</v>
      </c>
      <c r="P53">
        <v>0</v>
      </c>
      <c r="Q53">
        <v>0</v>
      </c>
      <c r="R53">
        <v>272725000</v>
      </c>
      <c r="S53">
        <v>0</v>
      </c>
      <c r="T53">
        <v>6786645000</v>
      </c>
      <c r="U53">
        <v>3015857000</v>
      </c>
      <c r="V53">
        <v>2385469000</v>
      </c>
      <c r="W53">
        <v>0</v>
      </c>
      <c r="X53">
        <v>0</v>
      </c>
      <c r="Y53">
        <v>1950000</v>
      </c>
      <c r="Z53">
        <v>3770788000</v>
      </c>
      <c r="AA53">
        <v>0</v>
      </c>
      <c r="AB53">
        <v>2862740000</v>
      </c>
      <c r="AC53">
        <v>1950000</v>
      </c>
      <c r="AD53">
        <v>0</v>
      </c>
      <c r="AE53">
        <v>2864690000</v>
      </c>
      <c r="AF53">
        <v>618405000</v>
      </c>
      <c r="AG53">
        <v>57897000</v>
      </c>
      <c r="AH53">
        <v>6417393000</v>
      </c>
      <c r="AI53">
        <v>0</v>
      </c>
      <c r="AJ53">
        <v>2941107000</v>
      </c>
      <c r="AK53">
        <v>227072000</v>
      </c>
      <c r="AL53">
        <v>266105002</v>
      </c>
    </row>
    <row r="54" spans="1:38" ht="15.75" customHeight="1">
      <c r="A54" s="21">
        <v>43131</v>
      </c>
      <c r="B54" t="s">
        <v>42</v>
      </c>
      <c r="C54">
        <v>12516911000</v>
      </c>
      <c r="D54">
        <v>4247852000</v>
      </c>
      <c r="E54">
        <v>267441000</v>
      </c>
      <c r="F54">
        <v>267441000</v>
      </c>
      <c r="G54">
        <v>3609025000</v>
      </c>
      <c r="H54">
        <v>108265000</v>
      </c>
      <c r="I54">
        <v>8269059000</v>
      </c>
      <c r="J54">
        <v>2701282000</v>
      </c>
      <c r="K54">
        <v>0</v>
      </c>
      <c r="L54">
        <v>1200428000</v>
      </c>
      <c r="M54">
        <v>1200428000</v>
      </c>
      <c r="N54">
        <v>4338589000</v>
      </c>
      <c r="O54">
        <v>0</v>
      </c>
      <c r="P54">
        <v>0</v>
      </c>
      <c r="Q54">
        <v>0</v>
      </c>
      <c r="R54">
        <v>263121000</v>
      </c>
      <c r="S54">
        <v>0</v>
      </c>
      <c r="T54">
        <v>6391137000</v>
      </c>
      <c r="U54">
        <v>2964878000</v>
      </c>
      <c r="V54">
        <v>2009771000</v>
      </c>
      <c r="W54">
        <v>0</v>
      </c>
      <c r="X54">
        <v>0</v>
      </c>
      <c r="Y54">
        <v>401345000</v>
      </c>
      <c r="Z54">
        <v>3426259000</v>
      </c>
      <c r="AA54">
        <v>0</v>
      </c>
      <c r="AB54">
        <v>2604613000</v>
      </c>
      <c r="AC54">
        <v>401345000</v>
      </c>
      <c r="AD54">
        <v>0</v>
      </c>
      <c r="AE54">
        <v>3005958000</v>
      </c>
      <c r="AF54">
        <v>549658000</v>
      </c>
      <c r="AG54">
        <v>61051000</v>
      </c>
      <c r="AH54">
        <v>6125774000</v>
      </c>
      <c r="AI54">
        <v>0</v>
      </c>
      <c r="AJ54">
        <v>2698352000</v>
      </c>
      <c r="AK54">
        <v>235141000</v>
      </c>
      <c r="AL54">
        <v>273362002</v>
      </c>
    </row>
    <row r="55" spans="1:38" ht="15.75" customHeight="1">
      <c r="A55" s="21">
        <v>42766</v>
      </c>
      <c r="B55" t="s">
        <v>42</v>
      </c>
      <c r="C55">
        <v>11672298000</v>
      </c>
      <c r="D55">
        <v>3677771000</v>
      </c>
      <c r="E55">
        <v>187915000</v>
      </c>
      <c r="F55">
        <v>187915000</v>
      </c>
      <c r="G55">
        <v>3258785000</v>
      </c>
      <c r="H55">
        <v>11050000</v>
      </c>
      <c r="I55">
        <v>7994527000</v>
      </c>
      <c r="J55">
        <v>2434456000</v>
      </c>
      <c r="K55">
        <v>0</v>
      </c>
      <c r="L55">
        <v>1200659000</v>
      </c>
      <c r="M55">
        <v>1200659000</v>
      </c>
      <c r="N55">
        <v>4338589000</v>
      </c>
      <c r="O55">
        <v>0</v>
      </c>
      <c r="P55">
        <v>0</v>
      </c>
      <c r="Q55">
        <v>0</v>
      </c>
      <c r="R55">
        <v>220021000</v>
      </c>
      <c r="S55">
        <v>0</v>
      </c>
      <c r="T55">
        <v>6266004000</v>
      </c>
      <c r="U55">
        <v>2622805000</v>
      </c>
      <c r="V55">
        <v>1557596000</v>
      </c>
      <c r="W55">
        <v>0</v>
      </c>
      <c r="X55">
        <v>0</v>
      </c>
      <c r="Y55">
        <v>500950000</v>
      </c>
      <c r="Z55">
        <v>3643199000</v>
      </c>
      <c r="AA55">
        <v>0</v>
      </c>
      <c r="AB55">
        <v>2710576000</v>
      </c>
      <c r="AC55">
        <v>500950000</v>
      </c>
      <c r="AD55">
        <v>0</v>
      </c>
      <c r="AE55">
        <v>3211526000</v>
      </c>
      <c r="AF55">
        <v>500866000</v>
      </c>
      <c r="AG55">
        <v>31698000</v>
      </c>
      <c r="AH55">
        <v>5406294000</v>
      </c>
      <c r="AI55">
        <v>0</v>
      </c>
      <c r="AJ55">
        <v>2015867000</v>
      </c>
      <c r="AK55">
        <v>240811000</v>
      </c>
      <c r="AL55">
        <v>282261002</v>
      </c>
    </row>
    <row r="56" spans="1:38" ht="15.75" customHeight="1">
      <c r="A56" s="21">
        <v>42400</v>
      </c>
      <c r="B56" t="s">
        <v>42</v>
      </c>
      <c r="C56">
        <v>11257885000</v>
      </c>
      <c r="D56">
        <v>3432410000</v>
      </c>
      <c r="E56">
        <v>157947000</v>
      </c>
      <c r="F56">
        <v>157947000</v>
      </c>
      <c r="G56">
        <v>3074153000</v>
      </c>
      <c r="H56">
        <v>6843000</v>
      </c>
      <c r="I56">
        <v>7825475000</v>
      </c>
      <c r="J56">
        <v>2264062000</v>
      </c>
      <c r="K56">
        <v>0</v>
      </c>
      <c r="L56">
        <v>1200994000</v>
      </c>
      <c r="M56">
        <v>1200994000</v>
      </c>
      <c r="N56">
        <v>4338589000</v>
      </c>
      <c r="O56">
        <v>0</v>
      </c>
      <c r="P56">
        <v>0</v>
      </c>
      <c r="Q56">
        <v>0</v>
      </c>
      <c r="R56">
        <v>193467000</v>
      </c>
      <c r="S56">
        <v>0</v>
      </c>
      <c r="T56">
        <v>5880009000</v>
      </c>
      <c r="U56">
        <v>1995596000</v>
      </c>
      <c r="V56">
        <v>1494225000</v>
      </c>
      <c r="W56">
        <v>0</v>
      </c>
      <c r="X56">
        <v>0</v>
      </c>
      <c r="Y56">
        <v>1379000</v>
      </c>
      <c r="Z56">
        <v>3884413000</v>
      </c>
      <c r="AA56">
        <v>0</v>
      </c>
      <c r="AB56">
        <v>2965533000</v>
      </c>
      <c r="AC56">
        <v>1379000</v>
      </c>
      <c r="AD56">
        <v>0</v>
      </c>
      <c r="AE56">
        <v>2970554000</v>
      </c>
      <c r="AF56">
        <v>467122000</v>
      </c>
      <c r="AG56">
        <v>275283000</v>
      </c>
      <c r="AH56">
        <v>5377876000</v>
      </c>
      <c r="AI56">
        <v>0</v>
      </c>
      <c r="AJ56">
        <v>2025545000</v>
      </c>
      <c r="AK56">
        <v>250855000</v>
      </c>
      <c r="AL56">
        <v>295211002</v>
      </c>
    </row>
    <row r="57" spans="1:38" ht="15.75" customHeight="1">
      <c r="A57" s="21">
        <v>42035</v>
      </c>
      <c r="B57" t="s">
        <v>42</v>
      </c>
      <c r="C57">
        <v>11224104000</v>
      </c>
      <c r="D57">
        <v>3532609000</v>
      </c>
      <c r="E57">
        <v>579823000</v>
      </c>
      <c r="F57">
        <v>579823000</v>
      </c>
      <c r="G57">
        <v>2782521000</v>
      </c>
      <c r="H57">
        <v>-170265000</v>
      </c>
      <c r="I57">
        <v>7691495000</v>
      </c>
      <c r="J57">
        <v>2116075000</v>
      </c>
      <c r="K57">
        <v>0</v>
      </c>
      <c r="L57">
        <v>1201870000</v>
      </c>
      <c r="M57">
        <v>1201870000</v>
      </c>
      <c r="N57">
        <v>4338589000</v>
      </c>
      <c r="O57">
        <v>0</v>
      </c>
      <c r="P57">
        <v>0</v>
      </c>
      <c r="Q57">
        <v>0</v>
      </c>
      <c r="R57">
        <v>340530000</v>
      </c>
      <c r="S57">
        <v>0</v>
      </c>
      <c r="T57">
        <v>5514066000</v>
      </c>
      <c r="U57">
        <v>1987740000</v>
      </c>
      <c r="V57">
        <v>1388154000</v>
      </c>
      <c r="W57">
        <v>0</v>
      </c>
      <c r="X57">
        <v>0</v>
      </c>
      <c r="Y57">
        <v>101158000</v>
      </c>
      <c r="Z57">
        <v>3526326000</v>
      </c>
      <c r="AA57">
        <v>0</v>
      </c>
      <c r="AB57">
        <v>2639427000</v>
      </c>
      <c r="AC57">
        <v>101158000</v>
      </c>
      <c r="AD57">
        <v>0</v>
      </c>
      <c r="AE57">
        <v>2740585000</v>
      </c>
      <c r="AF57">
        <v>439028000</v>
      </c>
      <c r="AG57">
        <v>285309000</v>
      </c>
      <c r="AH57">
        <v>5710038000</v>
      </c>
      <c r="AI57">
        <v>0</v>
      </c>
      <c r="AJ57">
        <v>2403045000</v>
      </c>
      <c r="AK57">
        <v>265514000</v>
      </c>
      <c r="AL57">
        <v>305681002</v>
      </c>
    </row>
    <row r="58" spans="1:38" ht="15.75" customHeight="1">
      <c r="A58" s="21">
        <v>41670</v>
      </c>
      <c r="B58" t="s">
        <v>42</v>
      </c>
      <c r="C58">
        <v>10867524000</v>
      </c>
      <c r="D58">
        <v>3205607000</v>
      </c>
      <c r="E58">
        <v>505566000</v>
      </c>
      <c r="F58">
        <v>505566000</v>
      </c>
      <c r="G58">
        <v>2552993000</v>
      </c>
      <c r="H58">
        <v>-147048000</v>
      </c>
      <c r="I58">
        <v>7661917000</v>
      </c>
      <c r="J58">
        <v>2080305000</v>
      </c>
      <c r="K58">
        <v>0</v>
      </c>
      <c r="L58">
        <v>1207645000</v>
      </c>
      <c r="M58">
        <v>1207645000</v>
      </c>
      <c r="N58">
        <v>4338589000</v>
      </c>
      <c r="O58">
        <v>0</v>
      </c>
      <c r="P58">
        <v>0</v>
      </c>
      <c r="Q58">
        <v>621000</v>
      </c>
      <c r="R58">
        <v>294096000</v>
      </c>
      <c r="S58">
        <v>0</v>
      </c>
      <c r="T58">
        <v>5465331000</v>
      </c>
      <c r="U58">
        <v>1811971000</v>
      </c>
      <c r="V58">
        <v>1286484000</v>
      </c>
      <c r="W58">
        <v>0</v>
      </c>
      <c r="X58">
        <v>0</v>
      </c>
      <c r="Y58">
        <v>75966000</v>
      </c>
      <c r="Z58">
        <v>3653360000</v>
      </c>
      <c r="AA58">
        <v>0</v>
      </c>
      <c r="AB58">
        <v>2742788000</v>
      </c>
      <c r="AC58">
        <v>0</v>
      </c>
      <c r="AD58">
        <v>0</v>
      </c>
      <c r="AE58">
        <v>2818754000</v>
      </c>
      <c r="AF58">
        <v>390373000</v>
      </c>
      <c r="AG58">
        <v>0</v>
      </c>
      <c r="AH58">
        <v>5402193000</v>
      </c>
      <c r="AI58">
        <v>0</v>
      </c>
      <c r="AJ58">
        <v>2125453000</v>
      </c>
      <c r="AK58">
        <v>277424000</v>
      </c>
      <c r="AL58">
        <v>323854002</v>
      </c>
    </row>
    <row r="59" spans="1:38" ht="15.75" customHeight="1">
      <c r="A59" s="21">
        <v>41305</v>
      </c>
      <c r="B59" t="s">
        <v>42</v>
      </c>
      <c r="C59">
        <v>10367682000</v>
      </c>
      <c r="D59">
        <v>2677113000</v>
      </c>
      <c r="E59">
        <v>140809000</v>
      </c>
      <c r="F59">
        <v>140809000</v>
      </c>
      <c r="G59">
        <v>2397175000</v>
      </c>
      <c r="H59">
        <v>1</v>
      </c>
      <c r="I59">
        <v>7690569000</v>
      </c>
      <c r="J59">
        <v>2088665000</v>
      </c>
      <c r="K59">
        <v>0</v>
      </c>
      <c r="L59">
        <v>1219543000</v>
      </c>
      <c r="M59">
        <v>1219543000</v>
      </c>
      <c r="N59">
        <v>4338589000</v>
      </c>
      <c r="O59">
        <v>0</v>
      </c>
      <c r="P59">
        <v>0</v>
      </c>
      <c r="Q59">
        <v>4285000</v>
      </c>
      <c r="R59">
        <v>278258000</v>
      </c>
      <c r="S59">
        <v>0</v>
      </c>
      <c r="T59">
        <v>5382352000</v>
      </c>
      <c r="U59">
        <v>1738547000</v>
      </c>
      <c r="V59">
        <v>1261607000</v>
      </c>
      <c r="W59">
        <v>0</v>
      </c>
      <c r="X59">
        <v>0</v>
      </c>
      <c r="Y59">
        <v>892000</v>
      </c>
      <c r="Z59">
        <v>3643805000</v>
      </c>
      <c r="AA59">
        <v>0</v>
      </c>
      <c r="AB59">
        <v>2771336000</v>
      </c>
      <c r="AC59">
        <v>0</v>
      </c>
      <c r="AD59">
        <v>0</v>
      </c>
      <c r="AE59">
        <v>2772228000</v>
      </c>
      <c r="AF59">
        <v>291332000</v>
      </c>
      <c r="AG59">
        <v>0</v>
      </c>
      <c r="AH59">
        <v>4985330000</v>
      </c>
      <c r="AI59">
        <v>0</v>
      </c>
      <c r="AJ59">
        <v>1710732000</v>
      </c>
      <c r="AK59">
        <v>286185000</v>
      </c>
      <c r="AL59">
        <v>334469002</v>
      </c>
    </row>
    <row r="60" spans="1:38" ht="15.75" customHeight="1">
      <c r="A60" s="21">
        <v>40939</v>
      </c>
      <c r="B60" t="s">
        <v>42</v>
      </c>
      <c r="C60">
        <v>9688520000</v>
      </c>
      <c r="D60">
        <v>2275074000</v>
      </c>
      <c r="E60">
        <v>126126000</v>
      </c>
      <c r="F60">
        <v>126126000</v>
      </c>
      <c r="G60">
        <v>2009206000</v>
      </c>
      <c r="H60">
        <v>-139742000</v>
      </c>
      <c r="I60">
        <v>7413446000</v>
      </c>
      <c r="J60">
        <v>1794960000</v>
      </c>
      <c r="K60">
        <v>0</v>
      </c>
      <c r="L60">
        <v>1235954000</v>
      </c>
      <c r="M60">
        <v>1235954000</v>
      </c>
      <c r="N60">
        <v>4338589000</v>
      </c>
      <c r="O60">
        <v>0</v>
      </c>
      <c r="P60">
        <v>0</v>
      </c>
      <c r="Q60">
        <v>1377000</v>
      </c>
      <c r="R60">
        <v>279484000</v>
      </c>
      <c r="S60">
        <v>0</v>
      </c>
      <c r="T60">
        <v>5020025000</v>
      </c>
      <c r="U60">
        <v>1509902000</v>
      </c>
      <c r="V60">
        <v>1064087000</v>
      </c>
      <c r="W60">
        <v>0</v>
      </c>
      <c r="X60">
        <v>0</v>
      </c>
      <c r="Y60">
        <v>590000</v>
      </c>
      <c r="Z60">
        <v>3510123000</v>
      </c>
      <c r="AA60">
        <v>0</v>
      </c>
      <c r="AB60">
        <v>2617891000</v>
      </c>
      <c r="AC60">
        <v>0</v>
      </c>
      <c r="AD60">
        <v>0</v>
      </c>
      <c r="AE60">
        <v>2618481000</v>
      </c>
      <c r="AF60">
        <v>292844000</v>
      </c>
      <c r="AG60">
        <v>229149000</v>
      </c>
      <c r="AH60">
        <v>4668495000</v>
      </c>
      <c r="AI60">
        <v>0</v>
      </c>
      <c r="AJ60">
        <v>1416918000</v>
      </c>
      <c r="AK60">
        <v>295828000</v>
      </c>
      <c r="AL60">
        <v>345117002</v>
      </c>
    </row>
    <row r="61" spans="1:38" ht="15.75" customHeight="1">
      <c r="A61" s="21">
        <v>40574</v>
      </c>
      <c r="B61" t="s">
        <v>42</v>
      </c>
      <c r="C61">
        <v>9546222000</v>
      </c>
      <c r="D61">
        <v>2367825000</v>
      </c>
      <c r="E61">
        <v>497446000</v>
      </c>
      <c r="F61">
        <v>497446000</v>
      </c>
      <c r="G61">
        <v>1765433000</v>
      </c>
      <c r="H61">
        <v>-104946000</v>
      </c>
      <c r="I61">
        <v>7178397000</v>
      </c>
      <c r="J61">
        <v>1524575000</v>
      </c>
      <c r="K61">
        <v>0</v>
      </c>
      <c r="L61">
        <v>1256922000</v>
      </c>
      <c r="M61">
        <v>1256922000</v>
      </c>
      <c r="N61">
        <v>4338589000</v>
      </c>
      <c r="O61">
        <v>0</v>
      </c>
      <c r="P61">
        <v>0</v>
      </c>
      <c r="Q61">
        <v>2200000</v>
      </c>
      <c r="R61">
        <v>209892000</v>
      </c>
      <c r="S61">
        <v>0</v>
      </c>
      <c r="T61">
        <v>5491743000</v>
      </c>
      <c r="U61">
        <v>1365373000</v>
      </c>
      <c r="V61">
        <v>953641000</v>
      </c>
      <c r="W61">
        <v>0</v>
      </c>
      <c r="X61">
        <v>0</v>
      </c>
      <c r="Y61">
        <v>1157000</v>
      </c>
      <c r="Z61">
        <v>4126370000</v>
      </c>
      <c r="AA61">
        <v>0</v>
      </c>
      <c r="AB61">
        <v>3287070000</v>
      </c>
      <c r="AC61">
        <v>0</v>
      </c>
      <c r="AD61">
        <v>0</v>
      </c>
      <c r="AE61">
        <v>3288227000</v>
      </c>
      <c r="AF61">
        <v>384595000</v>
      </c>
      <c r="AG61">
        <v>0</v>
      </c>
      <c r="AH61">
        <v>4054479000</v>
      </c>
      <c r="AI61">
        <v>0</v>
      </c>
      <c r="AJ61">
        <v>830932000</v>
      </c>
      <c r="AK61">
        <v>298819000</v>
      </c>
      <c r="AL61">
        <v>344800002</v>
      </c>
    </row>
    <row r="62" spans="1:38" ht="15.75" customHeight="1">
      <c r="A62" s="21">
        <v>40209</v>
      </c>
      <c r="B62" t="s">
        <v>42</v>
      </c>
      <c r="C62">
        <v>8863519000</v>
      </c>
      <c r="D62">
        <v>1845449000</v>
      </c>
      <c r="E62">
        <v>222076000</v>
      </c>
      <c r="F62">
        <v>222076000</v>
      </c>
      <c r="G62">
        <v>1519578000</v>
      </c>
      <c r="H62">
        <v>7543000</v>
      </c>
      <c r="I62">
        <v>7018070000</v>
      </c>
      <c r="J62">
        <v>1328386000</v>
      </c>
      <c r="K62">
        <v>0</v>
      </c>
      <c r="L62">
        <v>1284283000</v>
      </c>
      <c r="M62">
        <v>1284283000</v>
      </c>
      <c r="N62">
        <v>4338589000</v>
      </c>
      <c r="O62">
        <v>0</v>
      </c>
      <c r="P62">
        <v>0</v>
      </c>
      <c r="Q62">
        <v>1600000</v>
      </c>
      <c r="R62">
        <v>96252000</v>
      </c>
      <c r="S62">
        <v>0</v>
      </c>
      <c r="T62">
        <v>5473221000</v>
      </c>
      <c r="U62">
        <v>1206500000</v>
      </c>
      <c r="V62">
        <v>830953000</v>
      </c>
      <c r="W62">
        <v>0</v>
      </c>
      <c r="X62">
        <v>0</v>
      </c>
      <c r="Y62">
        <v>3671000</v>
      </c>
      <c r="Z62">
        <v>4266721000</v>
      </c>
      <c r="AA62">
        <v>0</v>
      </c>
      <c r="AB62">
        <v>3399715000</v>
      </c>
      <c r="AC62">
        <v>0</v>
      </c>
      <c r="AD62">
        <v>0</v>
      </c>
      <c r="AE62">
        <v>3403386000</v>
      </c>
      <c r="AF62">
        <v>367351000</v>
      </c>
      <c r="AG62">
        <v>0</v>
      </c>
      <c r="AH62">
        <v>3390298000</v>
      </c>
      <c r="AI62">
        <v>0</v>
      </c>
      <c r="AJ62">
        <v>203075000</v>
      </c>
      <c r="AK62">
        <v>298013000</v>
      </c>
      <c r="AL62">
        <v>324836002</v>
      </c>
    </row>
    <row r="63" spans="1:38" ht="15.75" customHeight="1">
      <c r="A63" s="21">
        <v>39844</v>
      </c>
      <c r="B63" t="s">
        <v>42</v>
      </c>
      <c r="C63">
        <v>8889199000</v>
      </c>
      <c r="D63">
        <v>1870125000</v>
      </c>
      <c r="E63">
        <v>377995000</v>
      </c>
      <c r="F63">
        <v>377995000</v>
      </c>
      <c r="G63">
        <v>1414955000</v>
      </c>
      <c r="H63">
        <v>6392000</v>
      </c>
      <c r="I63">
        <v>7019074000</v>
      </c>
      <c r="J63">
        <v>1268960000</v>
      </c>
      <c r="K63">
        <v>0</v>
      </c>
      <c r="L63">
        <v>1325558000</v>
      </c>
      <c r="M63">
        <v>1325558000</v>
      </c>
      <c r="N63">
        <v>4338589000</v>
      </c>
      <c r="O63">
        <v>0</v>
      </c>
      <c r="P63">
        <v>0</v>
      </c>
      <c r="Q63">
        <v>2100000</v>
      </c>
      <c r="R63">
        <v>70783000</v>
      </c>
      <c r="S63">
        <v>0</v>
      </c>
      <c r="T63">
        <v>6057504000</v>
      </c>
      <c r="U63">
        <v>1075235000</v>
      </c>
      <c r="V63">
        <v>678421000</v>
      </c>
      <c r="W63">
        <v>0</v>
      </c>
      <c r="X63">
        <v>0</v>
      </c>
      <c r="Y63">
        <v>14158000</v>
      </c>
      <c r="Z63">
        <v>4982269000</v>
      </c>
      <c r="AA63">
        <v>0</v>
      </c>
      <c r="AB63">
        <v>4122956000</v>
      </c>
      <c r="AC63">
        <v>0</v>
      </c>
      <c r="AD63">
        <v>0</v>
      </c>
      <c r="AE63">
        <v>4137114000</v>
      </c>
      <c r="AF63">
        <v>375045000</v>
      </c>
      <c r="AG63">
        <v>0</v>
      </c>
      <c r="AH63">
        <v>2831695000</v>
      </c>
      <c r="AI63">
        <v>0</v>
      </c>
      <c r="AJ63">
        <v>103364000</v>
      </c>
      <c r="AK63">
        <v>278114000</v>
      </c>
      <c r="AL63">
        <v>317503002</v>
      </c>
    </row>
    <row r="64" spans="1:38" ht="15.75" customHeight="1">
      <c r="A64" s="21">
        <v>39478</v>
      </c>
      <c r="B64" t="s">
        <v>42</v>
      </c>
      <c r="C64">
        <v>8656431000</v>
      </c>
      <c r="D64">
        <v>1517744000</v>
      </c>
      <c r="E64">
        <v>100209000</v>
      </c>
      <c r="F64">
        <v>100209000</v>
      </c>
      <c r="G64">
        <v>1288661000</v>
      </c>
      <c r="H64">
        <v>32501000</v>
      </c>
      <c r="I64">
        <v>7138687000</v>
      </c>
      <c r="J64">
        <v>1274245000</v>
      </c>
      <c r="K64">
        <v>0</v>
      </c>
      <c r="L64">
        <v>1370557000</v>
      </c>
      <c r="M64">
        <v>1370557000</v>
      </c>
      <c r="N64">
        <v>4344930000</v>
      </c>
      <c r="O64">
        <v>0</v>
      </c>
      <c r="P64">
        <v>0</v>
      </c>
      <c r="Q64">
        <v>19611000</v>
      </c>
      <c r="R64">
        <v>76762000</v>
      </c>
      <c r="S64">
        <v>0</v>
      </c>
      <c r="T64">
        <v>5952558000</v>
      </c>
      <c r="U64">
        <v>858241000</v>
      </c>
      <c r="V64">
        <v>551040000</v>
      </c>
      <c r="W64">
        <v>0</v>
      </c>
      <c r="X64">
        <v>0</v>
      </c>
      <c r="Y64">
        <v>3246000</v>
      </c>
      <c r="Z64">
        <v>5094317000</v>
      </c>
      <c r="AA64">
        <v>0</v>
      </c>
      <c r="AB64">
        <v>4278756000</v>
      </c>
      <c r="AC64">
        <v>0</v>
      </c>
      <c r="AD64">
        <v>0</v>
      </c>
      <c r="AE64">
        <v>4282002000</v>
      </c>
      <c r="AF64">
        <v>300956000</v>
      </c>
      <c r="AG64">
        <v>0</v>
      </c>
      <c r="AH64">
        <v>2703873000</v>
      </c>
      <c r="AI64">
        <v>0</v>
      </c>
      <c r="AJ64">
        <v>-4818000</v>
      </c>
      <c r="AK64">
        <v>277741000</v>
      </c>
      <c r="AL64">
        <v>315928002</v>
      </c>
    </row>
    <row r="65" spans="1:38" ht="15.75" customHeight="1">
      <c r="A65" s="21">
        <v>39113</v>
      </c>
      <c r="B65" t="s">
        <v>42</v>
      </c>
      <c r="C65">
        <v>3040514000</v>
      </c>
      <c r="D65">
        <v>1742748000</v>
      </c>
      <c r="E65">
        <v>189288000</v>
      </c>
      <c r="F65">
        <v>189288000</v>
      </c>
      <c r="G65">
        <v>1432336000</v>
      </c>
      <c r="H65">
        <v>9833000</v>
      </c>
      <c r="I65">
        <v>1297766000</v>
      </c>
      <c r="J65">
        <v>1236874000</v>
      </c>
      <c r="K65">
        <v>0</v>
      </c>
      <c r="L65">
        <v>0</v>
      </c>
      <c r="M65">
        <v>0</v>
      </c>
      <c r="N65">
        <v>0</v>
      </c>
      <c r="O65">
        <v>0</v>
      </c>
      <c r="P65">
        <v>0</v>
      </c>
      <c r="Q65">
        <v>29950000</v>
      </c>
      <c r="R65">
        <v>81341000</v>
      </c>
      <c r="S65">
        <v>0</v>
      </c>
      <c r="T65">
        <v>1294767000</v>
      </c>
      <c r="U65">
        <v>832871000</v>
      </c>
      <c r="V65">
        <v>555274000</v>
      </c>
      <c r="W65">
        <v>0</v>
      </c>
      <c r="X65">
        <v>0</v>
      </c>
      <c r="Y65">
        <v>8080000</v>
      </c>
      <c r="Z65">
        <v>461896000</v>
      </c>
      <c r="AA65">
        <v>0</v>
      </c>
      <c r="AB65">
        <v>261958000</v>
      </c>
      <c r="AC65">
        <v>0</v>
      </c>
      <c r="AD65">
        <v>0</v>
      </c>
      <c r="AE65">
        <v>270038000</v>
      </c>
      <c r="AF65">
        <v>253558000</v>
      </c>
      <c r="AG65">
        <v>0</v>
      </c>
      <c r="AH65">
        <v>1745747000</v>
      </c>
      <c r="AI65">
        <v>-2288000</v>
      </c>
      <c r="AJ65">
        <v>1103951000</v>
      </c>
      <c r="AK65">
        <v>156218000</v>
      </c>
      <c r="AL65">
        <v>313588002</v>
      </c>
    </row>
    <row r="66" spans="1:38" ht="15.75" customHeight="1">
      <c r="A66" s="21">
        <v>38748</v>
      </c>
      <c r="B66" t="s">
        <v>42</v>
      </c>
      <c r="C66">
        <v>2992187000</v>
      </c>
      <c r="D66">
        <v>1762925000</v>
      </c>
      <c r="E66">
        <v>200609000</v>
      </c>
      <c r="F66">
        <v>200609000</v>
      </c>
      <c r="G66">
        <v>1474414000</v>
      </c>
      <c r="H66">
        <v>-51339000</v>
      </c>
      <c r="I66">
        <v>1229262000</v>
      </c>
      <c r="J66">
        <v>1192172000</v>
      </c>
      <c r="K66">
        <v>0</v>
      </c>
      <c r="L66">
        <v>0</v>
      </c>
      <c r="M66">
        <v>0</v>
      </c>
      <c r="N66">
        <v>0</v>
      </c>
      <c r="O66">
        <v>0</v>
      </c>
      <c r="P66">
        <v>0</v>
      </c>
      <c r="Q66">
        <v>8850000</v>
      </c>
      <c r="R66">
        <v>130391000</v>
      </c>
      <c r="S66">
        <v>0</v>
      </c>
      <c r="T66">
        <v>1271392000</v>
      </c>
      <c r="U66">
        <v>933797000</v>
      </c>
      <c r="V66">
        <v>508386000</v>
      </c>
      <c r="W66">
        <v>0</v>
      </c>
      <c r="X66">
        <v>0</v>
      </c>
      <c r="Y66">
        <v>8785000</v>
      </c>
      <c r="Z66">
        <v>337595000</v>
      </c>
      <c r="AA66">
        <v>0</v>
      </c>
      <c r="AB66">
        <v>269962000</v>
      </c>
      <c r="AC66">
        <v>0</v>
      </c>
      <c r="AD66">
        <v>0</v>
      </c>
      <c r="AE66">
        <v>278747000</v>
      </c>
      <c r="AF66">
        <v>372920000</v>
      </c>
      <c r="AG66">
        <v>0</v>
      </c>
      <c r="AH66">
        <v>1720795000</v>
      </c>
      <c r="AI66">
        <v>-2328000</v>
      </c>
      <c r="AJ66">
        <v>1106165000</v>
      </c>
      <c r="AK66">
        <v>157840000</v>
      </c>
      <c r="AL66">
        <v>326334002</v>
      </c>
    </row>
    <row r="67" spans="1:38" ht="15.75" customHeight="1">
      <c r="A67" s="21"/>
    </row>
    <row r="68" spans="1:38" ht="15.75" customHeight="1">
      <c r="A68" s="21"/>
    </row>
    <row r="90" spans="1:29" ht="15.75" customHeight="1">
      <c r="A90" t="s">
        <v>227</v>
      </c>
    </row>
    <row r="91" spans="1:29" ht="15.75" customHeight="1">
      <c r="A91" t="s">
        <v>14</v>
      </c>
      <c r="B91" t="s">
        <v>15</v>
      </c>
      <c r="C91" t="s">
        <v>163</v>
      </c>
      <c r="D91" t="s">
        <v>164</v>
      </c>
      <c r="E91" t="s">
        <v>165</v>
      </c>
      <c r="F91" t="s">
        <v>166</v>
      </c>
      <c r="G91" t="s">
        <v>167</v>
      </c>
      <c r="H91" t="s">
        <v>168</v>
      </c>
      <c r="I91" t="s">
        <v>169</v>
      </c>
      <c r="J91" t="s">
        <v>170</v>
      </c>
      <c r="K91" t="s">
        <v>171</v>
      </c>
      <c r="L91" t="s">
        <v>172</v>
      </c>
      <c r="M91" t="s">
        <v>173</v>
      </c>
      <c r="N91" t="s">
        <v>174</v>
      </c>
      <c r="O91" t="s">
        <v>175</v>
      </c>
      <c r="P91" t="s">
        <v>176</v>
      </c>
      <c r="Q91" t="s">
        <v>177</v>
      </c>
      <c r="R91" t="s">
        <v>178</v>
      </c>
      <c r="S91" t="s">
        <v>179</v>
      </c>
      <c r="T91" t="s">
        <v>180</v>
      </c>
      <c r="U91" t="s">
        <v>181</v>
      </c>
      <c r="V91" t="s">
        <v>182</v>
      </c>
      <c r="W91" t="s">
        <v>100</v>
      </c>
      <c r="X91" t="s">
        <v>101</v>
      </c>
      <c r="Y91" t="s">
        <v>102</v>
      </c>
      <c r="Z91" t="s">
        <v>103</v>
      </c>
      <c r="AA91" t="s">
        <v>104</v>
      </c>
      <c r="AB91" t="s">
        <v>105</v>
      </c>
      <c r="AC91" t="s">
        <v>39</v>
      </c>
    </row>
    <row r="92" spans="1:29" ht="15.75" customHeight="1">
      <c r="A92" s="21">
        <v>45688</v>
      </c>
      <c r="B92" t="s">
        <v>42</v>
      </c>
      <c r="C92">
        <v>2996064000</v>
      </c>
      <c r="D92">
        <v>0</v>
      </c>
      <c r="E92">
        <v>0</v>
      </c>
      <c r="F92">
        <v>0</v>
      </c>
      <c r="G92">
        <v>0</v>
      </c>
      <c r="H92">
        <v>971703000</v>
      </c>
      <c r="I92">
        <v>1309888000</v>
      </c>
      <c r="J92">
        <v>0</v>
      </c>
      <c r="K92">
        <v>230208000</v>
      </c>
      <c r="L92">
        <v>0</v>
      </c>
      <c r="M92">
        <v>0</v>
      </c>
      <c r="N92">
        <v>-1294444000</v>
      </c>
      <c r="O92">
        <v>0</v>
      </c>
      <c r="P92">
        <v>0</v>
      </c>
      <c r="Q92">
        <v>0</v>
      </c>
      <c r="R92">
        <v>0</v>
      </c>
      <c r="S92">
        <v>518983000</v>
      </c>
      <c r="T92">
        <v>518983000</v>
      </c>
      <c r="U92">
        <v>0</v>
      </c>
      <c r="V92">
        <v>0</v>
      </c>
      <c r="W92">
        <v>0</v>
      </c>
      <c r="X92">
        <v>0</v>
      </c>
      <c r="Y92">
        <v>0</v>
      </c>
      <c r="Z92">
        <v>0</v>
      </c>
      <c r="AA92">
        <v>0</v>
      </c>
      <c r="AB92">
        <v>0</v>
      </c>
      <c r="AC92">
        <v>1125253000</v>
      </c>
    </row>
    <row r="93" spans="1:29" ht="15.75" customHeight="1">
      <c r="A93" s="21">
        <v>45322</v>
      </c>
      <c r="B93" t="s">
        <v>42</v>
      </c>
      <c r="C93">
        <v>2391798000</v>
      </c>
      <c r="D93">
        <v>0</v>
      </c>
      <c r="E93">
        <v>0</v>
      </c>
      <c r="F93">
        <v>0</v>
      </c>
      <c r="G93">
        <v>0</v>
      </c>
      <c r="H93">
        <v>848793000</v>
      </c>
      <c r="I93">
        <v>1700222000</v>
      </c>
      <c r="J93">
        <v>0</v>
      </c>
      <c r="K93">
        <v>-299066000</v>
      </c>
      <c r="L93">
        <v>0</v>
      </c>
      <c r="M93">
        <v>0</v>
      </c>
      <c r="N93">
        <v>-542068000</v>
      </c>
      <c r="O93">
        <v>0</v>
      </c>
      <c r="P93">
        <v>0</v>
      </c>
      <c r="Q93">
        <v>0</v>
      </c>
      <c r="R93">
        <v>0</v>
      </c>
      <c r="S93">
        <v>517979000</v>
      </c>
      <c r="T93">
        <v>517979000</v>
      </c>
      <c r="U93">
        <v>0</v>
      </c>
      <c r="V93">
        <v>0</v>
      </c>
      <c r="W93">
        <v>0</v>
      </c>
      <c r="X93">
        <v>0</v>
      </c>
      <c r="Y93">
        <v>0</v>
      </c>
      <c r="Z93">
        <v>0</v>
      </c>
      <c r="AA93">
        <v>0</v>
      </c>
      <c r="AB93">
        <v>0</v>
      </c>
      <c r="AC93">
        <v>1661274000</v>
      </c>
    </row>
    <row r="94" spans="1:29" ht="15.75" customHeight="1">
      <c r="A94" s="21">
        <v>44957</v>
      </c>
      <c r="B94" t="s">
        <v>42</v>
      </c>
      <c r="C94">
        <v>1984555000</v>
      </c>
      <c r="D94">
        <v>0</v>
      </c>
      <c r="E94">
        <v>0</v>
      </c>
      <c r="F94">
        <v>0</v>
      </c>
      <c r="G94">
        <v>0</v>
      </c>
      <c r="H94">
        <v>724877000</v>
      </c>
      <c r="I94">
        <v>1560582000</v>
      </c>
      <c r="J94">
        <v>0</v>
      </c>
      <c r="K94">
        <v>-1665352000</v>
      </c>
      <c r="L94">
        <v>0</v>
      </c>
      <c r="M94">
        <v>-1555346000</v>
      </c>
      <c r="N94">
        <v>-392462000</v>
      </c>
      <c r="O94">
        <v>0</v>
      </c>
      <c r="P94">
        <v>0</v>
      </c>
      <c r="Q94">
        <v>0</v>
      </c>
      <c r="R94">
        <v>0</v>
      </c>
      <c r="S94">
        <v>493726000</v>
      </c>
      <c r="T94">
        <v>493726000</v>
      </c>
      <c r="U94">
        <v>0</v>
      </c>
      <c r="V94">
        <v>0</v>
      </c>
      <c r="W94">
        <v>0</v>
      </c>
      <c r="X94">
        <v>0</v>
      </c>
      <c r="Y94">
        <v>-2748014000</v>
      </c>
      <c r="Z94">
        <v>0</v>
      </c>
      <c r="AA94">
        <v>36747000</v>
      </c>
      <c r="AB94">
        <v>0</v>
      </c>
      <c r="AC94">
        <v>2415989000</v>
      </c>
    </row>
    <row r="95" spans="1:29" ht="15.75" customHeight="1">
      <c r="A95" s="21">
        <v>44592</v>
      </c>
      <c r="B95" t="s">
        <v>42</v>
      </c>
      <c r="C95">
        <v>2865811000</v>
      </c>
      <c r="D95">
        <v>0</v>
      </c>
      <c r="E95">
        <v>0</v>
      </c>
      <c r="F95">
        <v>0</v>
      </c>
      <c r="G95">
        <v>0</v>
      </c>
      <c r="H95">
        <v>641316000</v>
      </c>
      <c r="I95">
        <v>1070460000</v>
      </c>
      <c r="J95">
        <v>0</v>
      </c>
      <c r="K95">
        <v>-550114000</v>
      </c>
      <c r="L95">
        <v>0</v>
      </c>
      <c r="M95">
        <v>-1065557000</v>
      </c>
      <c r="N95">
        <v>-2832002000</v>
      </c>
      <c r="O95">
        <v>0</v>
      </c>
      <c r="P95">
        <v>0</v>
      </c>
      <c r="Q95">
        <v>0</v>
      </c>
      <c r="R95">
        <v>0</v>
      </c>
      <c r="S95">
        <v>392188000</v>
      </c>
      <c r="T95">
        <v>392188000</v>
      </c>
      <c r="U95">
        <v>0</v>
      </c>
      <c r="V95">
        <v>0</v>
      </c>
      <c r="W95">
        <v>0</v>
      </c>
      <c r="X95">
        <v>0</v>
      </c>
      <c r="Y95">
        <v>-2549669000</v>
      </c>
      <c r="Z95">
        <v>0</v>
      </c>
      <c r="AA95">
        <v>-1031748000</v>
      </c>
      <c r="AB95">
        <v>0</v>
      </c>
      <c r="AC95">
        <v>2399232000</v>
      </c>
    </row>
    <row r="96" spans="1:29" ht="15.75" customHeight="1">
      <c r="A96" s="21">
        <v>44227</v>
      </c>
      <c r="B96" t="s">
        <v>42</v>
      </c>
      <c r="C96">
        <v>3876159000</v>
      </c>
      <c r="D96">
        <v>0</v>
      </c>
      <c r="E96">
        <v>0</v>
      </c>
      <c r="F96">
        <v>0</v>
      </c>
      <c r="G96">
        <v>0</v>
      </c>
      <c r="H96">
        <v>574237000</v>
      </c>
      <c r="I96">
        <v>1027963000</v>
      </c>
      <c r="J96">
        <v>0</v>
      </c>
      <c r="K96">
        <v>-575827000</v>
      </c>
      <c r="L96">
        <v>0</v>
      </c>
      <c r="M96">
        <v>-1024910000</v>
      </c>
      <c r="N96">
        <v>-1714992000</v>
      </c>
      <c r="O96">
        <v>0</v>
      </c>
      <c r="P96">
        <v>0</v>
      </c>
      <c r="Q96">
        <v>0</v>
      </c>
      <c r="R96">
        <v>0</v>
      </c>
      <c r="S96">
        <v>355926000</v>
      </c>
      <c r="T96">
        <v>355926000</v>
      </c>
      <c r="U96">
        <v>0</v>
      </c>
      <c r="V96">
        <v>0</v>
      </c>
      <c r="W96">
        <v>0</v>
      </c>
      <c r="X96">
        <v>0</v>
      </c>
      <c r="Y96">
        <v>-2466434000</v>
      </c>
      <c r="Z96">
        <v>0</v>
      </c>
      <c r="AA96">
        <v>1136257000</v>
      </c>
      <c r="AB96">
        <v>0</v>
      </c>
      <c r="AC96">
        <v>2655050000</v>
      </c>
    </row>
    <row r="97" spans="1:29" ht="15.75" customHeight="1">
      <c r="A97" s="21">
        <v>43861</v>
      </c>
      <c r="B97" t="s">
        <v>42</v>
      </c>
      <c r="C97">
        <v>2237998000</v>
      </c>
      <c r="D97">
        <v>0</v>
      </c>
      <c r="E97">
        <v>0</v>
      </c>
      <c r="F97">
        <v>0</v>
      </c>
      <c r="G97">
        <v>0</v>
      </c>
      <c r="H97">
        <v>504804000</v>
      </c>
      <c r="I97">
        <v>784843000</v>
      </c>
      <c r="J97">
        <v>0</v>
      </c>
      <c r="K97">
        <v>-578783000</v>
      </c>
      <c r="L97">
        <v>0</v>
      </c>
      <c r="M97">
        <v>-782485000</v>
      </c>
      <c r="N97">
        <v>-1450680000</v>
      </c>
      <c r="O97">
        <v>0</v>
      </c>
      <c r="P97">
        <v>0</v>
      </c>
      <c r="Q97">
        <v>0</v>
      </c>
      <c r="R97">
        <v>0</v>
      </c>
      <c r="S97">
        <v>327568000</v>
      </c>
      <c r="T97">
        <v>327568000</v>
      </c>
      <c r="U97">
        <v>0</v>
      </c>
      <c r="V97">
        <v>0</v>
      </c>
      <c r="W97">
        <v>0</v>
      </c>
      <c r="X97">
        <v>0</v>
      </c>
      <c r="Y97">
        <v>-1200376000</v>
      </c>
      <c r="Z97">
        <v>0</v>
      </c>
      <c r="AA97">
        <v>4833000</v>
      </c>
      <c r="AB97">
        <v>0</v>
      </c>
      <c r="AC97">
        <v>1712555000</v>
      </c>
    </row>
    <row r="98" spans="1:29" ht="15.75" customHeight="1">
      <c r="A98" s="21">
        <v>43496</v>
      </c>
      <c r="B98" t="s">
        <v>42</v>
      </c>
      <c r="C98">
        <v>2143550000</v>
      </c>
      <c r="D98">
        <v>0</v>
      </c>
      <c r="E98">
        <v>0</v>
      </c>
      <c r="F98">
        <v>0</v>
      </c>
      <c r="G98">
        <v>0</v>
      </c>
      <c r="H98">
        <v>454134000</v>
      </c>
      <c r="I98">
        <v>734380000</v>
      </c>
      <c r="J98">
        <v>0</v>
      </c>
      <c r="K98">
        <v>-521342000</v>
      </c>
      <c r="L98">
        <v>0</v>
      </c>
      <c r="M98">
        <v>-731603000</v>
      </c>
      <c r="N98">
        <v>-1443901000</v>
      </c>
      <c r="O98">
        <v>0</v>
      </c>
      <c r="P98">
        <v>0</v>
      </c>
      <c r="Q98">
        <v>0</v>
      </c>
      <c r="R98">
        <v>0</v>
      </c>
      <c r="S98">
        <v>306523000</v>
      </c>
      <c r="T98">
        <v>306523000</v>
      </c>
      <c r="U98">
        <v>0</v>
      </c>
      <c r="V98">
        <v>0</v>
      </c>
      <c r="W98">
        <v>0</v>
      </c>
      <c r="X98">
        <v>0</v>
      </c>
      <c r="Y98">
        <v>-1007494000</v>
      </c>
      <c r="Z98">
        <v>0</v>
      </c>
      <c r="AA98">
        <v>-31954000</v>
      </c>
      <c r="AB98">
        <v>0</v>
      </c>
      <c r="AC98">
        <v>1589472000</v>
      </c>
    </row>
    <row r="99" spans="1:29" ht="15.75" customHeight="1">
      <c r="A99" s="21">
        <v>43131</v>
      </c>
      <c r="B99" t="s">
        <v>42</v>
      </c>
      <c r="C99">
        <v>1802108000</v>
      </c>
      <c r="D99">
        <v>0</v>
      </c>
      <c r="E99">
        <v>0</v>
      </c>
      <c r="F99">
        <v>0</v>
      </c>
      <c r="G99">
        <v>0</v>
      </c>
      <c r="H99">
        <v>404231000</v>
      </c>
      <c r="I99">
        <v>646456000</v>
      </c>
      <c r="J99">
        <v>0</v>
      </c>
      <c r="K99">
        <v>-348363000</v>
      </c>
      <c r="L99">
        <v>0</v>
      </c>
      <c r="M99">
        <v>-645028000</v>
      </c>
      <c r="N99">
        <v>-1077554000</v>
      </c>
      <c r="O99">
        <v>0</v>
      </c>
      <c r="P99">
        <v>0</v>
      </c>
      <c r="Q99">
        <v>0</v>
      </c>
      <c r="R99">
        <v>0</v>
      </c>
      <c r="S99">
        <v>282931000</v>
      </c>
      <c r="T99">
        <v>282931000</v>
      </c>
      <c r="U99">
        <v>0</v>
      </c>
      <c r="V99">
        <v>0</v>
      </c>
      <c r="W99">
        <v>0</v>
      </c>
      <c r="X99">
        <v>0</v>
      </c>
      <c r="Y99">
        <v>-579712000</v>
      </c>
      <c r="Z99">
        <v>0</v>
      </c>
      <c r="AA99">
        <v>79526000</v>
      </c>
      <c r="AB99">
        <v>0</v>
      </c>
      <c r="AC99">
        <v>1538960000</v>
      </c>
    </row>
    <row r="100" spans="1:29" ht="15.75" customHeight="1">
      <c r="A100" s="21">
        <v>42766</v>
      </c>
      <c r="B100" t="s">
        <v>42</v>
      </c>
      <c r="C100">
        <v>1605041000</v>
      </c>
      <c r="D100">
        <v>0</v>
      </c>
      <c r="E100">
        <v>0</v>
      </c>
      <c r="F100">
        <v>0</v>
      </c>
      <c r="G100">
        <v>0</v>
      </c>
      <c r="H100">
        <v>379931000</v>
      </c>
      <c r="I100">
        <v>560296000</v>
      </c>
      <c r="J100">
        <v>0</v>
      </c>
      <c r="K100">
        <v>-171908000</v>
      </c>
      <c r="L100">
        <v>0</v>
      </c>
      <c r="M100">
        <v>-550936000</v>
      </c>
      <c r="N100">
        <v>-1024137000</v>
      </c>
      <c r="O100">
        <v>0</v>
      </c>
      <c r="P100">
        <v>0</v>
      </c>
      <c r="Q100">
        <v>0</v>
      </c>
      <c r="R100">
        <v>0</v>
      </c>
      <c r="S100">
        <v>281135000</v>
      </c>
      <c r="T100">
        <v>281135000</v>
      </c>
      <c r="U100">
        <v>0</v>
      </c>
      <c r="V100">
        <v>0</v>
      </c>
      <c r="W100">
        <v>0</v>
      </c>
      <c r="X100">
        <v>0</v>
      </c>
      <c r="Y100">
        <v>-990474000</v>
      </c>
      <c r="Z100">
        <v>0</v>
      </c>
      <c r="AA100">
        <v>29968000</v>
      </c>
      <c r="AB100">
        <v>0</v>
      </c>
      <c r="AC100">
        <v>1251133000</v>
      </c>
    </row>
    <row r="101" spans="1:29" ht="15.75" customHeight="1">
      <c r="A101" s="21">
        <v>42400</v>
      </c>
      <c r="B101" t="s">
        <v>42</v>
      </c>
      <c r="C101">
        <v>1377988000</v>
      </c>
      <c r="D101">
        <v>0</v>
      </c>
      <c r="E101">
        <v>0</v>
      </c>
      <c r="F101">
        <v>0</v>
      </c>
      <c r="G101">
        <v>0</v>
      </c>
      <c r="H101">
        <v>352431000</v>
      </c>
      <c r="I101">
        <v>504806000</v>
      </c>
      <c r="J101">
        <v>0</v>
      </c>
      <c r="K101">
        <v>-290001000</v>
      </c>
      <c r="L101">
        <v>0</v>
      </c>
      <c r="M101">
        <v>-503383000</v>
      </c>
      <c r="N101">
        <v>-1296481000</v>
      </c>
      <c r="O101">
        <v>0</v>
      </c>
      <c r="P101">
        <v>0</v>
      </c>
      <c r="Q101">
        <v>0</v>
      </c>
      <c r="R101">
        <v>0</v>
      </c>
      <c r="S101">
        <v>258328000</v>
      </c>
      <c r="T101">
        <v>258328000</v>
      </c>
      <c r="U101">
        <v>0</v>
      </c>
      <c r="V101">
        <v>0</v>
      </c>
      <c r="W101">
        <v>0</v>
      </c>
      <c r="X101">
        <v>0</v>
      </c>
      <c r="Y101">
        <v>-1299613000</v>
      </c>
      <c r="Z101">
        <v>0</v>
      </c>
      <c r="AA101">
        <v>-421876000</v>
      </c>
      <c r="AB101">
        <v>0</v>
      </c>
      <c r="AC101">
        <v>1165080000</v>
      </c>
    </row>
    <row r="102" spans="1:29" ht="15.75" customHeight="1">
      <c r="A102" s="21">
        <v>42035</v>
      </c>
      <c r="B102" t="s">
        <v>42</v>
      </c>
      <c r="C102">
        <v>1314744000</v>
      </c>
      <c r="D102">
        <v>0</v>
      </c>
      <c r="E102">
        <v>0</v>
      </c>
      <c r="F102">
        <v>0</v>
      </c>
      <c r="G102">
        <v>0</v>
      </c>
      <c r="H102">
        <v>342353000</v>
      </c>
      <c r="I102">
        <v>373967000</v>
      </c>
      <c r="J102">
        <v>0</v>
      </c>
      <c r="K102">
        <v>-233559000</v>
      </c>
      <c r="L102">
        <v>0</v>
      </c>
      <c r="M102">
        <v>-371699000</v>
      </c>
      <c r="N102">
        <v>-868788000</v>
      </c>
      <c r="O102">
        <v>0</v>
      </c>
      <c r="P102">
        <v>0</v>
      </c>
      <c r="Q102">
        <v>0</v>
      </c>
      <c r="R102">
        <v>0</v>
      </c>
      <c r="S102">
        <v>258328000</v>
      </c>
      <c r="T102">
        <v>258328000</v>
      </c>
      <c r="U102">
        <v>0</v>
      </c>
      <c r="V102">
        <v>0</v>
      </c>
      <c r="W102">
        <v>0</v>
      </c>
      <c r="X102">
        <v>0</v>
      </c>
      <c r="Y102">
        <v>-800095000</v>
      </c>
      <c r="Z102">
        <v>0</v>
      </c>
      <c r="AA102">
        <v>74257000</v>
      </c>
      <c r="AB102">
        <v>0</v>
      </c>
      <c r="AC102">
        <v>1065345000</v>
      </c>
    </row>
    <row r="103" spans="1:29" ht="15.75" customHeight="1">
      <c r="A103" s="21">
        <v>41670</v>
      </c>
      <c r="B103" t="s">
        <v>42</v>
      </c>
      <c r="C103">
        <v>1213065000</v>
      </c>
      <c r="D103">
        <v>0</v>
      </c>
      <c r="E103">
        <v>0</v>
      </c>
      <c r="F103">
        <v>0</v>
      </c>
      <c r="G103">
        <v>0</v>
      </c>
      <c r="H103">
        <v>332837000</v>
      </c>
      <c r="I103">
        <v>538444000</v>
      </c>
      <c r="J103">
        <v>0</v>
      </c>
      <c r="K103">
        <v>-144943000</v>
      </c>
      <c r="L103">
        <v>0</v>
      </c>
      <c r="M103">
        <v>-249978000</v>
      </c>
      <c r="N103">
        <v>-598330000</v>
      </c>
      <c r="O103">
        <v>0</v>
      </c>
      <c r="P103">
        <v>0</v>
      </c>
      <c r="Q103">
        <v>0</v>
      </c>
      <c r="R103">
        <v>0</v>
      </c>
      <c r="S103">
        <v>0</v>
      </c>
      <c r="T103">
        <v>0</v>
      </c>
      <c r="U103">
        <v>0</v>
      </c>
      <c r="V103">
        <v>0</v>
      </c>
      <c r="W103">
        <v>0</v>
      </c>
      <c r="X103">
        <v>0</v>
      </c>
      <c r="Y103">
        <v>-620052000</v>
      </c>
      <c r="Z103">
        <v>0</v>
      </c>
      <c r="AA103">
        <v>364757000</v>
      </c>
      <c r="AB103">
        <v>0</v>
      </c>
      <c r="AC103">
        <v>1025116000</v>
      </c>
    </row>
    <row r="104" spans="1:29" ht="15.75" customHeight="1">
      <c r="A104" s="21">
        <v>41305</v>
      </c>
      <c r="B104" t="s">
        <v>42</v>
      </c>
      <c r="C104">
        <v>1131352000</v>
      </c>
      <c r="D104">
        <v>0</v>
      </c>
      <c r="E104">
        <v>0</v>
      </c>
      <c r="F104">
        <v>0</v>
      </c>
      <c r="G104">
        <v>0</v>
      </c>
      <c r="H104">
        <v>302911000</v>
      </c>
      <c r="I104">
        <v>571596000</v>
      </c>
      <c r="J104">
        <v>0</v>
      </c>
      <c r="K104">
        <v>-391409000</v>
      </c>
      <c r="L104">
        <v>0</v>
      </c>
      <c r="M104">
        <v>-569836000</v>
      </c>
      <c r="N104">
        <v>-546833000</v>
      </c>
      <c r="O104">
        <v>0</v>
      </c>
      <c r="P104">
        <v>0</v>
      </c>
      <c r="Q104">
        <v>0</v>
      </c>
      <c r="R104">
        <v>0</v>
      </c>
      <c r="S104">
        <v>0</v>
      </c>
      <c r="T104">
        <v>0</v>
      </c>
      <c r="U104">
        <v>0</v>
      </c>
      <c r="V104">
        <v>0</v>
      </c>
      <c r="W104">
        <v>0</v>
      </c>
      <c r="X104">
        <v>0</v>
      </c>
      <c r="Y104">
        <v>-671459000</v>
      </c>
      <c r="Z104">
        <v>0</v>
      </c>
      <c r="AA104">
        <v>14683000</v>
      </c>
      <c r="AB104">
        <v>0</v>
      </c>
      <c r="AC104">
        <v>952662000</v>
      </c>
    </row>
    <row r="105" spans="1:29" ht="15.75" customHeight="1">
      <c r="A105" s="21">
        <v>40939</v>
      </c>
      <c r="B105" t="s">
        <v>42</v>
      </c>
      <c r="C105">
        <v>1050480000</v>
      </c>
      <c r="D105">
        <v>0</v>
      </c>
      <c r="E105">
        <v>0</v>
      </c>
      <c r="F105">
        <v>0</v>
      </c>
      <c r="G105">
        <v>0</v>
      </c>
      <c r="H105">
        <v>275408000</v>
      </c>
      <c r="I105">
        <v>514861000</v>
      </c>
      <c r="J105">
        <v>0</v>
      </c>
      <c r="K105">
        <v>-291492000</v>
      </c>
      <c r="L105">
        <v>0</v>
      </c>
      <c r="M105">
        <v>-513835000</v>
      </c>
      <c r="N105">
        <v>-907965000</v>
      </c>
      <c r="O105">
        <v>0</v>
      </c>
      <c r="P105">
        <v>0</v>
      </c>
      <c r="Q105">
        <v>0</v>
      </c>
      <c r="R105">
        <v>0</v>
      </c>
      <c r="S105">
        <v>1157800000</v>
      </c>
      <c r="T105">
        <v>1157800000</v>
      </c>
      <c r="U105">
        <v>0</v>
      </c>
      <c r="V105">
        <v>0</v>
      </c>
      <c r="W105">
        <v>0</v>
      </c>
      <c r="X105">
        <v>0</v>
      </c>
      <c r="Y105">
        <v>-186597000</v>
      </c>
      <c r="Z105">
        <v>0</v>
      </c>
      <c r="AA105">
        <v>-371320000</v>
      </c>
      <c r="AB105">
        <v>0</v>
      </c>
      <c r="AC105">
        <v>766685000</v>
      </c>
    </row>
    <row r="106" spans="1:29" ht="15.75" customHeight="1">
      <c r="A106" s="21">
        <v>40574</v>
      </c>
      <c r="B106" t="s">
        <v>42</v>
      </c>
      <c r="C106">
        <v>824684000</v>
      </c>
      <c r="D106">
        <v>0</v>
      </c>
      <c r="E106">
        <v>0</v>
      </c>
      <c r="F106">
        <v>0</v>
      </c>
      <c r="G106">
        <v>0</v>
      </c>
      <c r="H106">
        <v>254927000</v>
      </c>
      <c r="I106">
        <v>420395000</v>
      </c>
      <c r="J106">
        <v>0</v>
      </c>
      <c r="K106">
        <v>-251809000</v>
      </c>
      <c r="L106">
        <v>0</v>
      </c>
      <c r="M106">
        <v>0</v>
      </c>
      <c r="N106">
        <v>-130367000</v>
      </c>
      <c r="O106">
        <v>0</v>
      </c>
      <c r="P106">
        <v>0</v>
      </c>
      <c r="Q106">
        <v>0</v>
      </c>
      <c r="R106">
        <v>0</v>
      </c>
      <c r="S106">
        <v>0</v>
      </c>
      <c r="T106">
        <v>0</v>
      </c>
      <c r="U106">
        <v>0</v>
      </c>
      <c r="V106">
        <v>0</v>
      </c>
      <c r="W106">
        <v>0</v>
      </c>
      <c r="X106">
        <v>0</v>
      </c>
      <c r="Y106">
        <v>-13723000</v>
      </c>
      <c r="Z106">
        <v>0</v>
      </c>
      <c r="AA106">
        <v>0</v>
      </c>
      <c r="AB106">
        <v>0</v>
      </c>
      <c r="AC106">
        <v>627857000</v>
      </c>
    </row>
    <row r="107" spans="1:29" ht="15.75" customHeight="1">
      <c r="A107" s="21">
        <v>40209</v>
      </c>
      <c r="B107" t="s">
        <v>42</v>
      </c>
      <c r="C107">
        <v>668643000</v>
      </c>
      <c r="D107">
        <v>0</v>
      </c>
      <c r="E107">
        <v>0</v>
      </c>
      <c r="F107">
        <v>0</v>
      </c>
      <c r="G107">
        <v>0</v>
      </c>
      <c r="H107">
        <v>256771000</v>
      </c>
      <c r="I107">
        <v>250747000</v>
      </c>
      <c r="J107">
        <v>0</v>
      </c>
      <c r="K107">
        <v>-100248000</v>
      </c>
      <c r="L107">
        <v>0</v>
      </c>
      <c r="M107">
        <v>0</v>
      </c>
      <c r="N107">
        <v>-576516000</v>
      </c>
      <c r="O107">
        <v>0</v>
      </c>
      <c r="P107">
        <v>0</v>
      </c>
      <c r="Q107">
        <v>0</v>
      </c>
      <c r="R107">
        <v>0</v>
      </c>
      <c r="S107">
        <v>239731000</v>
      </c>
      <c r="T107">
        <v>239731000</v>
      </c>
      <c r="U107">
        <v>0</v>
      </c>
      <c r="V107">
        <v>0</v>
      </c>
      <c r="W107">
        <v>0</v>
      </c>
      <c r="X107">
        <v>0</v>
      </c>
      <c r="Y107">
        <v>240811000</v>
      </c>
      <c r="Z107">
        <v>0</v>
      </c>
      <c r="AA107">
        <v>0</v>
      </c>
      <c r="AB107">
        <v>0</v>
      </c>
      <c r="AC107">
        <v>339442000</v>
      </c>
    </row>
    <row r="108" spans="1:29" ht="15.75" customHeight="1">
      <c r="A108" s="21">
        <v>39844</v>
      </c>
      <c r="B108" t="s">
        <v>42</v>
      </c>
      <c r="C108">
        <v>575178000</v>
      </c>
      <c r="D108">
        <v>0</v>
      </c>
      <c r="E108">
        <v>0</v>
      </c>
      <c r="F108">
        <v>0</v>
      </c>
      <c r="G108">
        <v>0</v>
      </c>
      <c r="H108">
        <v>247899000</v>
      </c>
      <c r="I108">
        <v>205546000</v>
      </c>
      <c r="J108">
        <v>0</v>
      </c>
      <c r="K108">
        <v>-173014000</v>
      </c>
      <c r="L108">
        <v>0</v>
      </c>
      <c r="M108">
        <v>0</v>
      </c>
      <c r="N108">
        <v>-144756000</v>
      </c>
      <c r="O108">
        <v>0</v>
      </c>
      <c r="P108">
        <v>0</v>
      </c>
      <c r="Q108">
        <v>0</v>
      </c>
      <c r="R108">
        <v>0</v>
      </c>
      <c r="S108">
        <v>0</v>
      </c>
      <c r="T108">
        <v>0</v>
      </c>
      <c r="U108">
        <v>0</v>
      </c>
      <c r="V108">
        <v>0</v>
      </c>
      <c r="W108">
        <v>0</v>
      </c>
      <c r="X108">
        <v>0</v>
      </c>
      <c r="Y108">
        <v>-3009000</v>
      </c>
      <c r="Z108">
        <v>0</v>
      </c>
      <c r="AA108">
        <v>0</v>
      </c>
      <c r="AB108">
        <v>0</v>
      </c>
      <c r="AC108">
        <v>108182000</v>
      </c>
    </row>
    <row r="109" spans="1:29" ht="15.75" customHeight="1">
      <c r="A109" s="21">
        <v>39478</v>
      </c>
      <c r="B109" t="s">
        <v>42</v>
      </c>
      <c r="C109">
        <v>441550000</v>
      </c>
      <c r="D109">
        <v>0</v>
      </c>
      <c r="E109">
        <v>0</v>
      </c>
      <c r="F109">
        <v>0</v>
      </c>
      <c r="G109">
        <v>0</v>
      </c>
      <c r="H109">
        <v>234130000</v>
      </c>
      <c r="I109">
        <v>139794000</v>
      </c>
      <c r="J109">
        <v>0</v>
      </c>
      <c r="K109">
        <v>95893000</v>
      </c>
      <c r="L109">
        <v>0</v>
      </c>
      <c r="M109">
        <v>0</v>
      </c>
      <c r="N109">
        <v>6734242000</v>
      </c>
      <c r="O109">
        <v>0</v>
      </c>
      <c r="P109">
        <v>0</v>
      </c>
      <c r="Q109">
        <v>0</v>
      </c>
      <c r="R109">
        <v>0</v>
      </c>
      <c r="S109">
        <v>15710000</v>
      </c>
      <c r="T109">
        <v>15710000</v>
      </c>
      <c r="U109">
        <v>0</v>
      </c>
      <c r="V109">
        <v>0</v>
      </c>
      <c r="W109">
        <v>0</v>
      </c>
      <c r="X109">
        <v>0</v>
      </c>
      <c r="Y109">
        <v>-541000</v>
      </c>
      <c r="Z109">
        <v>0</v>
      </c>
      <c r="AA109">
        <v>0</v>
      </c>
      <c r="AB109">
        <v>0</v>
      </c>
      <c r="AC109">
        <v>-12816000</v>
      </c>
    </row>
    <row r="110" spans="1:29" ht="15.75" customHeight="1">
      <c r="A110" s="21">
        <v>39113</v>
      </c>
      <c r="B110" t="s">
        <v>42</v>
      </c>
      <c r="C110">
        <v>405357000</v>
      </c>
      <c r="D110">
        <v>0</v>
      </c>
      <c r="E110">
        <v>0</v>
      </c>
      <c r="F110">
        <v>0</v>
      </c>
      <c r="G110">
        <v>0</v>
      </c>
      <c r="H110">
        <v>200608000</v>
      </c>
      <c r="I110">
        <v>261515000</v>
      </c>
      <c r="J110">
        <v>0</v>
      </c>
      <c r="K110">
        <v>-28057000</v>
      </c>
      <c r="L110">
        <v>0</v>
      </c>
      <c r="M110">
        <v>0</v>
      </c>
      <c r="N110">
        <v>-134714000</v>
      </c>
      <c r="O110">
        <v>0</v>
      </c>
      <c r="P110">
        <v>0</v>
      </c>
      <c r="Q110">
        <v>0</v>
      </c>
      <c r="R110">
        <v>0</v>
      </c>
      <c r="S110">
        <v>62472000</v>
      </c>
      <c r="T110">
        <v>62472000</v>
      </c>
      <c r="U110">
        <v>0</v>
      </c>
      <c r="V110">
        <v>0</v>
      </c>
      <c r="W110">
        <v>0</v>
      </c>
      <c r="X110">
        <v>0</v>
      </c>
      <c r="Y110">
        <v>-79947000</v>
      </c>
      <c r="Z110">
        <v>0</v>
      </c>
      <c r="AA110">
        <v>0</v>
      </c>
      <c r="AB110">
        <v>0</v>
      </c>
      <c r="AC110">
        <v>137943000</v>
      </c>
    </row>
    <row r="111" spans="1:29" ht="15.75" customHeight="1">
      <c r="A111" s="21">
        <v>38748</v>
      </c>
      <c r="B111" t="s">
        <v>42</v>
      </c>
      <c r="C111">
        <v>555485000</v>
      </c>
      <c r="D111">
        <v>0</v>
      </c>
      <c r="E111">
        <v>0</v>
      </c>
      <c r="F111">
        <v>0</v>
      </c>
      <c r="G111">
        <v>0</v>
      </c>
      <c r="H111">
        <v>186824000</v>
      </c>
      <c r="I111">
        <v>284112000</v>
      </c>
      <c r="J111">
        <v>0</v>
      </c>
      <c r="K111">
        <v>-97877000</v>
      </c>
      <c r="L111">
        <v>0</v>
      </c>
      <c r="M111">
        <v>0</v>
      </c>
      <c r="N111">
        <v>-323303000</v>
      </c>
      <c r="O111">
        <v>0</v>
      </c>
      <c r="P111">
        <v>0</v>
      </c>
      <c r="Q111">
        <v>0</v>
      </c>
      <c r="R111">
        <v>0</v>
      </c>
      <c r="S111">
        <v>56183000</v>
      </c>
      <c r="T111">
        <v>56183000</v>
      </c>
      <c r="U111">
        <v>0</v>
      </c>
      <c r="V111">
        <v>0</v>
      </c>
      <c r="W111">
        <v>0</v>
      </c>
      <c r="X111">
        <v>0</v>
      </c>
      <c r="Y111">
        <v>-297602000</v>
      </c>
      <c r="Z111">
        <v>0</v>
      </c>
      <c r="AA111">
        <v>0</v>
      </c>
      <c r="AB111">
        <v>0</v>
      </c>
      <c r="AC111">
        <v>350155000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1F6BD-6C32-E742-B6E7-9924B5680922}">
  <sheetPr codeName="Sheet8"/>
  <dimension ref="B2:U5"/>
  <sheetViews>
    <sheetView workbookViewId="0">
      <selection activeCell="J28" sqref="J28"/>
    </sheetView>
  </sheetViews>
  <sheetFormatPr baseColWidth="10" defaultRowHeight="13"/>
  <cols>
    <col min="2" max="29" width="12.83203125" customWidth="1"/>
  </cols>
  <sheetData>
    <row r="2" spans="2:21">
      <c r="B2" s="20" t="s">
        <v>321</v>
      </c>
    </row>
    <row r="4" spans="2:21" s="21" customFormat="1">
      <c r="B4" s="21" cm="1">
        <f t="array" ref="B4:U4">TRANSPOSE(Annual!A4:A23)</f>
        <v>45688</v>
      </c>
      <c r="C4" s="21">
        <v>45322</v>
      </c>
      <c r="D4" s="21">
        <v>44957</v>
      </c>
      <c r="E4" s="21">
        <v>44592</v>
      </c>
      <c r="F4" s="21">
        <v>44227</v>
      </c>
      <c r="G4" s="21">
        <v>43861</v>
      </c>
      <c r="H4" s="21">
        <v>43496</v>
      </c>
      <c r="I4" s="21">
        <v>43131</v>
      </c>
      <c r="J4" s="21">
        <v>42766</v>
      </c>
      <c r="K4" s="21">
        <v>42400</v>
      </c>
      <c r="L4" s="21">
        <v>42035</v>
      </c>
      <c r="M4" s="21">
        <v>41670</v>
      </c>
      <c r="N4" s="21">
        <v>41305</v>
      </c>
      <c r="O4" s="21">
        <v>40939</v>
      </c>
      <c r="P4" s="21">
        <v>40574</v>
      </c>
      <c r="Q4" s="21">
        <v>40209</v>
      </c>
      <c r="R4" s="21">
        <v>39844</v>
      </c>
      <c r="S4" s="21">
        <v>39478</v>
      </c>
      <c r="T4" s="21">
        <v>39113</v>
      </c>
      <c r="U4" s="21">
        <v>38748</v>
      </c>
    </row>
    <row r="5" spans="2:21">
      <c r="B5" cm="1">
        <f t="array" ref="B5:U5">TRANSPOSE(Annual!D4:D23)</f>
        <v>40612308000</v>
      </c>
      <c r="C5">
        <v>38691609000</v>
      </c>
      <c r="D5">
        <v>37844863000</v>
      </c>
      <c r="E5">
        <v>34220449000</v>
      </c>
      <c r="F5">
        <v>33746839000</v>
      </c>
      <c r="G5">
        <v>27753973000</v>
      </c>
      <c r="H5">
        <v>25625043000</v>
      </c>
      <c r="I5">
        <v>23470967000</v>
      </c>
      <c r="J5">
        <v>21986598000</v>
      </c>
      <c r="K5">
        <v>20368562000</v>
      </c>
      <c r="L5">
        <v>18909588000</v>
      </c>
      <c r="M5">
        <v>17504167000</v>
      </c>
      <c r="N5">
        <v>16022128000</v>
      </c>
      <c r="O5">
        <v>14807188000</v>
      </c>
      <c r="P5">
        <v>13035000000</v>
      </c>
      <c r="Q5">
        <v>11796380000</v>
      </c>
      <c r="R5">
        <v>10457668000</v>
      </c>
      <c r="S5">
        <v>9495246000</v>
      </c>
      <c r="T5">
        <v>9169822000</v>
      </c>
      <c r="U5">
        <v>8582237000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79F5-FB4C-4353-A10D-3D7610803EC4}">
  <sheetPr codeName="Sheet10"/>
  <dimension ref="A2:AL282"/>
  <sheetViews>
    <sheetView workbookViewId="0">
      <selection activeCell="D4" sqref="D4"/>
    </sheetView>
  </sheetViews>
  <sheetFormatPr baseColWidth="10" defaultColWidth="8.83203125" defaultRowHeight="13"/>
  <cols>
    <col min="1" max="1" width="23.6640625" bestFit="1" customWidth="1"/>
    <col min="6" max="6" width="18.5" customWidth="1"/>
  </cols>
  <sheetData>
    <row r="2" spans="1:26">
      <c r="A2" t="s">
        <v>228</v>
      </c>
    </row>
    <row r="3" spans="1:26">
      <c r="A3" s="21" t="s">
        <v>14</v>
      </c>
      <c r="B3" t="s">
        <v>15</v>
      </c>
      <c r="C3" t="s">
        <v>16</v>
      </c>
      <c r="D3" t="s">
        <v>17</v>
      </c>
      <c r="E3" t="s">
        <v>18</v>
      </c>
      <c r="F3" t="s">
        <v>19</v>
      </c>
      <c r="G3" t="s">
        <v>20</v>
      </c>
      <c r="H3" t="s">
        <v>21</v>
      </c>
      <c r="I3" t="s">
        <v>22</v>
      </c>
      <c r="J3" t="s">
        <v>23</v>
      </c>
      <c r="K3" t="s">
        <v>24</v>
      </c>
      <c r="L3" t="s">
        <v>25</v>
      </c>
      <c r="M3" t="s">
        <v>26</v>
      </c>
      <c r="N3" t="s">
        <v>27</v>
      </c>
      <c r="O3" t="s">
        <v>28</v>
      </c>
      <c r="P3" t="s">
        <v>29</v>
      </c>
      <c r="Q3" t="s">
        <v>30</v>
      </c>
      <c r="R3" t="s">
        <v>31</v>
      </c>
      <c r="S3" t="s">
        <v>32</v>
      </c>
      <c r="T3" t="s">
        <v>33</v>
      </c>
      <c r="U3" t="s">
        <v>34</v>
      </c>
      <c r="V3" t="s">
        <v>35</v>
      </c>
      <c r="W3" t="s">
        <v>36</v>
      </c>
      <c r="X3" t="s">
        <v>37</v>
      </c>
      <c r="Y3" t="s">
        <v>38</v>
      </c>
      <c r="Z3" t="s">
        <v>39</v>
      </c>
    </row>
    <row r="4" spans="1:26">
      <c r="A4" s="21">
        <v>45777</v>
      </c>
      <c r="B4" t="s">
        <v>42</v>
      </c>
      <c r="C4">
        <v>3231288000</v>
      </c>
      <c r="D4">
        <v>10435979000</v>
      </c>
      <c r="E4">
        <v>7204691000</v>
      </c>
      <c r="F4">
        <v>7204691000</v>
      </c>
      <c r="G4">
        <v>576113000</v>
      </c>
      <c r="H4">
        <v>2655175000</v>
      </c>
      <c r="I4">
        <v>0</v>
      </c>
      <c r="J4">
        <v>2655175000</v>
      </c>
      <c r="K4">
        <v>0</v>
      </c>
      <c r="L4">
        <v>-64604000</v>
      </c>
      <c r="M4">
        <v>0</v>
      </c>
      <c r="N4">
        <v>64604000</v>
      </c>
      <c r="O4">
        <v>0</v>
      </c>
      <c r="P4">
        <v>0</v>
      </c>
      <c r="Q4">
        <v>0</v>
      </c>
      <c r="R4">
        <v>252793000</v>
      </c>
      <c r="S4">
        <v>511509000</v>
      </c>
      <c r="T4">
        <v>119581000</v>
      </c>
      <c r="U4">
        <v>0</v>
      </c>
      <c r="V4">
        <v>391928000</v>
      </c>
      <c r="W4">
        <v>0</v>
      </c>
      <c r="X4">
        <v>576113000</v>
      </c>
      <c r="Y4">
        <v>828906000</v>
      </c>
      <c r="Z4">
        <v>391928000</v>
      </c>
    </row>
    <row r="5" spans="1:26">
      <c r="A5" s="21">
        <v>45688</v>
      </c>
      <c r="B5" t="s">
        <v>42</v>
      </c>
      <c r="C5">
        <v>3029569000</v>
      </c>
      <c r="D5">
        <v>10304498000</v>
      </c>
      <c r="E5">
        <v>7274929000</v>
      </c>
      <c r="F5">
        <v>7274929000</v>
      </c>
      <c r="G5">
        <v>294206000</v>
      </c>
      <c r="H5">
        <v>2385763000</v>
      </c>
      <c r="I5">
        <v>0</v>
      </c>
      <c r="J5">
        <v>2735363000</v>
      </c>
      <c r="K5">
        <v>0</v>
      </c>
      <c r="L5">
        <v>-65908000</v>
      </c>
      <c r="M5">
        <v>0</v>
      </c>
      <c r="N5">
        <v>65908000</v>
      </c>
      <c r="O5">
        <v>0</v>
      </c>
      <c r="P5">
        <v>0</v>
      </c>
      <c r="Q5">
        <v>0</v>
      </c>
      <c r="R5">
        <v>253610000</v>
      </c>
      <c r="S5">
        <v>228298000</v>
      </c>
      <c r="T5">
        <v>37081000</v>
      </c>
      <c r="U5">
        <v>0</v>
      </c>
      <c r="V5">
        <v>191217000</v>
      </c>
      <c r="W5">
        <v>0</v>
      </c>
      <c r="X5">
        <v>294206000</v>
      </c>
      <c r="Y5">
        <v>547816000</v>
      </c>
      <c r="Z5">
        <v>191217000</v>
      </c>
    </row>
    <row r="6" spans="1:26">
      <c r="A6" s="21">
        <v>45596</v>
      </c>
      <c r="B6" t="s">
        <v>42</v>
      </c>
      <c r="C6">
        <v>2936300000</v>
      </c>
      <c r="D6">
        <v>10183428000</v>
      </c>
      <c r="E6">
        <v>7247128000</v>
      </c>
      <c r="F6">
        <v>7247128000</v>
      </c>
      <c r="G6">
        <v>323802000</v>
      </c>
      <c r="H6">
        <v>2612498000</v>
      </c>
      <c r="I6">
        <v>0</v>
      </c>
      <c r="J6">
        <v>2612498000</v>
      </c>
      <c r="K6">
        <v>0</v>
      </c>
      <c r="L6">
        <v>-67849000</v>
      </c>
      <c r="M6">
        <v>0</v>
      </c>
      <c r="N6">
        <v>67849000</v>
      </c>
      <c r="O6">
        <v>0</v>
      </c>
      <c r="P6">
        <v>0</v>
      </c>
      <c r="Q6">
        <v>0</v>
      </c>
      <c r="R6">
        <v>247014000</v>
      </c>
      <c r="S6">
        <v>255953000</v>
      </c>
      <c r="T6">
        <v>59424000</v>
      </c>
      <c r="U6">
        <v>0</v>
      </c>
      <c r="V6">
        <v>196529000</v>
      </c>
      <c r="W6">
        <v>0</v>
      </c>
      <c r="X6">
        <v>323802000</v>
      </c>
      <c r="Y6">
        <v>570816000</v>
      </c>
      <c r="Z6">
        <v>196529000</v>
      </c>
    </row>
    <row r="7" spans="1:26">
      <c r="A7" s="21">
        <v>45504</v>
      </c>
      <c r="B7" t="s">
        <v>42</v>
      </c>
      <c r="C7">
        <v>3059479000</v>
      </c>
      <c r="D7">
        <v>10210361000</v>
      </c>
      <c r="E7">
        <v>7150882000</v>
      </c>
      <c r="F7">
        <v>7150882000</v>
      </c>
      <c r="G7">
        <v>549962000</v>
      </c>
      <c r="H7">
        <v>2509517000</v>
      </c>
      <c r="I7">
        <v>0</v>
      </c>
      <c r="J7">
        <v>2509517000</v>
      </c>
      <c r="K7">
        <v>0</v>
      </c>
      <c r="L7">
        <v>-68130000</v>
      </c>
      <c r="M7">
        <v>0</v>
      </c>
      <c r="N7">
        <v>68130000</v>
      </c>
      <c r="O7">
        <v>0</v>
      </c>
      <c r="P7">
        <v>0</v>
      </c>
      <c r="Q7">
        <v>0</v>
      </c>
      <c r="R7">
        <v>238793000</v>
      </c>
      <c r="S7">
        <v>481832000</v>
      </c>
      <c r="T7">
        <v>107642000</v>
      </c>
      <c r="U7">
        <v>0</v>
      </c>
      <c r="V7">
        <v>374190000</v>
      </c>
      <c r="W7">
        <v>0</v>
      </c>
      <c r="X7">
        <v>549962000</v>
      </c>
      <c r="Y7">
        <v>788755000</v>
      </c>
      <c r="Z7">
        <v>374190000</v>
      </c>
    </row>
    <row r="8" spans="1:26">
      <c r="A8" s="21">
        <v>45412</v>
      </c>
      <c r="B8" t="s">
        <v>42</v>
      </c>
      <c r="C8">
        <v>2759863000</v>
      </c>
      <c r="D8">
        <v>9914021000</v>
      </c>
      <c r="E8">
        <v>7154158000</v>
      </c>
      <c r="F8">
        <v>7154158000</v>
      </c>
      <c r="G8">
        <v>546104000</v>
      </c>
      <c r="H8">
        <v>2446045000</v>
      </c>
      <c r="I8">
        <v>0</v>
      </c>
      <c r="J8">
        <v>2213759000</v>
      </c>
      <c r="K8">
        <v>0</v>
      </c>
      <c r="L8">
        <v>-72433000</v>
      </c>
      <c r="M8">
        <v>0</v>
      </c>
      <c r="N8">
        <v>72433000</v>
      </c>
      <c r="O8">
        <v>0</v>
      </c>
      <c r="P8">
        <v>0</v>
      </c>
      <c r="Q8">
        <v>0</v>
      </c>
      <c r="R8">
        <v>232286000</v>
      </c>
      <c r="S8">
        <v>473671000</v>
      </c>
      <c r="T8">
        <v>110354000</v>
      </c>
      <c r="U8">
        <v>0</v>
      </c>
      <c r="V8">
        <v>363317000</v>
      </c>
      <c r="W8">
        <v>0</v>
      </c>
      <c r="X8">
        <v>546104000</v>
      </c>
      <c r="Y8">
        <v>778390000</v>
      </c>
      <c r="Z8">
        <v>363317000</v>
      </c>
    </row>
    <row r="9" spans="1:26">
      <c r="A9" s="21">
        <v>45322</v>
      </c>
      <c r="B9" t="s">
        <v>42</v>
      </c>
      <c r="C9">
        <v>2683360000</v>
      </c>
      <c r="D9">
        <v>9858514000</v>
      </c>
      <c r="E9">
        <v>7175154000</v>
      </c>
      <c r="F9">
        <v>7175154000</v>
      </c>
      <c r="G9">
        <v>579654000</v>
      </c>
      <c r="H9">
        <v>1973106000</v>
      </c>
      <c r="I9">
        <v>0</v>
      </c>
      <c r="J9">
        <v>2103706000</v>
      </c>
      <c r="K9">
        <v>0</v>
      </c>
      <c r="L9">
        <v>-77117000</v>
      </c>
      <c r="M9">
        <v>0</v>
      </c>
      <c r="N9">
        <v>77117000</v>
      </c>
      <c r="O9">
        <v>0</v>
      </c>
      <c r="P9">
        <v>0</v>
      </c>
      <c r="Q9">
        <v>0</v>
      </c>
      <c r="R9">
        <v>222976000</v>
      </c>
      <c r="S9">
        <v>502537000</v>
      </c>
      <c r="T9">
        <v>100724000</v>
      </c>
      <c r="U9">
        <v>0</v>
      </c>
      <c r="V9">
        <v>401813000</v>
      </c>
      <c r="W9">
        <v>0</v>
      </c>
      <c r="X9">
        <v>579654000</v>
      </c>
      <c r="Y9">
        <v>802630000</v>
      </c>
      <c r="Z9">
        <v>401813000</v>
      </c>
    </row>
    <row r="10" spans="1:26">
      <c r="A10" s="21">
        <v>45230</v>
      </c>
      <c r="B10" t="s">
        <v>42</v>
      </c>
      <c r="C10">
        <v>2812528000</v>
      </c>
      <c r="D10">
        <v>9694082000</v>
      </c>
      <c r="E10">
        <v>6881554000</v>
      </c>
      <c r="F10">
        <v>6881554000</v>
      </c>
      <c r="G10">
        <v>433474000</v>
      </c>
      <c r="H10">
        <v>2379054000</v>
      </c>
      <c r="I10">
        <v>0</v>
      </c>
      <c r="J10">
        <v>2379054000</v>
      </c>
      <c r="K10">
        <v>0</v>
      </c>
      <c r="L10">
        <v>-82289000</v>
      </c>
      <c r="M10">
        <v>0</v>
      </c>
      <c r="N10">
        <v>82289000</v>
      </c>
      <c r="O10">
        <v>0</v>
      </c>
      <c r="P10">
        <v>0</v>
      </c>
      <c r="Q10">
        <v>0</v>
      </c>
      <c r="R10">
        <v>215530000</v>
      </c>
      <c r="S10">
        <v>351185000</v>
      </c>
      <c r="T10">
        <v>74939000</v>
      </c>
      <c r="U10">
        <v>0</v>
      </c>
      <c r="V10">
        <v>276246000</v>
      </c>
      <c r="W10">
        <v>0</v>
      </c>
      <c r="X10">
        <v>433474000</v>
      </c>
      <c r="Y10">
        <v>649004000</v>
      </c>
      <c r="Z10">
        <v>276246000</v>
      </c>
    </row>
    <row r="11" spans="1:26">
      <c r="A11" s="21">
        <v>45138</v>
      </c>
      <c r="B11" t="s">
        <v>42</v>
      </c>
      <c r="C11">
        <v>3044686000</v>
      </c>
      <c r="D11">
        <v>9796181000</v>
      </c>
      <c r="E11">
        <v>6751495000</v>
      </c>
      <c r="F11">
        <v>6751495000</v>
      </c>
      <c r="G11">
        <v>692314000</v>
      </c>
      <c r="H11">
        <v>2352372000</v>
      </c>
      <c r="I11">
        <v>0</v>
      </c>
      <c r="J11">
        <v>2352372000</v>
      </c>
      <c r="K11">
        <v>0</v>
      </c>
      <c r="L11">
        <v>-84337000</v>
      </c>
      <c r="M11">
        <v>84337000</v>
      </c>
      <c r="N11">
        <v>84337000</v>
      </c>
      <c r="O11">
        <v>0</v>
      </c>
      <c r="P11">
        <v>0</v>
      </c>
      <c r="Q11">
        <v>0</v>
      </c>
      <c r="R11">
        <v>208380000</v>
      </c>
      <c r="S11">
        <v>607977000</v>
      </c>
      <c r="T11">
        <v>139142000</v>
      </c>
      <c r="U11">
        <v>0</v>
      </c>
      <c r="V11">
        <v>468835000</v>
      </c>
      <c r="W11">
        <v>0</v>
      </c>
      <c r="X11">
        <v>692314000</v>
      </c>
      <c r="Y11">
        <v>900694000</v>
      </c>
      <c r="Z11">
        <v>468835000</v>
      </c>
    </row>
    <row r="12" spans="1:26">
      <c r="A12" s="21">
        <v>45046</v>
      </c>
      <c r="B12" t="s">
        <v>42</v>
      </c>
      <c r="C12">
        <v>2955474000</v>
      </c>
      <c r="D12">
        <v>9342832000</v>
      </c>
      <c r="E12">
        <v>6387358000</v>
      </c>
      <c r="F12">
        <v>6387358000</v>
      </c>
      <c r="G12">
        <v>740858000</v>
      </c>
      <c r="H12">
        <v>2214616000</v>
      </c>
      <c r="I12">
        <v>0</v>
      </c>
      <c r="J12">
        <v>2214616000</v>
      </c>
      <c r="K12">
        <v>0</v>
      </c>
      <c r="L12">
        <v>-83038000</v>
      </c>
      <c r="M12">
        <v>83038000</v>
      </c>
      <c r="N12">
        <v>83038000</v>
      </c>
      <c r="O12">
        <v>0</v>
      </c>
      <c r="P12">
        <v>0</v>
      </c>
      <c r="Q12">
        <v>0</v>
      </c>
      <c r="R12">
        <v>201907000</v>
      </c>
      <c r="S12">
        <v>657820000</v>
      </c>
      <c r="T12">
        <v>143440000</v>
      </c>
      <c r="U12">
        <v>0</v>
      </c>
      <c r="V12">
        <v>514380000</v>
      </c>
      <c r="W12">
        <v>0</v>
      </c>
      <c r="X12">
        <v>740858000</v>
      </c>
      <c r="Y12">
        <v>942765000</v>
      </c>
      <c r="Z12">
        <v>514380000</v>
      </c>
    </row>
    <row r="13" spans="1:26">
      <c r="A13" s="21">
        <v>44957</v>
      </c>
      <c r="B13" t="s">
        <v>42</v>
      </c>
      <c r="C13">
        <v>3148317000</v>
      </c>
      <c r="D13">
        <v>10202907000</v>
      </c>
      <c r="E13">
        <v>7054590000</v>
      </c>
      <c r="F13">
        <v>7054590000</v>
      </c>
      <c r="G13">
        <v>933174000</v>
      </c>
      <c r="H13">
        <v>2089143000</v>
      </c>
      <c r="I13">
        <v>0</v>
      </c>
      <c r="J13">
        <v>2215143000</v>
      </c>
      <c r="K13">
        <v>0</v>
      </c>
      <c r="L13">
        <v>-74818000</v>
      </c>
      <c r="M13">
        <v>74818000</v>
      </c>
      <c r="N13">
        <v>74818000</v>
      </c>
      <c r="O13">
        <v>0</v>
      </c>
      <c r="P13">
        <v>0</v>
      </c>
      <c r="Q13">
        <v>0</v>
      </c>
      <c r="R13">
        <v>192363000</v>
      </c>
      <c r="S13">
        <v>858356000</v>
      </c>
      <c r="T13">
        <v>199221000</v>
      </c>
      <c r="U13">
        <v>0</v>
      </c>
      <c r="V13">
        <v>659135000</v>
      </c>
      <c r="W13">
        <v>0</v>
      </c>
      <c r="X13">
        <v>933174000</v>
      </c>
      <c r="Y13">
        <v>1125537000</v>
      </c>
      <c r="Z13">
        <v>659135000</v>
      </c>
    </row>
    <row r="14" spans="1:26">
      <c r="A14" s="21">
        <v>44865</v>
      </c>
      <c r="B14" t="s">
        <v>42</v>
      </c>
      <c r="C14">
        <v>2885195000</v>
      </c>
      <c r="D14">
        <v>9464891000</v>
      </c>
      <c r="E14">
        <v>6579696000</v>
      </c>
      <c r="F14">
        <v>6579696000</v>
      </c>
      <c r="G14">
        <v>735545000</v>
      </c>
      <c r="H14">
        <v>2149650000</v>
      </c>
      <c r="I14">
        <v>0</v>
      </c>
      <c r="J14">
        <v>2149650000</v>
      </c>
      <c r="K14">
        <v>0</v>
      </c>
      <c r="L14">
        <v>-53681000</v>
      </c>
      <c r="M14">
        <v>53681000</v>
      </c>
      <c r="N14">
        <v>53681000</v>
      </c>
      <c r="O14">
        <v>0</v>
      </c>
      <c r="P14">
        <v>-415000</v>
      </c>
      <c r="Q14">
        <v>0</v>
      </c>
      <c r="R14">
        <v>182792000</v>
      </c>
      <c r="S14">
        <v>681449000</v>
      </c>
      <c r="T14">
        <v>155282000</v>
      </c>
      <c r="U14">
        <v>0</v>
      </c>
      <c r="V14">
        <v>526167000</v>
      </c>
      <c r="W14">
        <v>0</v>
      </c>
      <c r="X14">
        <v>735130000</v>
      </c>
      <c r="Y14">
        <v>917922000</v>
      </c>
      <c r="Z14">
        <v>526167000</v>
      </c>
    </row>
    <row r="15" spans="1:26">
      <c r="A15" s="21">
        <v>44773</v>
      </c>
      <c r="B15" t="s">
        <v>42</v>
      </c>
      <c r="C15">
        <v>3048223000</v>
      </c>
      <c r="D15">
        <v>9425713000</v>
      </c>
      <c r="E15">
        <v>6377490000</v>
      </c>
      <c r="F15">
        <v>6377490000</v>
      </c>
      <c r="G15">
        <v>913426000</v>
      </c>
      <c r="H15">
        <v>2134797000</v>
      </c>
      <c r="I15">
        <v>0</v>
      </c>
      <c r="J15">
        <v>2134797000</v>
      </c>
      <c r="K15">
        <v>0</v>
      </c>
      <c r="L15">
        <v>-43098000</v>
      </c>
      <c r="M15">
        <v>43098000</v>
      </c>
      <c r="N15">
        <v>43098000</v>
      </c>
      <c r="O15">
        <v>0</v>
      </c>
      <c r="P15">
        <v>0</v>
      </c>
      <c r="Q15">
        <v>0</v>
      </c>
      <c r="R15">
        <v>177159000</v>
      </c>
      <c r="S15">
        <v>870328000</v>
      </c>
      <c r="T15">
        <v>192298000</v>
      </c>
      <c r="U15">
        <v>0</v>
      </c>
      <c r="V15">
        <v>678030000</v>
      </c>
      <c r="W15">
        <v>0</v>
      </c>
      <c r="X15">
        <v>913426000</v>
      </c>
      <c r="Y15">
        <v>1090585000</v>
      </c>
      <c r="Z15">
        <v>678030000</v>
      </c>
    </row>
    <row r="16" spans="1:26">
      <c r="A16" s="21">
        <v>44681</v>
      </c>
      <c r="B16" t="s">
        <v>42</v>
      </c>
      <c r="C16">
        <v>2738363000</v>
      </c>
      <c r="D16">
        <v>8751352000</v>
      </c>
      <c r="E16">
        <v>6012989000</v>
      </c>
      <c r="F16">
        <v>6012989000</v>
      </c>
      <c r="G16">
        <v>746157000</v>
      </c>
      <c r="H16">
        <v>1992206000</v>
      </c>
      <c r="I16">
        <v>0</v>
      </c>
      <c r="J16">
        <v>1992206000</v>
      </c>
      <c r="K16">
        <v>0</v>
      </c>
      <c r="L16">
        <v>-39676000</v>
      </c>
      <c r="M16">
        <v>39676000</v>
      </c>
      <c r="N16">
        <v>39676000</v>
      </c>
      <c r="O16">
        <v>0</v>
      </c>
      <c r="P16">
        <v>0</v>
      </c>
      <c r="Q16">
        <v>0</v>
      </c>
      <c r="R16">
        <v>172563000</v>
      </c>
      <c r="S16">
        <v>706481000</v>
      </c>
      <c r="T16">
        <v>153824000</v>
      </c>
      <c r="U16">
        <v>0</v>
      </c>
      <c r="V16">
        <v>552657000</v>
      </c>
      <c r="W16">
        <v>0</v>
      </c>
      <c r="X16">
        <v>746157000</v>
      </c>
      <c r="Y16">
        <v>918720000</v>
      </c>
      <c r="Z16">
        <v>552657000</v>
      </c>
    </row>
    <row r="17" spans="1:26">
      <c r="A17" s="21">
        <v>44592</v>
      </c>
      <c r="B17" t="s">
        <v>42</v>
      </c>
      <c r="C17">
        <v>2700240000</v>
      </c>
      <c r="D17">
        <v>8651448000</v>
      </c>
      <c r="E17">
        <v>5951208000</v>
      </c>
      <c r="F17">
        <v>5951208000</v>
      </c>
      <c r="G17">
        <v>796669000</v>
      </c>
      <c r="H17">
        <v>1786371000</v>
      </c>
      <c r="I17">
        <v>0</v>
      </c>
      <c r="J17">
        <v>1903571000</v>
      </c>
      <c r="K17">
        <v>0</v>
      </c>
      <c r="L17">
        <v>-38506000</v>
      </c>
      <c r="M17">
        <v>38506000</v>
      </c>
      <c r="N17">
        <v>38506000</v>
      </c>
      <c r="O17">
        <v>0</v>
      </c>
      <c r="P17">
        <v>0</v>
      </c>
      <c r="Q17">
        <v>0</v>
      </c>
      <c r="R17">
        <v>166371000</v>
      </c>
      <c r="S17">
        <v>758163000</v>
      </c>
      <c r="T17">
        <v>160730000</v>
      </c>
      <c r="U17">
        <v>0</v>
      </c>
      <c r="V17">
        <v>597433000</v>
      </c>
      <c r="W17">
        <v>0</v>
      </c>
      <c r="X17">
        <v>796669000</v>
      </c>
      <c r="Y17">
        <v>963040000</v>
      </c>
      <c r="Z17">
        <v>597433000</v>
      </c>
    </row>
    <row r="18" spans="1:26">
      <c r="A18" s="21">
        <v>44500</v>
      </c>
      <c r="B18" t="s">
        <v>42</v>
      </c>
      <c r="C18">
        <v>2619439000</v>
      </c>
      <c r="D18">
        <v>8517839000</v>
      </c>
      <c r="E18">
        <v>5898400000</v>
      </c>
      <c r="F18">
        <v>5898400000</v>
      </c>
      <c r="G18">
        <v>665588000</v>
      </c>
      <c r="H18">
        <v>1953851000</v>
      </c>
      <c r="I18">
        <v>0</v>
      </c>
      <c r="J18">
        <v>1953851000</v>
      </c>
      <c r="K18">
        <v>0</v>
      </c>
      <c r="L18">
        <v>-39198000</v>
      </c>
      <c r="M18">
        <v>39198000</v>
      </c>
      <c r="N18">
        <v>39198000</v>
      </c>
      <c r="O18">
        <v>0</v>
      </c>
      <c r="P18">
        <v>0</v>
      </c>
      <c r="Q18">
        <v>0</v>
      </c>
      <c r="R18">
        <v>162263000</v>
      </c>
      <c r="S18">
        <v>626390000</v>
      </c>
      <c r="T18">
        <v>139359000</v>
      </c>
      <c r="U18">
        <v>0</v>
      </c>
      <c r="V18">
        <v>487031000</v>
      </c>
      <c r="W18">
        <v>0</v>
      </c>
      <c r="X18">
        <v>665588000</v>
      </c>
      <c r="Y18">
        <v>827851000</v>
      </c>
      <c r="Z18">
        <v>487031000</v>
      </c>
    </row>
    <row r="19" spans="1:26">
      <c r="A19" s="21">
        <v>44408</v>
      </c>
      <c r="B19" t="s">
        <v>42</v>
      </c>
      <c r="C19">
        <v>2737659000</v>
      </c>
      <c r="D19">
        <v>8650198000</v>
      </c>
      <c r="E19">
        <v>5912539000</v>
      </c>
      <c r="F19">
        <v>5912539000</v>
      </c>
      <c r="G19">
        <v>849568000</v>
      </c>
      <c r="H19">
        <v>1888091000</v>
      </c>
      <c r="I19">
        <v>0</v>
      </c>
      <c r="J19">
        <v>1888091000</v>
      </c>
      <c r="K19">
        <v>0</v>
      </c>
      <c r="L19">
        <v>-39430000</v>
      </c>
      <c r="M19">
        <v>39430000</v>
      </c>
      <c r="N19">
        <v>39430000</v>
      </c>
      <c r="O19">
        <v>0</v>
      </c>
      <c r="P19">
        <v>0</v>
      </c>
      <c r="Q19">
        <v>0</v>
      </c>
      <c r="R19">
        <v>158536000</v>
      </c>
      <c r="S19">
        <v>810138000</v>
      </c>
      <c r="T19">
        <v>173119000</v>
      </c>
      <c r="U19">
        <v>0</v>
      </c>
      <c r="V19">
        <v>637019000</v>
      </c>
      <c r="W19">
        <v>0</v>
      </c>
      <c r="X19">
        <v>849568000</v>
      </c>
      <c r="Y19">
        <v>1008104000</v>
      </c>
      <c r="Z19">
        <v>637019000</v>
      </c>
    </row>
    <row r="20" spans="1:26">
      <c r="A20" s="21">
        <v>44316</v>
      </c>
      <c r="B20" t="s">
        <v>42</v>
      </c>
      <c r="C20">
        <v>2755668000</v>
      </c>
      <c r="D20">
        <v>8400964000</v>
      </c>
      <c r="E20">
        <v>5645296000</v>
      </c>
      <c r="F20">
        <v>5645296000</v>
      </c>
      <c r="G20">
        <v>908850000</v>
      </c>
      <c r="H20">
        <v>1846818000</v>
      </c>
      <c r="I20">
        <v>0</v>
      </c>
      <c r="J20">
        <v>1846818000</v>
      </c>
      <c r="K20">
        <v>0</v>
      </c>
      <c r="L20">
        <v>-40392000</v>
      </c>
      <c r="M20">
        <v>40392000</v>
      </c>
      <c r="N20">
        <v>40392000</v>
      </c>
      <c r="O20">
        <v>0</v>
      </c>
      <c r="P20">
        <v>0</v>
      </c>
      <c r="Q20">
        <v>0</v>
      </c>
      <c r="R20">
        <v>154146000</v>
      </c>
      <c r="S20">
        <v>868458000</v>
      </c>
      <c r="T20">
        <v>190709000</v>
      </c>
      <c r="U20">
        <v>0</v>
      </c>
      <c r="V20">
        <v>677749000</v>
      </c>
      <c r="W20">
        <v>0</v>
      </c>
      <c r="X20">
        <v>908850000</v>
      </c>
      <c r="Y20">
        <v>1062996000</v>
      </c>
      <c r="Z20">
        <v>677749000</v>
      </c>
    </row>
    <row r="21" spans="1:26">
      <c r="A21" s="21">
        <v>44227</v>
      </c>
      <c r="B21" t="s">
        <v>42</v>
      </c>
      <c r="C21">
        <v>2736695000</v>
      </c>
      <c r="D21">
        <v>8414524000</v>
      </c>
      <c r="E21">
        <v>5677829000</v>
      </c>
      <c r="F21">
        <v>5677829000</v>
      </c>
      <c r="G21">
        <v>872224000</v>
      </c>
      <c r="H21">
        <v>1757071000</v>
      </c>
      <c r="I21">
        <v>0</v>
      </c>
      <c r="J21">
        <v>1864471000</v>
      </c>
      <c r="K21">
        <v>0</v>
      </c>
      <c r="L21">
        <v>-40268000</v>
      </c>
      <c r="M21">
        <v>40268000</v>
      </c>
      <c r="N21">
        <v>40268000</v>
      </c>
      <c r="O21">
        <v>0</v>
      </c>
      <c r="P21">
        <v>0</v>
      </c>
      <c r="Q21">
        <v>0</v>
      </c>
      <c r="R21">
        <v>149771000</v>
      </c>
      <c r="S21">
        <v>831956000</v>
      </c>
      <c r="T21">
        <v>189213000</v>
      </c>
      <c r="U21">
        <v>0</v>
      </c>
      <c r="V21">
        <v>642743000</v>
      </c>
      <c r="W21">
        <v>0</v>
      </c>
      <c r="X21">
        <v>872224000</v>
      </c>
      <c r="Y21">
        <v>1021995000</v>
      </c>
      <c r="Z21">
        <v>642743000</v>
      </c>
    </row>
    <row r="22" spans="1:26">
      <c r="A22" s="21">
        <v>44135</v>
      </c>
      <c r="B22" t="s">
        <v>42</v>
      </c>
      <c r="C22">
        <v>2568240000</v>
      </c>
      <c r="D22">
        <v>8199625000</v>
      </c>
      <c r="E22">
        <v>5631385000</v>
      </c>
      <c r="F22">
        <v>5631385000</v>
      </c>
      <c r="G22">
        <v>773130000</v>
      </c>
      <c r="H22">
        <v>1795110000</v>
      </c>
      <c r="I22">
        <v>0</v>
      </c>
      <c r="J22">
        <v>1795110000</v>
      </c>
      <c r="K22">
        <v>0</v>
      </c>
      <c r="L22">
        <v>-40298000</v>
      </c>
      <c r="M22">
        <v>40298000</v>
      </c>
      <c r="N22">
        <v>40298000</v>
      </c>
      <c r="O22">
        <v>0</v>
      </c>
      <c r="P22">
        <v>0</v>
      </c>
      <c r="Q22">
        <v>0</v>
      </c>
      <c r="R22">
        <v>145849000</v>
      </c>
      <c r="S22">
        <v>732832000</v>
      </c>
      <c r="T22">
        <v>158572000</v>
      </c>
      <c r="U22">
        <v>0</v>
      </c>
      <c r="V22">
        <v>574260000</v>
      </c>
      <c r="W22">
        <v>0</v>
      </c>
      <c r="X22">
        <v>773130000</v>
      </c>
      <c r="Y22">
        <v>918979000</v>
      </c>
      <c r="Z22">
        <v>574260000</v>
      </c>
    </row>
    <row r="23" spans="1:26">
      <c r="A23" s="21">
        <v>44043</v>
      </c>
      <c r="B23" t="s">
        <v>42</v>
      </c>
      <c r="C23">
        <v>2818235000</v>
      </c>
      <c r="D23">
        <v>8684241000</v>
      </c>
      <c r="E23">
        <v>5866006000</v>
      </c>
      <c r="F23">
        <v>5866006000</v>
      </c>
      <c r="G23">
        <v>1042627000</v>
      </c>
      <c r="H23">
        <v>1775608000</v>
      </c>
      <c r="I23">
        <v>0</v>
      </c>
      <c r="J23">
        <v>1775608000</v>
      </c>
      <c r="K23">
        <v>0</v>
      </c>
      <c r="L23">
        <v>-39326000</v>
      </c>
      <c r="M23">
        <v>39326000</v>
      </c>
      <c r="N23">
        <v>39326000</v>
      </c>
      <c r="O23">
        <v>0</v>
      </c>
      <c r="P23">
        <v>0</v>
      </c>
      <c r="Q23">
        <v>0</v>
      </c>
      <c r="R23">
        <v>140962000</v>
      </c>
      <c r="S23">
        <v>1003301000</v>
      </c>
      <c r="T23">
        <v>215700000</v>
      </c>
      <c r="U23">
        <v>0</v>
      </c>
      <c r="V23">
        <v>787601000</v>
      </c>
      <c r="W23">
        <v>0</v>
      </c>
      <c r="X23">
        <v>1042627000</v>
      </c>
      <c r="Y23">
        <v>1183589000</v>
      </c>
      <c r="Z23">
        <v>787601000</v>
      </c>
    </row>
    <row r="24" spans="1:26">
      <c r="A24" s="21">
        <v>43951</v>
      </c>
      <c r="B24" t="s">
        <v>42</v>
      </c>
      <c r="C24">
        <v>2595692000</v>
      </c>
      <c r="D24">
        <v>8448449000</v>
      </c>
      <c r="E24">
        <v>5852757000</v>
      </c>
      <c r="F24">
        <v>5852757000</v>
      </c>
      <c r="G24">
        <v>866784000</v>
      </c>
      <c r="H24">
        <v>1728908000</v>
      </c>
      <c r="I24">
        <v>0</v>
      </c>
      <c r="J24">
        <v>1728908000</v>
      </c>
      <c r="K24">
        <v>0</v>
      </c>
      <c r="L24">
        <v>-30493000</v>
      </c>
      <c r="M24">
        <v>30493000</v>
      </c>
      <c r="N24">
        <v>30493000</v>
      </c>
      <c r="O24">
        <v>0</v>
      </c>
      <c r="P24">
        <v>0</v>
      </c>
      <c r="Q24">
        <v>0</v>
      </c>
      <c r="R24">
        <v>137655000</v>
      </c>
      <c r="S24">
        <v>836291000</v>
      </c>
      <c r="T24">
        <v>185845000</v>
      </c>
      <c r="U24">
        <v>0</v>
      </c>
      <c r="V24">
        <v>650446000</v>
      </c>
      <c r="W24">
        <v>0</v>
      </c>
      <c r="X24">
        <v>866784000</v>
      </c>
      <c r="Y24">
        <v>1004439000</v>
      </c>
      <c r="Z24">
        <v>650446000</v>
      </c>
    </row>
    <row r="25" spans="1:26">
      <c r="A25" s="21">
        <v>43861</v>
      </c>
      <c r="B25" t="s">
        <v>42</v>
      </c>
      <c r="C25">
        <v>2272763000</v>
      </c>
      <c r="D25">
        <v>7157642000</v>
      </c>
      <c r="E25">
        <v>4884879000</v>
      </c>
      <c r="F25">
        <v>4884879000</v>
      </c>
      <c r="G25">
        <v>720875000</v>
      </c>
      <c r="H25">
        <v>1460888000</v>
      </c>
      <c r="I25">
        <v>0</v>
      </c>
      <c r="J25">
        <v>1551888000</v>
      </c>
      <c r="K25">
        <v>0</v>
      </c>
      <c r="L25">
        <v>-25567000</v>
      </c>
      <c r="M25">
        <v>25567000</v>
      </c>
      <c r="N25">
        <v>25567000</v>
      </c>
      <c r="O25">
        <v>0</v>
      </c>
      <c r="P25">
        <v>0</v>
      </c>
      <c r="Q25">
        <v>0</v>
      </c>
      <c r="R25">
        <v>132426000</v>
      </c>
      <c r="S25">
        <v>695308000</v>
      </c>
      <c r="T25">
        <v>159871000</v>
      </c>
      <c r="U25">
        <v>0</v>
      </c>
      <c r="V25">
        <v>535437000</v>
      </c>
      <c r="W25">
        <v>0</v>
      </c>
      <c r="X25">
        <v>720875000</v>
      </c>
      <c r="Y25">
        <v>853301000</v>
      </c>
      <c r="Z25">
        <v>535437000</v>
      </c>
    </row>
    <row r="26" spans="1:26">
      <c r="A26" s="21">
        <v>43769</v>
      </c>
      <c r="B26" t="s">
        <v>42</v>
      </c>
      <c r="C26">
        <v>2065086000</v>
      </c>
      <c r="D26">
        <v>6991393000</v>
      </c>
      <c r="E26">
        <v>4926307000</v>
      </c>
      <c r="F26">
        <v>4926307000</v>
      </c>
      <c r="G26">
        <v>491417000</v>
      </c>
      <c r="H26">
        <v>1573669000</v>
      </c>
      <c r="I26">
        <v>0</v>
      </c>
      <c r="J26">
        <v>1573669000</v>
      </c>
      <c r="K26">
        <v>0</v>
      </c>
      <c r="L26">
        <v>-24264000</v>
      </c>
      <c r="M26">
        <v>24264000</v>
      </c>
      <c r="N26">
        <v>24264000</v>
      </c>
      <c r="O26">
        <v>0</v>
      </c>
      <c r="P26">
        <v>0</v>
      </c>
      <c r="Q26">
        <v>0</v>
      </c>
      <c r="R26">
        <v>126470000</v>
      </c>
      <c r="S26">
        <v>467153000</v>
      </c>
      <c r="T26">
        <v>101603000</v>
      </c>
      <c r="U26">
        <v>0</v>
      </c>
      <c r="V26">
        <v>365550000</v>
      </c>
      <c r="W26">
        <v>0</v>
      </c>
      <c r="X26">
        <v>491417000</v>
      </c>
      <c r="Y26">
        <v>617887000</v>
      </c>
      <c r="Z26">
        <v>365550000</v>
      </c>
    </row>
    <row r="27" spans="1:26">
      <c r="A27" s="21">
        <v>43677</v>
      </c>
      <c r="B27" t="s">
        <v>42</v>
      </c>
      <c r="C27">
        <v>2148936000</v>
      </c>
      <c r="D27">
        <v>6981753000</v>
      </c>
      <c r="E27">
        <v>4832817000</v>
      </c>
      <c r="F27">
        <v>4832817000</v>
      </c>
      <c r="G27">
        <v>577775000</v>
      </c>
      <c r="H27">
        <v>1540161000</v>
      </c>
      <c r="I27">
        <v>0</v>
      </c>
      <c r="J27">
        <v>1571161000</v>
      </c>
      <c r="K27">
        <v>0</v>
      </c>
      <c r="L27">
        <v>-24810000</v>
      </c>
      <c r="M27">
        <v>24810000</v>
      </c>
      <c r="N27">
        <v>24810000</v>
      </c>
      <c r="O27">
        <v>0</v>
      </c>
      <c r="P27">
        <v>0</v>
      </c>
      <c r="Q27">
        <v>0</v>
      </c>
      <c r="R27">
        <v>123423000</v>
      </c>
      <c r="S27">
        <v>552965000</v>
      </c>
      <c r="T27">
        <v>126410000</v>
      </c>
      <c r="U27">
        <v>0</v>
      </c>
      <c r="V27">
        <v>426555000</v>
      </c>
      <c r="W27">
        <v>0</v>
      </c>
      <c r="X27">
        <v>577775000</v>
      </c>
      <c r="Y27">
        <v>701198000</v>
      </c>
      <c r="Z27">
        <v>426555000</v>
      </c>
    </row>
    <row r="28" spans="1:26">
      <c r="A28" s="21">
        <v>43585</v>
      </c>
      <c r="B28" t="s">
        <v>42</v>
      </c>
      <c r="C28">
        <v>2002276000</v>
      </c>
      <c r="D28">
        <v>6623185000</v>
      </c>
      <c r="E28">
        <v>4620909000</v>
      </c>
      <c r="F28">
        <v>4620909000</v>
      </c>
      <c r="G28">
        <v>512237000</v>
      </c>
      <c r="H28">
        <v>1490039000</v>
      </c>
      <c r="I28">
        <v>0</v>
      </c>
      <c r="J28">
        <v>1490039000</v>
      </c>
      <c r="K28">
        <v>0</v>
      </c>
      <c r="L28">
        <v>-25933000</v>
      </c>
      <c r="M28">
        <v>0</v>
      </c>
      <c r="N28">
        <v>25933000</v>
      </c>
      <c r="O28">
        <v>0</v>
      </c>
      <c r="P28">
        <v>0</v>
      </c>
      <c r="Q28">
        <v>0</v>
      </c>
      <c r="R28">
        <v>122485000</v>
      </c>
      <c r="S28">
        <v>486304000</v>
      </c>
      <c r="T28">
        <v>101291000</v>
      </c>
      <c r="U28">
        <v>0</v>
      </c>
      <c r="V28">
        <v>385013000</v>
      </c>
      <c r="W28">
        <v>0</v>
      </c>
      <c r="X28">
        <v>512237000</v>
      </c>
      <c r="Y28">
        <v>634722000</v>
      </c>
      <c r="Z28">
        <v>385013000</v>
      </c>
    </row>
    <row r="29" spans="1:26">
      <c r="A29" s="21">
        <v>43496</v>
      </c>
      <c r="B29" t="s">
        <v>42</v>
      </c>
      <c r="C29">
        <v>2071689000</v>
      </c>
      <c r="D29">
        <v>6649809000</v>
      </c>
      <c r="E29">
        <v>4578120000</v>
      </c>
      <c r="F29">
        <v>4578120000</v>
      </c>
      <c r="G29">
        <v>638503000</v>
      </c>
      <c r="H29">
        <v>1362686000</v>
      </c>
      <c r="I29">
        <v>0</v>
      </c>
      <c r="J29">
        <v>1433186000</v>
      </c>
      <c r="K29">
        <v>0</v>
      </c>
      <c r="L29">
        <v>0</v>
      </c>
      <c r="M29">
        <v>0</v>
      </c>
      <c r="N29">
        <v>25061000</v>
      </c>
      <c r="O29">
        <v>0</v>
      </c>
      <c r="P29">
        <v>0</v>
      </c>
      <c r="Q29">
        <v>0</v>
      </c>
      <c r="R29">
        <v>117771000</v>
      </c>
      <c r="S29">
        <v>613442000</v>
      </c>
      <c r="T29">
        <v>130201000</v>
      </c>
      <c r="U29">
        <v>0</v>
      </c>
      <c r="V29">
        <v>483241000</v>
      </c>
      <c r="W29">
        <v>0</v>
      </c>
      <c r="X29">
        <v>638503000</v>
      </c>
      <c r="Y29">
        <v>756274000</v>
      </c>
      <c r="Z29">
        <v>483241000</v>
      </c>
    </row>
    <row r="30" spans="1:26">
      <c r="A30" s="21">
        <v>43404</v>
      </c>
      <c r="B30" t="s">
        <v>42</v>
      </c>
      <c r="C30">
        <v>1895059000</v>
      </c>
      <c r="D30">
        <v>6417462000</v>
      </c>
      <c r="E30">
        <v>4522403000</v>
      </c>
      <c r="F30">
        <v>4522403000</v>
      </c>
      <c r="G30">
        <v>442143000</v>
      </c>
      <c r="H30">
        <v>1452916000</v>
      </c>
      <c r="I30">
        <v>0</v>
      </c>
      <c r="J30">
        <v>1452916000</v>
      </c>
      <c r="K30">
        <v>0</v>
      </c>
      <c r="L30">
        <v>0</v>
      </c>
      <c r="M30">
        <v>0</v>
      </c>
      <c r="N30">
        <v>24586000</v>
      </c>
      <c r="O30">
        <v>0</v>
      </c>
      <c r="P30">
        <v>0</v>
      </c>
      <c r="Q30">
        <v>0</v>
      </c>
      <c r="R30">
        <v>114852000</v>
      </c>
      <c r="S30">
        <v>417557000</v>
      </c>
      <c r="T30">
        <v>83415000</v>
      </c>
      <c r="U30">
        <v>0</v>
      </c>
      <c r="V30">
        <v>334142000</v>
      </c>
      <c r="W30">
        <v>0</v>
      </c>
      <c r="X30">
        <v>442143000</v>
      </c>
      <c r="Y30">
        <v>556995000</v>
      </c>
      <c r="Z30">
        <v>334142000</v>
      </c>
    </row>
    <row r="31" spans="1:26">
      <c r="A31" s="21">
        <v>43312</v>
      </c>
      <c r="B31" t="s">
        <v>42</v>
      </c>
      <c r="C31">
        <v>1974873000</v>
      </c>
      <c r="D31">
        <v>6443309000</v>
      </c>
      <c r="E31">
        <v>4468436000</v>
      </c>
      <c r="F31">
        <v>4468436000</v>
      </c>
      <c r="G31">
        <v>545476000</v>
      </c>
      <c r="H31">
        <v>1429400000</v>
      </c>
      <c r="I31">
        <v>0</v>
      </c>
      <c r="J31">
        <v>1429397000</v>
      </c>
      <c r="K31">
        <v>0</v>
      </c>
      <c r="L31">
        <v>0</v>
      </c>
      <c r="M31">
        <v>0</v>
      </c>
      <c r="N31">
        <v>25451000</v>
      </c>
      <c r="O31">
        <v>0</v>
      </c>
      <c r="P31">
        <v>-1019000</v>
      </c>
      <c r="Q31">
        <v>0</v>
      </c>
      <c r="R31">
        <v>112176000</v>
      </c>
      <c r="S31">
        <v>519006000</v>
      </c>
      <c r="T31">
        <v>111769000</v>
      </c>
      <c r="U31">
        <v>0</v>
      </c>
      <c r="V31">
        <v>407237000</v>
      </c>
      <c r="W31">
        <v>0</v>
      </c>
      <c r="X31">
        <v>544457000</v>
      </c>
      <c r="Y31">
        <v>656633000</v>
      </c>
      <c r="Z31">
        <v>407237000</v>
      </c>
    </row>
    <row r="32" spans="1:26">
      <c r="A32" s="21">
        <v>43220</v>
      </c>
      <c r="B32" t="s">
        <v>42</v>
      </c>
      <c r="C32">
        <v>1862249000</v>
      </c>
      <c r="D32">
        <v>6114463000</v>
      </c>
      <c r="E32">
        <v>4252214000</v>
      </c>
      <c r="F32">
        <v>4252214000</v>
      </c>
      <c r="G32">
        <v>490184000</v>
      </c>
      <c r="H32">
        <v>1372100000</v>
      </c>
      <c r="I32">
        <v>0</v>
      </c>
      <c r="J32">
        <v>1372065000</v>
      </c>
      <c r="K32">
        <v>0</v>
      </c>
      <c r="L32">
        <v>0</v>
      </c>
      <c r="M32">
        <v>0</v>
      </c>
      <c r="N32">
        <v>24773000</v>
      </c>
      <c r="O32">
        <v>0</v>
      </c>
      <c r="P32">
        <v>0</v>
      </c>
      <c r="Q32">
        <v>0</v>
      </c>
      <c r="R32">
        <v>109335000</v>
      </c>
      <c r="S32">
        <v>465411000</v>
      </c>
      <c r="T32">
        <v>100559000</v>
      </c>
      <c r="U32">
        <v>0</v>
      </c>
      <c r="V32">
        <v>364852000</v>
      </c>
      <c r="W32">
        <v>0</v>
      </c>
      <c r="X32">
        <v>490184000</v>
      </c>
      <c r="Y32">
        <v>599519000</v>
      </c>
      <c r="Z32">
        <v>364852000</v>
      </c>
    </row>
    <row r="33" spans="1:26">
      <c r="A33" s="21">
        <v>43131</v>
      </c>
      <c r="B33" t="s">
        <v>42</v>
      </c>
      <c r="C33">
        <v>1965398000</v>
      </c>
      <c r="D33">
        <v>6129431000</v>
      </c>
      <c r="E33">
        <v>4164033000</v>
      </c>
      <c r="F33">
        <v>4164033000</v>
      </c>
      <c r="G33">
        <v>623446000</v>
      </c>
      <c r="H33">
        <v>1273152000</v>
      </c>
      <c r="I33">
        <v>0</v>
      </c>
      <c r="J33">
        <v>1341952000</v>
      </c>
      <c r="K33">
        <v>0</v>
      </c>
      <c r="L33">
        <v>0</v>
      </c>
      <c r="M33">
        <v>0</v>
      </c>
      <c r="N33">
        <v>24289000</v>
      </c>
      <c r="O33">
        <v>0</v>
      </c>
      <c r="P33">
        <v>0</v>
      </c>
      <c r="Q33">
        <v>0</v>
      </c>
      <c r="R33">
        <v>105660000</v>
      </c>
      <c r="S33">
        <v>599157000</v>
      </c>
      <c r="T33">
        <v>-112998000</v>
      </c>
      <c r="U33">
        <v>0</v>
      </c>
      <c r="V33">
        <v>712155000</v>
      </c>
      <c r="W33">
        <v>0</v>
      </c>
      <c r="X33">
        <v>623446000</v>
      </c>
      <c r="Y33">
        <v>729106000</v>
      </c>
      <c r="Z33">
        <v>712155000</v>
      </c>
    </row>
    <row r="34" spans="1:26">
      <c r="A34" s="21">
        <v>43039</v>
      </c>
      <c r="B34" t="s">
        <v>42</v>
      </c>
      <c r="C34">
        <v>1766456000</v>
      </c>
      <c r="D34">
        <v>5903606000</v>
      </c>
      <c r="E34">
        <v>4137150000</v>
      </c>
      <c r="F34">
        <v>4137150000</v>
      </c>
      <c r="G34">
        <v>417431000</v>
      </c>
      <c r="H34">
        <v>1349000000</v>
      </c>
      <c r="I34">
        <v>0</v>
      </c>
      <c r="J34">
        <v>1349025000</v>
      </c>
      <c r="K34">
        <v>0</v>
      </c>
      <c r="L34">
        <v>0</v>
      </c>
      <c r="M34">
        <v>0</v>
      </c>
      <c r="N34">
        <v>23995000</v>
      </c>
      <c r="O34">
        <v>0</v>
      </c>
      <c r="P34">
        <v>0</v>
      </c>
      <c r="Q34">
        <v>0</v>
      </c>
      <c r="R34">
        <v>100955000</v>
      </c>
      <c r="S34">
        <v>393436000</v>
      </c>
      <c r="T34">
        <v>140903000</v>
      </c>
      <c r="U34">
        <v>0</v>
      </c>
      <c r="V34">
        <v>252533000</v>
      </c>
      <c r="W34">
        <v>0</v>
      </c>
      <c r="X34">
        <v>417431000</v>
      </c>
      <c r="Y34">
        <v>518386000</v>
      </c>
      <c r="Z34">
        <v>252533000</v>
      </c>
    </row>
    <row r="35" spans="1:26">
      <c r="A35" s="21">
        <v>42947</v>
      </c>
      <c r="B35" t="s">
        <v>42</v>
      </c>
      <c r="C35">
        <v>1790522000</v>
      </c>
      <c r="D35">
        <v>5828305000</v>
      </c>
      <c r="E35">
        <v>4037783000</v>
      </c>
      <c r="F35">
        <v>4037783000</v>
      </c>
      <c r="G35">
        <v>493146000</v>
      </c>
      <c r="H35">
        <v>1297400000</v>
      </c>
      <c r="I35">
        <v>0</v>
      </c>
      <c r="J35">
        <v>1297376000</v>
      </c>
      <c r="K35">
        <v>0</v>
      </c>
      <c r="L35">
        <v>0</v>
      </c>
      <c r="M35">
        <v>0</v>
      </c>
      <c r="N35">
        <v>23748000</v>
      </c>
      <c r="O35">
        <v>0</v>
      </c>
      <c r="P35">
        <v>0</v>
      </c>
      <c r="Q35">
        <v>0</v>
      </c>
      <c r="R35">
        <v>99030000</v>
      </c>
      <c r="S35">
        <v>469398000</v>
      </c>
      <c r="T35">
        <v>174615000</v>
      </c>
      <c r="U35">
        <v>0</v>
      </c>
      <c r="V35">
        <v>294783000</v>
      </c>
      <c r="W35">
        <v>0</v>
      </c>
      <c r="X35">
        <v>493146000</v>
      </c>
      <c r="Y35">
        <v>592176000</v>
      </c>
      <c r="Z35">
        <v>294783000</v>
      </c>
    </row>
    <row r="36" spans="1:26">
      <c r="A36" s="21">
        <v>42855</v>
      </c>
      <c r="B36" t="s">
        <v>42</v>
      </c>
      <c r="C36">
        <v>1698983000</v>
      </c>
      <c r="D36">
        <v>5609625000</v>
      </c>
      <c r="E36">
        <v>3910642000</v>
      </c>
      <c r="F36">
        <v>3910642000</v>
      </c>
      <c r="G36">
        <v>473795000</v>
      </c>
      <c r="H36">
        <v>1225200000</v>
      </c>
      <c r="I36">
        <v>0</v>
      </c>
      <c r="J36">
        <v>1225188000</v>
      </c>
      <c r="K36">
        <v>0</v>
      </c>
      <c r="L36">
        <v>0</v>
      </c>
      <c r="M36">
        <v>0</v>
      </c>
      <c r="N36">
        <v>25004000</v>
      </c>
      <c r="O36">
        <v>0</v>
      </c>
      <c r="P36">
        <v>-3502000</v>
      </c>
      <c r="Q36">
        <v>0</v>
      </c>
      <c r="R36">
        <v>98586000</v>
      </c>
      <c r="S36">
        <v>445289000</v>
      </c>
      <c r="T36">
        <v>165800000</v>
      </c>
      <c r="U36">
        <v>0</v>
      </c>
      <c r="V36">
        <v>279489000</v>
      </c>
      <c r="W36">
        <v>0</v>
      </c>
      <c r="X36">
        <v>470293000</v>
      </c>
      <c r="Y36">
        <v>568879000</v>
      </c>
      <c r="Z36">
        <v>279489000</v>
      </c>
    </row>
    <row r="37" spans="1:26">
      <c r="A37" s="21">
        <v>42766</v>
      </c>
      <c r="B37" t="s">
        <v>42</v>
      </c>
      <c r="C37">
        <v>1900747000</v>
      </c>
      <c r="D37">
        <v>6009246000</v>
      </c>
      <c r="E37">
        <v>4108499000</v>
      </c>
      <c r="F37">
        <v>4108499000</v>
      </c>
      <c r="G37">
        <v>680618000</v>
      </c>
      <c r="H37">
        <v>1137429000</v>
      </c>
      <c r="I37">
        <v>0</v>
      </c>
      <c r="J37">
        <v>1220129000</v>
      </c>
      <c r="K37">
        <v>0</v>
      </c>
      <c r="L37">
        <v>0</v>
      </c>
      <c r="M37">
        <v>0</v>
      </c>
      <c r="N37">
        <v>25511000</v>
      </c>
      <c r="O37">
        <v>0</v>
      </c>
      <c r="P37">
        <v>0</v>
      </c>
      <c r="Q37">
        <v>0</v>
      </c>
      <c r="R37">
        <v>97545000</v>
      </c>
      <c r="S37">
        <v>655107000</v>
      </c>
      <c r="T37">
        <v>240931000</v>
      </c>
      <c r="U37">
        <v>0</v>
      </c>
      <c r="V37">
        <v>414176000</v>
      </c>
      <c r="W37">
        <v>0</v>
      </c>
      <c r="X37">
        <v>680618000</v>
      </c>
      <c r="Y37">
        <v>778163000</v>
      </c>
      <c r="Z37">
        <v>414176000</v>
      </c>
    </row>
    <row r="38" spans="1:26">
      <c r="A38" s="21">
        <v>42674</v>
      </c>
      <c r="B38" t="s">
        <v>42</v>
      </c>
      <c r="C38">
        <v>1587510000</v>
      </c>
      <c r="D38">
        <v>5320029000</v>
      </c>
      <c r="E38">
        <v>3732519000</v>
      </c>
      <c r="F38">
        <v>3732519000</v>
      </c>
      <c r="G38">
        <v>392991000</v>
      </c>
      <c r="H38">
        <v>1194500000</v>
      </c>
      <c r="I38">
        <v>0</v>
      </c>
      <c r="J38">
        <v>1194519000</v>
      </c>
      <c r="K38">
        <v>0</v>
      </c>
      <c r="L38">
        <v>0</v>
      </c>
      <c r="M38">
        <v>0</v>
      </c>
      <c r="N38">
        <v>23877000</v>
      </c>
      <c r="O38">
        <v>0</v>
      </c>
      <c r="P38">
        <v>0</v>
      </c>
      <c r="Q38">
        <v>0</v>
      </c>
      <c r="R38">
        <v>95444000</v>
      </c>
      <c r="S38">
        <v>369114000</v>
      </c>
      <c r="T38">
        <v>133799000</v>
      </c>
      <c r="U38">
        <v>0</v>
      </c>
      <c r="V38">
        <v>235315000</v>
      </c>
      <c r="W38">
        <v>0</v>
      </c>
      <c r="X38">
        <v>392991000</v>
      </c>
      <c r="Y38">
        <v>488435000</v>
      </c>
      <c r="Z38">
        <v>235315000</v>
      </c>
    </row>
    <row r="39" spans="1:26">
      <c r="A39" s="21">
        <v>42582</v>
      </c>
      <c r="B39" t="s">
        <v>42</v>
      </c>
      <c r="C39">
        <v>1681767000</v>
      </c>
      <c r="D39">
        <v>5391891000</v>
      </c>
      <c r="E39">
        <v>3710124000</v>
      </c>
      <c r="F39">
        <v>3710124000</v>
      </c>
      <c r="G39">
        <v>509097000</v>
      </c>
      <c r="H39">
        <v>1172700000</v>
      </c>
      <c r="I39">
        <v>0</v>
      </c>
      <c r="J39">
        <v>1172670000</v>
      </c>
      <c r="K39">
        <v>0</v>
      </c>
      <c r="L39">
        <v>0</v>
      </c>
      <c r="M39">
        <v>0</v>
      </c>
      <c r="N39">
        <v>24352000</v>
      </c>
      <c r="O39">
        <v>0</v>
      </c>
      <c r="P39">
        <v>0</v>
      </c>
      <c r="Q39">
        <v>0</v>
      </c>
      <c r="R39">
        <v>94618000</v>
      </c>
      <c r="S39">
        <v>484745000</v>
      </c>
      <c r="T39">
        <v>178227000</v>
      </c>
      <c r="U39">
        <v>0</v>
      </c>
      <c r="V39">
        <v>306518000</v>
      </c>
      <c r="W39">
        <v>0</v>
      </c>
      <c r="X39">
        <v>509097000</v>
      </c>
      <c r="Y39">
        <v>603715000</v>
      </c>
      <c r="Z39">
        <v>306518000</v>
      </c>
    </row>
    <row r="40" spans="1:26">
      <c r="A40" s="21">
        <v>42490</v>
      </c>
      <c r="B40" t="s">
        <v>42</v>
      </c>
      <c r="C40">
        <v>1612614000</v>
      </c>
      <c r="D40">
        <v>5265432000</v>
      </c>
      <c r="E40">
        <v>3652818000</v>
      </c>
      <c r="F40">
        <v>3652818000</v>
      </c>
      <c r="G40">
        <v>480743000</v>
      </c>
      <c r="H40">
        <v>1131900000</v>
      </c>
      <c r="I40">
        <v>0</v>
      </c>
      <c r="J40">
        <v>1131871000</v>
      </c>
      <c r="K40">
        <v>0</v>
      </c>
      <c r="L40">
        <v>0</v>
      </c>
      <c r="M40">
        <v>0</v>
      </c>
      <c r="N40">
        <v>24081000</v>
      </c>
      <c r="O40">
        <v>0</v>
      </c>
      <c r="P40">
        <v>0</v>
      </c>
      <c r="Q40">
        <v>0</v>
      </c>
      <c r="R40">
        <v>92324000</v>
      </c>
      <c r="S40">
        <v>456662000</v>
      </c>
      <c r="T40">
        <v>161538000</v>
      </c>
      <c r="U40">
        <v>0</v>
      </c>
      <c r="V40">
        <v>295124000</v>
      </c>
      <c r="W40">
        <v>0</v>
      </c>
      <c r="X40">
        <v>480743000</v>
      </c>
      <c r="Y40">
        <v>573067000</v>
      </c>
      <c r="Z40">
        <v>295124000</v>
      </c>
    </row>
    <row r="41" spans="1:26">
      <c r="A41" s="21">
        <v>42400</v>
      </c>
      <c r="B41" t="s">
        <v>42</v>
      </c>
      <c r="C41">
        <v>1682269000</v>
      </c>
      <c r="D41">
        <v>5286938000</v>
      </c>
      <c r="E41">
        <v>3604669000</v>
      </c>
      <c r="F41">
        <v>3604669000</v>
      </c>
      <c r="G41">
        <v>612429000</v>
      </c>
      <c r="H41">
        <v>980540000</v>
      </c>
      <c r="I41">
        <v>0</v>
      </c>
      <c r="J41">
        <v>1069840000</v>
      </c>
      <c r="K41">
        <v>0</v>
      </c>
      <c r="L41">
        <v>0</v>
      </c>
      <c r="M41">
        <v>0</v>
      </c>
      <c r="N41">
        <v>23275000</v>
      </c>
      <c r="O41">
        <v>0</v>
      </c>
      <c r="P41">
        <v>0</v>
      </c>
      <c r="Q41">
        <v>0</v>
      </c>
      <c r="R41">
        <v>89144000</v>
      </c>
      <c r="S41">
        <v>589154000</v>
      </c>
      <c r="T41">
        <v>212979000</v>
      </c>
      <c r="U41">
        <v>0</v>
      </c>
      <c r="V41">
        <v>376175000</v>
      </c>
      <c r="W41">
        <v>0</v>
      </c>
      <c r="X41">
        <v>612429000</v>
      </c>
      <c r="Y41">
        <v>701573000</v>
      </c>
      <c r="Z41">
        <v>376175000</v>
      </c>
    </row>
    <row r="42" spans="1:26">
      <c r="A42" s="21">
        <v>42308</v>
      </c>
      <c r="B42" t="s">
        <v>42</v>
      </c>
      <c r="C42">
        <v>1536962000</v>
      </c>
      <c r="D42">
        <v>5067048000</v>
      </c>
      <c r="E42">
        <v>3530086000</v>
      </c>
      <c r="F42">
        <v>3530086000</v>
      </c>
      <c r="G42">
        <v>423859000</v>
      </c>
      <c r="H42">
        <v>1107000000</v>
      </c>
      <c r="I42">
        <v>0</v>
      </c>
      <c r="J42">
        <v>1113103000</v>
      </c>
      <c r="K42">
        <v>0</v>
      </c>
      <c r="L42">
        <v>0</v>
      </c>
      <c r="M42">
        <v>0</v>
      </c>
      <c r="N42">
        <v>21394000</v>
      </c>
      <c r="O42">
        <v>0</v>
      </c>
      <c r="P42">
        <v>-326000</v>
      </c>
      <c r="Q42">
        <v>0</v>
      </c>
      <c r="R42">
        <v>88553000</v>
      </c>
      <c r="S42">
        <v>402139000</v>
      </c>
      <c r="T42">
        <v>148818000</v>
      </c>
      <c r="U42">
        <v>0</v>
      </c>
      <c r="V42">
        <v>253321000</v>
      </c>
      <c r="W42">
        <v>0</v>
      </c>
      <c r="X42">
        <v>423533000</v>
      </c>
      <c r="Y42">
        <v>512086000</v>
      </c>
      <c r="Z42">
        <v>253321000</v>
      </c>
    </row>
    <row r="43" spans="1:26">
      <c r="A43" s="21">
        <v>42216</v>
      </c>
      <c r="B43" t="s">
        <v>42</v>
      </c>
      <c r="C43">
        <v>1588155000</v>
      </c>
      <c r="D43">
        <v>5095904000</v>
      </c>
      <c r="E43">
        <v>3507749000</v>
      </c>
      <c r="F43">
        <v>3507749000</v>
      </c>
      <c r="G43">
        <v>475812000</v>
      </c>
      <c r="H43">
        <v>1112343000</v>
      </c>
      <c r="I43">
        <v>0</v>
      </c>
      <c r="J43">
        <v>1112343000</v>
      </c>
      <c r="K43">
        <v>0</v>
      </c>
      <c r="L43">
        <v>0</v>
      </c>
      <c r="M43">
        <v>0</v>
      </c>
      <c r="N43">
        <v>20699000</v>
      </c>
      <c r="O43">
        <v>0</v>
      </c>
      <c r="P43">
        <v>0</v>
      </c>
      <c r="Q43">
        <v>0</v>
      </c>
      <c r="R43">
        <v>87582000</v>
      </c>
      <c r="S43">
        <v>455113000</v>
      </c>
      <c r="T43">
        <v>172764000</v>
      </c>
      <c r="U43">
        <v>0</v>
      </c>
      <c r="V43">
        <v>282349000</v>
      </c>
      <c r="W43">
        <v>0</v>
      </c>
      <c r="X43">
        <v>475812000</v>
      </c>
      <c r="Y43">
        <v>563394000</v>
      </c>
      <c r="Z43">
        <v>282349000</v>
      </c>
    </row>
    <row r="44" spans="1:26">
      <c r="A44" s="21">
        <v>42124</v>
      </c>
      <c r="B44" t="s">
        <v>42</v>
      </c>
      <c r="C44">
        <v>1498705000</v>
      </c>
      <c r="D44">
        <v>4918672000</v>
      </c>
      <c r="E44">
        <v>3419967000</v>
      </c>
      <c r="F44">
        <v>3419967000</v>
      </c>
      <c r="G44">
        <v>428194000</v>
      </c>
      <c r="H44">
        <v>1070500000</v>
      </c>
      <c r="I44">
        <v>0</v>
      </c>
      <c r="J44">
        <v>1070511000</v>
      </c>
      <c r="K44">
        <v>0</v>
      </c>
      <c r="L44">
        <v>0</v>
      </c>
      <c r="M44">
        <v>0</v>
      </c>
      <c r="N44">
        <v>21576000</v>
      </c>
      <c r="O44">
        <v>0</v>
      </c>
      <c r="P44">
        <v>0</v>
      </c>
      <c r="Q44">
        <v>0</v>
      </c>
      <c r="R44">
        <v>87152000</v>
      </c>
      <c r="S44">
        <v>406618000</v>
      </c>
      <c r="T44">
        <v>153383000</v>
      </c>
      <c r="U44">
        <v>0</v>
      </c>
      <c r="V44">
        <v>253235000</v>
      </c>
      <c r="W44">
        <v>0</v>
      </c>
      <c r="X44">
        <v>428194000</v>
      </c>
      <c r="Y44">
        <v>515346000</v>
      </c>
      <c r="Z44">
        <v>253235000</v>
      </c>
    </row>
    <row r="45" spans="1:26">
      <c r="A45" s="21">
        <v>42035</v>
      </c>
      <c r="B45" t="s">
        <v>42</v>
      </c>
      <c r="C45">
        <v>1565439000</v>
      </c>
      <c r="D45">
        <v>4939059000</v>
      </c>
      <c r="E45">
        <v>3373620000</v>
      </c>
      <c r="F45">
        <v>3373620000</v>
      </c>
      <c r="G45">
        <v>566716000</v>
      </c>
      <c r="H45">
        <v>921423000</v>
      </c>
      <c r="I45">
        <v>0</v>
      </c>
      <c r="J45">
        <v>998723000</v>
      </c>
      <c r="K45">
        <v>0</v>
      </c>
      <c r="L45">
        <v>0</v>
      </c>
      <c r="M45">
        <v>0</v>
      </c>
      <c r="N45">
        <v>21532000</v>
      </c>
      <c r="O45">
        <v>0</v>
      </c>
      <c r="P45">
        <v>0</v>
      </c>
      <c r="Q45">
        <v>0</v>
      </c>
      <c r="R45">
        <v>86594000</v>
      </c>
      <c r="S45">
        <v>545184000</v>
      </c>
      <c r="T45">
        <v>189813000</v>
      </c>
      <c r="U45">
        <v>0</v>
      </c>
      <c r="V45">
        <v>355371000</v>
      </c>
      <c r="W45">
        <v>0</v>
      </c>
      <c r="X45">
        <v>566716000</v>
      </c>
      <c r="Y45">
        <v>653310000</v>
      </c>
      <c r="Z45">
        <v>355371000</v>
      </c>
    </row>
    <row r="46" spans="1:26">
      <c r="A46" s="21">
        <v>41943</v>
      </c>
      <c r="B46" t="s">
        <v>42</v>
      </c>
      <c r="C46">
        <v>1423748000</v>
      </c>
      <c r="D46">
        <v>4724409000</v>
      </c>
      <c r="E46">
        <v>3300661000</v>
      </c>
      <c r="F46">
        <v>3300661000</v>
      </c>
      <c r="G46">
        <v>394143000</v>
      </c>
      <c r="H46">
        <v>1029605000</v>
      </c>
      <c r="I46">
        <v>0</v>
      </c>
      <c r="J46">
        <v>1029605000</v>
      </c>
      <c r="K46">
        <v>0</v>
      </c>
      <c r="L46">
        <v>0</v>
      </c>
      <c r="M46">
        <v>0</v>
      </c>
      <c r="N46">
        <v>21835000</v>
      </c>
      <c r="O46">
        <v>0</v>
      </c>
      <c r="P46">
        <v>0</v>
      </c>
      <c r="Q46">
        <v>0</v>
      </c>
      <c r="R46">
        <v>86261000</v>
      </c>
      <c r="S46">
        <v>372308000</v>
      </c>
      <c r="T46">
        <v>135992000</v>
      </c>
      <c r="U46">
        <v>0</v>
      </c>
      <c r="V46">
        <v>236316000</v>
      </c>
      <c r="W46">
        <v>0</v>
      </c>
      <c r="X46">
        <v>394143000</v>
      </c>
      <c r="Y46">
        <v>480404000</v>
      </c>
      <c r="Z46">
        <v>236316000</v>
      </c>
    </row>
    <row r="47" spans="1:26">
      <c r="A47" s="21">
        <v>41851</v>
      </c>
      <c r="B47" t="s">
        <v>42</v>
      </c>
      <c r="C47">
        <v>1455574000</v>
      </c>
      <c r="D47">
        <v>4724039000</v>
      </c>
      <c r="E47">
        <v>3268465000</v>
      </c>
      <c r="F47">
        <v>3268465000</v>
      </c>
      <c r="G47">
        <v>428526000</v>
      </c>
      <c r="H47">
        <v>1027000000</v>
      </c>
      <c r="I47">
        <v>0</v>
      </c>
      <c r="J47">
        <v>1027048000</v>
      </c>
      <c r="K47">
        <v>0</v>
      </c>
      <c r="L47">
        <v>0</v>
      </c>
      <c r="M47">
        <v>0</v>
      </c>
      <c r="N47">
        <v>22598000</v>
      </c>
      <c r="O47">
        <v>0</v>
      </c>
      <c r="P47">
        <v>0</v>
      </c>
      <c r="Q47">
        <v>0</v>
      </c>
      <c r="R47">
        <v>85340000</v>
      </c>
      <c r="S47">
        <v>405928000</v>
      </c>
      <c r="T47">
        <v>154668000</v>
      </c>
      <c r="U47">
        <v>0</v>
      </c>
      <c r="V47">
        <v>251260000</v>
      </c>
      <c r="W47">
        <v>0</v>
      </c>
      <c r="X47">
        <v>428526000</v>
      </c>
      <c r="Y47">
        <v>513866000</v>
      </c>
      <c r="Z47">
        <v>251260000</v>
      </c>
    </row>
    <row r="48" spans="1:26">
      <c r="A48" s="21">
        <v>41759</v>
      </c>
      <c r="B48" t="s">
        <v>42</v>
      </c>
      <c r="C48">
        <v>1357746000</v>
      </c>
      <c r="D48">
        <v>4522081000</v>
      </c>
      <c r="E48">
        <v>3164335000</v>
      </c>
      <c r="F48">
        <v>3164335000</v>
      </c>
      <c r="G48">
        <v>379708000</v>
      </c>
      <c r="H48">
        <v>978000000</v>
      </c>
      <c r="I48">
        <v>0</v>
      </c>
      <c r="J48">
        <v>978038000</v>
      </c>
      <c r="K48">
        <v>0</v>
      </c>
      <c r="L48">
        <v>0</v>
      </c>
      <c r="M48">
        <v>0</v>
      </c>
      <c r="N48">
        <v>22267000</v>
      </c>
      <c r="O48">
        <v>0</v>
      </c>
      <c r="P48">
        <v>0</v>
      </c>
      <c r="Q48">
        <v>0</v>
      </c>
      <c r="R48">
        <v>84158000</v>
      </c>
      <c r="S48">
        <v>357441000</v>
      </c>
      <c r="T48">
        <v>135043000</v>
      </c>
      <c r="U48">
        <v>0</v>
      </c>
      <c r="V48">
        <v>222398000</v>
      </c>
      <c r="W48">
        <v>0</v>
      </c>
      <c r="X48">
        <v>379708000</v>
      </c>
      <c r="Y48">
        <v>463866000</v>
      </c>
      <c r="Z48">
        <v>222398000</v>
      </c>
    </row>
    <row r="49" spans="1:26">
      <c r="A49" s="21">
        <v>41670</v>
      </c>
      <c r="B49" t="s">
        <v>42</v>
      </c>
      <c r="C49">
        <v>1434811000</v>
      </c>
      <c r="D49">
        <v>4493945000</v>
      </c>
      <c r="E49">
        <v>3059134000</v>
      </c>
      <c r="F49">
        <v>3059134000</v>
      </c>
      <c r="G49">
        <v>538122000</v>
      </c>
      <c r="H49">
        <v>814677000</v>
      </c>
      <c r="I49">
        <v>0</v>
      </c>
      <c r="J49">
        <v>896689000</v>
      </c>
      <c r="K49">
        <v>0</v>
      </c>
      <c r="L49">
        <v>0</v>
      </c>
      <c r="M49">
        <v>0</v>
      </c>
      <c r="N49">
        <v>22313000</v>
      </c>
      <c r="O49">
        <v>0</v>
      </c>
      <c r="P49">
        <v>0</v>
      </c>
      <c r="Q49">
        <v>0</v>
      </c>
      <c r="R49">
        <v>85165000</v>
      </c>
      <c r="S49">
        <v>515809000</v>
      </c>
      <c r="T49">
        <v>193636000</v>
      </c>
      <c r="U49">
        <v>0</v>
      </c>
      <c r="V49">
        <v>190643000</v>
      </c>
      <c r="W49">
        <v>0</v>
      </c>
      <c r="X49">
        <v>538122000</v>
      </c>
      <c r="Y49">
        <v>623287000</v>
      </c>
      <c r="Z49">
        <v>322173000</v>
      </c>
    </row>
    <row r="50" spans="1:26">
      <c r="A50" s="21">
        <v>41578</v>
      </c>
      <c r="B50" t="s">
        <v>42</v>
      </c>
      <c r="C50">
        <v>1328493000</v>
      </c>
      <c r="D50">
        <v>4381838000</v>
      </c>
      <c r="E50">
        <v>3053345000</v>
      </c>
      <c r="F50">
        <v>3053345000</v>
      </c>
      <c r="G50">
        <v>390241000</v>
      </c>
      <c r="H50">
        <v>938300000</v>
      </c>
      <c r="I50">
        <v>0</v>
      </c>
      <c r="J50">
        <v>938252000</v>
      </c>
      <c r="K50">
        <v>0</v>
      </c>
      <c r="L50">
        <v>0</v>
      </c>
      <c r="M50">
        <v>0</v>
      </c>
      <c r="N50">
        <v>21524000</v>
      </c>
      <c r="O50">
        <v>0</v>
      </c>
      <c r="P50">
        <v>0</v>
      </c>
      <c r="Q50">
        <v>0</v>
      </c>
      <c r="R50">
        <v>84435000</v>
      </c>
      <c r="S50">
        <v>368717000</v>
      </c>
      <c r="T50">
        <v>131332000</v>
      </c>
      <c r="U50">
        <v>0</v>
      </c>
      <c r="V50">
        <v>237385000</v>
      </c>
      <c r="W50">
        <v>0</v>
      </c>
      <c r="X50">
        <v>390241000</v>
      </c>
      <c r="Y50">
        <v>474676000</v>
      </c>
      <c r="Z50">
        <v>237385000</v>
      </c>
    </row>
    <row r="51" spans="1:26">
      <c r="A51" s="21">
        <v>41486</v>
      </c>
      <c r="B51" t="s">
        <v>42</v>
      </c>
      <c r="C51">
        <v>1377290000</v>
      </c>
      <c r="D51">
        <v>4394651000</v>
      </c>
      <c r="E51">
        <v>3017361000</v>
      </c>
      <c r="F51">
        <v>3017361000</v>
      </c>
      <c r="G51">
        <v>412822000</v>
      </c>
      <c r="H51">
        <v>964500000</v>
      </c>
      <c r="I51">
        <v>0</v>
      </c>
      <c r="J51">
        <v>964468000</v>
      </c>
      <c r="K51">
        <v>0</v>
      </c>
      <c r="L51">
        <v>0</v>
      </c>
      <c r="M51">
        <v>0</v>
      </c>
      <c r="N51">
        <v>20631000</v>
      </c>
      <c r="O51">
        <v>0</v>
      </c>
      <c r="P51">
        <v>0</v>
      </c>
      <c r="Q51">
        <v>0</v>
      </c>
      <c r="R51">
        <v>82744000</v>
      </c>
      <c r="S51">
        <v>392191000</v>
      </c>
      <c r="T51">
        <v>146716000</v>
      </c>
      <c r="U51">
        <v>0</v>
      </c>
      <c r="V51">
        <v>245475000</v>
      </c>
      <c r="W51">
        <v>0</v>
      </c>
      <c r="X51">
        <v>412822000</v>
      </c>
      <c r="Y51">
        <v>495566000</v>
      </c>
      <c r="Z51">
        <v>245475000</v>
      </c>
    </row>
    <row r="52" spans="1:26">
      <c r="A52" s="21">
        <v>41394</v>
      </c>
      <c r="B52" t="s">
        <v>42</v>
      </c>
      <c r="C52">
        <v>1295148000</v>
      </c>
      <c r="D52">
        <v>4233733000</v>
      </c>
      <c r="E52">
        <v>2938585000</v>
      </c>
      <c r="F52">
        <v>2938585000</v>
      </c>
      <c r="G52">
        <v>395000000</v>
      </c>
      <c r="H52">
        <v>900100000</v>
      </c>
      <c r="I52">
        <v>0</v>
      </c>
      <c r="J52">
        <v>900148000</v>
      </c>
      <c r="K52">
        <v>0</v>
      </c>
      <c r="L52">
        <v>0</v>
      </c>
      <c r="M52">
        <v>0</v>
      </c>
      <c r="N52">
        <v>24516000</v>
      </c>
      <c r="O52">
        <v>0</v>
      </c>
      <c r="P52">
        <v>-18871000</v>
      </c>
      <c r="Q52">
        <v>0</v>
      </c>
      <c r="R52">
        <v>80493000</v>
      </c>
      <c r="S52">
        <v>351613000</v>
      </c>
      <c r="T52">
        <v>131530000</v>
      </c>
      <c r="U52">
        <v>0</v>
      </c>
      <c r="V52">
        <v>351613000</v>
      </c>
      <c r="W52">
        <v>0</v>
      </c>
      <c r="X52">
        <v>376129000</v>
      </c>
      <c r="Y52">
        <v>456622000</v>
      </c>
      <c r="Z52">
        <v>220083000</v>
      </c>
    </row>
    <row r="53" spans="1:26">
      <c r="A53" s="21">
        <v>41305</v>
      </c>
      <c r="B53" t="s">
        <v>42</v>
      </c>
      <c r="C53">
        <v>1367799000</v>
      </c>
      <c r="D53">
        <v>4207621000</v>
      </c>
      <c r="E53">
        <v>2839822000</v>
      </c>
      <c r="F53">
        <v>2839822000</v>
      </c>
      <c r="G53">
        <v>522349000</v>
      </c>
      <c r="H53">
        <v>783750000</v>
      </c>
      <c r="I53">
        <v>0</v>
      </c>
      <c r="J53">
        <v>845450000</v>
      </c>
      <c r="K53">
        <v>0</v>
      </c>
      <c r="L53">
        <v>0</v>
      </c>
      <c r="M53">
        <v>0</v>
      </c>
      <c r="N53">
        <v>27460000</v>
      </c>
      <c r="O53">
        <v>0</v>
      </c>
      <c r="P53">
        <v>0</v>
      </c>
      <c r="Q53">
        <v>0</v>
      </c>
      <c r="R53">
        <v>80513000</v>
      </c>
      <c r="S53">
        <v>494889000</v>
      </c>
      <c r="T53">
        <v>177467000</v>
      </c>
      <c r="U53">
        <v>0</v>
      </c>
      <c r="V53">
        <v>494889000</v>
      </c>
      <c r="W53">
        <v>0</v>
      </c>
      <c r="X53">
        <v>522349000</v>
      </c>
      <c r="Y53">
        <v>602862000</v>
      </c>
      <c r="Z53">
        <v>317422000</v>
      </c>
    </row>
    <row r="54" spans="1:26">
      <c r="A54" s="21">
        <v>41213</v>
      </c>
      <c r="B54" t="s">
        <v>42</v>
      </c>
      <c r="C54">
        <v>1226123000</v>
      </c>
      <c r="D54">
        <v>3964647000</v>
      </c>
      <c r="E54">
        <v>2738524000</v>
      </c>
      <c r="F54">
        <v>2738524000</v>
      </c>
      <c r="G54">
        <v>361389000</v>
      </c>
      <c r="H54">
        <v>864700000</v>
      </c>
      <c r="I54">
        <v>0</v>
      </c>
      <c r="J54">
        <v>864734000</v>
      </c>
      <c r="K54">
        <v>0</v>
      </c>
      <c r="L54">
        <v>0</v>
      </c>
      <c r="M54">
        <v>0</v>
      </c>
      <c r="N54">
        <v>27726000</v>
      </c>
      <c r="O54">
        <v>0</v>
      </c>
      <c r="P54">
        <v>-1728000</v>
      </c>
      <c r="Q54">
        <v>0</v>
      </c>
      <c r="R54">
        <v>76138000</v>
      </c>
      <c r="S54">
        <v>331935000</v>
      </c>
      <c r="T54">
        <v>124250000</v>
      </c>
      <c r="U54">
        <v>0</v>
      </c>
      <c r="V54">
        <v>331935000</v>
      </c>
      <c r="W54">
        <v>0</v>
      </c>
      <c r="X54">
        <v>359661000</v>
      </c>
      <c r="Y54">
        <v>435799000</v>
      </c>
      <c r="Z54">
        <v>207685000</v>
      </c>
    </row>
    <row r="55" spans="1:26">
      <c r="A55" s="21">
        <v>41121</v>
      </c>
      <c r="B55" t="s">
        <v>42</v>
      </c>
      <c r="C55">
        <v>1263223000</v>
      </c>
      <c r="D55">
        <v>3948655000</v>
      </c>
      <c r="E55">
        <v>2685432000</v>
      </c>
      <c r="F55">
        <v>2685432000</v>
      </c>
      <c r="G55">
        <v>387214000</v>
      </c>
      <c r="H55">
        <v>876000000</v>
      </c>
      <c r="I55">
        <v>0</v>
      </c>
      <c r="J55">
        <v>876009000</v>
      </c>
      <c r="K55">
        <v>0</v>
      </c>
      <c r="L55">
        <v>0</v>
      </c>
      <c r="M55">
        <v>0</v>
      </c>
      <c r="N55">
        <v>35666000</v>
      </c>
      <c r="O55">
        <v>0</v>
      </c>
      <c r="P55">
        <v>-26557000</v>
      </c>
      <c r="Q55">
        <v>0</v>
      </c>
      <c r="R55">
        <v>73989000</v>
      </c>
      <c r="S55">
        <v>324991000</v>
      </c>
      <c r="T55">
        <v>110851000</v>
      </c>
      <c r="U55">
        <v>0</v>
      </c>
      <c r="V55">
        <v>324991000</v>
      </c>
      <c r="W55">
        <v>0</v>
      </c>
      <c r="X55">
        <v>360657000</v>
      </c>
      <c r="Y55">
        <v>434646000</v>
      </c>
      <c r="Z55">
        <v>214140000</v>
      </c>
    </row>
    <row r="56" spans="1:26">
      <c r="A56" s="21">
        <v>41029</v>
      </c>
      <c r="B56" t="s">
        <v>42</v>
      </c>
      <c r="C56">
        <v>1228256000</v>
      </c>
      <c r="D56">
        <v>3901205000</v>
      </c>
      <c r="E56">
        <v>2672949000</v>
      </c>
      <c r="F56">
        <v>2672949000</v>
      </c>
      <c r="G56">
        <v>384324000</v>
      </c>
      <c r="H56">
        <v>843900000</v>
      </c>
      <c r="I56">
        <v>0</v>
      </c>
      <c r="J56">
        <v>843932000</v>
      </c>
      <c r="K56">
        <v>0</v>
      </c>
      <c r="L56">
        <v>0</v>
      </c>
      <c r="M56">
        <v>0</v>
      </c>
      <c r="N56">
        <v>37074000</v>
      </c>
      <c r="O56">
        <v>0</v>
      </c>
      <c r="P56">
        <v>-1671000</v>
      </c>
      <c r="Q56">
        <v>0</v>
      </c>
      <c r="R56">
        <v>72271000</v>
      </c>
      <c r="S56">
        <v>345579000</v>
      </c>
      <c r="T56">
        <v>132164000</v>
      </c>
      <c r="U56">
        <v>0</v>
      </c>
      <c r="V56">
        <v>345579000</v>
      </c>
      <c r="W56">
        <v>0</v>
      </c>
      <c r="X56">
        <v>382653000</v>
      </c>
      <c r="Y56">
        <v>454924000</v>
      </c>
      <c r="Z56">
        <v>213415000</v>
      </c>
    </row>
    <row r="57" spans="1:26">
      <c r="A57" s="21">
        <v>40939</v>
      </c>
      <c r="B57" t="s">
        <v>42</v>
      </c>
      <c r="C57">
        <v>1346369000</v>
      </c>
      <c r="D57">
        <v>4185073000</v>
      </c>
      <c r="E57">
        <v>2838704000</v>
      </c>
      <c r="F57">
        <v>2838704000</v>
      </c>
      <c r="G57">
        <v>508240000</v>
      </c>
      <c r="H57">
        <v>838100000</v>
      </c>
      <c r="I57">
        <v>0</v>
      </c>
      <c r="J57">
        <v>838129000</v>
      </c>
      <c r="K57">
        <v>0</v>
      </c>
      <c r="L57">
        <v>0</v>
      </c>
      <c r="M57">
        <v>0</v>
      </c>
      <c r="N57">
        <v>40105000</v>
      </c>
      <c r="O57">
        <v>0</v>
      </c>
      <c r="P57">
        <v>-15000</v>
      </c>
      <c r="Q57">
        <v>0</v>
      </c>
      <c r="R57">
        <v>70637000</v>
      </c>
      <c r="S57">
        <v>468120000</v>
      </c>
      <c r="T57">
        <v>175610000</v>
      </c>
      <c r="U57">
        <v>0</v>
      </c>
      <c r="V57">
        <v>468120000</v>
      </c>
      <c r="W57">
        <v>0</v>
      </c>
      <c r="X57">
        <v>293326000</v>
      </c>
      <c r="Y57">
        <v>363963000</v>
      </c>
      <c r="Z57">
        <v>292510000</v>
      </c>
    </row>
    <row r="58" spans="1:26">
      <c r="A58" s="21">
        <v>40847</v>
      </c>
      <c r="B58" t="s">
        <v>42</v>
      </c>
      <c r="C58">
        <v>1115802000</v>
      </c>
      <c r="D58">
        <v>3595224000</v>
      </c>
      <c r="E58">
        <v>2479422000</v>
      </c>
      <c r="F58">
        <v>2479422000</v>
      </c>
      <c r="G58">
        <v>310917000</v>
      </c>
      <c r="H58">
        <v>804900000</v>
      </c>
      <c r="I58">
        <v>0</v>
      </c>
      <c r="J58">
        <v>804885000</v>
      </c>
      <c r="K58">
        <v>0</v>
      </c>
      <c r="L58">
        <v>0</v>
      </c>
      <c r="M58">
        <v>0</v>
      </c>
      <c r="N58">
        <v>38642000</v>
      </c>
      <c r="O58">
        <v>0</v>
      </c>
      <c r="P58">
        <v>-43000</v>
      </c>
      <c r="Q58">
        <v>0</v>
      </c>
      <c r="R58">
        <v>68900000</v>
      </c>
      <c r="S58">
        <v>272232000</v>
      </c>
      <c r="T58">
        <v>101068000</v>
      </c>
      <c r="U58">
        <v>0</v>
      </c>
      <c r="V58">
        <v>272232000</v>
      </c>
      <c r="W58">
        <v>0</v>
      </c>
      <c r="X58">
        <v>310864000</v>
      </c>
      <c r="Y58">
        <v>379764000</v>
      </c>
      <c r="Z58">
        <v>171164000</v>
      </c>
    </row>
    <row r="59" spans="1:26">
      <c r="A59" s="21">
        <v>40755</v>
      </c>
      <c r="B59" t="s">
        <v>42</v>
      </c>
      <c r="C59">
        <v>1148342000</v>
      </c>
      <c r="D59">
        <v>3575194000</v>
      </c>
      <c r="E59">
        <v>2426852000</v>
      </c>
      <c r="F59">
        <v>2426852000</v>
      </c>
      <c r="G59">
        <v>350029000</v>
      </c>
      <c r="H59">
        <v>798300000</v>
      </c>
      <c r="I59">
        <v>0</v>
      </c>
      <c r="J59">
        <v>798313000</v>
      </c>
      <c r="K59">
        <v>0</v>
      </c>
      <c r="L59">
        <v>0</v>
      </c>
      <c r="M59">
        <v>0</v>
      </c>
      <c r="N59">
        <v>60653000</v>
      </c>
      <c r="O59">
        <v>0</v>
      </c>
      <c r="P59">
        <v>-58213000</v>
      </c>
      <c r="Q59">
        <v>0</v>
      </c>
      <c r="R59">
        <v>68385000</v>
      </c>
      <c r="S59">
        <v>231163000</v>
      </c>
      <c r="T59">
        <v>85121000</v>
      </c>
      <c r="U59">
        <v>0</v>
      </c>
      <c r="V59">
        <v>231163000</v>
      </c>
      <c r="W59">
        <v>0</v>
      </c>
      <c r="X59">
        <v>350055000</v>
      </c>
      <c r="Y59">
        <v>418440000</v>
      </c>
      <c r="Z59">
        <v>146042000</v>
      </c>
    </row>
    <row r="60" spans="1:26">
      <c r="A60" s="21">
        <v>40663</v>
      </c>
      <c r="B60" t="s">
        <v>42</v>
      </c>
      <c r="C60">
        <v>1087397000</v>
      </c>
      <c r="D60">
        <v>3451697000</v>
      </c>
      <c r="E60">
        <v>2364300000</v>
      </c>
      <c r="F60">
        <v>2364300000</v>
      </c>
      <c r="G60">
        <v>321618000</v>
      </c>
      <c r="H60">
        <v>765800000</v>
      </c>
      <c r="I60">
        <v>0</v>
      </c>
      <c r="J60">
        <v>765779000</v>
      </c>
      <c r="K60">
        <v>0</v>
      </c>
      <c r="L60">
        <v>0</v>
      </c>
      <c r="M60">
        <v>0</v>
      </c>
      <c r="N60">
        <v>65591000</v>
      </c>
      <c r="O60">
        <v>0</v>
      </c>
      <c r="P60">
        <v>-2253000</v>
      </c>
      <c r="Q60">
        <v>0</v>
      </c>
      <c r="R60">
        <v>67486000</v>
      </c>
      <c r="S60">
        <v>253774000</v>
      </c>
      <c r="T60">
        <v>96805000</v>
      </c>
      <c r="U60">
        <v>0</v>
      </c>
      <c r="V60">
        <v>253774000</v>
      </c>
      <c r="W60">
        <v>0</v>
      </c>
      <c r="X60">
        <v>319346000</v>
      </c>
      <c r="Y60">
        <v>386832000</v>
      </c>
      <c r="Z60">
        <v>156969000</v>
      </c>
    </row>
    <row r="61" spans="1:26">
      <c r="A61" s="21">
        <v>40574</v>
      </c>
      <c r="B61" t="s">
        <v>42</v>
      </c>
      <c r="C61">
        <v>1130153000</v>
      </c>
      <c r="D61">
        <v>3486104000</v>
      </c>
      <c r="E61">
        <v>2355951000</v>
      </c>
      <c r="F61">
        <v>2355951000</v>
      </c>
      <c r="G61">
        <v>408251000</v>
      </c>
      <c r="H61">
        <v>654808000</v>
      </c>
      <c r="I61">
        <v>0</v>
      </c>
      <c r="J61">
        <v>721902000</v>
      </c>
      <c r="K61">
        <v>0</v>
      </c>
      <c r="L61">
        <v>0</v>
      </c>
      <c r="M61">
        <v>0</v>
      </c>
      <c r="N61">
        <v>65629000</v>
      </c>
      <c r="O61">
        <v>0</v>
      </c>
      <c r="P61">
        <v>0</v>
      </c>
      <c r="Q61">
        <v>0</v>
      </c>
      <c r="R61">
        <v>65188000</v>
      </c>
      <c r="S61">
        <v>342596000</v>
      </c>
      <c r="T61">
        <v>120050000</v>
      </c>
      <c r="U61">
        <v>0</v>
      </c>
      <c r="V61">
        <v>0</v>
      </c>
      <c r="W61">
        <v>0</v>
      </c>
      <c r="X61">
        <v>408225000</v>
      </c>
      <c r="Y61">
        <v>473413000</v>
      </c>
      <c r="Z61">
        <v>222546000</v>
      </c>
    </row>
    <row r="62" spans="1:26">
      <c r="A62" s="21">
        <v>40482</v>
      </c>
      <c r="B62" t="s">
        <v>42</v>
      </c>
      <c r="C62">
        <v>1010668000</v>
      </c>
      <c r="D62">
        <v>3223427000</v>
      </c>
      <c r="E62">
        <v>2212759000</v>
      </c>
      <c r="F62">
        <v>2212759000</v>
      </c>
      <c r="G62">
        <v>274334000</v>
      </c>
      <c r="H62">
        <v>736300000</v>
      </c>
      <c r="I62">
        <v>0</v>
      </c>
      <c r="J62">
        <v>736334000</v>
      </c>
      <c r="K62">
        <v>0</v>
      </c>
      <c r="L62">
        <v>0</v>
      </c>
      <c r="M62">
        <v>0</v>
      </c>
      <c r="N62">
        <v>67235000</v>
      </c>
      <c r="O62">
        <v>0</v>
      </c>
      <c r="P62">
        <v>0</v>
      </c>
      <c r="Q62">
        <v>0</v>
      </c>
      <c r="R62">
        <v>63583000</v>
      </c>
      <c r="S62">
        <v>198877000</v>
      </c>
      <c r="T62">
        <v>70757000</v>
      </c>
      <c r="U62">
        <v>0</v>
      </c>
      <c r="V62">
        <v>0</v>
      </c>
      <c r="W62">
        <v>0</v>
      </c>
      <c r="X62">
        <v>266112000</v>
      </c>
      <c r="Y62">
        <v>329695000</v>
      </c>
      <c r="Z62">
        <v>128120000</v>
      </c>
    </row>
    <row r="63" spans="1:26">
      <c r="A63" s="21">
        <v>40390</v>
      </c>
      <c r="B63" t="s">
        <v>42</v>
      </c>
      <c r="C63">
        <v>1035979000</v>
      </c>
      <c r="D63">
        <v>3214155000</v>
      </c>
      <c r="E63">
        <v>2178176000</v>
      </c>
      <c r="F63">
        <v>2178176000</v>
      </c>
      <c r="G63">
        <v>300757000</v>
      </c>
      <c r="H63">
        <v>735200000</v>
      </c>
      <c r="I63">
        <v>0</v>
      </c>
      <c r="J63">
        <v>735222000</v>
      </c>
      <c r="K63">
        <v>0</v>
      </c>
      <c r="L63">
        <v>0</v>
      </c>
      <c r="M63">
        <v>0</v>
      </c>
      <c r="N63">
        <v>69330000</v>
      </c>
      <c r="O63">
        <v>0</v>
      </c>
      <c r="P63">
        <v>0</v>
      </c>
      <c r="Q63">
        <v>0</v>
      </c>
      <c r="R63">
        <v>62904000</v>
      </c>
      <c r="S63">
        <v>224933000</v>
      </c>
      <c r="T63">
        <v>83738000</v>
      </c>
      <c r="U63">
        <v>0</v>
      </c>
      <c r="V63">
        <v>0</v>
      </c>
      <c r="W63">
        <v>0</v>
      </c>
      <c r="X63">
        <v>294263000</v>
      </c>
      <c r="Y63">
        <v>357167000</v>
      </c>
      <c r="Z63">
        <v>141195000</v>
      </c>
    </row>
    <row r="64" spans="1:26">
      <c r="A64" s="21">
        <v>40298</v>
      </c>
      <c r="B64" t="s">
        <v>42</v>
      </c>
      <c r="C64">
        <v>999756000</v>
      </c>
      <c r="D64">
        <v>3111314000</v>
      </c>
      <c r="E64">
        <v>2111558000</v>
      </c>
      <c r="F64">
        <v>2111558000</v>
      </c>
      <c r="G64">
        <v>290723000</v>
      </c>
      <c r="H64">
        <v>709033000</v>
      </c>
      <c r="I64">
        <v>0</v>
      </c>
      <c r="J64">
        <v>709033000</v>
      </c>
      <c r="K64">
        <v>0</v>
      </c>
      <c r="L64">
        <v>0</v>
      </c>
      <c r="M64">
        <v>0</v>
      </c>
      <c r="N64">
        <v>72018000</v>
      </c>
      <c r="O64">
        <v>0</v>
      </c>
      <c r="P64">
        <v>0</v>
      </c>
      <c r="Q64">
        <v>0</v>
      </c>
      <c r="R64">
        <v>63252000</v>
      </c>
      <c r="S64">
        <v>218566000</v>
      </c>
      <c r="T64">
        <v>82570000</v>
      </c>
      <c r="U64">
        <v>0</v>
      </c>
      <c r="V64">
        <v>0</v>
      </c>
      <c r="W64">
        <v>0</v>
      </c>
      <c r="X64">
        <v>290584000</v>
      </c>
      <c r="Y64">
        <v>353836000</v>
      </c>
      <c r="Z64">
        <v>135996000</v>
      </c>
    </row>
    <row r="65" spans="1:26">
      <c r="A65" s="21">
        <v>40209</v>
      </c>
      <c r="B65" t="s">
        <v>42</v>
      </c>
      <c r="C65">
        <v>1025389000</v>
      </c>
      <c r="D65">
        <v>3185785000</v>
      </c>
      <c r="E65">
        <v>2160396000</v>
      </c>
      <c r="F65">
        <v>2160396000</v>
      </c>
      <c r="G65">
        <v>278933000</v>
      </c>
      <c r="H65">
        <v>683962000</v>
      </c>
      <c r="I65">
        <v>0</v>
      </c>
      <c r="J65">
        <v>746456000</v>
      </c>
      <c r="K65">
        <v>0</v>
      </c>
      <c r="L65">
        <v>0</v>
      </c>
      <c r="M65">
        <v>0</v>
      </c>
      <c r="N65">
        <v>78952000</v>
      </c>
      <c r="O65">
        <v>0</v>
      </c>
      <c r="P65">
        <v>0</v>
      </c>
      <c r="Q65">
        <v>0</v>
      </c>
      <c r="R65">
        <v>62726000</v>
      </c>
      <c r="S65">
        <v>144233000</v>
      </c>
      <c r="T65">
        <v>57036000</v>
      </c>
      <c r="U65">
        <v>0</v>
      </c>
      <c r="V65">
        <v>0</v>
      </c>
      <c r="W65">
        <v>0</v>
      </c>
      <c r="X65">
        <v>223185000</v>
      </c>
      <c r="Y65">
        <v>285911000</v>
      </c>
      <c r="Z65">
        <v>87197000</v>
      </c>
    </row>
    <row r="66" spans="1:26">
      <c r="A66" s="21">
        <v>40117</v>
      </c>
      <c r="B66" t="s">
        <v>42</v>
      </c>
      <c r="C66">
        <v>903082000</v>
      </c>
      <c r="D66">
        <v>2928751000</v>
      </c>
      <c r="E66">
        <v>2025669000</v>
      </c>
      <c r="F66">
        <v>2025669000</v>
      </c>
      <c r="G66">
        <v>216239000</v>
      </c>
      <c r="H66">
        <v>686800000</v>
      </c>
      <c r="I66">
        <v>0</v>
      </c>
      <c r="J66">
        <v>686843000</v>
      </c>
      <c r="K66">
        <v>0</v>
      </c>
      <c r="L66">
        <v>0</v>
      </c>
      <c r="M66">
        <v>0</v>
      </c>
      <c r="N66">
        <v>87612000</v>
      </c>
      <c r="O66">
        <v>0</v>
      </c>
      <c r="P66">
        <v>0</v>
      </c>
      <c r="Q66">
        <v>0</v>
      </c>
      <c r="R66">
        <v>62977000</v>
      </c>
      <c r="S66">
        <v>128140000</v>
      </c>
      <c r="T66">
        <v>52491000</v>
      </c>
      <c r="U66">
        <v>0</v>
      </c>
      <c r="V66">
        <v>0</v>
      </c>
      <c r="W66">
        <v>0</v>
      </c>
      <c r="X66">
        <v>215752000</v>
      </c>
      <c r="Y66">
        <v>278729000</v>
      </c>
      <c r="Z66">
        <v>75649000</v>
      </c>
    </row>
    <row r="67" spans="1:26">
      <c r="A67" s="21">
        <v>40025</v>
      </c>
      <c r="B67" t="s">
        <v>42</v>
      </c>
      <c r="C67">
        <v>906042000</v>
      </c>
      <c r="D67">
        <v>2901907000</v>
      </c>
      <c r="E67">
        <v>1995865000</v>
      </c>
      <c r="F67">
        <v>1995865000</v>
      </c>
      <c r="G67">
        <v>233217000</v>
      </c>
      <c r="H67">
        <v>672825000</v>
      </c>
      <c r="I67">
        <v>0</v>
      </c>
      <c r="J67">
        <v>672825000</v>
      </c>
      <c r="K67">
        <v>0</v>
      </c>
      <c r="L67">
        <v>0</v>
      </c>
      <c r="M67">
        <v>0</v>
      </c>
      <c r="N67">
        <v>89945000</v>
      </c>
      <c r="O67">
        <v>0</v>
      </c>
      <c r="P67">
        <v>0</v>
      </c>
      <c r="Q67">
        <v>0</v>
      </c>
      <c r="R67">
        <v>66537000</v>
      </c>
      <c r="S67">
        <v>145682000</v>
      </c>
      <c r="T67">
        <v>52092000</v>
      </c>
      <c r="U67">
        <v>0</v>
      </c>
      <c r="V67">
        <v>0</v>
      </c>
      <c r="W67">
        <v>0</v>
      </c>
      <c r="X67">
        <v>235627000</v>
      </c>
      <c r="Y67">
        <v>302164000</v>
      </c>
      <c r="Z67">
        <v>93590000</v>
      </c>
    </row>
    <row r="68" spans="1:26">
      <c r="A68" s="21">
        <v>39933</v>
      </c>
      <c r="B68" t="s">
        <v>42</v>
      </c>
      <c r="C68">
        <v>855358000</v>
      </c>
      <c r="D68">
        <v>2779937000</v>
      </c>
      <c r="E68">
        <v>1924579000</v>
      </c>
      <c r="F68">
        <v>1924579000</v>
      </c>
      <c r="G68">
        <v>224869000</v>
      </c>
      <c r="H68">
        <v>630500000</v>
      </c>
      <c r="I68">
        <v>0</v>
      </c>
      <c r="J68">
        <v>630489000</v>
      </c>
      <c r="K68">
        <v>0</v>
      </c>
      <c r="L68">
        <v>0</v>
      </c>
      <c r="M68">
        <v>0</v>
      </c>
      <c r="N68">
        <v>89235000</v>
      </c>
      <c r="O68">
        <v>0</v>
      </c>
      <c r="P68">
        <v>0</v>
      </c>
      <c r="Q68">
        <v>0</v>
      </c>
      <c r="R68">
        <v>64531000</v>
      </c>
      <c r="S68">
        <v>134061000</v>
      </c>
      <c r="T68">
        <v>51055000</v>
      </c>
      <c r="U68">
        <v>0</v>
      </c>
      <c r="V68">
        <v>0</v>
      </c>
      <c r="W68">
        <v>0</v>
      </c>
      <c r="X68">
        <v>223296000</v>
      </c>
      <c r="Y68">
        <v>287827000</v>
      </c>
      <c r="Z68">
        <v>83006000</v>
      </c>
    </row>
    <row r="69" spans="1:26">
      <c r="A69" s="21">
        <v>39844</v>
      </c>
      <c r="B69" t="s">
        <v>42</v>
      </c>
      <c r="C69">
        <v>837698000</v>
      </c>
      <c r="D69">
        <v>2845848000</v>
      </c>
      <c r="E69">
        <v>2008150000</v>
      </c>
      <c r="F69">
        <v>2008150000</v>
      </c>
      <c r="G69">
        <v>222828000</v>
      </c>
      <c r="H69">
        <v>558567000</v>
      </c>
      <c r="I69">
        <v>0</v>
      </c>
      <c r="J69">
        <v>617370000</v>
      </c>
      <c r="K69">
        <v>0</v>
      </c>
      <c r="L69">
        <v>0</v>
      </c>
      <c r="M69">
        <v>0</v>
      </c>
      <c r="N69">
        <v>93234000</v>
      </c>
      <c r="O69">
        <v>0</v>
      </c>
      <c r="P69">
        <v>0</v>
      </c>
      <c r="Q69">
        <v>0</v>
      </c>
      <c r="R69">
        <v>63744000</v>
      </c>
      <c r="S69">
        <v>133506000</v>
      </c>
      <c r="T69">
        <v>51652000</v>
      </c>
      <c r="U69">
        <v>0</v>
      </c>
      <c r="V69">
        <v>0</v>
      </c>
      <c r="W69">
        <v>0</v>
      </c>
      <c r="X69">
        <v>226740000</v>
      </c>
      <c r="Y69">
        <v>290484000</v>
      </c>
      <c r="Z69">
        <v>81854000</v>
      </c>
    </row>
    <row r="70" spans="1:26">
      <c r="A70" s="21">
        <v>39752</v>
      </c>
      <c r="B70" t="s">
        <v>42</v>
      </c>
      <c r="C70">
        <v>772287000</v>
      </c>
      <c r="D70">
        <v>2598938000</v>
      </c>
      <c r="E70">
        <v>1826651000</v>
      </c>
      <c r="F70">
        <v>1826651000</v>
      </c>
      <c r="G70">
        <v>103732000</v>
      </c>
      <c r="H70">
        <v>634055000</v>
      </c>
      <c r="I70">
        <v>0</v>
      </c>
      <c r="J70">
        <v>634055000</v>
      </c>
      <c r="K70">
        <v>0</v>
      </c>
      <c r="L70">
        <v>0</v>
      </c>
      <c r="M70">
        <v>0</v>
      </c>
      <c r="N70">
        <v>98393000</v>
      </c>
      <c r="O70">
        <v>0</v>
      </c>
      <c r="P70">
        <v>0</v>
      </c>
      <c r="Q70">
        <v>0</v>
      </c>
      <c r="R70">
        <v>62132000</v>
      </c>
      <c r="S70">
        <v>5692000</v>
      </c>
      <c r="T70">
        <v>12998000</v>
      </c>
      <c r="U70">
        <v>0</v>
      </c>
      <c r="V70">
        <v>0</v>
      </c>
      <c r="W70">
        <v>0</v>
      </c>
      <c r="X70">
        <v>104085000</v>
      </c>
      <c r="Y70">
        <v>166217000</v>
      </c>
      <c r="Z70">
        <v>-7306000</v>
      </c>
    </row>
    <row r="71" spans="1:26">
      <c r="A71" s="21">
        <v>39660</v>
      </c>
      <c r="B71" t="s">
        <v>42</v>
      </c>
      <c r="C71">
        <v>758035000</v>
      </c>
      <c r="D71">
        <v>2609384000</v>
      </c>
      <c r="E71">
        <v>1851349000</v>
      </c>
      <c r="F71">
        <v>1851349000</v>
      </c>
      <c r="G71">
        <v>143055000</v>
      </c>
      <c r="H71">
        <v>615000000</v>
      </c>
      <c r="I71">
        <v>0</v>
      </c>
      <c r="J71">
        <v>614980000</v>
      </c>
      <c r="K71">
        <v>0</v>
      </c>
      <c r="L71">
        <v>0</v>
      </c>
      <c r="M71">
        <v>0</v>
      </c>
      <c r="N71">
        <v>99434000</v>
      </c>
      <c r="O71">
        <v>0</v>
      </c>
      <c r="P71">
        <v>0</v>
      </c>
      <c r="Q71">
        <v>0</v>
      </c>
      <c r="R71">
        <v>60617000</v>
      </c>
      <c r="S71">
        <v>44546000</v>
      </c>
      <c r="T71">
        <v>16828000</v>
      </c>
      <c r="U71">
        <v>0</v>
      </c>
      <c r="V71">
        <v>0</v>
      </c>
      <c r="W71">
        <v>0</v>
      </c>
      <c r="X71">
        <v>143980000</v>
      </c>
      <c r="Y71">
        <v>204597000</v>
      </c>
      <c r="Z71">
        <v>27718000</v>
      </c>
    </row>
    <row r="72" spans="1:26">
      <c r="A72" s="21">
        <v>39568</v>
      </c>
      <c r="B72" t="s">
        <v>42</v>
      </c>
      <c r="C72">
        <v>693077000</v>
      </c>
      <c r="D72">
        <v>2403498000</v>
      </c>
      <c r="E72">
        <v>1710421000</v>
      </c>
      <c r="F72">
        <v>1710421000</v>
      </c>
      <c r="G72">
        <v>110573000</v>
      </c>
      <c r="H72">
        <v>582200000</v>
      </c>
      <c r="I72">
        <v>0</v>
      </c>
      <c r="J72">
        <v>582504000</v>
      </c>
      <c r="K72">
        <v>0</v>
      </c>
      <c r="L72">
        <v>0</v>
      </c>
      <c r="M72">
        <v>0</v>
      </c>
      <c r="N72">
        <v>100871000</v>
      </c>
      <c r="O72">
        <v>0</v>
      </c>
      <c r="P72">
        <v>0</v>
      </c>
      <c r="Q72">
        <v>0</v>
      </c>
      <c r="R72">
        <v>61406000</v>
      </c>
      <c r="S72">
        <v>10659000</v>
      </c>
      <c r="T72">
        <v>4743000</v>
      </c>
      <c r="U72">
        <v>0</v>
      </c>
      <c r="V72">
        <v>0</v>
      </c>
      <c r="W72">
        <v>0</v>
      </c>
      <c r="X72">
        <v>111530000</v>
      </c>
      <c r="Y72">
        <v>172936000</v>
      </c>
      <c r="Z72">
        <v>5916000</v>
      </c>
    </row>
    <row r="73" spans="1:26">
      <c r="A73" s="21">
        <v>39478</v>
      </c>
      <c r="B73" t="s">
        <v>42</v>
      </c>
      <c r="C73">
        <v>740371000</v>
      </c>
      <c r="D73">
        <v>2559573000</v>
      </c>
      <c r="E73">
        <v>1819202000</v>
      </c>
      <c r="F73">
        <v>1819202000</v>
      </c>
      <c r="G73">
        <v>186466000</v>
      </c>
      <c r="H73">
        <v>496606000</v>
      </c>
      <c r="I73">
        <v>0</v>
      </c>
      <c r="J73">
        <v>553905000</v>
      </c>
      <c r="K73">
        <v>0</v>
      </c>
      <c r="L73">
        <v>0</v>
      </c>
      <c r="M73">
        <v>0</v>
      </c>
      <c r="N73">
        <v>104420000</v>
      </c>
      <c r="O73">
        <v>0</v>
      </c>
      <c r="P73">
        <v>0</v>
      </c>
      <c r="Q73">
        <v>0</v>
      </c>
      <c r="R73">
        <v>59306000</v>
      </c>
      <c r="S73">
        <v>88017000</v>
      </c>
      <c r="T73">
        <v>32628000</v>
      </c>
      <c r="U73">
        <v>0</v>
      </c>
      <c r="V73">
        <v>0</v>
      </c>
      <c r="W73">
        <v>0</v>
      </c>
      <c r="X73">
        <v>192437000</v>
      </c>
      <c r="Y73">
        <v>251743000</v>
      </c>
      <c r="Z73">
        <v>55389000</v>
      </c>
    </row>
    <row r="74" spans="1:26">
      <c r="A74" s="21">
        <v>39386</v>
      </c>
      <c r="B74" t="s">
        <v>42</v>
      </c>
      <c r="C74">
        <v>646800000</v>
      </c>
      <c r="D74">
        <v>2312842000</v>
      </c>
      <c r="E74">
        <v>1666042000</v>
      </c>
      <c r="F74">
        <v>1666042000</v>
      </c>
      <c r="G74">
        <v>65703000</v>
      </c>
      <c r="H74">
        <v>580200000</v>
      </c>
      <c r="I74">
        <v>0</v>
      </c>
      <c r="J74">
        <v>581097000</v>
      </c>
      <c r="K74">
        <v>0</v>
      </c>
      <c r="L74">
        <v>0</v>
      </c>
      <c r="M74">
        <v>0</v>
      </c>
      <c r="N74">
        <v>111957000</v>
      </c>
      <c r="O74">
        <v>0</v>
      </c>
      <c r="P74">
        <v>0</v>
      </c>
      <c r="Q74">
        <v>0</v>
      </c>
      <c r="R74">
        <v>65332000</v>
      </c>
      <c r="S74">
        <v>-51650000</v>
      </c>
      <c r="T74">
        <v>-18618000</v>
      </c>
      <c r="U74">
        <v>0</v>
      </c>
      <c r="V74">
        <v>0</v>
      </c>
      <c r="W74">
        <v>0</v>
      </c>
      <c r="X74">
        <v>67091000</v>
      </c>
      <c r="Y74">
        <v>132423000</v>
      </c>
      <c r="Z74">
        <v>-33032000</v>
      </c>
    </row>
    <row r="75" spans="1:26">
      <c r="A75" s="21">
        <v>39294</v>
      </c>
      <c r="B75" t="s">
        <v>42</v>
      </c>
      <c r="C75">
        <v>623238000</v>
      </c>
      <c r="D75">
        <v>2347564000</v>
      </c>
      <c r="E75">
        <v>1724326000</v>
      </c>
      <c r="F75">
        <v>1724326000</v>
      </c>
      <c r="G75">
        <v>-52140000</v>
      </c>
      <c r="H75">
        <v>579300000</v>
      </c>
      <c r="I75">
        <v>0</v>
      </c>
      <c r="J75">
        <v>675378000</v>
      </c>
      <c r="K75">
        <v>0</v>
      </c>
      <c r="L75">
        <v>0</v>
      </c>
      <c r="M75">
        <v>0</v>
      </c>
      <c r="N75">
        <v>40652000</v>
      </c>
      <c r="O75">
        <v>0</v>
      </c>
      <c r="P75">
        <v>0</v>
      </c>
      <c r="Q75">
        <v>0</v>
      </c>
      <c r="R75">
        <v>59041000</v>
      </c>
      <c r="S75">
        <v>-88719000</v>
      </c>
      <c r="T75">
        <v>-19901000</v>
      </c>
      <c r="U75">
        <v>0</v>
      </c>
      <c r="V75">
        <v>0</v>
      </c>
      <c r="W75">
        <v>0</v>
      </c>
      <c r="X75">
        <v>-48067000</v>
      </c>
      <c r="Y75">
        <v>10974000</v>
      </c>
      <c r="Z75">
        <v>-68818000</v>
      </c>
    </row>
    <row r="76" spans="1:26">
      <c r="A76" s="21">
        <v>39202</v>
      </c>
      <c r="B76" t="s">
        <v>42</v>
      </c>
      <c r="C76">
        <v>633060000</v>
      </c>
      <c r="D76">
        <v>2275267000</v>
      </c>
      <c r="E76">
        <v>1642207000</v>
      </c>
      <c r="F76">
        <v>1642207000</v>
      </c>
      <c r="G76">
        <v>55368000</v>
      </c>
      <c r="H76">
        <v>572100000</v>
      </c>
      <c r="I76">
        <v>0</v>
      </c>
      <c r="J76">
        <v>577692000</v>
      </c>
      <c r="K76">
        <v>0</v>
      </c>
      <c r="L76">
        <v>0</v>
      </c>
      <c r="M76">
        <v>0</v>
      </c>
      <c r="N76">
        <v>6167000</v>
      </c>
      <c r="O76">
        <v>0</v>
      </c>
      <c r="P76">
        <v>0</v>
      </c>
      <c r="Q76">
        <v>0</v>
      </c>
      <c r="R76">
        <v>50451000</v>
      </c>
      <c r="S76">
        <v>51774000</v>
      </c>
      <c r="T76">
        <v>16899000</v>
      </c>
      <c r="U76">
        <v>0</v>
      </c>
      <c r="V76">
        <v>0</v>
      </c>
      <c r="W76">
        <v>0</v>
      </c>
      <c r="X76">
        <v>57941000</v>
      </c>
      <c r="Y76">
        <v>108392000</v>
      </c>
      <c r="Z76">
        <v>34875000</v>
      </c>
    </row>
    <row r="77" spans="1:26">
      <c r="A77" s="21">
        <v>39113</v>
      </c>
      <c r="B77" t="s">
        <v>42</v>
      </c>
      <c r="C77">
        <v>645950000</v>
      </c>
      <c r="D77">
        <v>2553986000</v>
      </c>
      <c r="E77">
        <v>1908036000</v>
      </c>
      <c r="F77">
        <v>1908036000</v>
      </c>
      <c r="G77">
        <v>83075000</v>
      </c>
      <c r="H77">
        <v>44791125000</v>
      </c>
      <c r="I77">
        <v>0</v>
      </c>
      <c r="J77">
        <v>562875000</v>
      </c>
      <c r="K77">
        <v>0</v>
      </c>
      <c r="L77">
        <v>0</v>
      </c>
      <c r="M77">
        <v>0</v>
      </c>
      <c r="N77">
        <v>7891000</v>
      </c>
      <c r="O77">
        <v>0</v>
      </c>
      <c r="P77">
        <v>0</v>
      </c>
      <c r="Q77">
        <v>0</v>
      </c>
      <c r="R77">
        <v>51697000</v>
      </c>
      <c r="S77">
        <v>77394000</v>
      </c>
      <c r="T77">
        <v>27304000</v>
      </c>
      <c r="U77">
        <v>0</v>
      </c>
      <c r="V77">
        <v>0</v>
      </c>
      <c r="W77">
        <v>0</v>
      </c>
      <c r="X77">
        <v>85285000</v>
      </c>
      <c r="Y77">
        <v>136982000</v>
      </c>
      <c r="Z77">
        <v>50090000</v>
      </c>
    </row>
    <row r="78" spans="1:26">
      <c r="A78" s="21">
        <v>39021</v>
      </c>
      <c r="B78" t="s">
        <v>42</v>
      </c>
      <c r="C78">
        <v>526447000</v>
      </c>
      <c r="D78">
        <v>2213396000</v>
      </c>
      <c r="E78">
        <v>1686949000</v>
      </c>
      <c r="F78">
        <v>1686949000</v>
      </c>
      <c r="G78">
        <v>3339000</v>
      </c>
      <c r="H78">
        <v>523100000</v>
      </c>
      <c r="I78">
        <v>0</v>
      </c>
      <c r="J78">
        <v>523108000</v>
      </c>
      <c r="K78">
        <v>0</v>
      </c>
      <c r="L78">
        <v>0</v>
      </c>
      <c r="M78">
        <v>0</v>
      </c>
      <c r="N78">
        <v>10904000</v>
      </c>
      <c r="O78">
        <v>0</v>
      </c>
      <c r="P78">
        <v>0</v>
      </c>
      <c r="Q78">
        <v>0</v>
      </c>
      <c r="R78">
        <v>51431000</v>
      </c>
      <c r="S78">
        <v>-6680000</v>
      </c>
      <c r="T78">
        <v>-1395000</v>
      </c>
      <c r="U78">
        <v>0</v>
      </c>
      <c r="V78">
        <v>0</v>
      </c>
      <c r="W78">
        <v>0</v>
      </c>
      <c r="X78">
        <v>4224000</v>
      </c>
      <c r="Y78">
        <v>55655000</v>
      </c>
      <c r="Z78">
        <v>-5285000</v>
      </c>
    </row>
    <row r="79" spans="1:26">
      <c r="A79" s="21">
        <v>38929</v>
      </c>
      <c r="B79" t="s">
        <v>42</v>
      </c>
      <c r="C79">
        <v>611534000</v>
      </c>
      <c r="D79">
        <v>2251053000</v>
      </c>
      <c r="E79">
        <v>1639519000</v>
      </c>
      <c r="F79">
        <v>1639519000</v>
      </c>
      <c r="G79">
        <v>80577000</v>
      </c>
      <c r="H79">
        <v>531000000</v>
      </c>
      <c r="I79">
        <v>0</v>
      </c>
      <c r="J79">
        <v>530957000</v>
      </c>
      <c r="K79">
        <v>0</v>
      </c>
      <c r="L79">
        <v>0</v>
      </c>
      <c r="M79">
        <v>0</v>
      </c>
      <c r="N79">
        <v>8873000</v>
      </c>
      <c r="O79">
        <v>0</v>
      </c>
      <c r="P79">
        <v>0</v>
      </c>
      <c r="Q79">
        <v>0</v>
      </c>
      <c r="R79">
        <v>48702000</v>
      </c>
      <c r="S79">
        <v>73161000</v>
      </c>
      <c r="T79">
        <v>27693000</v>
      </c>
      <c r="U79">
        <v>0</v>
      </c>
      <c r="V79">
        <v>0</v>
      </c>
      <c r="W79">
        <v>0</v>
      </c>
      <c r="X79">
        <v>82034000</v>
      </c>
      <c r="Y79">
        <v>130736000</v>
      </c>
      <c r="Z79">
        <v>45468000</v>
      </c>
    </row>
    <row r="80" spans="1:26">
      <c r="A80" s="21">
        <v>38837</v>
      </c>
      <c r="B80" t="s">
        <v>42</v>
      </c>
      <c r="C80">
        <v>584274000</v>
      </c>
      <c r="D80">
        <v>2151387000</v>
      </c>
      <c r="E80">
        <v>1567113000</v>
      </c>
      <c r="F80">
        <v>1567113000</v>
      </c>
      <c r="G80">
        <v>81285000</v>
      </c>
      <c r="H80">
        <v>503000000</v>
      </c>
      <c r="I80">
        <v>0</v>
      </c>
      <c r="J80">
        <v>502989000</v>
      </c>
      <c r="K80">
        <v>0</v>
      </c>
      <c r="L80">
        <v>0</v>
      </c>
      <c r="M80">
        <v>0</v>
      </c>
      <c r="N80">
        <v>7247000</v>
      </c>
      <c r="O80">
        <v>0</v>
      </c>
      <c r="P80">
        <v>0</v>
      </c>
      <c r="Q80">
        <v>0</v>
      </c>
      <c r="R80">
        <v>48778000</v>
      </c>
      <c r="S80">
        <v>76488000</v>
      </c>
      <c r="T80">
        <v>28818000</v>
      </c>
      <c r="U80">
        <v>0</v>
      </c>
      <c r="V80">
        <v>0</v>
      </c>
      <c r="W80">
        <v>0</v>
      </c>
      <c r="X80">
        <v>83735000</v>
      </c>
      <c r="Y80">
        <v>132513000</v>
      </c>
      <c r="Z80">
        <v>47670000</v>
      </c>
    </row>
    <row r="81" spans="1:26">
      <c r="A81" s="21">
        <v>38748</v>
      </c>
      <c r="B81" t="s">
        <v>42</v>
      </c>
      <c r="C81">
        <v>730929000</v>
      </c>
      <c r="D81">
        <v>2480504000</v>
      </c>
      <c r="E81">
        <v>1749575000</v>
      </c>
      <c r="F81">
        <v>1749575000</v>
      </c>
      <c r="G81">
        <v>232264000</v>
      </c>
      <c r="H81">
        <v>44855335000</v>
      </c>
      <c r="I81">
        <v>0</v>
      </c>
      <c r="J81">
        <v>498665000</v>
      </c>
      <c r="K81">
        <v>0</v>
      </c>
      <c r="L81">
        <v>0</v>
      </c>
      <c r="M81">
        <v>0</v>
      </c>
      <c r="N81">
        <v>7593000</v>
      </c>
      <c r="O81">
        <v>0</v>
      </c>
      <c r="P81">
        <v>0</v>
      </c>
      <c r="Q81">
        <v>0</v>
      </c>
      <c r="R81">
        <v>49007000</v>
      </c>
      <c r="S81">
        <v>227230000</v>
      </c>
      <c r="T81">
        <v>81958000</v>
      </c>
      <c r="U81">
        <v>0</v>
      </c>
      <c r="V81">
        <v>0</v>
      </c>
      <c r="W81">
        <v>0</v>
      </c>
      <c r="X81">
        <v>234823000</v>
      </c>
      <c r="Y81">
        <v>283830000</v>
      </c>
      <c r="Z81">
        <v>145272000</v>
      </c>
    </row>
    <row r="82" spans="1:26">
      <c r="A82" s="21">
        <v>38656</v>
      </c>
      <c r="B82" t="s">
        <v>42</v>
      </c>
      <c r="C82">
        <v>579016000</v>
      </c>
      <c r="D82">
        <v>2057888000</v>
      </c>
      <c r="E82">
        <v>1478872000</v>
      </c>
      <c r="F82">
        <v>1478872000</v>
      </c>
      <c r="G82">
        <v>101612000</v>
      </c>
      <c r="H82">
        <v>477400000</v>
      </c>
      <c r="I82">
        <v>0</v>
      </c>
      <c r="J82">
        <v>477404000</v>
      </c>
      <c r="K82">
        <v>0</v>
      </c>
      <c r="L82">
        <v>0</v>
      </c>
      <c r="M82">
        <v>0</v>
      </c>
      <c r="N82">
        <v>5321000</v>
      </c>
      <c r="O82">
        <v>0</v>
      </c>
      <c r="P82">
        <v>0</v>
      </c>
      <c r="Q82">
        <v>0</v>
      </c>
      <c r="R82">
        <v>47501000</v>
      </c>
      <c r="S82">
        <v>97961000</v>
      </c>
      <c r="T82">
        <v>33536000</v>
      </c>
      <c r="U82">
        <v>0</v>
      </c>
      <c r="V82">
        <v>0</v>
      </c>
      <c r="W82">
        <v>0</v>
      </c>
      <c r="X82">
        <v>103282000</v>
      </c>
      <c r="Y82">
        <v>150783000</v>
      </c>
      <c r="Z82">
        <v>64425000</v>
      </c>
    </row>
    <row r="83" spans="1:26">
      <c r="A83" s="21">
        <v>38564</v>
      </c>
      <c r="B83" t="s">
        <v>42</v>
      </c>
      <c r="C83">
        <v>591530000</v>
      </c>
      <c r="D83">
        <v>2066016000</v>
      </c>
      <c r="E83">
        <v>1474486000</v>
      </c>
      <c r="F83">
        <v>1474486000</v>
      </c>
      <c r="G83">
        <v>121070000</v>
      </c>
      <c r="H83">
        <v>470500000</v>
      </c>
      <c r="I83">
        <v>0</v>
      </c>
      <c r="J83">
        <v>470460000</v>
      </c>
      <c r="K83">
        <v>0</v>
      </c>
      <c r="L83">
        <v>0</v>
      </c>
      <c r="M83">
        <v>0</v>
      </c>
      <c r="N83">
        <v>7344000</v>
      </c>
      <c r="O83">
        <v>0</v>
      </c>
      <c r="P83">
        <v>0</v>
      </c>
      <c r="Q83">
        <v>0</v>
      </c>
      <c r="R83">
        <v>46310000</v>
      </c>
      <c r="S83">
        <v>115882000</v>
      </c>
      <c r="T83">
        <v>40324000</v>
      </c>
      <c r="U83">
        <v>0</v>
      </c>
      <c r="V83">
        <v>0</v>
      </c>
      <c r="W83">
        <v>0</v>
      </c>
      <c r="X83">
        <v>123226000</v>
      </c>
      <c r="Y83">
        <v>169536000</v>
      </c>
      <c r="Z83">
        <v>75558000</v>
      </c>
    </row>
    <row r="84" spans="1:26">
      <c r="A84" s="21">
        <v>38472</v>
      </c>
      <c r="B84" t="s">
        <v>42</v>
      </c>
      <c r="C84">
        <v>563349000</v>
      </c>
      <c r="D84">
        <v>1977829000</v>
      </c>
      <c r="E84">
        <v>1414480000</v>
      </c>
      <c r="F84">
        <v>1414480000</v>
      </c>
      <c r="G84">
        <v>106921000</v>
      </c>
      <c r="H84">
        <v>456400000</v>
      </c>
      <c r="I84">
        <v>0</v>
      </c>
      <c r="J84">
        <v>456428000</v>
      </c>
      <c r="K84">
        <v>0</v>
      </c>
      <c r="L84">
        <v>0</v>
      </c>
      <c r="M84">
        <v>0</v>
      </c>
      <c r="N84">
        <v>5968000</v>
      </c>
      <c r="O84">
        <v>0</v>
      </c>
      <c r="P84">
        <v>0</v>
      </c>
      <c r="Q84">
        <v>0</v>
      </c>
      <c r="R84">
        <v>44006000</v>
      </c>
      <c r="S84">
        <v>103569000</v>
      </c>
      <c r="T84">
        <v>38669000</v>
      </c>
      <c r="U84">
        <v>0</v>
      </c>
      <c r="V84">
        <v>0</v>
      </c>
      <c r="W84">
        <v>0</v>
      </c>
      <c r="X84">
        <v>109537000</v>
      </c>
      <c r="Y84">
        <v>153543000</v>
      </c>
      <c r="Z84">
        <v>64900000</v>
      </c>
    </row>
    <row r="85" spans="1:26">
      <c r="A85" s="21"/>
    </row>
    <row r="86" spans="1:26">
      <c r="A86" s="21"/>
    </row>
    <row r="87" spans="1:26">
      <c r="A87" s="21"/>
    </row>
    <row r="88" spans="1:26">
      <c r="A88" s="21"/>
    </row>
    <row r="89" spans="1:26">
      <c r="A89" s="21"/>
    </row>
    <row r="90" spans="1:26">
      <c r="A90" s="21"/>
    </row>
    <row r="91" spans="1:26">
      <c r="A91" s="21"/>
    </row>
    <row r="92" spans="1:26">
      <c r="A92" s="21"/>
    </row>
    <row r="93" spans="1:26">
      <c r="A93" s="21"/>
    </row>
    <row r="94" spans="1:26">
      <c r="A94" s="21"/>
    </row>
    <row r="95" spans="1:26">
      <c r="A95" s="21"/>
    </row>
    <row r="96" spans="1:26">
      <c r="A96" s="21"/>
    </row>
    <row r="97" spans="1:38">
      <c r="A97" s="21"/>
    </row>
    <row r="98" spans="1:38">
      <c r="A98" s="21"/>
    </row>
    <row r="99" spans="1:38">
      <c r="A99" s="21"/>
    </row>
    <row r="100" spans="1:38">
      <c r="A100" s="21" t="s">
        <v>229</v>
      </c>
    </row>
    <row r="101" spans="1:38">
      <c r="A101" s="21" t="s">
        <v>14</v>
      </c>
      <c r="B101" t="s">
        <v>15</v>
      </c>
      <c r="C101" t="s">
        <v>143</v>
      </c>
      <c r="D101" t="s">
        <v>144</v>
      </c>
      <c r="E101" t="s">
        <v>145</v>
      </c>
      <c r="F101" t="s">
        <v>146</v>
      </c>
      <c r="G101" t="s">
        <v>147</v>
      </c>
      <c r="H101" t="s">
        <v>148</v>
      </c>
      <c r="I101" t="s">
        <v>149</v>
      </c>
      <c r="J101" t="s">
        <v>150</v>
      </c>
      <c r="K101" t="s">
        <v>151</v>
      </c>
      <c r="L101" t="s">
        <v>152</v>
      </c>
      <c r="M101" t="s">
        <v>153</v>
      </c>
      <c r="N101" t="s">
        <v>154</v>
      </c>
      <c r="O101" t="s">
        <v>155</v>
      </c>
      <c r="P101" t="s">
        <v>156</v>
      </c>
      <c r="Q101" t="s">
        <v>157</v>
      </c>
      <c r="R101" t="s">
        <v>158</v>
      </c>
      <c r="S101" t="s">
        <v>159</v>
      </c>
      <c r="T101" t="s">
        <v>160</v>
      </c>
      <c r="U101" t="s">
        <v>161</v>
      </c>
      <c r="V101" t="s">
        <v>162</v>
      </c>
      <c r="W101" t="s">
        <v>69</v>
      </c>
      <c r="X101" t="s">
        <v>70</v>
      </c>
      <c r="Y101" t="s">
        <v>71</v>
      </c>
      <c r="Z101" t="s">
        <v>72</v>
      </c>
      <c r="AA101" t="s">
        <v>73</v>
      </c>
      <c r="AB101" t="s">
        <v>74</v>
      </c>
      <c r="AC101" t="s">
        <v>75</v>
      </c>
      <c r="AD101" t="s">
        <v>76</v>
      </c>
      <c r="AE101" t="s">
        <v>77</v>
      </c>
      <c r="AF101" t="s">
        <v>78</v>
      </c>
      <c r="AG101" t="s">
        <v>79</v>
      </c>
      <c r="AH101" t="s">
        <v>80</v>
      </c>
      <c r="AI101" t="s">
        <v>81</v>
      </c>
      <c r="AJ101" t="s">
        <v>82</v>
      </c>
      <c r="AK101" t="s">
        <v>83</v>
      </c>
      <c r="AL101" t="s">
        <v>84</v>
      </c>
    </row>
    <row r="102" spans="1:38">
      <c r="A102" s="21">
        <v>45777</v>
      </c>
      <c r="B102" t="s">
        <v>42</v>
      </c>
      <c r="C102">
        <v>30987661000</v>
      </c>
      <c r="D102">
        <v>7896303000</v>
      </c>
      <c r="E102">
        <v>850018000</v>
      </c>
      <c r="F102">
        <v>850018000</v>
      </c>
      <c r="G102">
        <v>6590096000</v>
      </c>
      <c r="H102">
        <v>0</v>
      </c>
      <c r="I102">
        <v>23091358000</v>
      </c>
      <c r="J102">
        <v>0</v>
      </c>
      <c r="K102">
        <v>0</v>
      </c>
      <c r="L102">
        <v>1199700000</v>
      </c>
      <c r="M102">
        <v>1199700000</v>
      </c>
      <c r="N102">
        <v>4338589000</v>
      </c>
      <c r="O102">
        <v>0</v>
      </c>
      <c r="P102">
        <v>0</v>
      </c>
      <c r="Q102">
        <v>0</v>
      </c>
      <c r="R102">
        <v>456189000</v>
      </c>
      <c r="S102">
        <v>0</v>
      </c>
      <c r="T102">
        <v>23283998000</v>
      </c>
      <c r="U102">
        <v>6403665000</v>
      </c>
      <c r="V102">
        <v>3836222000</v>
      </c>
      <c r="W102">
        <v>0</v>
      </c>
      <c r="X102">
        <v>0</v>
      </c>
      <c r="Y102">
        <v>1498486000</v>
      </c>
      <c r="Z102">
        <v>16880333000</v>
      </c>
      <c r="AA102">
        <v>11273684000</v>
      </c>
      <c r="AB102">
        <v>5724739000</v>
      </c>
      <c r="AC102">
        <v>19591000</v>
      </c>
      <c r="AD102">
        <v>0</v>
      </c>
      <c r="AE102">
        <v>17018014000</v>
      </c>
      <c r="AF102">
        <v>-2842759000</v>
      </c>
      <c r="AG102">
        <v>264757000</v>
      </c>
      <c r="AH102">
        <v>7703663000</v>
      </c>
      <c r="AI102">
        <v>0</v>
      </c>
      <c r="AJ102">
        <v>3667792000</v>
      </c>
      <c r="AK102">
        <v>192557000</v>
      </c>
      <c r="AL102">
        <v>220135000</v>
      </c>
    </row>
    <row r="103" spans="1:38">
      <c r="A103" s="21">
        <v>45688</v>
      </c>
      <c r="B103" t="s">
        <v>42</v>
      </c>
      <c r="C103">
        <v>31132733000</v>
      </c>
      <c r="D103">
        <v>8163925000</v>
      </c>
      <c r="E103">
        <v>932576000</v>
      </c>
      <c r="F103">
        <v>932576000</v>
      </c>
      <c r="G103">
        <v>6711242000</v>
      </c>
      <c r="H103">
        <v>127132000</v>
      </c>
      <c r="I103">
        <v>22968808000</v>
      </c>
      <c r="J103">
        <v>0</v>
      </c>
      <c r="K103">
        <v>0</v>
      </c>
      <c r="L103">
        <v>1199700000</v>
      </c>
      <c r="M103">
        <v>1199700000</v>
      </c>
      <c r="N103">
        <v>4338589000</v>
      </c>
      <c r="O103">
        <v>0</v>
      </c>
      <c r="P103">
        <v>0</v>
      </c>
      <c r="Q103">
        <v>0</v>
      </c>
      <c r="R103">
        <v>127132000</v>
      </c>
      <c r="S103">
        <v>0</v>
      </c>
      <c r="T103">
        <v>23719026000</v>
      </c>
      <c r="U103">
        <v>6868702000</v>
      </c>
      <c r="V103">
        <v>3833133000</v>
      </c>
      <c r="W103">
        <v>0</v>
      </c>
      <c r="X103">
        <v>0</v>
      </c>
      <c r="Y103">
        <v>1979577000</v>
      </c>
      <c r="Z103">
        <v>16850324000</v>
      </c>
      <c r="AA103">
        <v>11224897000</v>
      </c>
      <c r="AB103">
        <v>5719025000</v>
      </c>
      <c r="AC103">
        <v>519463000</v>
      </c>
      <c r="AD103">
        <v>0</v>
      </c>
      <c r="AE103">
        <v>17463385000</v>
      </c>
      <c r="AF103">
        <v>1055992000</v>
      </c>
      <c r="AG103">
        <v>262815000</v>
      </c>
      <c r="AH103">
        <v>7413707000</v>
      </c>
      <c r="AI103">
        <v>0</v>
      </c>
      <c r="AJ103">
        <v>3405683000</v>
      </c>
      <c r="AK103">
        <v>192447000</v>
      </c>
      <c r="AL103">
        <v>219996000</v>
      </c>
    </row>
    <row r="104" spans="1:38">
      <c r="A104" s="21">
        <v>45596</v>
      </c>
      <c r="B104" t="s">
        <v>42</v>
      </c>
      <c r="C104">
        <v>31460415000</v>
      </c>
      <c r="D104">
        <v>8176516000</v>
      </c>
      <c r="E104">
        <v>537257000</v>
      </c>
      <c r="F104">
        <v>537257000</v>
      </c>
      <c r="G104">
        <v>7118974000</v>
      </c>
      <c r="H104">
        <v>115698000</v>
      </c>
      <c r="I104">
        <v>23283899000</v>
      </c>
      <c r="J104">
        <v>0</v>
      </c>
      <c r="K104">
        <v>0</v>
      </c>
      <c r="L104">
        <v>1199700000</v>
      </c>
      <c r="M104">
        <v>1199700000</v>
      </c>
      <c r="N104">
        <v>4338589000</v>
      </c>
      <c r="O104">
        <v>0</v>
      </c>
      <c r="P104">
        <v>0</v>
      </c>
      <c r="Q104">
        <v>0</v>
      </c>
      <c r="R104">
        <v>520285000</v>
      </c>
      <c r="S104">
        <v>0</v>
      </c>
      <c r="T104">
        <v>24117830000</v>
      </c>
      <c r="U104">
        <v>7110697000</v>
      </c>
      <c r="V104">
        <v>4045404000</v>
      </c>
      <c r="W104">
        <v>0</v>
      </c>
      <c r="X104">
        <v>0</v>
      </c>
      <c r="Y104">
        <v>3409493000</v>
      </c>
      <c r="Z104">
        <v>17007133000</v>
      </c>
      <c r="AA104">
        <v>11323778000</v>
      </c>
      <c r="AB104">
        <v>5723053000</v>
      </c>
      <c r="AC104">
        <v>519351000</v>
      </c>
      <c r="AD104">
        <v>0</v>
      </c>
      <c r="AE104">
        <v>17566182000</v>
      </c>
      <c r="AF104">
        <v>-358659000</v>
      </c>
      <c r="AG104">
        <v>267287000</v>
      </c>
      <c r="AH104">
        <v>7342585000</v>
      </c>
      <c r="AI104">
        <v>0</v>
      </c>
      <c r="AJ104">
        <v>3344211000</v>
      </c>
      <c r="AK104">
        <v>192435000</v>
      </c>
      <c r="AL104">
        <v>219997000</v>
      </c>
    </row>
    <row r="105" spans="1:38">
      <c r="A105" s="21">
        <v>45504</v>
      </c>
      <c r="B105" t="s">
        <v>42</v>
      </c>
      <c r="C105">
        <v>31813765000</v>
      </c>
      <c r="D105">
        <v>8724242000</v>
      </c>
      <c r="E105">
        <v>1222691000</v>
      </c>
      <c r="F105">
        <v>1222691000</v>
      </c>
      <c r="G105">
        <v>7000569000</v>
      </c>
      <c r="H105">
        <v>61495000</v>
      </c>
      <c r="I105">
        <v>23089523000</v>
      </c>
      <c r="J105">
        <v>0</v>
      </c>
      <c r="K105">
        <v>0</v>
      </c>
      <c r="L105">
        <v>1199700000</v>
      </c>
      <c r="M105">
        <v>1199700000</v>
      </c>
      <c r="N105">
        <v>4338589000</v>
      </c>
      <c r="O105">
        <v>0</v>
      </c>
      <c r="P105">
        <v>0</v>
      </c>
      <c r="Q105">
        <v>0</v>
      </c>
      <c r="R105">
        <v>439487000</v>
      </c>
      <c r="S105">
        <v>0</v>
      </c>
      <c r="T105">
        <v>24553527000</v>
      </c>
      <c r="U105">
        <v>7141187000</v>
      </c>
      <c r="V105">
        <v>3869267000</v>
      </c>
      <c r="W105">
        <v>0</v>
      </c>
      <c r="X105">
        <v>0</v>
      </c>
      <c r="Y105">
        <v>3620554000</v>
      </c>
      <c r="Z105">
        <v>17412340000</v>
      </c>
      <c r="AA105">
        <v>11209634000</v>
      </c>
      <c r="AB105">
        <v>6235166000</v>
      </c>
      <c r="AC105">
        <v>769194000</v>
      </c>
      <c r="AD105">
        <v>0</v>
      </c>
      <c r="AE105">
        <v>18213994000</v>
      </c>
      <c r="AF105">
        <v>-360835000</v>
      </c>
      <c r="AG105">
        <v>254391000</v>
      </c>
      <c r="AH105">
        <v>7260238000</v>
      </c>
      <c r="AI105">
        <v>0</v>
      </c>
      <c r="AJ105">
        <v>3277439000</v>
      </c>
      <c r="AK105">
        <v>192423000</v>
      </c>
      <c r="AL105">
        <v>220065000</v>
      </c>
    </row>
    <row r="106" spans="1:38">
      <c r="A106" s="21">
        <v>45412</v>
      </c>
      <c r="B106" t="s">
        <v>42</v>
      </c>
      <c r="C106">
        <v>31009499000</v>
      </c>
      <c r="D106">
        <v>8096971000</v>
      </c>
      <c r="E106">
        <v>720700000</v>
      </c>
      <c r="F106">
        <v>720700000</v>
      </c>
      <c r="G106">
        <v>6934389000</v>
      </c>
      <c r="H106">
        <v>34946000</v>
      </c>
      <c r="I106">
        <v>22912528000</v>
      </c>
      <c r="J106">
        <v>0</v>
      </c>
      <c r="K106">
        <v>0</v>
      </c>
      <c r="L106">
        <v>1199700000</v>
      </c>
      <c r="M106">
        <v>1199700000</v>
      </c>
      <c r="N106">
        <v>4338589000</v>
      </c>
      <c r="O106">
        <v>0</v>
      </c>
      <c r="P106">
        <v>0</v>
      </c>
      <c r="Q106">
        <v>0</v>
      </c>
      <c r="R106">
        <v>406936000</v>
      </c>
      <c r="S106">
        <v>0</v>
      </c>
      <c r="T106">
        <v>24009320000</v>
      </c>
      <c r="U106">
        <v>6641862000</v>
      </c>
      <c r="V106">
        <v>3472487000</v>
      </c>
      <c r="W106">
        <v>0</v>
      </c>
      <c r="X106">
        <v>0</v>
      </c>
      <c r="Y106">
        <v>2176109000</v>
      </c>
      <c r="Z106">
        <v>17367458000</v>
      </c>
      <c r="AA106">
        <v>11130284000</v>
      </c>
      <c r="AB106">
        <v>6222387000</v>
      </c>
      <c r="AC106">
        <v>769139000</v>
      </c>
      <c r="AD106">
        <v>0</v>
      </c>
      <c r="AE106">
        <v>18121810000</v>
      </c>
      <c r="AF106">
        <v>976076000</v>
      </c>
      <c r="AG106">
        <v>264097000</v>
      </c>
      <c r="AH106">
        <v>7000179000</v>
      </c>
      <c r="AI106">
        <v>0</v>
      </c>
      <c r="AJ106">
        <v>3032996000</v>
      </c>
      <c r="AK106">
        <v>192407000</v>
      </c>
      <c r="AL106">
        <v>220052000</v>
      </c>
    </row>
    <row r="107" spans="1:38">
      <c r="A107" s="21">
        <v>45322</v>
      </c>
      <c r="B107" t="s">
        <v>42</v>
      </c>
      <c r="C107">
        <v>33742139000</v>
      </c>
      <c r="D107">
        <v>8010724000</v>
      </c>
      <c r="E107">
        <v>537283000</v>
      </c>
      <c r="F107">
        <v>537283000</v>
      </c>
      <c r="G107">
        <v>6994266000</v>
      </c>
      <c r="H107">
        <v>112262000</v>
      </c>
      <c r="I107">
        <v>25731415000</v>
      </c>
      <c r="J107">
        <v>0</v>
      </c>
      <c r="K107">
        <v>0</v>
      </c>
      <c r="L107">
        <v>1199700000</v>
      </c>
      <c r="M107">
        <v>1199700000</v>
      </c>
      <c r="N107">
        <v>4338589000</v>
      </c>
      <c r="O107">
        <v>0</v>
      </c>
      <c r="P107">
        <v>0</v>
      </c>
      <c r="Q107">
        <v>0</v>
      </c>
      <c r="R107">
        <v>366913000</v>
      </c>
      <c r="S107">
        <v>0</v>
      </c>
      <c r="T107">
        <v>26993020000</v>
      </c>
      <c r="U107">
        <v>6725701000</v>
      </c>
      <c r="V107">
        <v>3587374000</v>
      </c>
      <c r="W107">
        <v>0</v>
      </c>
      <c r="X107">
        <v>0</v>
      </c>
      <c r="Y107">
        <v>3542811000</v>
      </c>
      <c r="Z107">
        <v>20267319000</v>
      </c>
      <c r="AA107">
        <v>11090582000</v>
      </c>
      <c r="AB107">
        <v>6231539000</v>
      </c>
      <c r="AC107">
        <v>768645000</v>
      </c>
      <c r="AD107">
        <v>0</v>
      </c>
      <c r="AE107">
        <v>18090766000</v>
      </c>
      <c r="AF107">
        <v>-415193000</v>
      </c>
      <c r="AG107">
        <v>251949000</v>
      </c>
      <c r="AH107">
        <v>6749119000</v>
      </c>
      <c r="AI107">
        <v>0</v>
      </c>
      <c r="AJ107">
        <v>2799415000</v>
      </c>
      <c r="AK107">
        <v>192206000</v>
      </c>
      <c r="AL107">
        <v>219893000</v>
      </c>
    </row>
    <row r="108" spans="1:38">
      <c r="A108" s="21">
        <v>45230</v>
      </c>
      <c r="B108" t="s">
        <v>42</v>
      </c>
      <c r="C108">
        <v>30624626000</v>
      </c>
      <c r="D108">
        <v>8271078000</v>
      </c>
      <c r="E108">
        <v>365447000</v>
      </c>
      <c r="F108">
        <v>365447000</v>
      </c>
      <c r="G108">
        <v>7356065000</v>
      </c>
      <c r="H108">
        <v>197555000</v>
      </c>
      <c r="I108">
        <v>22353548000</v>
      </c>
      <c r="J108">
        <v>16752708000</v>
      </c>
      <c r="K108">
        <v>0</v>
      </c>
      <c r="L108">
        <v>1199700000</v>
      </c>
      <c r="M108">
        <v>1199700000</v>
      </c>
      <c r="N108">
        <v>4338589000</v>
      </c>
      <c r="O108">
        <v>0</v>
      </c>
      <c r="P108">
        <v>0</v>
      </c>
      <c r="Q108">
        <v>0</v>
      </c>
      <c r="R108">
        <v>352011000</v>
      </c>
      <c r="S108">
        <v>0</v>
      </c>
      <c r="T108">
        <v>24172742000</v>
      </c>
      <c r="U108">
        <v>6787090000</v>
      </c>
      <c r="V108">
        <v>3651778000</v>
      </c>
      <c r="W108">
        <v>0</v>
      </c>
      <c r="X108">
        <v>0</v>
      </c>
      <c r="Y108">
        <v>2105316000</v>
      </c>
      <c r="Z108">
        <v>17385652000</v>
      </c>
      <c r="AA108">
        <v>10895889000</v>
      </c>
      <c r="AB108">
        <v>6440845000</v>
      </c>
      <c r="AC108">
        <v>750000000</v>
      </c>
      <c r="AD108">
        <v>0</v>
      </c>
      <c r="AE108">
        <v>18086734000</v>
      </c>
      <c r="AF108">
        <v>1020759000</v>
      </c>
      <c r="AG108">
        <v>252109000</v>
      </c>
      <c r="AH108">
        <v>6451884000</v>
      </c>
      <c r="AI108">
        <v>0</v>
      </c>
      <c r="AJ108">
        <v>2527201000</v>
      </c>
      <c r="AK108">
        <v>192053000</v>
      </c>
      <c r="AL108">
        <v>219799000</v>
      </c>
    </row>
    <row r="109" spans="1:38">
      <c r="A109" s="21">
        <v>45138</v>
      </c>
      <c r="B109" t="s">
        <v>42</v>
      </c>
      <c r="C109">
        <v>30395557000</v>
      </c>
      <c r="D109">
        <v>8413979000</v>
      </c>
      <c r="E109">
        <v>353018000</v>
      </c>
      <c r="F109">
        <v>353018000</v>
      </c>
      <c r="G109">
        <v>7531459000</v>
      </c>
      <c r="H109">
        <v>151730000</v>
      </c>
      <c r="I109">
        <v>21981578000</v>
      </c>
      <c r="J109">
        <v>16379301000</v>
      </c>
      <c r="K109">
        <v>0</v>
      </c>
      <c r="L109">
        <v>1199700000</v>
      </c>
      <c r="M109">
        <v>1199700000</v>
      </c>
      <c r="N109">
        <v>4338589000</v>
      </c>
      <c r="O109">
        <v>0</v>
      </c>
      <c r="P109">
        <v>0</v>
      </c>
      <c r="Q109">
        <v>0</v>
      </c>
      <c r="R109">
        <v>377772000</v>
      </c>
      <c r="S109">
        <v>0</v>
      </c>
      <c r="T109">
        <v>24097852000</v>
      </c>
      <c r="U109">
        <v>6033922000</v>
      </c>
      <c r="V109">
        <v>3681634000</v>
      </c>
      <c r="W109">
        <v>0</v>
      </c>
      <c r="X109">
        <v>0</v>
      </c>
      <c r="Y109">
        <v>1331433000</v>
      </c>
      <c r="Z109">
        <v>18063930000</v>
      </c>
      <c r="AA109">
        <v>10740626000</v>
      </c>
      <c r="AB109">
        <v>7295215000</v>
      </c>
      <c r="AC109">
        <v>0</v>
      </c>
      <c r="AD109">
        <v>0</v>
      </c>
      <c r="AE109">
        <v>18035841000</v>
      </c>
      <c r="AF109">
        <v>1013594000</v>
      </c>
      <c r="AG109">
        <v>240408000</v>
      </c>
      <c r="AH109">
        <v>6297705000</v>
      </c>
      <c r="AI109">
        <v>0</v>
      </c>
      <c r="AJ109">
        <v>2380451000</v>
      </c>
      <c r="AK109">
        <v>192039000</v>
      </c>
      <c r="AL109">
        <v>219952000</v>
      </c>
    </row>
    <row r="110" spans="1:38">
      <c r="A110" s="21">
        <v>45046</v>
      </c>
      <c r="B110" t="s">
        <v>42</v>
      </c>
      <c r="C110">
        <v>29803933000</v>
      </c>
      <c r="D110">
        <v>8055460000</v>
      </c>
      <c r="E110">
        <v>313064000</v>
      </c>
      <c r="F110">
        <v>313064000</v>
      </c>
      <c r="G110">
        <v>7335845000</v>
      </c>
      <c r="H110">
        <v>50863000</v>
      </c>
      <c r="I110">
        <v>21748473000</v>
      </c>
      <c r="J110">
        <v>5420134000</v>
      </c>
      <c r="K110">
        <v>0</v>
      </c>
      <c r="L110">
        <v>1199700000</v>
      </c>
      <c r="M110">
        <v>1199700000</v>
      </c>
      <c r="N110">
        <v>4338589000</v>
      </c>
      <c r="O110">
        <v>0</v>
      </c>
      <c r="P110">
        <v>0</v>
      </c>
      <c r="Q110">
        <v>0</v>
      </c>
      <c r="R110">
        <v>355688000</v>
      </c>
      <c r="S110">
        <v>0</v>
      </c>
      <c r="T110">
        <v>23868682000</v>
      </c>
      <c r="U110">
        <v>6100679000</v>
      </c>
      <c r="V110">
        <v>3679170000</v>
      </c>
      <c r="W110">
        <v>0</v>
      </c>
      <c r="X110">
        <v>0</v>
      </c>
      <c r="Y110">
        <v>1561753000</v>
      </c>
      <c r="Z110">
        <v>17768003000</v>
      </c>
      <c r="AA110">
        <v>10711586000</v>
      </c>
      <c r="AB110">
        <v>7028767000</v>
      </c>
      <c r="AC110">
        <v>250000000</v>
      </c>
      <c r="AD110">
        <v>0</v>
      </c>
      <c r="AE110">
        <v>17990353000</v>
      </c>
      <c r="AF110">
        <v>848757000</v>
      </c>
      <c r="AG110">
        <v>227969000</v>
      </c>
      <c r="AH110">
        <v>5935251000</v>
      </c>
      <c r="AI110">
        <v>0</v>
      </c>
      <c r="AJ110">
        <v>2041118000</v>
      </c>
      <c r="AK110">
        <v>191921000</v>
      </c>
      <c r="AL110">
        <v>220107000</v>
      </c>
    </row>
    <row r="111" spans="1:38">
      <c r="A111" s="21">
        <v>44957</v>
      </c>
      <c r="B111" t="s">
        <v>42</v>
      </c>
      <c r="C111">
        <v>29083367000</v>
      </c>
      <c r="D111">
        <v>7581009000</v>
      </c>
      <c r="E111">
        <v>381576000</v>
      </c>
      <c r="F111">
        <v>381576000</v>
      </c>
      <c r="G111">
        <v>6760733000</v>
      </c>
      <c r="H111">
        <v>135775000</v>
      </c>
      <c r="I111">
        <v>21502358000</v>
      </c>
      <c r="J111">
        <v>15906323000</v>
      </c>
      <c r="K111">
        <v>0</v>
      </c>
      <c r="L111">
        <v>1199700000</v>
      </c>
      <c r="M111">
        <v>1199700000</v>
      </c>
      <c r="N111">
        <v>4338589000</v>
      </c>
      <c r="O111">
        <v>0</v>
      </c>
      <c r="P111">
        <v>0</v>
      </c>
      <c r="Q111">
        <v>0</v>
      </c>
      <c r="R111">
        <v>302925000</v>
      </c>
      <c r="S111">
        <v>0</v>
      </c>
      <c r="T111">
        <v>23541595000</v>
      </c>
      <c r="U111">
        <v>5887768000</v>
      </c>
      <c r="V111">
        <v>3552991000</v>
      </c>
      <c r="W111">
        <v>0</v>
      </c>
      <c r="X111">
        <v>0</v>
      </c>
      <c r="Y111">
        <v>1288939000</v>
      </c>
      <c r="Z111">
        <v>17653827000</v>
      </c>
      <c r="AA111">
        <v>10651700000</v>
      </c>
      <c r="AB111">
        <v>7009399000</v>
      </c>
      <c r="AC111">
        <v>0</v>
      </c>
      <c r="AD111">
        <v>0</v>
      </c>
      <c r="AE111">
        <v>17661099000</v>
      </c>
      <c r="AF111">
        <v>1036919000</v>
      </c>
      <c r="AG111">
        <v>220761000</v>
      </c>
      <c r="AH111">
        <v>5541772000</v>
      </c>
      <c r="AI111">
        <v>0</v>
      </c>
      <c r="AJ111">
        <v>1656140000</v>
      </c>
      <c r="AK111">
        <v>191718000</v>
      </c>
      <c r="AL111">
        <v>222702000</v>
      </c>
    </row>
    <row r="112" spans="1:38">
      <c r="A112" s="21">
        <v>44865</v>
      </c>
      <c r="B112" t="s">
        <v>42</v>
      </c>
      <c r="C112">
        <v>29007158000</v>
      </c>
      <c r="D112">
        <v>8017016000</v>
      </c>
      <c r="E112">
        <v>362731000</v>
      </c>
      <c r="F112">
        <v>362731000</v>
      </c>
      <c r="G112">
        <v>7144722000</v>
      </c>
      <c r="H112">
        <v>188082000</v>
      </c>
      <c r="I112">
        <v>20990142000</v>
      </c>
      <c r="J112">
        <v>15396824000</v>
      </c>
      <c r="K112">
        <v>0</v>
      </c>
      <c r="L112">
        <v>1199700000</v>
      </c>
      <c r="M112">
        <v>1199700000</v>
      </c>
      <c r="N112">
        <v>4338589000</v>
      </c>
      <c r="O112">
        <v>0</v>
      </c>
      <c r="P112">
        <v>0</v>
      </c>
      <c r="Q112">
        <v>0</v>
      </c>
      <c r="R112">
        <v>321481000</v>
      </c>
      <c r="S112">
        <v>0</v>
      </c>
      <c r="T112">
        <v>22913352000</v>
      </c>
      <c r="U112">
        <v>6502647000</v>
      </c>
      <c r="V112">
        <v>4127076000</v>
      </c>
      <c r="W112">
        <v>0</v>
      </c>
      <c r="X112">
        <v>0</v>
      </c>
      <c r="Y112">
        <v>2514120000</v>
      </c>
      <c r="Z112">
        <v>16410705000</v>
      </c>
      <c r="AA112">
        <v>10452102000</v>
      </c>
      <c r="AB112">
        <v>5985728000</v>
      </c>
      <c r="AC112">
        <v>0</v>
      </c>
      <c r="AD112">
        <v>0</v>
      </c>
      <c r="AE112">
        <v>5985728000</v>
      </c>
      <c r="AF112">
        <v>-146555000</v>
      </c>
      <c r="AG112">
        <v>237456000</v>
      </c>
      <c r="AH112">
        <v>6093806000</v>
      </c>
      <c r="AI112">
        <v>0</v>
      </c>
      <c r="AJ112">
        <v>2222823000</v>
      </c>
      <c r="AK112">
        <v>195629000</v>
      </c>
      <c r="AL112">
        <v>225697001</v>
      </c>
    </row>
    <row r="113" spans="1:38">
      <c r="A113" s="21">
        <v>44773</v>
      </c>
      <c r="B113" t="s">
        <v>42</v>
      </c>
      <c r="C113">
        <v>28239256000</v>
      </c>
      <c r="D113">
        <v>7682892000</v>
      </c>
      <c r="E113">
        <v>326263000</v>
      </c>
      <c r="F113">
        <v>326263000</v>
      </c>
      <c r="G113">
        <v>6935856000</v>
      </c>
      <c r="H113">
        <v>93283000</v>
      </c>
      <c r="I113">
        <v>20556364000</v>
      </c>
      <c r="J113">
        <v>4648187000</v>
      </c>
      <c r="K113">
        <v>0</v>
      </c>
      <c r="L113">
        <v>1199700000</v>
      </c>
      <c r="M113">
        <v>1199700000</v>
      </c>
      <c r="N113">
        <v>4338589000</v>
      </c>
      <c r="O113">
        <v>0</v>
      </c>
      <c r="P113">
        <v>0</v>
      </c>
      <c r="Q113">
        <v>0</v>
      </c>
      <c r="R113">
        <v>327490000</v>
      </c>
      <c r="S113">
        <v>0</v>
      </c>
      <c r="T113">
        <v>22050765000</v>
      </c>
      <c r="U113">
        <v>7566786000</v>
      </c>
      <c r="V113">
        <v>4358388000</v>
      </c>
      <c r="W113">
        <v>0</v>
      </c>
      <c r="X113">
        <v>0</v>
      </c>
      <c r="Y113">
        <v>3362763000</v>
      </c>
      <c r="Z113">
        <v>14483979000</v>
      </c>
      <c r="AA113">
        <v>10301392000</v>
      </c>
      <c r="AB113">
        <v>4290700000</v>
      </c>
      <c r="AC113">
        <v>900635000</v>
      </c>
      <c r="AD113">
        <v>0</v>
      </c>
      <c r="AE113">
        <v>15492727000</v>
      </c>
      <c r="AF113">
        <v>-161138000</v>
      </c>
      <c r="AG113">
        <v>216105000</v>
      </c>
      <c r="AH113">
        <v>6188491000</v>
      </c>
      <c r="AI113">
        <v>0</v>
      </c>
      <c r="AJ113">
        <v>2364098000</v>
      </c>
      <c r="AK113">
        <v>197372000</v>
      </c>
      <c r="AL113">
        <v>227456000</v>
      </c>
    </row>
    <row r="114" spans="1:38">
      <c r="A114" s="21">
        <v>44681</v>
      </c>
      <c r="B114" t="s">
        <v>42</v>
      </c>
      <c r="C114">
        <v>26956308000</v>
      </c>
      <c r="D114">
        <v>6736870000</v>
      </c>
      <c r="E114">
        <v>335613000</v>
      </c>
      <c r="F114">
        <v>335613000</v>
      </c>
      <c r="G114">
        <v>6087399000</v>
      </c>
      <c r="H114">
        <v>33576000</v>
      </c>
      <c r="I114">
        <v>20219438000</v>
      </c>
      <c r="J114">
        <v>4451028000</v>
      </c>
      <c r="K114">
        <v>0</v>
      </c>
      <c r="L114">
        <v>1199720000</v>
      </c>
      <c r="M114">
        <v>1199720000</v>
      </c>
      <c r="N114">
        <v>4338589000</v>
      </c>
      <c r="O114">
        <v>0</v>
      </c>
      <c r="P114">
        <v>0</v>
      </c>
      <c r="Q114">
        <v>0</v>
      </c>
      <c r="R114">
        <v>280282000</v>
      </c>
      <c r="S114">
        <v>0</v>
      </c>
      <c r="T114">
        <v>20994684000</v>
      </c>
      <c r="U114">
        <v>6951841000</v>
      </c>
      <c r="V114">
        <v>3906852000</v>
      </c>
      <c r="W114">
        <v>0</v>
      </c>
      <c r="X114">
        <v>0</v>
      </c>
      <c r="Y114">
        <v>3310721000</v>
      </c>
      <c r="Z114">
        <v>14042843000</v>
      </c>
      <c r="AA114">
        <v>10164217000</v>
      </c>
      <c r="AB114">
        <v>3947462000</v>
      </c>
      <c r="AC114">
        <v>900635000</v>
      </c>
      <c r="AD114">
        <v>0</v>
      </c>
      <c r="AE114">
        <v>15012314000</v>
      </c>
      <c r="AF114">
        <v>-274783000</v>
      </c>
      <c r="AG114">
        <v>229187000</v>
      </c>
      <c r="AH114">
        <v>5961624000</v>
      </c>
      <c r="AI114">
        <v>0</v>
      </c>
      <c r="AJ114">
        <v>2157589000</v>
      </c>
      <c r="AK114">
        <v>198623000</v>
      </c>
      <c r="AL114">
        <v>229609000</v>
      </c>
    </row>
    <row r="115" spans="1:38">
      <c r="A115" s="21">
        <v>44592</v>
      </c>
      <c r="B115" t="s">
        <v>42</v>
      </c>
      <c r="C115">
        <v>26327371000</v>
      </c>
      <c r="D115">
        <v>6303843000</v>
      </c>
      <c r="E115">
        <v>344829000</v>
      </c>
      <c r="F115">
        <v>344829000</v>
      </c>
      <c r="G115">
        <v>5614325000</v>
      </c>
      <c r="H115">
        <v>97394000</v>
      </c>
      <c r="I115">
        <v>20023528000</v>
      </c>
      <c r="J115">
        <v>14439057000</v>
      </c>
      <c r="K115">
        <v>0</v>
      </c>
      <c r="L115">
        <v>1199750000</v>
      </c>
      <c r="M115">
        <v>1199750000</v>
      </c>
      <c r="N115">
        <v>4338589000</v>
      </c>
      <c r="O115">
        <v>0</v>
      </c>
      <c r="P115">
        <v>0</v>
      </c>
      <c r="Q115">
        <v>0</v>
      </c>
      <c r="R115">
        <v>247295000</v>
      </c>
      <c r="S115">
        <v>0</v>
      </c>
      <c r="T115">
        <v>20065385000</v>
      </c>
      <c r="U115">
        <v>5979357000</v>
      </c>
      <c r="V115">
        <v>3738604000</v>
      </c>
      <c r="W115">
        <v>0</v>
      </c>
      <c r="X115">
        <v>0</v>
      </c>
      <c r="Y115">
        <v>1183559000</v>
      </c>
      <c r="Z115">
        <v>14086028000</v>
      </c>
      <c r="AA115">
        <v>10074268000</v>
      </c>
      <c r="AB115">
        <v>4172068000</v>
      </c>
      <c r="AC115">
        <v>0</v>
      </c>
      <c r="AD115">
        <v>0</v>
      </c>
      <c r="AE115">
        <v>14246336000</v>
      </c>
      <c r="AF115">
        <v>1049139000</v>
      </c>
      <c r="AG115">
        <v>197997000</v>
      </c>
      <c r="AH115">
        <v>6261986000</v>
      </c>
      <c r="AI115">
        <v>0</v>
      </c>
      <c r="AJ115">
        <v>2473999000</v>
      </c>
      <c r="AK115">
        <v>201265000</v>
      </c>
      <c r="AL115">
        <v>232513001</v>
      </c>
    </row>
    <row r="116" spans="1:38">
      <c r="A116" s="21">
        <v>44500</v>
      </c>
      <c r="B116" t="s">
        <v>42</v>
      </c>
      <c r="C116">
        <v>25925302000</v>
      </c>
      <c r="D116">
        <v>6181834000</v>
      </c>
      <c r="E116">
        <v>488662000</v>
      </c>
      <c r="F116">
        <v>488662000</v>
      </c>
      <c r="G116">
        <v>5298859000</v>
      </c>
      <c r="H116">
        <v>120374000</v>
      </c>
      <c r="I116">
        <v>19743468000</v>
      </c>
      <c r="J116">
        <v>14160537000</v>
      </c>
      <c r="K116">
        <v>0</v>
      </c>
      <c r="L116">
        <v>1199780000</v>
      </c>
      <c r="M116">
        <v>1199780000</v>
      </c>
      <c r="N116">
        <v>4338589000</v>
      </c>
      <c r="O116">
        <v>0</v>
      </c>
      <c r="P116">
        <v>0</v>
      </c>
      <c r="Q116">
        <v>0</v>
      </c>
      <c r="R116">
        <v>273939000</v>
      </c>
      <c r="S116">
        <v>0</v>
      </c>
      <c r="T116">
        <v>19735501000</v>
      </c>
      <c r="U116">
        <v>5740499000</v>
      </c>
      <c r="V116">
        <v>3532639000</v>
      </c>
      <c r="W116">
        <v>0</v>
      </c>
      <c r="X116">
        <v>0</v>
      </c>
      <c r="Y116">
        <v>2314490000</v>
      </c>
      <c r="Z116">
        <v>13995002000</v>
      </c>
      <c r="AA116">
        <v>9965759000</v>
      </c>
      <c r="AB116">
        <v>4127426000</v>
      </c>
      <c r="AC116">
        <v>0</v>
      </c>
      <c r="AD116">
        <v>0</v>
      </c>
      <c r="AE116">
        <v>14093185000</v>
      </c>
      <c r="AF116">
        <v>-118023000</v>
      </c>
      <c r="AG116">
        <v>277831000</v>
      </c>
      <c r="AH116">
        <v>6189801000</v>
      </c>
      <c r="AI116">
        <v>0</v>
      </c>
      <c r="AJ116">
        <v>2461208000</v>
      </c>
      <c r="AK116">
        <v>202743000</v>
      </c>
      <c r="AL116">
        <v>234026001</v>
      </c>
    </row>
    <row r="117" spans="1:38">
      <c r="A117" s="21">
        <v>44408</v>
      </c>
      <c r="B117" t="s">
        <v>42</v>
      </c>
      <c r="C117">
        <v>25487808000</v>
      </c>
      <c r="D117">
        <v>5992718000</v>
      </c>
      <c r="E117">
        <v>313666000</v>
      </c>
      <c r="F117">
        <v>313666000</v>
      </c>
      <c r="G117">
        <v>5279273000</v>
      </c>
      <c r="H117">
        <v>127011000</v>
      </c>
      <c r="I117">
        <v>19495090000</v>
      </c>
      <c r="J117">
        <v>13909274000</v>
      </c>
      <c r="K117">
        <v>0</v>
      </c>
      <c r="L117">
        <v>1199810000</v>
      </c>
      <c r="M117">
        <v>1199810000</v>
      </c>
      <c r="N117">
        <v>4338589000</v>
      </c>
      <c r="O117">
        <v>0</v>
      </c>
      <c r="P117">
        <v>0</v>
      </c>
      <c r="Q117">
        <v>0</v>
      </c>
      <c r="R117">
        <v>272768000</v>
      </c>
      <c r="S117">
        <v>0</v>
      </c>
      <c r="T117">
        <v>19350673000</v>
      </c>
      <c r="U117">
        <v>5479084000</v>
      </c>
      <c r="V117">
        <v>3369984000</v>
      </c>
      <c r="W117">
        <v>0</v>
      </c>
      <c r="X117">
        <v>0</v>
      </c>
      <c r="Y117">
        <v>2255682000</v>
      </c>
      <c r="Z117">
        <v>13871589000</v>
      </c>
      <c r="AA117">
        <v>9789557000</v>
      </c>
      <c r="AB117">
        <v>4156765000</v>
      </c>
      <c r="AC117">
        <v>0</v>
      </c>
      <c r="AD117">
        <v>0</v>
      </c>
      <c r="AE117">
        <v>13946322000</v>
      </c>
      <c r="AF117">
        <v>-154816000</v>
      </c>
      <c r="AG117">
        <v>271631000</v>
      </c>
      <c r="AH117">
        <v>6137135000</v>
      </c>
      <c r="AI117">
        <v>0</v>
      </c>
      <c r="AJ117">
        <v>2429821000</v>
      </c>
      <c r="AK117">
        <v>204142000</v>
      </c>
      <c r="AL117">
        <v>236406001</v>
      </c>
    </row>
    <row r="118" spans="1:38">
      <c r="A118" s="21">
        <v>44316</v>
      </c>
      <c r="B118" t="s">
        <v>42</v>
      </c>
      <c r="C118">
        <v>25236698000</v>
      </c>
      <c r="D118">
        <v>6041745000</v>
      </c>
      <c r="E118">
        <v>688055000</v>
      </c>
      <c r="F118">
        <v>688055000</v>
      </c>
      <c r="G118">
        <v>5099465000</v>
      </c>
      <c r="H118">
        <v>16637000</v>
      </c>
      <c r="I118">
        <v>19194953000</v>
      </c>
      <c r="J118">
        <v>3999170000</v>
      </c>
      <c r="K118">
        <v>0</v>
      </c>
      <c r="L118">
        <v>1199840000</v>
      </c>
      <c r="M118">
        <v>1199840000</v>
      </c>
      <c r="N118">
        <v>4338589000</v>
      </c>
      <c r="O118">
        <v>0</v>
      </c>
      <c r="P118">
        <v>0</v>
      </c>
      <c r="Q118">
        <v>0</v>
      </c>
      <c r="R118">
        <v>237588000</v>
      </c>
      <c r="S118">
        <v>0</v>
      </c>
      <c r="T118">
        <v>18986773000</v>
      </c>
      <c r="U118">
        <v>5315398000</v>
      </c>
      <c r="V118">
        <v>3294423000</v>
      </c>
      <c r="W118">
        <v>0</v>
      </c>
      <c r="X118">
        <v>0</v>
      </c>
      <c r="Y118">
        <v>2202738000</v>
      </c>
      <c r="Z118">
        <v>13671375000</v>
      </c>
      <c r="AA118">
        <v>9600811000</v>
      </c>
      <c r="AB118">
        <v>4130710000</v>
      </c>
      <c r="AC118">
        <v>0</v>
      </c>
      <c r="AD118">
        <v>0</v>
      </c>
      <c r="AE118">
        <v>13731521000</v>
      </c>
      <c r="AF118">
        <v>-239716000</v>
      </c>
      <c r="AG118">
        <v>271793000</v>
      </c>
      <c r="AH118">
        <v>6249925000</v>
      </c>
      <c r="AI118">
        <v>0</v>
      </c>
      <c r="AJ118">
        <v>2588006000</v>
      </c>
      <c r="AK118">
        <v>206680000</v>
      </c>
      <c r="AL118">
        <v>240301001</v>
      </c>
    </row>
    <row r="119" spans="1:38">
      <c r="A119" s="21">
        <v>44227</v>
      </c>
      <c r="B119" t="s">
        <v>42</v>
      </c>
      <c r="C119">
        <v>25862624000</v>
      </c>
      <c r="D119">
        <v>6914219000</v>
      </c>
      <c r="E119">
        <v>1376577000</v>
      </c>
      <c r="F119">
        <v>1376577000</v>
      </c>
      <c r="G119">
        <v>5247477000</v>
      </c>
      <c r="H119">
        <v>90760000</v>
      </c>
      <c r="I119">
        <v>18948405000</v>
      </c>
      <c r="J119">
        <v>13373327000</v>
      </c>
      <c r="K119">
        <v>0</v>
      </c>
      <c r="L119">
        <v>1199870000</v>
      </c>
      <c r="M119">
        <v>1199870000</v>
      </c>
      <c r="N119">
        <v>4338589000</v>
      </c>
      <c r="O119">
        <v>0</v>
      </c>
      <c r="P119">
        <v>0</v>
      </c>
      <c r="Q119">
        <v>0</v>
      </c>
      <c r="R119">
        <v>199405000</v>
      </c>
      <c r="S119">
        <v>0</v>
      </c>
      <c r="T119">
        <v>19201386000</v>
      </c>
      <c r="U119">
        <v>5710783000</v>
      </c>
      <c r="V119">
        <v>3614089000</v>
      </c>
      <c r="W119">
        <v>0</v>
      </c>
      <c r="X119">
        <v>0</v>
      </c>
      <c r="Y119">
        <v>1074079000</v>
      </c>
      <c r="Z119">
        <v>13490603000</v>
      </c>
      <c r="AA119">
        <v>9459467000</v>
      </c>
      <c r="AB119">
        <v>4130975000</v>
      </c>
      <c r="AC119">
        <v>0</v>
      </c>
      <c r="AD119">
        <v>0</v>
      </c>
      <c r="AE119">
        <v>13590442000</v>
      </c>
      <c r="AF119">
        <v>1006552000</v>
      </c>
      <c r="AG119">
        <v>263691000</v>
      </c>
      <c r="AH119">
        <v>6661238000</v>
      </c>
      <c r="AI119">
        <v>0</v>
      </c>
      <c r="AJ119">
        <v>3006102000</v>
      </c>
      <c r="AK119">
        <v>210687000</v>
      </c>
      <c r="AL119">
        <v>245423001</v>
      </c>
    </row>
    <row r="120" spans="1:38">
      <c r="A120" s="21">
        <v>44135</v>
      </c>
      <c r="B120" t="s">
        <v>42</v>
      </c>
      <c r="C120">
        <v>26153442000</v>
      </c>
      <c r="D120">
        <v>7533432000</v>
      </c>
      <c r="E120">
        <v>2199443000</v>
      </c>
      <c r="F120">
        <v>2199443000</v>
      </c>
      <c r="G120">
        <v>5025810000</v>
      </c>
      <c r="H120">
        <v>111139000</v>
      </c>
      <c r="I120">
        <v>18620010000</v>
      </c>
      <c r="J120">
        <v>3701782000</v>
      </c>
      <c r="K120">
        <v>0</v>
      </c>
      <c r="L120">
        <v>1199900000</v>
      </c>
      <c r="M120">
        <v>1199900000</v>
      </c>
      <c r="N120">
        <v>4338589000</v>
      </c>
      <c r="O120">
        <v>0</v>
      </c>
      <c r="P120">
        <v>0</v>
      </c>
      <c r="Q120">
        <v>0</v>
      </c>
      <c r="R120">
        <v>197040000</v>
      </c>
      <c r="S120">
        <v>0</v>
      </c>
      <c r="T120">
        <v>19167923000</v>
      </c>
      <c r="U120">
        <v>5886211000</v>
      </c>
      <c r="V120">
        <v>3770528000</v>
      </c>
      <c r="W120">
        <v>0</v>
      </c>
      <c r="X120">
        <v>0</v>
      </c>
      <c r="Y120">
        <v>1044368000</v>
      </c>
      <c r="Z120">
        <v>13281712000</v>
      </c>
      <c r="AA120">
        <v>9329395000</v>
      </c>
      <c r="AB120">
        <v>4131573000</v>
      </c>
      <c r="AC120">
        <v>0</v>
      </c>
      <c r="AD120">
        <v>0</v>
      </c>
      <c r="AE120">
        <v>13460968000</v>
      </c>
      <c r="AF120">
        <v>1060602000</v>
      </c>
      <c r="AG120">
        <v>178418000</v>
      </c>
      <c r="AH120">
        <v>6985519000</v>
      </c>
      <c r="AI120">
        <v>0</v>
      </c>
      <c r="AJ120">
        <v>3346821000</v>
      </c>
      <c r="AK120">
        <v>214375000</v>
      </c>
      <c r="AL120">
        <v>249063001</v>
      </c>
    </row>
    <row r="121" spans="1:38">
      <c r="A121" s="21">
        <v>44043</v>
      </c>
      <c r="B121" t="s">
        <v>42</v>
      </c>
      <c r="C121">
        <v>25847433000</v>
      </c>
      <c r="D121">
        <v>7597408000</v>
      </c>
      <c r="E121">
        <v>2959604000</v>
      </c>
      <c r="F121">
        <v>2959604000</v>
      </c>
      <c r="G121">
        <v>4391157000</v>
      </c>
      <c r="H121">
        <v>36176000</v>
      </c>
      <c r="I121">
        <v>18250025000</v>
      </c>
      <c r="J121">
        <v>12675787000</v>
      </c>
      <c r="K121">
        <v>0</v>
      </c>
      <c r="L121">
        <v>1199931000</v>
      </c>
      <c r="M121">
        <v>1199931000</v>
      </c>
      <c r="N121">
        <v>4338589000</v>
      </c>
      <c r="O121">
        <v>0</v>
      </c>
      <c r="P121">
        <v>0</v>
      </c>
      <c r="Q121">
        <v>0</v>
      </c>
      <c r="R121">
        <v>210471000</v>
      </c>
      <c r="S121">
        <v>0</v>
      </c>
      <c r="T121">
        <v>18491362000</v>
      </c>
      <c r="U121">
        <v>5411188000</v>
      </c>
      <c r="V121">
        <v>3400642000</v>
      </c>
      <c r="W121">
        <v>0</v>
      </c>
      <c r="X121">
        <v>0</v>
      </c>
      <c r="Y121">
        <v>2031466000</v>
      </c>
      <c r="Z121">
        <v>13080174000</v>
      </c>
      <c r="AA121">
        <v>9140617000</v>
      </c>
      <c r="AB121">
        <v>4089001000</v>
      </c>
      <c r="AC121">
        <v>0</v>
      </c>
      <c r="AD121">
        <v>0</v>
      </c>
      <c r="AE121">
        <v>13229618000</v>
      </c>
      <c r="AF121">
        <v>-37166000</v>
      </c>
      <c r="AG121">
        <v>176396000</v>
      </c>
      <c r="AH121">
        <v>7356071000</v>
      </c>
      <c r="AI121">
        <v>0</v>
      </c>
      <c r="AJ121">
        <v>3758995000</v>
      </c>
      <c r="AK121">
        <v>217906000</v>
      </c>
      <c r="AL121">
        <v>252190002</v>
      </c>
    </row>
    <row r="122" spans="1:38">
      <c r="A122" s="21">
        <v>43951</v>
      </c>
      <c r="B122" t="s">
        <v>42</v>
      </c>
      <c r="C122">
        <v>24848313000</v>
      </c>
      <c r="D122">
        <v>6992483000</v>
      </c>
      <c r="E122">
        <v>2673912000</v>
      </c>
      <c r="F122">
        <v>2673912000</v>
      </c>
      <c r="G122">
        <v>4107331000</v>
      </c>
      <c r="H122">
        <v>17191000</v>
      </c>
      <c r="I122">
        <v>17855830000</v>
      </c>
      <c r="J122">
        <v>3320141000</v>
      </c>
      <c r="K122">
        <v>0</v>
      </c>
      <c r="L122">
        <v>1199961000</v>
      </c>
      <c r="M122">
        <v>1199961000</v>
      </c>
      <c r="N122">
        <v>4338589000</v>
      </c>
      <c r="O122">
        <v>0</v>
      </c>
      <c r="P122">
        <v>0</v>
      </c>
      <c r="Q122">
        <v>0</v>
      </c>
      <c r="R122">
        <v>194049000</v>
      </c>
      <c r="S122">
        <v>0</v>
      </c>
      <c r="T122">
        <v>17638859000</v>
      </c>
      <c r="U122">
        <v>4843228000</v>
      </c>
      <c r="V122">
        <v>2954361000</v>
      </c>
      <c r="W122">
        <v>0</v>
      </c>
      <c r="X122">
        <v>0</v>
      </c>
      <c r="Y122">
        <v>991634000</v>
      </c>
      <c r="Z122">
        <v>12795631000</v>
      </c>
      <c r="AA122">
        <v>8947813000</v>
      </c>
      <c r="AB122">
        <v>3967221000</v>
      </c>
      <c r="AC122">
        <v>580000</v>
      </c>
      <c r="AD122">
        <v>0</v>
      </c>
      <c r="AE122">
        <v>12915614000</v>
      </c>
      <c r="AF122">
        <v>791368000</v>
      </c>
      <c r="AG122">
        <v>171553000</v>
      </c>
      <c r="AH122">
        <v>7209454000</v>
      </c>
      <c r="AI122">
        <v>0</v>
      </c>
      <c r="AJ122">
        <v>3659804000</v>
      </c>
      <c r="AK122">
        <v>220259000</v>
      </c>
      <c r="AL122">
        <v>253627002</v>
      </c>
    </row>
    <row r="123" spans="1:38">
      <c r="A123" s="21">
        <v>43861</v>
      </c>
      <c r="B123" t="s">
        <v>42</v>
      </c>
      <c r="C123">
        <v>22825084000</v>
      </c>
      <c r="D123">
        <v>5177868000</v>
      </c>
      <c r="E123">
        <v>240320000</v>
      </c>
      <c r="F123">
        <v>240320000</v>
      </c>
      <c r="G123">
        <v>4676848000</v>
      </c>
      <c r="H123">
        <v>76537000</v>
      </c>
      <c r="I123">
        <v>17647216000</v>
      </c>
      <c r="J123">
        <v>3278359000</v>
      </c>
      <c r="K123">
        <v>0</v>
      </c>
      <c r="L123">
        <v>1200006000</v>
      </c>
      <c r="M123">
        <v>1200006000</v>
      </c>
      <c r="N123">
        <v>4338589000</v>
      </c>
      <c r="O123">
        <v>0</v>
      </c>
      <c r="P123">
        <v>0</v>
      </c>
      <c r="Q123">
        <v>0</v>
      </c>
      <c r="R123">
        <v>184163000</v>
      </c>
      <c r="S123">
        <v>0</v>
      </c>
      <c r="T123">
        <v>16122584000</v>
      </c>
      <c r="U123">
        <v>4543560000</v>
      </c>
      <c r="V123">
        <v>2860682000</v>
      </c>
      <c r="W123">
        <v>0</v>
      </c>
      <c r="X123">
        <v>0</v>
      </c>
      <c r="Y123">
        <v>965360000</v>
      </c>
      <c r="Z123">
        <v>11579024000</v>
      </c>
      <c r="AA123">
        <v>8784488000</v>
      </c>
      <c r="AB123">
        <v>2911438000</v>
      </c>
      <c r="AC123">
        <v>555000</v>
      </c>
      <c r="AD123">
        <v>0</v>
      </c>
      <c r="AE123">
        <v>11696481000</v>
      </c>
      <c r="AF123">
        <v>709156000</v>
      </c>
      <c r="AG123">
        <v>172676000</v>
      </c>
      <c r="AH123">
        <v>6702500000</v>
      </c>
      <c r="AI123">
        <v>0</v>
      </c>
      <c r="AJ123">
        <v>3162660000</v>
      </c>
      <c r="AK123">
        <v>220444000</v>
      </c>
      <c r="AL123">
        <v>255146002</v>
      </c>
    </row>
    <row r="124" spans="1:38">
      <c r="A124" s="21">
        <v>43769</v>
      </c>
      <c r="B124" t="s">
        <v>42</v>
      </c>
      <c r="C124">
        <v>22412790000</v>
      </c>
      <c r="D124">
        <v>5068542000</v>
      </c>
      <c r="E124">
        <v>276076000</v>
      </c>
      <c r="F124">
        <v>276076000</v>
      </c>
      <c r="G124">
        <v>4496377000</v>
      </c>
      <c r="H124">
        <v>103188000</v>
      </c>
      <c r="I124">
        <v>17344248000</v>
      </c>
      <c r="J124">
        <v>11770451000</v>
      </c>
      <c r="K124">
        <v>0</v>
      </c>
      <c r="L124">
        <v>1200059000</v>
      </c>
      <c r="M124">
        <v>1200059000</v>
      </c>
      <c r="N124">
        <v>4338589000</v>
      </c>
      <c r="O124">
        <v>0</v>
      </c>
      <c r="P124">
        <v>0</v>
      </c>
      <c r="Q124">
        <v>0</v>
      </c>
      <c r="R124">
        <v>192901000</v>
      </c>
      <c r="S124">
        <v>0</v>
      </c>
      <c r="T124">
        <v>15764495000</v>
      </c>
      <c r="U124">
        <v>4506038000</v>
      </c>
      <c r="V124">
        <v>2844171000</v>
      </c>
      <c r="W124">
        <v>0</v>
      </c>
      <c r="X124">
        <v>0</v>
      </c>
      <c r="Y124">
        <v>1881563000</v>
      </c>
      <c r="Z124">
        <v>11258457000</v>
      </c>
      <c r="AA124">
        <v>8629427000</v>
      </c>
      <c r="AB124">
        <v>2762490000</v>
      </c>
      <c r="AC124">
        <v>555000</v>
      </c>
      <c r="AD124">
        <v>0</v>
      </c>
      <c r="AE124">
        <v>11392472000</v>
      </c>
      <c r="AF124">
        <v>-223037000</v>
      </c>
      <c r="AG124">
        <v>173003000</v>
      </c>
      <c r="AH124">
        <v>6648295000</v>
      </c>
      <c r="AI124">
        <v>0</v>
      </c>
      <c r="AJ124">
        <v>3120738000</v>
      </c>
      <c r="AK124">
        <v>222775000</v>
      </c>
      <c r="AL124">
        <v>257699002</v>
      </c>
    </row>
    <row r="125" spans="1:38">
      <c r="A125" s="21">
        <v>43677</v>
      </c>
      <c r="B125" t="s">
        <v>42</v>
      </c>
      <c r="C125">
        <v>21917529000</v>
      </c>
      <c r="D125">
        <v>4919138000</v>
      </c>
      <c r="E125">
        <v>259568000</v>
      </c>
      <c r="F125">
        <v>259568000</v>
      </c>
      <c r="G125">
        <v>4419628000</v>
      </c>
      <c r="H125">
        <v>61692000</v>
      </c>
      <c r="I125">
        <v>16998391000</v>
      </c>
      <c r="J125">
        <v>11425752000</v>
      </c>
      <c r="K125">
        <v>0</v>
      </c>
      <c r="L125">
        <v>1200111000</v>
      </c>
      <c r="M125">
        <v>1200111000</v>
      </c>
      <c r="N125">
        <v>4338589000</v>
      </c>
      <c r="O125">
        <v>0</v>
      </c>
      <c r="P125">
        <v>0</v>
      </c>
      <c r="Q125">
        <v>0</v>
      </c>
      <c r="R125">
        <v>178250000</v>
      </c>
      <c r="S125">
        <v>0</v>
      </c>
      <c r="T125">
        <v>15168369000</v>
      </c>
      <c r="U125">
        <v>4312270000</v>
      </c>
      <c r="V125">
        <v>2727079000</v>
      </c>
      <c r="W125">
        <v>0</v>
      </c>
      <c r="X125">
        <v>0</v>
      </c>
      <c r="Y125">
        <v>1830705000</v>
      </c>
      <c r="Z125">
        <v>10856099000</v>
      </c>
      <c r="AA125">
        <v>8395946000</v>
      </c>
      <c r="AB125">
        <v>2573483000</v>
      </c>
      <c r="AC125">
        <v>555000</v>
      </c>
      <c r="AD125">
        <v>0</v>
      </c>
      <c r="AE125">
        <v>10969984000</v>
      </c>
      <c r="AF125">
        <v>-248824000</v>
      </c>
      <c r="AG125">
        <v>173980000</v>
      </c>
      <c r="AH125">
        <v>6749160000</v>
      </c>
      <c r="AI125">
        <v>0</v>
      </c>
      <c r="AJ125">
        <v>3234944000</v>
      </c>
      <c r="AK125">
        <v>224935000</v>
      </c>
      <c r="AL125">
        <v>259102002</v>
      </c>
    </row>
    <row r="126" spans="1:38">
      <c r="A126" s="21">
        <v>43585</v>
      </c>
      <c r="B126" t="s">
        <v>42</v>
      </c>
      <c r="C126">
        <v>21304284000</v>
      </c>
      <c r="D126">
        <v>4583769000</v>
      </c>
      <c r="E126">
        <v>271111000</v>
      </c>
      <c r="F126">
        <v>271111000</v>
      </c>
      <c r="G126">
        <v>4109759000</v>
      </c>
      <c r="H126">
        <v>25164000</v>
      </c>
      <c r="I126">
        <v>16720515000</v>
      </c>
      <c r="J126">
        <v>3008425000</v>
      </c>
      <c r="K126">
        <v>0</v>
      </c>
      <c r="L126">
        <v>1200164000</v>
      </c>
      <c r="M126">
        <v>1200164000</v>
      </c>
      <c r="N126">
        <v>4338589000</v>
      </c>
      <c r="O126">
        <v>0</v>
      </c>
      <c r="P126">
        <v>0</v>
      </c>
      <c r="Q126">
        <v>0</v>
      </c>
      <c r="R126">
        <v>177735000</v>
      </c>
      <c r="S126">
        <v>0</v>
      </c>
      <c r="T126">
        <v>14731615000</v>
      </c>
      <c r="U126">
        <v>3956716000</v>
      </c>
      <c r="V126">
        <v>2452898000</v>
      </c>
      <c r="W126">
        <v>0</v>
      </c>
      <c r="X126">
        <v>0</v>
      </c>
      <c r="Y126">
        <v>895024000</v>
      </c>
      <c r="Z126">
        <v>10774899000</v>
      </c>
      <c r="AA126">
        <v>8133414000</v>
      </c>
      <c r="AB126">
        <v>2732105000</v>
      </c>
      <c r="AC126">
        <v>555000</v>
      </c>
      <c r="AD126">
        <v>0</v>
      </c>
      <c r="AE126">
        <v>10866074000</v>
      </c>
      <c r="AF126">
        <v>560007000</v>
      </c>
      <c r="AG126">
        <v>173985000</v>
      </c>
      <c r="AH126">
        <v>6572669000</v>
      </c>
      <c r="AI126">
        <v>0</v>
      </c>
      <c r="AJ126">
        <v>3074584000</v>
      </c>
      <c r="AK126">
        <v>226032000</v>
      </c>
      <c r="AL126">
        <v>260265002</v>
      </c>
    </row>
    <row r="127" spans="1:38">
      <c r="A127" s="21">
        <v>43496</v>
      </c>
      <c r="B127" t="s">
        <v>42</v>
      </c>
      <c r="C127">
        <v>13204038000</v>
      </c>
      <c r="D127">
        <v>4663020000</v>
      </c>
      <c r="E127">
        <v>235487000</v>
      </c>
      <c r="F127">
        <v>235487000</v>
      </c>
      <c r="G127">
        <v>4097004000</v>
      </c>
      <c r="H127">
        <v>57804000</v>
      </c>
      <c r="I127">
        <v>8541018000</v>
      </c>
      <c r="J127">
        <v>2970806000</v>
      </c>
      <c r="K127">
        <v>0</v>
      </c>
      <c r="L127">
        <v>1200217000</v>
      </c>
      <c r="M127">
        <v>1200217000</v>
      </c>
      <c r="N127">
        <v>4338589000</v>
      </c>
      <c r="O127">
        <v>0</v>
      </c>
      <c r="P127">
        <v>0</v>
      </c>
      <c r="Q127">
        <v>0</v>
      </c>
      <c r="R127">
        <v>272725000</v>
      </c>
      <c r="S127">
        <v>0</v>
      </c>
      <c r="T127">
        <v>6786645000</v>
      </c>
      <c r="U127">
        <v>3015857000</v>
      </c>
      <c r="V127">
        <v>2385469000</v>
      </c>
      <c r="W127">
        <v>0</v>
      </c>
      <c r="X127">
        <v>0</v>
      </c>
      <c r="Y127">
        <v>1950000</v>
      </c>
      <c r="Z127">
        <v>3770788000</v>
      </c>
      <c r="AA127">
        <v>0</v>
      </c>
      <c r="AB127">
        <v>2862740000</v>
      </c>
      <c r="AC127">
        <v>1950000</v>
      </c>
      <c r="AD127">
        <v>0</v>
      </c>
      <c r="AE127">
        <v>2864690000</v>
      </c>
      <c r="AF127">
        <v>618405000</v>
      </c>
      <c r="AG127">
        <v>298361000</v>
      </c>
      <c r="AH127">
        <v>6417393000</v>
      </c>
      <c r="AI127">
        <v>0</v>
      </c>
      <c r="AJ127">
        <v>2941107000</v>
      </c>
      <c r="AK127">
        <v>227072000</v>
      </c>
      <c r="AL127">
        <v>262536002</v>
      </c>
    </row>
    <row r="128" spans="1:38">
      <c r="A128" s="21">
        <v>43404</v>
      </c>
      <c r="B128" t="s">
        <v>42</v>
      </c>
      <c r="C128">
        <v>13121021000</v>
      </c>
      <c r="D128">
        <v>4630344000</v>
      </c>
      <c r="E128">
        <v>260688000</v>
      </c>
      <c r="F128">
        <v>260688000</v>
      </c>
      <c r="G128">
        <v>3979105000</v>
      </c>
      <c r="H128">
        <v>114647000</v>
      </c>
      <c r="I128">
        <v>8490677000</v>
      </c>
      <c r="J128">
        <v>2921943000</v>
      </c>
      <c r="K128">
        <v>0</v>
      </c>
      <c r="L128">
        <v>1200270000</v>
      </c>
      <c r="M128">
        <v>1200270000</v>
      </c>
      <c r="N128">
        <v>4338589000</v>
      </c>
      <c r="O128">
        <v>0</v>
      </c>
      <c r="P128">
        <v>0</v>
      </c>
      <c r="Q128">
        <v>0</v>
      </c>
      <c r="R128">
        <v>275904000</v>
      </c>
      <c r="S128">
        <v>0</v>
      </c>
      <c r="T128">
        <v>6765133000</v>
      </c>
      <c r="U128">
        <v>2982182000</v>
      </c>
      <c r="V128">
        <v>2336772000</v>
      </c>
      <c r="W128">
        <v>0</v>
      </c>
      <c r="X128">
        <v>0</v>
      </c>
      <c r="Y128">
        <v>1929000</v>
      </c>
      <c r="Z128">
        <v>3782951000</v>
      </c>
      <c r="AA128">
        <v>0</v>
      </c>
      <c r="AB128">
        <v>2902439000</v>
      </c>
      <c r="AC128">
        <v>1929000</v>
      </c>
      <c r="AD128">
        <v>0</v>
      </c>
      <c r="AE128">
        <v>2904368000</v>
      </c>
      <c r="AF128">
        <v>638644000</v>
      </c>
      <c r="AG128">
        <v>297446000</v>
      </c>
      <c r="AH128">
        <v>6355888000</v>
      </c>
      <c r="AI128">
        <v>0</v>
      </c>
      <c r="AJ128">
        <v>2890147000</v>
      </c>
      <c r="AK128">
        <v>230022000</v>
      </c>
      <c r="AL128">
        <v>265522002</v>
      </c>
    </row>
    <row r="129" spans="1:38">
      <c r="A129" s="21">
        <v>43312</v>
      </c>
      <c r="B129" t="s">
        <v>42</v>
      </c>
      <c r="C129">
        <v>12943949000</v>
      </c>
      <c r="D129">
        <v>4517826000</v>
      </c>
      <c r="E129">
        <v>265288000</v>
      </c>
      <c r="F129">
        <v>265288000</v>
      </c>
      <c r="G129">
        <v>3896432000</v>
      </c>
      <c r="H129">
        <v>68353000</v>
      </c>
      <c r="I129">
        <v>8426123000</v>
      </c>
      <c r="J129">
        <v>2857274000</v>
      </c>
      <c r="K129">
        <v>0</v>
      </c>
      <c r="L129">
        <v>1200322000</v>
      </c>
      <c r="M129">
        <v>1200322000</v>
      </c>
      <c r="N129">
        <v>4338589000</v>
      </c>
      <c r="O129">
        <v>0</v>
      </c>
      <c r="P129">
        <v>0</v>
      </c>
      <c r="Q129">
        <v>0</v>
      </c>
      <c r="R129">
        <v>287753000</v>
      </c>
      <c r="S129">
        <v>0</v>
      </c>
      <c r="T129">
        <v>6565007000</v>
      </c>
      <c r="U129">
        <v>2915544000</v>
      </c>
      <c r="V129">
        <v>2294996000</v>
      </c>
      <c r="W129">
        <v>0</v>
      </c>
      <c r="X129">
        <v>0</v>
      </c>
      <c r="Y129">
        <v>1909000</v>
      </c>
      <c r="Z129">
        <v>3649463000</v>
      </c>
      <c r="AA129">
        <v>0</v>
      </c>
      <c r="AB129">
        <v>2776811000</v>
      </c>
      <c r="AC129">
        <v>1909000</v>
      </c>
      <c r="AD129">
        <v>0</v>
      </c>
      <c r="AE129">
        <v>2778720000</v>
      </c>
      <c r="AF129">
        <v>611389000</v>
      </c>
      <c r="AG129">
        <v>302962000</v>
      </c>
      <c r="AH129">
        <v>6378942000</v>
      </c>
      <c r="AI129">
        <v>0</v>
      </c>
      <c r="AJ129">
        <v>2928064000</v>
      </c>
      <c r="AK129">
        <v>232340000</v>
      </c>
      <c r="AL129">
        <v>267226002</v>
      </c>
    </row>
    <row r="130" spans="1:38">
      <c r="A130" s="21">
        <v>43220</v>
      </c>
      <c r="B130" t="s">
        <v>42</v>
      </c>
      <c r="C130">
        <v>12493230000</v>
      </c>
      <c r="D130">
        <v>4166036000</v>
      </c>
      <c r="E130">
        <v>283970000</v>
      </c>
      <c r="F130">
        <v>283970000</v>
      </c>
      <c r="G130">
        <v>3594529000</v>
      </c>
      <c r="H130">
        <v>28637000</v>
      </c>
      <c r="I130">
        <v>8327194000</v>
      </c>
      <c r="J130">
        <v>2758369000</v>
      </c>
      <c r="K130">
        <v>0</v>
      </c>
      <c r="L130">
        <v>1200375000</v>
      </c>
      <c r="M130">
        <v>1200375000</v>
      </c>
      <c r="N130">
        <v>4338589000</v>
      </c>
      <c r="O130">
        <v>0</v>
      </c>
      <c r="P130">
        <v>0</v>
      </c>
      <c r="Q130">
        <v>0</v>
      </c>
      <c r="R130">
        <v>258900000</v>
      </c>
      <c r="S130">
        <v>0</v>
      </c>
      <c r="T130">
        <v>6256912000</v>
      </c>
      <c r="U130">
        <v>2525332000</v>
      </c>
      <c r="V130">
        <v>2018320000</v>
      </c>
      <c r="W130">
        <v>0</v>
      </c>
      <c r="X130">
        <v>0</v>
      </c>
      <c r="Y130">
        <v>1889000</v>
      </c>
      <c r="Z130">
        <v>3731580000</v>
      </c>
      <c r="AA130">
        <v>0</v>
      </c>
      <c r="AB130">
        <v>2851869000</v>
      </c>
      <c r="AC130">
        <v>525000</v>
      </c>
      <c r="AD130">
        <v>0</v>
      </c>
      <c r="AE130">
        <v>2864386000</v>
      </c>
      <c r="AF130">
        <v>495371000</v>
      </c>
      <c r="AG130">
        <v>303933000</v>
      </c>
      <c r="AH130">
        <v>6236318000</v>
      </c>
      <c r="AI130">
        <v>0</v>
      </c>
      <c r="AJ130">
        <v>2795620000</v>
      </c>
      <c r="AK130">
        <v>234109000</v>
      </c>
      <c r="AL130">
        <v>269135002</v>
      </c>
    </row>
    <row r="131" spans="1:38">
      <c r="A131" s="21">
        <v>43131</v>
      </c>
      <c r="B131" t="s">
        <v>42</v>
      </c>
      <c r="C131">
        <v>12516911000</v>
      </c>
      <c r="D131">
        <v>4247852000</v>
      </c>
      <c r="E131">
        <v>267441000</v>
      </c>
      <c r="F131">
        <v>267441000</v>
      </c>
      <c r="G131">
        <v>3609025000</v>
      </c>
      <c r="H131">
        <v>108265000</v>
      </c>
      <c r="I131">
        <v>8269059000</v>
      </c>
      <c r="J131">
        <v>2701282000</v>
      </c>
      <c r="K131">
        <v>0</v>
      </c>
      <c r="L131">
        <v>1200428000</v>
      </c>
      <c r="M131">
        <v>1200428000</v>
      </c>
      <c r="N131">
        <v>4338589000</v>
      </c>
      <c r="O131">
        <v>0</v>
      </c>
      <c r="P131">
        <v>0</v>
      </c>
      <c r="Q131">
        <v>0</v>
      </c>
      <c r="R131">
        <v>263121000</v>
      </c>
      <c r="S131">
        <v>0</v>
      </c>
      <c r="T131">
        <v>6391137000</v>
      </c>
      <c r="U131">
        <v>2964878000</v>
      </c>
      <c r="V131">
        <v>2009771000</v>
      </c>
      <c r="W131">
        <v>0</v>
      </c>
      <c r="X131">
        <v>0</v>
      </c>
      <c r="Y131">
        <v>401345000</v>
      </c>
      <c r="Z131">
        <v>3426259000</v>
      </c>
      <c r="AA131">
        <v>0</v>
      </c>
      <c r="AB131">
        <v>2604613000</v>
      </c>
      <c r="AC131">
        <v>401345000</v>
      </c>
      <c r="AD131">
        <v>0</v>
      </c>
      <c r="AE131">
        <v>3005958000</v>
      </c>
      <c r="AF131">
        <v>549658000</v>
      </c>
      <c r="AG131">
        <v>305944000</v>
      </c>
      <c r="AH131">
        <v>6125774000</v>
      </c>
      <c r="AI131">
        <v>0</v>
      </c>
      <c r="AJ131">
        <v>2698352000</v>
      </c>
      <c r="AK131">
        <v>235141000</v>
      </c>
      <c r="AL131">
        <v>271218002</v>
      </c>
    </row>
    <row r="132" spans="1:38">
      <c r="A132" s="21">
        <v>43039</v>
      </c>
      <c r="B132" t="s">
        <v>42</v>
      </c>
      <c r="C132">
        <v>12374756000</v>
      </c>
      <c r="D132">
        <v>4153334000</v>
      </c>
      <c r="E132">
        <v>226192000</v>
      </c>
      <c r="F132">
        <v>226192000</v>
      </c>
      <c r="G132">
        <v>3597195000</v>
      </c>
      <c r="H132">
        <v>99678000</v>
      </c>
      <c r="I132">
        <v>8221422000</v>
      </c>
      <c r="J132">
        <v>2654936000</v>
      </c>
      <c r="K132">
        <v>0</v>
      </c>
      <c r="L132">
        <v>1200481000</v>
      </c>
      <c r="M132">
        <v>1200481000</v>
      </c>
      <c r="N132">
        <v>4338589000</v>
      </c>
      <c r="O132">
        <v>0</v>
      </c>
      <c r="P132">
        <v>0</v>
      </c>
      <c r="Q132">
        <v>0</v>
      </c>
      <c r="R132">
        <v>230269000</v>
      </c>
      <c r="S132">
        <v>0</v>
      </c>
      <c r="T132">
        <v>6630601000</v>
      </c>
      <c r="U132">
        <v>2937806000</v>
      </c>
      <c r="V132">
        <v>1978032000</v>
      </c>
      <c r="W132">
        <v>0</v>
      </c>
      <c r="X132">
        <v>0</v>
      </c>
      <c r="Y132">
        <v>401532000</v>
      </c>
      <c r="Z132">
        <v>3692795000</v>
      </c>
      <c r="AA132">
        <v>0</v>
      </c>
      <c r="AB132">
        <v>2719568000</v>
      </c>
      <c r="AC132">
        <v>401532000</v>
      </c>
      <c r="AD132">
        <v>0</v>
      </c>
      <c r="AE132">
        <v>3121100000</v>
      </c>
      <c r="AF132">
        <v>553596000</v>
      </c>
      <c r="AG132">
        <v>282432000</v>
      </c>
      <c r="AH132">
        <v>5744155000</v>
      </c>
      <c r="AI132">
        <v>0</v>
      </c>
      <c r="AJ132">
        <v>2334534000</v>
      </c>
      <c r="AK132">
        <v>237598000</v>
      </c>
      <c r="AL132">
        <v>272881002</v>
      </c>
    </row>
    <row r="133" spans="1:38">
      <c r="A133" s="21">
        <v>42947</v>
      </c>
      <c r="B133" t="s">
        <v>42</v>
      </c>
      <c r="C133">
        <v>12120824000</v>
      </c>
      <c r="D133">
        <v>3979991000</v>
      </c>
      <c r="E133">
        <v>214173000</v>
      </c>
      <c r="F133">
        <v>214173000</v>
      </c>
      <c r="G133">
        <v>3463004000</v>
      </c>
      <c r="H133">
        <v>44255000</v>
      </c>
      <c r="I133">
        <v>8140833000</v>
      </c>
      <c r="J133">
        <v>2574816000</v>
      </c>
      <c r="K133">
        <v>0</v>
      </c>
      <c r="L133">
        <v>1200537000</v>
      </c>
      <c r="M133">
        <v>1200537000</v>
      </c>
      <c r="N133">
        <v>4338589000</v>
      </c>
      <c r="O133">
        <v>0</v>
      </c>
      <c r="P133">
        <v>0</v>
      </c>
      <c r="Q133">
        <v>0</v>
      </c>
      <c r="R133">
        <v>258559000</v>
      </c>
      <c r="S133">
        <v>0</v>
      </c>
      <c r="T133">
        <v>6433729000</v>
      </c>
      <c r="U133">
        <v>2806755000</v>
      </c>
      <c r="V133">
        <v>1880668000</v>
      </c>
      <c r="W133">
        <v>0</v>
      </c>
      <c r="X133">
        <v>0</v>
      </c>
      <c r="Y133">
        <v>401402000</v>
      </c>
      <c r="Z133">
        <v>3626974000</v>
      </c>
      <c r="AA133">
        <v>0</v>
      </c>
      <c r="AB133">
        <v>2683105000</v>
      </c>
      <c r="AC133">
        <v>3084507000</v>
      </c>
      <c r="AD133">
        <v>0</v>
      </c>
      <c r="AE133">
        <v>3084507000</v>
      </c>
      <c r="AF133">
        <v>521027000</v>
      </c>
      <c r="AG133">
        <v>284025000</v>
      </c>
      <c r="AH133">
        <v>5687095000</v>
      </c>
      <c r="AI133">
        <v>0</v>
      </c>
      <c r="AJ133">
        <v>2286060000</v>
      </c>
      <c r="AK133">
        <v>239101000</v>
      </c>
      <c r="AL133">
        <v>274132002</v>
      </c>
    </row>
    <row r="134" spans="1:38">
      <c r="A134" s="21">
        <v>42855</v>
      </c>
      <c r="B134" t="s">
        <v>42</v>
      </c>
      <c r="C134">
        <v>11796355000</v>
      </c>
      <c r="D134">
        <v>3748949000</v>
      </c>
      <c r="E134">
        <v>205977000</v>
      </c>
      <c r="F134">
        <v>205977000</v>
      </c>
      <c r="G134">
        <v>3300082000</v>
      </c>
      <c r="H134">
        <v>10492000</v>
      </c>
      <c r="I134">
        <v>8047406000</v>
      </c>
      <c r="J134">
        <v>2487292000</v>
      </c>
      <c r="K134">
        <v>0</v>
      </c>
      <c r="L134">
        <v>1200597000</v>
      </c>
      <c r="M134">
        <v>1200597000</v>
      </c>
      <c r="N134">
        <v>4338589000</v>
      </c>
      <c r="O134">
        <v>0</v>
      </c>
      <c r="P134">
        <v>0</v>
      </c>
      <c r="Q134">
        <v>0</v>
      </c>
      <c r="R134">
        <v>232398000</v>
      </c>
      <c r="S134">
        <v>0</v>
      </c>
      <c r="T134">
        <v>6267474000</v>
      </c>
      <c r="U134">
        <v>2692041000</v>
      </c>
      <c r="V134">
        <v>1622776000</v>
      </c>
      <c r="W134">
        <v>0</v>
      </c>
      <c r="X134">
        <v>0</v>
      </c>
      <c r="Y134">
        <v>401188000</v>
      </c>
      <c r="Z134">
        <v>3575433000</v>
      </c>
      <c r="AA134">
        <v>0</v>
      </c>
      <c r="AB134">
        <v>2632090000</v>
      </c>
      <c r="AC134">
        <v>401188000</v>
      </c>
      <c r="AD134">
        <v>0</v>
      </c>
      <c r="AE134">
        <v>3033278000</v>
      </c>
      <c r="AF134">
        <v>459105000</v>
      </c>
      <c r="AG134">
        <v>280858000</v>
      </c>
      <c r="AH134">
        <v>5528881000</v>
      </c>
      <c r="AI134">
        <v>0</v>
      </c>
      <c r="AJ134">
        <v>2136401000</v>
      </c>
      <c r="AK134">
        <v>239947000</v>
      </c>
      <c r="AL134">
        <v>275215002</v>
      </c>
    </row>
    <row r="135" spans="1:38">
      <c r="A135" s="21">
        <v>42766</v>
      </c>
      <c r="B135" t="s">
        <v>42</v>
      </c>
      <c r="C135">
        <v>11672298000</v>
      </c>
      <c r="D135">
        <v>3677771000</v>
      </c>
      <c r="E135">
        <v>187915000</v>
      </c>
      <c r="F135">
        <v>187915000</v>
      </c>
      <c r="G135">
        <v>3258785000</v>
      </c>
      <c r="H135">
        <v>11050000</v>
      </c>
      <c r="I135">
        <v>7994527000</v>
      </c>
      <c r="J135">
        <v>2434456000</v>
      </c>
      <c r="K135">
        <v>0</v>
      </c>
      <c r="L135">
        <v>1200659000</v>
      </c>
      <c r="M135">
        <v>1200659000</v>
      </c>
      <c r="N135">
        <v>4338589000</v>
      </c>
      <c r="O135">
        <v>0</v>
      </c>
      <c r="P135">
        <v>0</v>
      </c>
      <c r="Q135">
        <v>0</v>
      </c>
      <c r="R135">
        <v>220021000</v>
      </c>
      <c r="S135">
        <v>0</v>
      </c>
      <c r="T135">
        <v>6266004000</v>
      </c>
      <c r="U135">
        <v>2622805000</v>
      </c>
      <c r="V135">
        <v>1557596000</v>
      </c>
      <c r="W135">
        <v>0</v>
      </c>
      <c r="X135">
        <v>0</v>
      </c>
      <c r="Y135">
        <v>500950000</v>
      </c>
      <c r="Z135">
        <v>3643199000</v>
      </c>
      <c r="AA135">
        <v>0</v>
      </c>
      <c r="AB135">
        <v>2710576000</v>
      </c>
      <c r="AC135">
        <v>500950000</v>
      </c>
      <c r="AD135">
        <v>0</v>
      </c>
      <c r="AE135">
        <v>3211526000</v>
      </c>
      <c r="AF135">
        <v>500866000</v>
      </c>
      <c r="AG135">
        <v>279782000</v>
      </c>
      <c r="AH135">
        <v>5406294000</v>
      </c>
      <c r="AI135">
        <v>0</v>
      </c>
      <c r="AJ135">
        <v>2015867000</v>
      </c>
      <c r="AK135">
        <v>240811000</v>
      </c>
      <c r="AL135">
        <v>277059002</v>
      </c>
    </row>
    <row r="136" spans="1:38">
      <c r="A136" s="21">
        <v>42674</v>
      </c>
      <c r="B136" t="s">
        <v>42</v>
      </c>
      <c r="C136">
        <v>11917076000</v>
      </c>
      <c r="D136">
        <v>3968512000</v>
      </c>
      <c r="E136">
        <v>200236000</v>
      </c>
      <c r="F136">
        <v>200236000</v>
      </c>
      <c r="G136">
        <v>3488247000</v>
      </c>
      <c r="H136">
        <v>54586000</v>
      </c>
      <c r="I136">
        <v>7948564000</v>
      </c>
      <c r="J136">
        <v>2388463000</v>
      </c>
      <c r="K136">
        <v>0</v>
      </c>
      <c r="L136">
        <v>1200734000</v>
      </c>
      <c r="M136">
        <v>1200734000</v>
      </c>
      <c r="N136">
        <v>4338589000</v>
      </c>
      <c r="O136">
        <v>0</v>
      </c>
      <c r="P136">
        <v>0</v>
      </c>
      <c r="Q136">
        <v>0</v>
      </c>
      <c r="R136">
        <v>225443000</v>
      </c>
      <c r="S136">
        <v>0</v>
      </c>
      <c r="T136">
        <v>6555224000</v>
      </c>
      <c r="U136">
        <v>2959739000</v>
      </c>
      <c r="V136">
        <v>1948111000</v>
      </c>
      <c r="W136">
        <v>0</v>
      </c>
      <c r="X136">
        <v>0</v>
      </c>
      <c r="Y136">
        <v>501480000</v>
      </c>
      <c r="Z136">
        <v>3595485000</v>
      </c>
      <c r="AA136">
        <v>0</v>
      </c>
      <c r="AB136">
        <v>2673210000</v>
      </c>
      <c r="AC136">
        <v>501480000</v>
      </c>
      <c r="AD136">
        <v>0</v>
      </c>
      <c r="AE136">
        <v>3174690000</v>
      </c>
      <c r="AF136">
        <v>504427000</v>
      </c>
      <c r="AG136">
        <v>285140000</v>
      </c>
      <c r="AH136">
        <v>5361852000</v>
      </c>
      <c r="AI136">
        <v>0</v>
      </c>
      <c r="AJ136">
        <v>1977969000</v>
      </c>
      <c r="AK136">
        <v>244457000</v>
      </c>
      <c r="AL136">
        <v>281283002</v>
      </c>
    </row>
    <row r="137" spans="1:38">
      <c r="A137" s="21">
        <v>42582</v>
      </c>
      <c r="B137" t="s">
        <v>42</v>
      </c>
      <c r="C137">
        <v>11617370000</v>
      </c>
      <c r="D137">
        <v>3708051000</v>
      </c>
      <c r="E137">
        <v>185033000</v>
      </c>
      <c r="F137">
        <v>185033000</v>
      </c>
      <c r="G137">
        <v>3270685000</v>
      </c>
      <c r="H137">
        <v>22985000</v>
      </c>
      <c r="I137">
        <v>7909319000</v>
      </c>
      <c r="J137">
        <v>2349119000</v>
      </c>
      <c r="K137">
        <v>0</v>
      </c>
      <c r="L137">
        <v>1200816000</v>
      </c>
      <c r="M137">
        <v>1200816000</v>
      </c>
      <c r="N137">
        <v>4338589000</v>
      </c>
      <c r="O137">
        <v>0</v>
      </c>
      <c r="P137">
        <v>0</v>
      </c>
      <c r="Q137">
        <v>0</v>
      </c>
      <c r="R137">
        <v>229348000</v>
      </c>
      <c r="S137">
        <v>0</v>
      </c>
      <c r="T137">
        <v>6204009000</v>
      </c>
      <c r="U137">
        <v>2719406000</v>
      </c>
      <c r="V137">
        <v>1720772000</v>
      </c>
      <c r="W137">
        <v>0</v>
      </c>
      <c r="X137">
        <v>0</v>
      </c>
      <c r="Y137">
        <v>501548000</v>
      </c>
      <c r="Z137">
        <v>3484603000</v>
      </c>
      <c r="AA137">
        <v>0</v>
      </c>
      <c r="AB137">
        <v>2556464000</v>
      </c>
      <c r="AC137">
        <v>501548000</v>
      </c>
      <c r="AD137">
        <v>0</v>
      </c>
      <c r="AE137">
        <v>3058012000</v>
      </c>
      <c r="AF137">
        <v>474426000</v>
      </c>
      <c r="AG137">
        <v>280767000</v>
      </c>
      <c r="AH137">
        <v>5413361000</v>
      </c>
      <c r="AI137">
        <v>0</v>
      </c>
      <c r="AJ137">
        <v>2035101000</v>
      </c>
      <c r="AK137">
        <v>246983000</v>
      </c>
      <c r="AL137">
        <v>284116002</v>
      </c>
    </row>
    <row r="138" spans="1:38">
      <c r="A138" s="21">
        <v>42490</v>
      </c>
      <c r="B138" t="s">
        <v>42</v>
      </c>
      <c r="C138">
        <v>11316384000</v>
      </c>
      <c r="D138">
        <v>3477346000</v>
      </c>
      <c r="E138">
        <v>187687000</v>
      </c>
      <c r="F138">
        <v>187687000</v>
      </c>
      <c r="G138">
        <v>3072063000</v>
      </c>
      <c r="H138">
        <v>6827000</v>
      </c>
      <c r="I138">
        <v>7839038000</v>
      </c>
      <c r="J138">
        <v>2278081000</v>
      </c>
      <c r="K138">
        <v>0</v>
      </c>
      <c r="L138">
        <v>1200904000</v>
      </c>
      <c r="M138">
        <v>1200904000</v>
      </c>
      <c r="N138">
        <v>4338589000</v>
      </c>
      <c r="O138">
        <v>0</v>
      </c>
      <c r="P138">
        <v>0</v>
      </c>
      <c r="Q138">
        <v>0</v>
      </c>
      <c r="R138">
        <v>210769000</v>
      </c>
      <c r="S138">
        <v>0</v>
      </c>
      <c r="T138">
        <v>5928001000</v>
      </c>
      <c r="U138">
        <v>2011594000</v>
      </c>
      <c r="V138">
        <v>1447223000</v>
      </c>
      <c r="W138">
        <v>0</v>
      </c>
      <c r="X138">
        <v>0</v>
      </c>
      <c r="Y138">
        <v>1526000</v>
      </c>
      <c r="Z138">
        <v>3916407000</v>
      </c>
      <c r="AA138">
        <v>0</v>
      </c>
      <c r="AB138">
        <v>2989663000</v>
      </c>
      <c r="AC138">
        <v>1526000</v>
      </c>
      <c r="AD138">
        <v>0</v>
      </c>
      <c r="AE138">
        <v>2991189000</v>
      </c>
      <c r="AF138">
        <v>440697000</v>
      </c>
      <c r="AG138">
        <v>279118000</v>
      </c>
      <c r="AH138">
        <v>5388383000</v>
      </c>
      <c r="AI138">
        <v>0</v>
      </c>
      <c r="AJ138">
        <v>2020784000</v>
      </c>
      <c r="AK138">
        <v>249096000</v>
      </c>
      <c r="AL138">
        <v>286978002</v>
      </c>
    </row>
    <row r="139" spans="1:38">
      <c r="A139" s="21">
        <v>42400</v>
      </c>
      <c r="B139" t="s">
        <v>42</v>
      </c>
      <c r="C139">
        <v>11257885000</v>
      </c>
      <c r="D139">
        <v>3432410000</v>
      </c>
      <c r="E139">
        <v>157947000</v>
      </c>
      <c r="F139">
        <v>157947000</v>
      </c>
      <c r="G139">
        <v>3074153000</v>
      </c>
      <c r="H139">
        <v>6843000</v>
      </c>
      <c r="I139">
        <v>7825475000</v>
      </c>
      <c r="J139">
        <v>2264062000</v>
      </c>
      <c r="K139">
        <v>0</v>
      </c>
      <c r="L139">
        <v>1200994000</v>
      </c>
      <c r="M139">
        <v>1200994000</v>
      </c>
      <c r="N139">
        <v>4338589000</v>
      </c>
      <c r="O139">
        <v>0</v>
      </c>
      <c r="P139">
        <v>0</v>
      </c>
      <c r="Q139">
        <v>0</v>
      </c>
      <c r="R139">
        <v>193467000</v>
      </c>
      <c r="S139">
        <v>0</v>
      </c>
      <c r="T139">
        <v>5880009000</v>
      </c>
      <c r="U139">
        <v>1995596000</v>
      </c>
      <c r="V139">
        <v>1494225000</v>
      </c>
      <c r="W139">
        <v>0</v>
      </c>
      <c r="X139">
        <v>0</v>
      </c>
      <c r="Y139">
        <v>1379000</v>
      </c>
      <c r="Z139">
        <v>3884413000</v>
      </c>
      <c r="AA139">
        <v>0</v>
      </c>
      <c r="AB139">
        <v>2969175000</v>
      </c>
      <c r="AC139">
        <v>1379000</v>
      </c>
      <c r="AD139">
        <v>0</v>
      </c>
      <c r="AE139">
        <v>2970554000</v>
      </c>
      <c r="AF139">
        <v>467122000</v>
      </c>
      <c r="AG139">
        <v>275283000</v>
      </c>
      <c r="AH139">
        <v>5377876000</v>
      </c>
      <c r="AI139">
        <v>0</v>
      </c>
      <c r="AJ139">
        <v>2025545000</v>
      </c>
      <c r="AK139">
        <v>250855000</v>
      </c>
      <c r="AL139">
        <v>289322002</v>
      </c>
    </row>
    <row r="140" spans="1:38">
      <c r="A140" s="21">
        <v>42308</v>
      </c>
      <c r="B140" t="s">
        <v>42</v>
      </c>
      <c r="C140">
        <v>11288293000</v>
      </c>
      <c r="D140">
        <v>3488775000</v>
      </c>
      <c r="E140">
        <v>182514000</v>
      </c>
      <c r="F140">
        <v>182514000</v>
      </c>
      <c r="G140">
        <v>3101908000</v>
      </c>
      <c r="H140">
        <v>11877000</v>
      </c>
      <c r="I140">
        <v>7799518000</v>
      </c>
      <c r="J140">
        <v>2237068000</v>
      </c>
      <c r="K140">
        <v>0</v>
      </c>
      <c r="L140">
        <v>1201110000</v>
      </c>
      <c r="M140">
        <v>1201110000</v>
      </c>
      <c r="N140">
        <v>4338589000</v>
      </c>
      <c r="O140">
        <v>0</v>
      </c>
      <c r="P140">
        <v>0</v>
      </c>
      <c r="Q140">
        <v>0</v>
      </c>
      <c r="R140">
        <v>192476000</v>
      </c>
      <c r="S140">
        <v>0</v>
      </c>
      <c r="T140">
        <v>5944700000</v>
      </c>
      <c r="U140">
        <v>1991583000</v>
      </c>
      <c r="V140">
        <v>1470107000</v>
      </c>
      <c r="W140">
        <v>0</v>
      </c>
      <c r="X140">
        <v>0</v>
      </c>
      <c r="Y140">
        <v>1358000</v>
      </c>
      <c r="Z140">
        <v>3953117000</v>
      </c>
      <c r="AA140">
        <v>0</v>
      </c>
      <c r="AB140">
        <v>3105332000</v>
      </c>
      <c r="AC140">
        <v>0</v>
      </c>
      <c r="AD140">
        <v>0</v>
      </c>
      <c r="AE140">
        <v>3106690000</v>
      </c>
      <c r="AF140">
        <v>489656000</v>
      </c>
      <c r="AG140">
        <v>279547000</v>
      </c>
      <c r="AH140">
        <v>5343593000</v>
      </c>
      <c r="AI140">
        <v>0</v>
      </c>
      <c r="AJ140">
        <v>1999119000</v>
      </c>
      <c r="AK140">
        <v>254697000</v>
      </c>
      <c r="AL140">
        <v>292904002</v>
      </c>
    </row>
    <row r="141" spans="1:38">
      <c r="A141" s="21">
        <v>42216</v>
      </c>
      <c r="B141" t="s">
        <v>42</v>
      </c>
      <c r="C141">
        <v>11195195000</v>
      </c>
      <c r="D141">
        <v>3424847000</v>
      </c>
      <c r="E141">
        <v>180525000</v>
      </c>
      <c r="F141">
        <v>180525000</v>
      </c>
      <c r="G141">
        <v>3029731000</v>
      </c>
      <c r="H141">
        <v>14646000</v>
      </c>
      <c r="I141">
        <v>7770348000</v>
      </c>
      <c r="J141">
        <v>2195857000</v>
      </c>
      <c r="K141">
        <v>0</v>
      </c>
      <c r="L141">
        <v>1201241000</v>
      </c>
      <c r="M141">
        <v>1201241000</v>
      </c>
      <c r="N141">
        <v>4338589000</v>
      </c>
      <c r="O141">
        <v>0</v>
      </c>
      <c r="P141">
        <v>0</v>
      </c>
      <c r="Q141">
        <v>0</v>
      </c>
      <c r="R141">
        <v>199945000</v>
      </c>
      <c r="S141">
        <v>0</v>
      </c>
      <c r="T141">
        <v>5776261000</v>
      </c>
      <c r="U141">
        <v>2154763000</v>
      </c>
      <c r="V141">
        <v>1536610000</v>
      </c>
      <c r="W141">
        <v>0</v>
      </c>
      <c r="X141">
        <v>0</v>
      </c>
      <c r="Y141">
        <v>101335000</v>
      </c>
      <c r="Z141">
        <v>3621498000</v>
      </c>
      <c r="AA141">
        <v>0</v>
      </c>
      <c r="AB141">
        <v>2761794000</v>
      </c>
      <c r="AC141">
        <v>0</v>
      </c>
      <c r="AD141">
        <v>0</v>
      </c>
      <c r="AE141">
        <v>2863129000</v>
      </c>
      <c r="AF141">
        <v>475470000</v>
      </c>
      <c r="AG141">
        <v>281620000</v>
      </c>
      <c r="AH141">
        <v>5418934000</v>
      </c>
      <c r="AI141">
        <v>0</v>
      </c>
      <c r="AJ141">
        <v>2081543000</v>
      </c>
      <c r="AK141">
        <v>257968000</v>
      </c>
      <c r="AL141">
        <v>296528002</v>
      </c>
    </row>
    <row r="142" spans="1:38">
      <c r="A142" s="21">
        <v>42124</v>
      </c>
      <c r="B142" t="s">
        <v>42</v>
      </c>
      <c r="C142">
        <v>10956550000</v>
      </c>
      <c r="D142">
        <v>3244900000</v>
      </c>
      <c r="E142">
        <v>225116000</v>
      </c>
      <c r="F142">
        <v>225116000</v>
      </c>
      <c r="G142">
        <v>2839198000</v>
      </c>
      <c r="H142">
        <v>0</v>
      </c>
      <c r="I142">
        <v>7711650000</v>
      </c>
      <c r="J142">
        <v>2135436000</v>
      </c>
      <c r="K142">
        <v>0</v>
      </c>
      <c r="L142">
        <v>1201428000</v>
      </c>
      <c r="M142">
        <v>1201428000</v>
      </c>
      <c r="N142">
        <v>4338589000</v>
      </c>
      <c r="O142">
        <v>0</v>
      </c>
      <c r="P142">
        <v>0</v>
      </c>
      <c r="Q142">
        <v>0</v>
      </c>
      <c r="R142">
        <v>180586000</v>
      </c>
      <c r="S142">
        <v>0</v>
      </c>
      <c r="T142">
        <v>5570692000</v>
      </c>
      <c r="U142">
        <v>2072939000</v>
      </c>
      <c r="V142">
        <v>1435367000</v>
      </c>
      <c r="W142">
        <v>0</v>
      </c>
      <c r="X142">
        <v>0</v>
      </c>
      <c r="Y142">
        <v>101309000</v>
      </c>
      <c r="Z142">
        <v>3497753000</v>
      </c>
      <c r="AA142">
        <v>0</v>
      </c>
      <c r="AB142">
        <v>2614005000</v>
      </c>
      <c r="AC142">
        <v>0</v>
      </c>
      <c r="AD142">
        <v>0</v>
      </c>
      <c r="AE142">
        <v>2715314000</v>
      </c>
      <c r="AF142">
        <v>427315000</v>
      </c>
      <c r="AG142">
        <v>285500000</v>
      </c>
      <c r="AH142">
        <v>5385858000</v>
      </c>
      <c r="AI142">
        <v>0</v>
      </c>
      <c r="AJ142">
        <v>2061798000</v>
      </c>
      <c r="AK142">
        <v>260111000</v>
      </c>
      <c r="AL142">
        <v>302089002</v>
      </c>
    </row>
    <row r="143" spans="1:38">
      <c r="A143" s="21">
        <v>42035</v>
      </c>
      <c r="B143" t="s">
        <v>42</v>
      </c>
      <c r="C143">
        <v>11224104000</v>
      </c>
      <c r="D143">
        <v>3532609000</v>
      </c>
      <c r="E143">
        <v>579823000</v>
      </c>
      <c r="F143">
        <v>579823000</v>
      </c>
      <c r="G143">
        <v>2782521000</v>
      </c>
      <c r="H143">
        <v>1</v>
      </c>
      <c r="I143">
        <v>7691495000</v>
      </c>
      <c r="J143">
        <v>2116075000</v>
      </c>
      <c r="K143">
        <v>0</v>
      </c>
      <c r="L143">
        <v>1201870000</v>
      </c>
      <c r="M143">
        <v>1201870000</v>
      </c>
      <c r="N143">
        <v>4338589000</v>
      </c>
      <c r="O143">
        <v>0</v>
      </c>
      <c r="P143">
        <v>0</v>
      </c>
      <c r="Q143">
        <v>0</v>
      </c>
      <c r="R143">
        <v>170265000</v>
      </c>
      <c r="S143">
        <v>0</v>
      </c>
      <c r="T143">
        <v>5514066000</v>
      </c>
      <c r="U143">
        <v>1987740000</v>
      </c>
      <c r="V143">
        <v>1388154000</v>
      </c>
      <c r="W143">
        <v>0</v>
      </c>
      <c r="X143">
        <v>0</v>
      </c>
      <c r="Y143">
        <v>101158000</v>
      </c>
      <c r="Z143">
        <v>3526326000</v>
      </c>
      <c r="AA143">
        <v>0</v>
      </c>
      <c r="AB143">
        <v>2639427000</v>
      </c>
      <c r="AC143">
        <v>101158000</v>
      </c>
      <c r="AD143">
        <v>0</v>
      </c>
      <c r="AE143">
        <v>2740585000</v>
      </c>
      <c r="AF143">
        <v>439028000</v>
      </c>
      <c r="AG143">
        <v>285309000</v>
      </c>
      <c r="AH143">
        <v>5710038000</v>
      </c>
      <c r="AI143">
        <v>0</v>
      </c>
      <c r="AJ143">
        <v>2403045000</v>
      </c>
      <c r="AK143">
        <v>265514000</v>
      </c>
      <c r="AL143">
        <v>304435002</v>
      </c>
    </row>
    <row r="144" spans="1:38">
      <c r="A144" s="21">
        <v>41943</v>
      </c>
      <c r="B144" t="s">
        <v>42</v>
      </c>
      <c r="C144">
        <v>10877372000</v>
      </c>
      <c r="D144">
        <v>3179132000</v>
      </c>
      <c r="E144">
        <v>216155000</v>
      </c>
      <c r="F144">
        <v>216155000</v>
      </c>
      <c r="G144">
        <v>2788996000</v>
      </c>
      <c r="H144">
        <v>1</v>
      </c>
      <c r="I144">
        <v>7698240000</v>
      </c>
      <c r="J144">
        <v>2120572000</v>
      </c>
      <c r="K144">
        <v>0</v>
      </c>
      <c r="L144">
        <v>1202651000</v>
      </c>
      <c r="M144">
        <v>1202651000</v>
      </c>
      <c r="N144">
        <v>4338589000</v>
      </c>
      <c r="O144">
        <v>0</v>
      </c>
      <c r="P144">
        <v>0</v>
      </c>
      <c r="Q144">
        <v>0</v>
      </c>
      <c r="R144">
        <v>173981000</v>
      </c>
      <c r="S144">
        <v>0</v>
      </c>
      <c r="T144">
        <v>5533735000</v>
      </c>
      <c r="U144">
        <v>2010846000</v>
      </c>
      <c r="V144">
        <v>1394873000</v>
      </c>
      <c r="W144">
        <v>0</v>
      </c>
      <c r="X144">
        <v>0</v>
      </c>
      <c r="Y144">
        <v>101041000</v>
      </c>
      <c r="Z144">
        <v>3522889000</v>
      </c>
      <c r="AA144">
        <v>0</v>
      </c>
      <c r="AB144">
        <v>2666022000</v>
      </c>
      <c r="AC144">
        <v>0</v>
      </c>
      <c r="AD144">
        <v>0</v>
      </c>
      <c r="AE144">
        <v>2767063000</v>
      </c>
      <c r="AF144">
        <v>481717000</v>
      </c>
      <c r="AG144">
        <v>287812000</v>
      </c>
      <c r="AH144">
        <v>5343637000</v>
      </c>
      <c r="AI144">
        <v>0</v>
      </c>
      <c r="AJ144">
        <v>2047674000</v>
      </c>
      <c r="AK144">
        <v>265495000</v>
      </c>
      <c r="AL144">
        <v>304108002</v>
      </c>
    </row>
    <row r="145" spans="1:38">
      <c r="A145" s="21">
        <v>41851</v>
      </c>
      <c r="B145" t="s">
        <v>42</v>
      </c>
      <c r="C145">
        <v>10825794000</v>
      </c>
      <c r="D145">
        <v>3140631000</v>
      </c>
      <c r="E145">
        <v>172474000</v>
      </c>
      <c r="F145">
        <v>172474000</v>
      </c>
      <c r="G145">
        <v>2788872000</v>
      </c>
      <c r="H145">
        <v>4237000</v>
      </c>
      <c r="I145">
        <v>7685163000</v>
      </c>
      <c r="J145">
        <v>2106963000</v>
      </c>
      <c r="K145">
        <v>0</v>
      </c>
      <c r="L145">
        <v>1203904000</v>
      </c>
      <c r="M145">
        <v>1203904000</v>
      </c>
      <c r="N145">
        <v>4338589000</v>
      </c>
      <c r="O145">
        <v>0</v>
      </c>
      <c r="P145">
        <v>0</v>
      </c>
      <c r="Q145">
        <v>0</v>
      </c>
      <c r="R145">
        <v>175048000</v>
      </c>
      <c r="S145">
        <v>0</v>
      </c>
      <c r="T145">
        <v>5729801000</v>
      </c>
      <c r="U145">
        <v>1969418000</v>
      </c>
      <c r="V145">
        <v>1395780000</v>
      </c>
      <c r="W145">
        <v>0</v>
      </c>
      <c r="X145">
        <v>0</v>
      </c>
      <c r="Y145">
        <v>101013000</v>
      </c>
      <c r="Z145">
        <v>3760383000</v>
      </c>
      <c r="AA145">
        <v>0</v>
      </c>
      <c r="AB145">
        <v>2881217000</v>
      </c>
      <c r="AC145">
        <v>0</v>
      </c>
      <c r="AD145">
        <v>0</v>
      </c>
      <c r="AE145">
        <v>2982230000</v>
      </c>
      <c r="AF145">
        <v>448703000</v>
      </c>
      <c r="AG145">
        <v>296283000</v>
      </c>
      <c r="AH145">
        <v>5095993000</v>
      </c>
      <c r="AI145">
        <v>0</v>
      </c>
      <c r="AJ145">
        <v>1811358000</v>
      </c>
      <c r="AK145">
        <v>265458000</v>
      </c>
      <c r="AL145">
        <v>303888002</v>
      </c>
    </row>
    <row r="146" spans="1:38">
      <c r="A146" s="21">
        <v>41759</v>
      </c>
      <c r="B146" t="s">
        <v>42</v>
      </c>
      <c r="C146">
        <v>10601884000</v>
      </c>
      <c r="D146">
        <v>2943346000</v>
      </c>
      <c r="E146">
        <v>166330000</v>
      </c>
      <c r="F146">
        <v>166330000</v>
      </c>
      <c r="G146">
        <v>2605356000</v>
      </c>
      <c r="H146">
        <v>-375999</v>
      </c>
      <c r="I146">
        <v>7658538000</v>
      </c>
      <c r="J146">
        <v>2079832000</v>
      </c>
      <c r="K146">
        <v>0</v>
      </c>
      <c r="L146">
        <v>1205598000</v>
      </c>
      <c r="M146">
        <v>1205598000</v>
      </c>
      <c r="N146">
        <v>4338589000</v>
      </c>
      <c r="O146">
        <v>0</v>
      </c>
      <c r="P146">
        <v>0</v>
      </c>
      <c r="Q146">
        <v>376000</v>
      </c>
      <c r="R146">
        <v>171660000</v>
      </c>
      <c r="S146">
        <v>0</v>
      </c>
      <c r="T146">
        <v>5769657000</v>
      </c>
      <c r="U146">
        <v>1863318000</v>
      </c>
      <c r="V146">
        <v>1222680000</v>
      </c>
      <c r="W146">
        <v>0</v>
      </c>
      <c r="X146">
        <v>0</v>
      </c>
      <c r="Y146">
        <v>100989000</v>
      </c>
      <c r="Z146">
        <v>3906339000</v>
      </c>
      <c r="AA146">
        <v>0</v>
      </c>
      <c r="AB146">
        <v>3006404000</v>
      </c>
      <c r="AC146">
        <v>0</v>
      </c>
      <c r="AD146">
        <v>0</v>
      </c>
      <c r="AE146">
        <v>3107393000</v>
      </c>
      <c r="AF146">
        <v>418372000</v>
      </c>
      <c r="AG146">
        <v>299696000</v>
      </c>
      <c r="AH146">
        <v>4832227000</v>
      </c>
      <c r="AI146">
        <v>0</v>
      </c>
      <c r="AJ146">
        <v>1560098000</v>
      </c>
      <c r="AK146">
        <v>265379000</v>
      </c>
      <c r="AL146">
        <v>310295002</v>
      </c>
    </row>
    <row r="147" spans="1:38">
      <c r="A147" s="21">
        <v>41670</v>
      </c>
      <c r="B147" t="s">
        <v>42</v>
      </c>
      <c r="C147">
        <v>10867524000</v>
      </c>
      <c r="D147">
        <v>3205607000</v>
      </c>
      <c r="E147">
        <v>505566000</v>
      </c>
      <c r="F147">
        <v>505566000</v>
      </c>
      <c r="G147">
        <v>2552993000</v>
      </c>
      <c r="H147">
        <v>0</v>
      </c>
      <c r="I147">
        <v>7661917000</v>
      </c>
      <c r="J147">
        <v>2080305000</v>
      </c>
      <c r="K147">
        <v>0</v>
      </c>
      <c r="L147">
        <v>1207645000</v>
      </c>
      <c r="M147">
        <v>1207645000</v>
      </c>
      <c r="N147">
        <v>4338589000</v>
      </c>
      <c r="O147">
        <v>0</v>
      </c>
      <c r="P147">
        <v>0</v>
      </c>
      <c r="Q147">
        <v>621000</v>
      </c>
      <c r="R147">
        <v>147048000</v>
      </c>
      <c r="S147">
        <v>0</v>
      </c>
      <c r="T147">
        <v>5465331000</v>
      </c>
      <c r="U147">
        <v>1811971000</v>
      </c>
      <c r="V147">
        <v>1286484000</v>
      </c>
      <c r="W147">
        <v>0</v>
      </c>
      <c r="X147">
        <v>0</v>
      </c>
      <c r="Y147">
        <v>75966000</v>
      </c>
      <c r="Z147">
        <v>3653360000</v>
      </c>
      <c r="AA147">
        <v>0</v>
      </c>
      <c r="AB147">
        <v>2742788000</v>
      </c>
      <c r="AC147">
        <v>0</v>
      </c>
      <c r="AD147">
        <v>0</v>
      </c>
      <c r="AE147">
        <v>2818754000</v>
      </c>
      <c r="AF147">
        <v>390373000</v>
      </c>
      <c r="AG147">
        <v>296546000</v>
      </c>
      <c r="AH147">
        <v>5402193000</v>
      </c>
      <c r="AI147">
        <v>0</v>
      </c>
      <c r="AJ147">
        <v>2125453000</v>
      </c>
      <c r="AK147">
        <v>277424000</v>
      </c>
      <c r="AL147">
        <v>319104002</v>
      </c>
    </row>
    <row r="148" spans="1:38">
      <c r="A148" s="21">
        <v>41578</v>
      </c>
      <c r="B148" t="s">
        <v>42</v>
      </c>
      <c r="C148">
        <v>10775974000</v>
      </c>
      <c r="D148">
        <v>2904302000</v>
      </c>
      <c r="E148">
        <v>165717000</v>
      </c>
      <c r="F148">
        <v>165717000</v>
      </c>
      <c r="G148">
        <v>2591552000</v>
      </c>
      <c r="H148">
        <v>9786000</v>
      </c>
      <c r="I148">
        <v>7871672000</v>
      </c>
      <c r="J148">
        <v>2287410000</v>
      </c>
      <c r="K148">
        <v>0</v>
      </c>
      <c r="L148">
        <v>1210077000</v>
      </c>
      <c r="M148">
        <v>1210077000</v>
      </c>
      <c r="N148">
        <v>4338589000</v>
      </c>
      <c r="O148">
        <v>0</v>
      </c>
      <c r="P148">
        <v>0</v>
      </c>
      <c r="Q148">
        <v>1688000</v>
      </c>
      <c r="R148">
        <v>137247000</v>
      </c>
      <c r="S148">
        <v>0</v>
      </c>
      <c r="T148">
        <v>5501020000</v>
      </c>
      <c r="U148">
        <v>1753049000</v>
      </c>
      <c r="V148">
        <v>1251394000</v>
      </c>
      <c r="W148">
        <v>0</v>
      </c>
      <c r="X148">
        <v>0</v>
      </c>
      <c r="Y148">
        <v>50945000</v>
      </c>
      <c r="Z148">
        <v>3747971000</v>
      </c>
      <c r="AA148">
        <v>0</v>
      </c>
      <c r="AB148">
        <v>2873968000</v>
      </c>
      <c r="AC148">
        <v>0</v>
      </c>
      <c r="AD148">
        <v>0</v>
      </c>
      <c r="AE148">
        <v>2924912000</v>
      </c>
      <c r="AF148">
        <v>450071000</v>
      </c>
      <c r="AG148">
        <v>230798000</v>
      </c>
      <c r="AH148">
        <v>5274954000</v>
      </c>
      <c r="AI148">
        <v>0</v>
      </c>
      <c r="AJ148">
        <v>2000488000</v>
      </c>
      <c r="AK148">
        <v>280215000</v>
      </c>
      <c r="AL148">
        <v>322543002</v>
      </c>
    </row>
    <row r="149" spans="1:38">
      <c r="A149" s="21">
        <v>41486</v>
      </c>
      <c r="B149" t="s">
        <v>42</v>
      </c>
      <c r="C149">
        <v>10699630000</v>
      </c>
      <c r="D149">
        <v>2864743000</v>
      </c>
      <c r="E149">
        <v>169220000</v>
      </c>
      <c r="F149">
        <v>169220000</v>
      </c>
      <c r="G149">
        <v>2533766000</v>
      </c>
      <c r="H149">
        <v>7894000</v>
      </c>
      <c r="I149">
        <v>7834887000</v>
      </c>
      <c r="J149">
        <v>2244651000</v>
      </c>
      <c r="K149">
        <v>0</v>
      </c>
      <c r="L149">
        <v>1212821000</v>
      </c>
      <c r="M149">
        <v>1212821000</v>
      </c>
      <c r="N149">
        <v>4338589000</v>
      </c>
      <c r="O149">
        <v>0</v>
      </c>
      <c r="P149">
        <v>0</v>
      </c>
      <c r="Q149">
        <v>1973000</v>
      </c>
      <c r="R149">
        <v>153863000</v>
      </c>
      <c r="S149">
        <v>0</v>
      </c>
      <c r="T149">
        <v>5468154000</v>
      </c>
      <c r="U149">
        <v>1740190000</v>
      </c>
      <c r="V149">
        <v>1254856000</v>
      </c>
      <c r="W149">
        <v>0</v>
      </c>
      <c r="X149">
        <v>0</v>
      </c>
      <c r="Y149">
        <v>25927000</v>
      </c>
      <c r="Z149">
        <v>3727964000</v>
      </c>
      <c r="AA149">
        <v>0</v>
      </c>
      <c r="AB149">
        <v>2845138000</v>
      </c>
      <c r="AC149">
        <v>0</v>
      </c>
      <c r="AD149">
        <v>0</v>
      </c>
      <c r="AE149">
        <v>2871065000</v>
      </c>
      <c r="AF149">
        <v>441427000</v>
      </c>
      <c r="AG149">
        <v>235046000</v>
      </c>
      <c r="AH149">
        <v>5231476000</v>
      </c>
      <c r="AI149">
        <v>0</v>
      </c>
      <c r="AJ149">
        <v>1960068000</v>
      </c>
      <c r="AK149">
        <v>283120000</v>
      </c>
      <c r="AL149">
        <v>325639002</v>
      </c>
    </row>
    <row r="150" spans="1:38">
      <c r="A150" s="21">
        <v>41394</v>
      </c>
      <c r="B150" t="s">
        <v>42</v>
      </c>
      <c r="C150">
        <v>10493697000</v>
      </c>
      <c r="D150">
        <v>2724476000</v>
      </c>
      <c r="E150">
        <v>155526000</v>
      </c>
      <c r="F150">
        <v>155526000</v>
      </c>
      <c r="G150">
        <v>2414411000</v>
      </c>
      <c r="H150">
        <v>-154539000</v>
      </c>
      <c r="I150">
        <v>7769221000</v>
      </c>
      <c r="J150">
        <v>2177264000</v>
      </c>
      <c r="K150">
        <v>0</v>
      </c>
      <c r="L150">
        <v>1215999000</v>
      </c>
      <c r="M150">
        <v>1215999000</v>
      </c>
      <c r="N150">
        <v>4338589000</v>
      </c>
      <c r="O150">
        <v>0</v>
      </c>
      <c r="P150">
        <v>0</v>
      </c>
      <c r="Q150">
        <v>5558000</v>
      </c>
      <c r="R150">
        <v>309078000</v>
      </c>
      <c r="S150">
        <v>0</v>
      </c>
      <c r="T150">
        <v>5314798000</v>
      </c>
      <c r="U150">
        <v>1600402000</v>
      </c>
      <c r="V150">
        <v>1138395000</v>
      </c>
      <c r="W150">
        <v>0</v>
      </c>
      <c r="X150">
        <v>0</v>
      </c>
      <c r="Y150">
        <v>909000</v>
      </c>
      <c r="Z150">
        <v>3714396000</v>
      </c>
      <c r="AA150">
        <v>0</v>
      </c>
      <c r="AB150">
        <v>2835303000</v>
      </c>
      <c r="AC150">
        <v>0</v>
      </c>
      <c r="AD150">
        <v>0</v>
      </c>
      <c r="AE150">
        <v>2836212000</v>
      </c>
      <c r="AF150">
        <v>390558000</v>
      </c>
      <c r="AG150">
        <v>232631000</v>
      </c>
      <c r="AH150">
        <v>5178899000</v>
      </c>
      <c r="AI150">
        <v>0</v>
      </c>
      <c r="AJ150">
        <v>1911160000</v>
      </c>
      <c r="AK150">
        <v>286464000</v>
      </c>
      <c r="AL150">
        <v>328132002</v>
      </c>
    </row>
    <row r="151" spans="1:38">
      <c r="A151" s="21">
        <v>41305</v>
      </c>
      <c r="B151" t="s">
        <v>42</v>
      </c>
      <c r="C151">
        <v>10367682000</v>
      </c>
      <c r="D151">
        <v>2677113000</v>
      </c>
      <c r="E151">
        <v>140809000</v>
      </c>
      <c r="F151">
        <v>140809000</v>
      </c>
      <c r="G151">
        <v>2397175000</v>
      </c>
      <c r="H151">
        <v>1</v>
      </c>
      <c r="I151">
        <v>7690569000</v>
      </c>
      <c r="J151">
        <v>2088665000</v>
      </c>
      <c r="K151">
        <v>0</v>
      </c>
      <c r="L151">
        <v>1219543000</v>
      </c>
      <c r="M151">
        <v>1219543000</v>
      </c>
      <c r="N151">
        <v>4338589000</v>
      </c>
      <c r="O151">
        <v>0</v>
      </c>
      <c r="P151">
        <v>0</v>
      </c>
      <c r="Q151">
        <v>4285000</v>
      </c>
      <c r="R151">
        <v>139129000</v>
      </c>
      <c r="S151">
        <v>0</v>
      </c>
      <c r="T151">
        <v>5382352000</v>
      </c>
      <c r="U151">
        <v>1738547000</v>
      </c>
      <c r="V151">
        <v>1261607000</v>
      </c>
      <c r="W151">
        <v>0</v>
      </c>
      <c r="X151">
        <v>0</v>
      </c>
      <c r="Y151">
        <v>892000</v>
      </c>
      <c r="Z151">
        <v>3643805000</v>
      </c>
      <c r="AA151">
        <v>0</v>
      </c>
      <c r="AB151">
        <v>2771336000</v>
      </c>
      <c r="AC151">
        <v>0</v>
      </c>
      <c r="AD151">
        <v>0</v>
      </c>
      <c r="AE151">
        <v>2772228000</v>
      </c>
      <c r="AF151">
        <v>291332000</v>
      </c>
      <c r="AG151">
        <v>225399000</v>
      </c>
      <c r="AH151">
        <v>4985330000</v>
      </c>
      <c r="AI151">
        <v>0</v>
      </c>
      <c r="AJ151">
        <v>1710732000</v>
      </c>
      <c r="AK151">
        <v>286185000</v>
      </c>
      <c r="AL151">
        <v>328900000</v>
      </c>
    </row>
    <row r="152" spans="1:38">
      <c r="A152" s="21">
        <v>41213</v>
      </c>
      <c r="B152" t="s">
        <v>42</v>
      </c>
      <c r="C152">
        <v>10273677000</v>
      </c>
      <c r="D152">
        <v>2618192000</v>
      </c>
      <c r="E152">
        <v>142580000</v>
      </c>
      <c r="F152">
        <v>142580000</v>
      </c>
      <c r="G152">
        <v>2330436000</v>
      </c>
      <c r="H152">
        <v>13554000</v>
      </c>
      <c r="I152">
        <v>7655485000</v>
      </c>
      <c r="J152">
        <v>2047434000</v>
      </c>
      <c r="K152">
        <v>0</v>
      </c>
      <c r="L152">
        <v>1223407000</v>
      </c>
      <c r="M152">
        <v>1223407000</v>
      </c>
      <c r="N152">
        <v>4338589000</v>
      </c>
      <c r="O152">
        <v>0</v>
      </c>
      <c r="P152">
        <v>0</v>
      </c>
      <c r="Q152">
        <v>4047000</v>
      </c>
      <c r="R152">
        <v>131622000</v>
      </c>
      <c r="S152">
        <v>0</v>
      </c>
      <c r="T152">
        <v>5538815000</v>
      </c>
      <c r="U152">
        <v>1633839000</v>
      </c>
      <c r="V152">
        <v>1199727000</v>
      </c>
      <c r="W152">
        <v>0</v>
      </c>
      <c r="X152">
        <v>0</v>
      </c>
      <c r="Y152">
        <v>891000</v>
      </c>
      <c r="Z152">
        <v>3904976000</v>
      </c>
      <c r="AA152">
        <v>0</v>
      </c>
      <c r="AB152">
        <v>3023367000</v>
      </c>
      <c r="AC152">
        <v>0</v>
      </c>
      <c r="AD152">
        <v>0</v>
      </c>
      <c r="AE152">
        <v>3024258000</v>
      </c>
      <c r="AF152">
        <v>432224000</v>
      </c>
      <c r="AG152">
        <v>225699000</v>
      </c>
      <c r="AH152">
        <v>4734862000</v>
      </c>
      <c r="AI152">
        <v>0</v>
      </c>
      <c r="AJ152">
        <v>1468534000</v>
      </c>
      <c r="AK152">
        <v>287613000</v>
      </c>
      <c r="AL152">
        <v>334004002</v>
      </c>
    </row>
    <row r="153" spans="1:38">
      <c r="A153" s="21">
        <v>41121</v>
      </c>
      <c r="B153" t="s">
        <v>42</v>
      </c>
      <c r="C153">
        <v>10103474000</v>
      </c>
      <c r="D153">
        <v>2514444000</v>
      </c>
      <c r="E153">
        <v>134157000</v>
      </c>
      <c r="F153">
        <v>134157000</v>
      </c>
      <c r="G153">
        <v>2147837000</v>
      </c>
      <c r="H153">
        <v>89473000</v>
      </c>
      <c r="I153">
        <v>7589030000</v>
      </c>
      <c r="J153">
        <v>1972205000</v>
      </c>
      <c r="K153">
        <v>0</v>
      </c>
      <c r="L153">
        <v>1227499000</v>
      </c>
      <c r="M153">
        <v>1227499000</v>
      </c>
      <c r="N153">
        <v>4338589000</v>
      </c>
      <c r="O153">
        <v>0</v>
      </c>
      <c r="P153">
        <v>0</v>
      </c>
      <c r="Q153">
        <v>2676000</v>
      </c>
      <c r="R153">
        <v>142977000</v>
      </c>
      <c r="S153">
        <v>0</v>
      </c>
      <c r="T153">
        <v>5293064000</v>
      </c>
      <c r="U153">
        <v>1526683000</v>
      </c>
      <c r="V153">
        <v>1143857000</v>
      </c>
      <c r="W153">
        <v>0</v>
      </c>
      <c r="X153">
        <v>0</v>
      </c>
      <c r="Y153">
        <v>344000</v>
      </c>
      <c r="Z153">
        <v>3766381000</v>
      </c>
      <c r="AA153">
        <v>0</v>
      </c>
      <c r="AB153">
        <v>2887251000</v>
      </c>
      <c r="AC153">
        <v>0</v>
      </c>
      <c r="AD153">
        <v>0</v>
      </c>
      <c r="AE153">
        <v>2887595000</v>
      </c>
      <c r="AF153">
        <v>381817000</v>
      </c>
      <c r="AG153">
        <v>222008000</v>
      </c>
      <c r="AH153">
        <v>4810410000</v>
      </c>
      <c r="AI153">
        <v>0</v>
      </c>
      <c r="AJ153">
        <v>1550438000</v>
      </c>
      <c r="AK153">
        <v>291983000</v>
      </c>
      <c r="AL153">
        <v>335521002</v>
      </c>
    </row>
    <row r="154" spans="1:38">
      <c r="A154" s="21">
        <v>41029</v>
      </c>
      <c r="B154" t="s">
        <v>42</v>
      </c>
      <c r="C154">
        <v>9770208000</v>
      </c>
      <c r="D154">
        <v>2273735000</v>
      </c>
      <c r="E154">
        <v>132530000</v>
      </c>
      <c r="F154">
        <v>132530000</v>
      </c>
      <c r="G154">
        <v>2000864000</v>
      </c>
      <c r="H154">
        <v>5210000</v>
      </c>
      <c r="I154">
        <v>7496473000</v>
      </c>
      <c r="J154">
        <v>1878172000</v>
      </c>
      <c r="K154">
        <v>0</v>
      </c>
      <c r="L154">
        <v>1231866000</v>
      </c>
      <c r="M154">
        <v>1231866000</v>
      </c>
      <c r="N154">
        <v>4338589000</v>
      </c>
      <c r="O154">
        <v>0</v>
      </c>
      <c r="P154">
        <v>0</v>
      </c>
      <c r="Q154">
        <v>1637000</v>
      </c>
      <c r="R154">
        <v>135131000</v>
      </c>
      <c r="S154">
        <v>0</v>
      </c>
      <c r="T154">
        <v>5178776000</v>
      </c>
      <c r="U154">
        <v>1411253000</v>
      </c>
      <c r="V154">
        <v>985924000</v>
      </c>
      <c r="W154">
        <v>0</v>
      </c>
      <c r="X154">
        <v>0</v>
      </c>
      <c r="Y154">
        <v>459000</v>
      </c>
      <c r="Z154">
        <v>3767523000</v>
      </c>
      <c r="AA154">
        <v>0</v>
      </c>
      <c r="AB154">
        <v>2880920000</v>
      </c>
      <c r="AC154">
        <v>0</v>
      </c>
      <c r="AD154">
        <v>0</v>
      </c>
      <c r="AE154">
        <v>2881379000</v>
      </c>
      <c r="AF154">
        <v>374515000</v>
      </c>
      <c r="AG154">
        <v>231427000</v>
      </c>
      <c r="AH154">
        <v>4591432000</v>
      </c>
      <c r="AI154">
        <v>0</v>
      </c>
      <c r="AJ154">
        <v>1336298000</v>
      </c>
      <c r="AK154">
        <v>290782000</v>
      </c>
      <c r="AL154">
        <v>339490002</v>
      </c>
    </row>
    <row r="155" spans="1:38">
      <c r="A155" s="21">
        <v>40939</v>
      </c>
      <c r="B155" t="s">
        <v>42</v>
      </c>
      <c r="C155">
        <v>9688520000</v>
      </c>
      <c r="D155">
        <v>2275074000</v>
      </c>
      <c r="E155">
        <v>126126000</v>
      </c>
      <c r="F155">
        <v>126126000</v>
      </c>
      <c r="G155">
        <v>2009206000</v>
      </c>
      <c r="H155">
        <v>0</v>
      </c>
      <c r="I155">
        <v>7413446000</v>
      </c>
      <c r="J155">
        <v>1794960000</v>
      </c>
      <c r="K155">
        <v>0</v>
      </c>
      <c r="L155">
        <v>1235954000</v>
      </c>
      <c r="M155">
        <v>1235954000</v>
      </c>
      <c r="N155">
        <v>4338589000</v>
      </c>
      <c r="O155">
        <v>0</v>
      </c>
      <c r="P155">
        <v>0</v>
      </c>
      <c r="Q155">
        <v>1377000</v>
      </c>
      <c r="R155">
        <v>139742000</v>
      </c>
      <c r="S155">
        <v>0</v>
      </c>
      <c r="T155">
        <v>5020025000</v>
      </c>
      <c r="U155">
        <v>1509902000</v>
      </c>
      <c r="V155">
        <v>1064087000</v>
      </c>
      <c r="W155">
        <v>0</v>
      </c>
      <c r="X155">
        <v>0</v>
      </c>
      <c r="Y155">
        <v>590000</v>
      </c>
      <c r="Z155">
        <v>3510123000</v>
      </c>
      <c r="AA155">
        <v>0</v>
      </c>
      <c r="AB155">
        <v>2617891000</v>
      </c>
      <c r="AC155">
        <v>0</v>
      </c>
      <c r="AD155">
        <v>0</v>
      </c>
      <c r="AE155">
        <v>2618481000</v>
      </c>
      <c r="AF155">
        <v>292844000</v>
      </c>
      <c r="AG155">
        <v>229149000</v>
      </c>
      <c r="AH155">
        <v>4668495000</v>
      </c>
      <c r="AI155">
        <v>0</v>
      </c>
      <c r="AJ155">
        <v>1416918000</v>
      </c>
      <c r="AK155">
        <v>295828000</v>
      </c>
      <c r="AL155">
        <v>343800000</v>
      </c>
    </row>
    <row r="156" spans="1:38">
      <c r="A156" s="21">
        <v>40847</v>
      </c>
      <c r="B156" t="s">
        <v>42</v>
      </c>
      <c r="C156">
        <v>9735882000</v>
      </c>
      <c r="D156">
        <v>2392855000</v>
      </c>
      <c r="E156">
        <v>118580000</v>
      </c>
      <c r="F156">
        <v>118580000</v>
      </c>
      <c r="G156">
        <v>2089722000</v>
      </c>
      <c r="H156">
        <v>48807000</v>
      </c>
      <c r="I156">
        <v>7343027000</v>
      </c>
      <c r="J156">
        <v>1716797000</v>
      </c>
      <c r="K156">
        <v>0</v>
      </c>
      <c r="L156">
        <v>1240733000</v>
      </c>
      <c r="M156">
        <v>1240733000</v>
      </c>
      <c r="N156">
        <v>4338589000</v>
      </c>
      <c r="O156">
        <v>0</v>
      </c>
      <c r="P156">
        <v>0</v>
      </c>
      <c r="Q156">
        <v>1756000</v>
      </c>
      <c r="R156">
        <v>135746000</v>
      </c>
      <c r="S156">
        <v>0</v>
      </c>
      <c r="T156">
        <v>5181870000</v>
      </c>
      <c r="U156">
        <v>1572221000</v>
      </c>
      <c r="V156">
        <v>1132544000</v>
      </c>
      <c r="W156">
        <v>0</v>
      </c>
      <c r="X156">
        <v>0</v>
      </c>
      <c r="Y156">
        <v>763000</v>
      </c>
      <c r="Z156">
        <v>3609649000</v>
      </c>
      <c r="AA156">
        <v>0</v>
      </c>
      <c r="AB156">
        <v>2721061000</v>
      </c>
      <c r="AC156">
        <v>0</v>
      </c>
      <c r="AD156">
        <v>0</v>
      </c>
      <c r="AE156">
        <v>2721824000</v>
      </c>
      <c r="AF156">
        <v>437803000</v>
      </c>
      <c r="AG156">
        <v>233950000</v>
      </c>
      <c r="AH156">
        <v>4554012000</v>
      </c>
      <c r="AI156">
        <v>0</v>
      </c>
      <c r="AJ156">
        <v>1305107000</v>
      </c>
      <c r="AK156">
        <v>299514000</v>
      </c>
      <c r="AL156">
        <v>345777002</v>
      </c>
    </row>
    <row r="157" spans="1:38">
      <c r="A157" s="21">
        <v>40755</v>
      </c>
      <c r="B157" t="s">
        <v>42</v>
      </c>
      <c r="C157">
        <v>9529103000</v>
      </c>
      <c r="D157">
        <v>2272781000</v>
      </c>
      <c r="E157">
        <v>113050000</v>
      </c>
      <c r="F157">
        <v>113050000</v>
      </c>
      <c r="G157">
        <v>1973863000</v>
      </c>
      <c r="H157">
        <v>43435000</v>
      </c>
      <c r="I157">
        <v>7256322000</v>
      </c>
      <c r="J157">
        <v>1622991000</v>
      </c>
      <c r="K157">
        <v>0</v>
      </c>
      <c r="L157">
        <v>1245773000</v>
      </c>
      <c r="M157">
        <v>1245773000</v>
      </c>
      <c r="N157">
        <v>4338589000</v>
      </c>
      <c r="O157">
        <v>0</v>
      </c>
      <c r="P157">
        <v>0</v>
      </c>
      <c r="Q157">
        <v>1738000</v>
      </c>
      <c r="R157">
        <v>142433000</v>
      </c>
      <c r="S157">
        <v>0</v>
      </c>
      <c r="T157">
        <v>5155539000</v>
      </c>
      <c r="U157">
        <v>1526951000</v>
      </c>
      <c r="V157">
        <v>1122949000</v>
      </c>
      <c r="W157">
        <v>0</v>
      </c>
      <c r="X157">
        <v>0</v>
      </c>
      <c r="Y157">
        <v>963000</v>
      </c>
      <c r="Z157">
        <v>3628588000</v>
      </c>
      <c r="AA157">
        <v>0</v>
      </c>
      <c r="AB157">
        <v>2779408000</v>
      </c>
      <c r="AC157">
        <v>0</v>
      </c>
      <c r="AD157">
        <v>0</v>
      </c>
      <c r="AE157">
        <v>2780371000</v>
      </c>
      <c r="AF157">
        <v>402229000</v>
      </c>
      <c r="AG157">
        <v>215875000</v>
      </c>
      <c r="AH157">
        <v>4373564000</v>
      </c>
      <c r="AI157">
        <v>0</v>
      </c>
      <c r="AJ157">
        <v>1133943000</v>
      </c>
      <c r="AK157">
        <v>298842000</v>
      </c>
      <c r="AL157">
        <v>345625002</v>
      </c>
    </row>
    <row r="158" spans="1:38">
      <c r="A158" s="21">
        <v>40663</v>
      </c>
      <c r="B158" t="s">
        <v>42</v>
      </c>
      <c r="C158">
        <v>9714864000</v>
      </c>
      <c r="D158">
        <v>2506897000</v>
      </c>
      <c r="E158">
        <v>602463000</v>
      </c>
      <c r="F158">
        <v>602463000</v>
      </c>
      <c r="G158">
        <v>1767121000</v>
      </c>
      <c r="H158">
        <v>0</v>
      </c>
      <c r="I158">
        <v>7207967000</v>
      </c>
      <c r="J158">
        <v>1562596000</v>
      </c>
      <c r="K158">
        <v>0</v>
      </c>
      <c r="L158">
        <v>1251289000</v>
      </c>
      <c r="M158">
        <v>1251289000</v>
      </c>
      <c r="N158">
        <v>4338589000</v>
      </c>
      <c r="O158">
        <v>0</v>
      </c>
      <c r="P158">
        <v>0</v>
      </c>
      <c r="Q158">
        <v>1369000</v>
      </c>
      <c r="R158">
        <v>137313000</v>
      </c>
      <c r="S158">
        <v>0</v>
      </c>
      <c r="T158">
        <v>5495208000</v>
      </c>
      <c r="U158">
        <v>1387230000</v>
      </c>
      <c r="V158">
        <v>933710000</v>
      </c>
      <c r="W158">
        <v>0</v>
      </c>
      <c r="X158">
        <v>0</v>
      </c>
      <c r="Y158">
        <v>1039000</v>
      </c>
      <c r="Z158">
        <v>4107978000</v>
      </c>
      <c r="AA158">
        <v>0</v>
      </c>
      <c r="AB158">
        <v>3262597000</v>
      </c>
      <c r="AC158">
        <v>0</v>
      </c>
      <c r="AD158">
        <v>0</v>
      </c>
      <c r="AE158">
        <v>3263636000</v>
      </c>
      <c r="AF158">
        <v>420264000</v>
      </c>
      <c r="AG158">
        <v>230043000</v>
      </c>
      <c r="AH158">
        <v>4219656000</v>
      </c>
      <c r="AI158">
        <v>0</v>
      </c>
      <c r="AJ158">
        <v>987901000</v>
      </c>
      <c r="AK158">
        <v>298844000</v>
      </c>
      <c r="AL158">
        <v>345393002</v>
      </c>
    </row>
    <row r="159" spans="1:38">
      <c r="A159" s="21">
        <v>40574</v>
      </c>
      <c r="B159" t="s">
        <v>42</v>
      </c>
      <c r="C159">
        <v>9546222000</v>
      </c>
      <c r="D159">
        <v>2367825000</v>
      </c>
      <c r="E159">
        <v>497446000</v>
      </c>
      <c r="F159">
        <v>497446000</v>
      </c>
      <c r="G159">
        <v>1765433000</v>
      </c>
      <c r="H159">
        <v>0</v>
      </c>
      <c r="I159">
        <v>7178397000</v>
      </c>
      <c r="J159">
        <v>1524575000</v>
      </c>
      <c r="K159">
        <v>0</v>
      </c>
      <c r="L159">
        <v>1256922000</v>
      </c>
      <c r="M159">
        <v>1256922000</v>
      </c>
      <c r="N159">
        <v>4338589000</v>
      </c>
      <c r="O159">
        <v>0</v>
      </c>
      <c r="P159">
        <v>0</v>
      </c>
      <c r="Q159">
        <v>2200000</v>
      </c>
      <c r="R159">
        <v>104946000</v>
      </c>
      <c r="S159">
        <v>0</v>
      </c>
      <c r="T159">
        <v>5491743000</v>
      </c>
      <c r="U159">
        <v>1365373000</v>
      </c>
      <c r="V159">
        <v>953641000</v>
      </c>
      <c r="W159">
        <v>0</v>
      </c>
      <c r="X159">
        <v>0</v>
      </c>
      <c r="Y159">
        <v>1157000</v>
      </c>
      <c r="Z159">
        <v>4126370000</v>
      </c>
      <c r="AA159">
        <v>0</v>
      </c>
      <c r="AB159">
        <v>3287070000</v>
      </c>
      <c r="AC159">
        <v>0</v>
      </c>
      <c r="AD159">
        <v>0</v>
      </c>
      <c r="AE159">
        <v>3288227000</v>
      </c>
      <c r="AF159">
        <v>384595000</v>
      </c>
      <c r="AG159">
        <v>0</v>
      </c>
      <c r="AH159">
        <v>4054479000</v>
      </c>
      <c r="AI159">
        <v>0</v>
      </c>
      <c r="AJ159">
        <v>830932000</v>
      </c>
      <c r="AK159">
        <v>298819000</v>
      </c>
      <c r="AL159">
        <v>345300000</v>
      </c>
    </row>
    <row r="160" spans="1:38">
      <c r="A160" s="21">
        <v>40482</v>
      </c>
      <c r="B160" t="s">
        <v>42</v>
      </c>
      <c r="C160">
        <v>9349574000</v>
      </c>
      <c r="D160">
        <v>2272758000</v>
      </c>
      <c r="E160">
        <v>237906000</v>
      </c>
      <c r="F160">
        <v>237906000</v>
      </c>
      <c r="G160">
        <v>1885753000</v>
      </c>
      <c r="H160">
        <v>27677000</v>
      </c>
      <c r="I160">
        <v>7076816000</v>
      </c>
      <c r="J160">
        <v>1414700000</v>
      </c>
      <c r="K160">
        <v>0</v>
      </c>
      <c r="L160">
        <v>1262834000</v>
      </c>
      <c r="M160">
        <v>1262834000</v>
      </c>
      <c r="N160">
        <v>4338589000</v>
      </c>
      <c r="O160">
        <v>0</v>
      </c>
      <c r="P160">
        <v>0</v>
      </c>
      <c r="Q160">
        <v>1869000</v>
      </c>
      <c r="R160">
        <v>121422000</v>
      </c>
      <c r="S160">
        <v>0</v>
      </c>
      <c r="T160">
        <v>5532184000</v>
      </c>
      <c r="U160">
        <v>1410315000</v>
      </c>
      <c r="V160">
        <v>971538000</v>
      </c>
      <c r="W160">
        <v>0</v>
      </c>
      <c r="X160">
        <v>0</v>
      </c>
      <c r="Y160">
        <v>1358000</v>
      </c>
      <c r="Z160">
        <v>4121869000</v>
      </c>
      <c r="AA160">
        <v>0</v>
      </c>
      <c r="AB160">
        <v>3286907000</v>
      </c>
      <c r="AC160">
        <v>0</v>
      </c>
      <c r="AD160">
        <v>0</v>
      </c>
      <c r="AE160">
        <v>3288265000</v>
      </c>
      <c r="AF160">
        <v>423351000</v>
      </c>
      <c r="AG160">
        <v>0</v>
      </c>
      <c r="AH160">
        <v>3817390000</v>
      </c>
      <c r="AI160">
        <v>0</v>
      </c>
      <c r="AJ160">
        <v>608386000</v>
      </c>
      <c r="AK160">
        <v>298459000</v>
      </c>
      <c r="AL160">
        <v>344739002</v>
      </c>
    </row>
    <row r="161" spans="1:38">
      <c r="A161" s="21">
        <v>40390</v>
      </c>
      <c r="B161" t="s">
        <v>42</v>
      </c>
      <c r="C161">
        <v>9179474000</v>
      </c>
      <c r="D161">
        <v>2134684000</v>
      </c>
      <c r="E161">
        <v>281421000</v>
      </c>
      <c r="F161">
        <v>281421000</v>
      </c>
      <c r="G161">
        <v>1738439000</v>
      </c>
      <c r="H161">
        <v>0</v>
      </c>
      <c r="I161">
        <v>7044790000</v>
      </c>
      <c r="J161">
        <v>1377630000</v>
      </c>
      <c r="K161">
        <v>0</v>
      </c>
      <c r="L161">
        <v>1268990000</v>
      </c>
      <c r="M161">
        <v>1268990000</v>
      </c>
      <c r="N161">
        <v>4338589000</v>
      </c>
      <c r="O161">
        <v>0</v>
      </c>
      <c r="P161">
        <v>0</v>
      </c>
      <c r="Q161">
        <v>2063000</v>
      </c>
      <c r="R161">
        <v>114824000</v>
      </c>
      <c r="S161">
        <v>0</v>
      </c>
      <c r="T161">
        <v>5496630000</v>
      </c>
      <c r="U161">
        <v>1319160000</v>
      </c>
      <c r="V161">
        <v>941742000</v>
      </c>
      <c r="W161">
        <v>0</v>
      </c>
      <c r="X161">
        <v>0</v>
      </c>
      <c r="Y161">
        <v>1595000</v>
      </c>
      <c r="Z161">
        <v>4177470000</v>
      </c>
      <c r="AA161">
        <v>0</v>
      </c>
      <c r="AB161">
        <v>3350807000</v>
      </c>
      <c r="AC161">
        <v>0</v>
      </c>
      <c r="AD161">
        <v>0</v>
      </c>
      <c r="AE161">
        <v>3352402000</v>
      </c>
      <c r="AF161">
        <v>360959000</v>
      </c>
      <c r="AG161">
        <v>0</v>
      </c>
      <c r="AH161">
        <v>3682844000</v>
      </c>
      <c r="AI161">
        <v>0</v>
      </c>
      <c r="AJ161">
        <v>480266000</v>
      </c>
      <c r="AK161">
        <v>298399000</v>
      </c>
      <c r="AL161">
        <v>344746002</v>
      </c>
    </row>
    <row r="162" spans="1:38">
      <c r="A162" s="21">
        <v>40298</v>
      </c>
      <c r="B162" t="s">
        <v>42</v>
      </c>
      <c r="C162">
        <v>8977076000</v>
      </c>
      <c r="D162">
        <v>1938578000</v>
      </c>
      <c r="E162">
        <v>222709000</v>
      </c>
      <c r="F162">
        <v>222709000</v>
      </c>
      <c r="G162">
        <v>1604754000</v>
      </c>
      <c r="H162">
        <v>0</v>
      </c>
      <c r="I162">
        <v>7038498000</v>
      </c>
      <c r="J162">
        <v>1360868000</v>
      </c>
      <c r="K162">
        <v>0</v>
      </c>
      <c r="L162">
        <v>1276173000</v>
      </c>
      <c r="M162">
        <v>1276173000</v>
      </c>
      <c r="N162">
        <v>4338589000</v>
      </c>
      <c r="O162">
        <v>0</v>
      </c>
      <c r="P162">
        <v>0</v>
      </c>
      <c r="Q162">
        <v>2111000</v>
      </c>
      <c r="R162">
        <v>111115000</v>
      </c>
      <c r="S162">
        <v>0</v>
      </c>
      <c r="T162">
        <v>5440550000</v>
      </c>
      <c r="U162">
        <v>1206040000</v>
      </c>
      <c r="V162">
        <v>789274000</v>
      </c>
      <c r="W162">
        <v>0</v>
      </c>
      <c r="X162">
        <v>0</v>
      </c>
      <c r="Y162">
        <v>3547000</v>
      </c>
      <c r="Z162">
        <v>4234510000</v>
      </c>
      <c r="AA162">
        <v>0</v>
      </c>
      <c r="AB162">
        <v>3399887000</v>
      </c>
      <c r="AC162">
        <v>0</v>
      </c>
      <c r="AD162">
        <v>0</v>
      </c>
      <c r="AE162">
        <v>3403434000</v>
      </c>
      <c r="AF162">
        <v>378533000</v>
      </c>
      <c r="AG162">
        <v>0</v>
      </c>
      <c r="AH162">
        <v>3536526000</v>
      </c>
      <c r="AI162">
        <v>0</v>
      </c>
      <c r="AJ162">
        <v>339071000</v>
      </c>
      <c r="AK162">
        <v>298371000</v>
      </c>
      <c r="AL162">
        <v>344397002</v>
      </c>
    </row>
    <row r="163" spans="1:38">
      <c r="A163" s="21">
        <v>40209</v>
      </c>
      <c r="B163" t="s">
        <v>42</v>
      </c>
      <c r="C163">
        <v>8863519000</v>
      </c>
      <c r="D163">
        <v>1845449000</v>
      </c>
      <c r="E163">
        <v>222076000</v>
      </c>
      <c r="F163">
        <v>222076000</v>
      </c>
      <c r="G163">
        <v>1519578000</v>
      </c>
      <c r="H163">
        <v>7543000</v>
      </c>
      <c r="I163">
        <v>7018070000</v>
      </c>
      <c r="J163">
        <v>1328386000</v>
      </c>
      <c r="K163">
        <v>0</v>
      </c>
      <c r="L163">
        <v>1284283000</v>
      </c>
      <c r="M163">
        <v>1284283000</v>
      </c>
      <c r="N163">
        <v>4338589000</v>
      </c>
      <c r="O163">
        <v>0</v>
      </c>
      <c r="P163">
        <v>0</v>
      </c>
      <c r="Q163">
        <v>1600000</v>
      </c>
      <c r="R163">
        <v>96252000</v>
      </c>
      <c r="S163">
        <v>0</v>
      </c>
      <c r="T163">
        <v>5473221000</v>
      </c>
      <c r="U163">
        <v>1206500000</v>
      </c>
      <c r="V163">
        <v>830953000</v>
      </c>
      <c r="W163">
        <v>0</v>
      </c>
      <c r="X163">
        <v>0</v>
      </c>
      <c r="Y163">
        <v>3671000</v>
      </c>
      <c r="Z163">
        <v>4266721000</v>
      </c>
      <c r="AA163">
        <v>0</v>
      </c>
      <c r="AB163">
        <v>3399715000</v>
      </c>
      <c r="AC163">
        <v>0</v>
      </c>
      <c r="AD163">
        <v>0</v>
      </c>
      <c r="AE163">
        <v>3403386000</v>
      </c>
      <c r="AF163">
        <v>367351000</v>
      </c>
      <c r="AG163">
        <v>0</v>
      </c>
      <c r="AH163">
        <v>3390298000</v>
      </c>
      <c r="AI163">
        <v>0</v>
      </c>
      <c r="AJ163">
        <v>203075000</v>
      </c>
      <c r="AK163">
        <v>298013000</v>
      </c>
      <c r="AL163">
        <v>341000000</v>
      </c>
    </row>
    <row r="164" spans="1:38">
      <c r="A164" s="21">
        <v>40117</v>
      </c>
      <c r="B164" t="s">
        <v>42</v>
      </c>
      <c r="C164">
        <v>9132532000</v>
      </c>
      <c r="D164">
        <v>2117314000</v>
      </c>
      <c r="E164">
        <v>337019000</v>
      </c>
      <c r="F164">
        <v>337019000</v>
      </c>
      <c r="G164">
        <v>1680273000</v>
      </c>
      <c r="H164">
        <v>31268000</v>
      </c>
      <c r="I164">
        <v>7015218000</v>
      </c>
      <c r="J164">
        <v>1305858000</v>
      </c>
      <c r="K164">
        <v>0</v>
      </c>
      <c r="L164">
        <v>1293280000</v>
      </c>
      <c r="M164">
        <v>1293280000</v>
      </c>
      <c r="N164">
        <v>4338589000</v>
      </c>
      <c r="O164">
        <v>0</v>
      </c>
      <c r="P164">
        <v>0</v>
      </c>
      <c r="Q164">
        <v>0</v>
      </c>
      <c r="R164">
        <v>68754000</v>
      </c>
      <c r="S164">
        <v>0</v>
      </c>
      <c r="T164">
        <v>6277118000</v>
      </c>
      <c r="U164">
        <v>1310933000</v>
      </c>
      <c r="V164">
        <v>852988000</v>
      </c>
      <c r="W164">
        <v>0</v>
      </c>
      <c r="X164">
        <v>0</v>
      </c>
      <c r="Y164">
        <v>26762000</v>
      </c>
      <c r="Z164">
        <v>4966185000</v>
      </c>
      <c r="AA164">
        <v>0</v>
      </c>
      <c r="AB164">
        <v>4105252000</v>
      </c>
      <c r="AC164">
        <v>0</v>
      </c>
      <c r="AD164">
        <v>0</v>
      </c>
      <c r="AE164">
        <v>4132014000</v>
      </c>
      <c r="AF164">
        <v>427524000</v>
      </c>
      <c r="AG164">
        <v>0</v>
      </c>
      <c r="AH164">
        <v>2855414000</v>
      </c>
      <c r="AI164">
        <v>0</v>
      </c>
      <c r="AJ164">
        <v>115878000</v>
      </c>
      <c r="AK164">
        <v>278202000</v>
      </c>
      <c r="AL164">
        <v>320558002</v>
      </c>
    </row>
    <row r="165" spans="1:38">
      <c r="A165" s="21">
        <v>40025</v>
      </c>
      <c r="B165" t="s">
        <v>42</v>
      </c>
      <c r="C165">
        <v>9139944000</v>
      </c>
      <c r="D165">
        <v>2145779000</v>
      </c>
      <c r="E165">
        <v>515375000</v>
      </c>
      <c r="F165">
        <v>515375000</v>
      </c>
      <c r="G165">
        <v>1552586000</v>
      </c>
      <c r="H165">
        <v>5450000</v>
      </c>
      <c r="I165">
        <v>6994165000</v>
      </c>
      <c r="J165">
        <v>1273452000</v>
      </c>
      <c r="K165">
        <v>0</v>
      </c>
      <c r="L165">
        <v>1303196000</v>
      </c>
      <c r="M165">
        <v>1303196000</v>
      </c>
      <c r="N165">
        <v>4338589000</v>
      </c>
      <c r="O165">
        <v>0</v>
      </c>
      <c r="P165">
        <v>0</v>
      </c>
      <c r="Q165">
        <v>0</v>
      </c>
      <c r="R165">
        <v>72368000</v>
      </c>
      <c r="S165">
        <v>0</v>
      </c>
      <c r="T165">
        <v>6123406000</v>
      </c>
      <c r="U165">
        <v>1165825000</v>
      </c>
      <c r="V165">
        <v>800308000</v>
      </c>
      <c r="W165">
        <v>0</v>
      </c>
      <c r="X165">
        <v>0</v>
      </c>
      <c r="Y165">
        <v>26797000</v>
      </c>
      <c r="Z165">
        <v>4957581000</v>
      </c>
      <c r="AA165">
        <v>0</v>
      </c>
      <c r="AB165">
        <v>4111023000</v>
      </c>
      <c r="AC165">
        <v>0</v>
      </c>
      <c r="AD165">
        <v>0</v>
      </c>
      <c r="AE165">
        <v>4137820000</v>
      </c>
      <c r="AF165">
        <v>319416000</v>
      </c>
      <c r="AG165">
        <v>0</v>
      </c>
      <c r="AH165">
        <v>3016538000</v>
      </c>
      <c r="AI165">
        <v>0</v>
      </c>
      <c r="AJ165">
        <v>279960000</v>
      </c>
      <c r="AK165">
        <v>278217000</v>
      </c>
      <c r="AL165">
        <v>319505002</v>
      </c>
    </row>
    <row r="166" spans="1:38">
      <c r="A166" s="21">
        <v>39933</v>
      </c>
      <c r="B166" t="s">
        <v>42</v>
      </c>
      <c r="C166">
        <v>8978801000</v>
      </c>
      <c r="D166">
        <v>1962148000</v>
      </c>
      <c r="E166">
        <v>434584000</v>
      </c>
      <c r="F166">
        <v>434584000</v>
      </c>
      <c r="G166">
        <v>1454692000</v>
      </c>
      <c r="H166">
        <v>3479000</v>
      </c>
      <c r="I166">
        <v>7016653000</v>
      </c>
      <c r="J166">
        <v>1280835000</v>
      </c>
      <c r="K166">
        <v>0</v>
      </c>
      <c r="L166">
        <v>1314425000</v>
      </c>
      <c r="M166">
        <v>1314425000</v>
      </c>
      <c r="N166">
        <v>4338589000</v>
      </c>
      <c r="O166">
        <v>0</v>
      </c>
      <c r="P166">
        <v>0</v>
      </c>
      <c r="Q166">
        <v>0</v>
      </c>
      <c r="R166">
        <v>69393000</v>
      </c>
      <c r="S166">
        <v>0</v>
      </c>
      <c r="T166">
        <v>6062216000</v>
      </c>
      <c r="U166">
        <v>1092662000</v>
      </c>
      <c r="V166">
        <v>700438000</v>
      </c>
      <c r="W166">
        <v>0</v>
      </c>
      <c r="X166">
        <v>0</v>
      </c>
      <c r="Y166">
        <v>19526000</v>
      </c>
      <c r="Z166">
        <v>4969554000</v>
      </c>
      <c r="AA166">
        <v>0</v>
      </c>
      <c r="AB166">
        <v>4117190000</v>
      </c>
      <c r="AC166">
        <v>0</v>
      </c>
      <c r="AD166">
        <v>0</v>
      </c>
      <c r="AE166">
        <v>4136716000</v>
      </c>
      <c r="AF166">
        <v>344664000</v>
      </c>
      <c r="AG166">
        <v>0</v>
      </c>
      <c r="AH166">
        <v>2916585000</v>
      </c>
      <c r="AI166">
        <v>0</v>
      </c>
      <c r="AJ166">
        <v>186370000</v>
      </c>
      <c r="AK166">
        <v>278159000</v>
      </c>
      <c r="AL166">
        <v>318298002</v>
      </c>
    </row>
    <row r="167" spans="1:38">
      <c r="A167" s="21">
        <v>39844</v>
      </c>
      <c r="B167" t="s">
        <v>42</v>
      </c>
      <c r="C167">
        <v>8889199000</v>
      </c>
      <c r="D167">
        <v>1870125000</v>
      </c>
      <c r="E167">
        <v>377995000</v>
      </c>
      <c r="F167">
        <v>377995000</v>
      </c>
      <c r="G167">
        <v>1414955000</v>
      </c>
      <c r="H167">
        <v>6392000</v>
      </c>
      <c r="I167">
        <v>7019074000</v>
      </c>
      <c r="J167">
        <v>1268960000</v>
      </c>
      <c r="K167">
        <v>0</v>
      </c>
      <c r="L167">
        <v>1325558000</v>
      </c>
      <c r="M167">
        <v>1325558000</v>
      </c>
      <c r="N167">
        <v>4338589000</v>
      </c>
      <c r="O167">
        <v>0</v>
      </c>
      <c r="P167">
        <v>0</v>
      </c>
      <c r="Q167">
        <v>2100000</v>
      </c>
      <c r="R167">
        <v>70783000</v>
      </c>
      <c r="S167">
        <v>0</v>
      </c>
      <c r="T167">
        <v>6057504000</v>
      </c>
      <c r="U167">
        <v>1075235000</v>
      </c>
      <c r="V167">
        <v>678421000</v>
      </c>
      <c r="W167">
        <v>0</v>
      </c>
      <c r="X167">
        <v>0</v>
      </c>
      <c r="Y167">
        <v>14158000</v>
      </c>
      <c r="Z167">
        <v>4982269000</v>
      </c>
      <c r="AA167">
        <v>0</v>
      </c>
      <c r="AB167">
        <v>4122956000</v>
      </c>
      <c r="AC167">
        <v>0</v>
      </c>
      <c r="AD167">
        <v>0</v>
      </c>
      <c r="AE167">
        <v>4137114000</v>
      </c>
      <c r="AF167">
        <v>375045000</v>
      </c>
      <c r="AG167">
        <v>0</v>
      </c>
      <c r="AH167">
        <v>2831695000</v>
      </c>
      <c r="AI167">
        <v>0</v>
      </c>
      <c r="AJ167">
        <v>103364000</v>
      </c>
      <c r="AK167">
        <v>278114000</v>
      </c>
      <c r="AL167">
        <v>318100000</v>
      </c>
    </row>
    <row r="168" spans="1:38">
      <c r="A168" s="21">
        <v>39752</v>
      </c>
      <c r="B168" t="s">
        <v>42</v>
      </c>
      <c r="C168">
        <v>8940101000</v>
      </c>
      <c r="D168">
        <v>1886297000</v>
      </c>
      <c r="E168">
        <v>150590000</v>
      </c>
      <c r="F168">
        <v>150590000</v>
      </c>
      <c r="G168">
        <v>1619922000</v>
      </c>
      <c r="H168">
        <v>42986000</v>
      </c>
      <c r="I168">
        <v>7053804000</v>
      </c>
      <c r="J168">
        <v>1288848000</v>
      </c>
      <c r="K168">
        <v>0</v>
      </c>
      <c r="L168">
        <v>1336774000</v>
      </c>
      <c r="M168">
        <v>1336774000</v>
      </c>
      <c r="N168">
        <v>4337152000</v>
      </c>
      <c r="O168">
        <v>0</v>
      </c>
      <c r="P168">
        <v>0</v>
      </c>
      <c r="Q168">
        <v>0</v>
      </c>
      <c r="R168">
        <v>72799000</v>
      </c>
      <c r="S168">
        <v>0</v>
      </c>
      <c r="T168">
        <v>6176637000</v>
      </c>
      <c r="U168">
        <v>1192657000</v>
      </c>
      <c r="V168">
        <v>720126000</v>
      </c>
      <c r="W168">
        <v>0</v>
      </c>
      <c r="X168">
        <v>0</v>
      </c>
      <c r="Y168">
        <v>8455000</v>
      </c>
      <c r="Z168">
        <v>4983980000</v>
      </c>
      <c r="AA168">
        <v>0</v>
      </c>
      <c r="AB168">
        <v>4172467000</v>
      </c>
      <c r="AC168">
        <v>0</v>
      </c>
      <c r="AD168">
        <v>0</v>
      </c>
      <c r="AE168">
        <v>4180922000</v>
      </c>
      <c r="AF168">
        <v>462252000</v>
      </c>
      <c r="AG168">
        <v>0</v>
      </c>
      <c r="AH168">
        <v>2763464000</v>
      </c>
      <c r="AI168">
        <v>0</v>
      </c>
      <c r="AJ168">
        <v>21510000</v>
      </c>
      <c r="AK168">
        <v>277938000</v>
      </c>
      <c r="AL168">
        <v>317570002</v>
      </c>
    </row>
    <row r="169" spans="1:38">
      <c r="A169" s="21">
        <v>39660</v>
      </c>
      <c r="B169" t="s">
        <v>42</v>
      </c>
      <c r="C169">
        <v>8909790000</v>
      </c>
      <c r="D169">
        <v>1852801000</v>
      </c>
      <c r="E169">
        <v>261630000</v>
      </c>
      <c r="F169">
        <v>261630000</v>
      </c>
      <c r="G169">
        <v>1490063000</v>
      </c>
      <c r="H169">
        <v>12829000</v>
      </c>
      <c r="I169">
        <v>7056989000</v>
      </c>
      <c r="J169">
        <v>1266722000</v>
      </c>
      <c r="K169">
        <v>0</v>
      </c>
      <c r="L169">
        <v>1347948000</v>
      </c>
      <c r="M169">
        <v>1347948000</v>
      </c>
      <c r="N169">
        <v>4344930000</v>
      </c>
      <c r="O169">
        <v>0</v>
      </c>
      <c r="P169">
        <v>0</v>
      </c>
      <c r="Q169">
        <v>2597000</v>
      </c>
      <c r="R169">
        <v>85682000</v>
      </c>
      <c r="S169">
        <v>0</v>
      </c>
      <c r="T169">
        <v>6142987000</v>
      </c>
      <c r="U169">
        <v>1164717000</v>
      </c>
      <c r="V169">
        <v>818246000</v>
      </c>
      <c r="W169">
        <v>0</v>
      </c>
      <c r="X169">
        <v>0</v>
      </c>
      <c r="Y169">
        <v>2999000</v>
      </c>
      <c r="Z169">
        <v>4978270000</v>
      </c>
      <c r="AA169">
        <v>0</v>
      </c>
      <c r="AB169">
        <v>4177610000</v>
      </c>
      <c r="AC169">
        <v>0</v>
      </c>
      <c r="AD169">
        <v>0</v>
      </c>
      <c r="AE169">
        <v>4180609000</v>
      </c>
      <c r="AF169">
        <v>341728000</v>
      </c>
      <c r="AG169">
        <v>0</v>
      </c>
      <c r="AH169">
        <v>2766803000</v>
      </c>
      <c r="AI169">
        <v>0</v>
      </c>
      <c r="AJ169">
        <v>28816000</v>
      </c>
      <c r="AK169">
        <v>277712000</v>
      </c>
      <c r="AL169">
        <v>262538002</v>
      </c>
    </row>
    <row r="170" spans="1:38">
      <c r="A170" s="21">
        <v>39568</v>
      </c>
      <c r="B170" t="s">
        <v>42</v>
      </c>
      <c r="C170">
        <v>8662999000</v>
      </c>
      <c r="D170">
        <v>1595140000</v>
      </c>
      <c r="E170">
        <v>115904000</v>
      </c>
      <c r="F170">
        <v>115904000</v>
      </c>
      <c r="G170">
        <v>1317097000</v>
      </c>
      <c r="H170">
        <v>33813000</v>
      </c>
      <c r="I170">
        <v>7067859000</v>
      </c>
      <c r="J170">
        <v>1250570000</v>
      </c>
      <c r="K170">
        <v>0</v>
      </c>
      <c r="L170">
        <v>1359090000</v>
      </c>
      <c r="M170">
        <v>1359090000</v>
      </c>
      <c r="N170">
        <v>4344930000</v>
      </c>
      <c r="O170">
        <v>0</v>
      </c>
      <c r="P170">
        <v>0</v>
      </c>
      <c r="Q170">
        <v>48571000</v>
      </c>
      <c r="R170">
        <v>79755000</v>
      </c>
      <c r="S170">
        <v>0</v>
      </c>
      <c r="T170">
        <v>5932392000</v>
      </c>
      <c r="U170">
        <v>954740000</v>
      </c>
      <c r="V170">
        <v>592071000</v>
      </c>
      <c r="W170">
        <v>0</v>
      </c>
      <c r="X170">
        <v>0</v>
      </c>
      <c r="Y170">
        <v>2830000</v>
      </c>
      <c r="Z170">
        <v>4977652000</v>
      </c>
      <c r="AA170">
        <v>0</v>
      </c>
      <c r="AB170">
        <v>4176121000</v>
      </c>
      <c r="AC170">
        <v>0</v>
      </c>
      <c r="AD170">
        <v>0</v>
      </c>
      <c r="AE170">
        <v>4178951000</v>
      </c>
      <c r="AF170">
        <v>356915000</v>
      </c>
      <c r="AG170">
        <v>0</v>
      </c>
      <c r="AH170">
        <v>2730607000</v>
      </c>
      <c r="AI170">
        <v>0</v>
      </c>
      <c r="AJ170">
        <v>1097000</v>
      </c>
      <c r="AK170">
        <v>277740000</v>
      </c>
      <c r="AL170">
        <v>262538002</v>
      </c>
    </row>
    <row r="171" spans="1:38">
      <c r="A171" s="21">
        <v>39478</v>
      </c>
      <c r="B171" t="s">
        <v>42</v>
      </c>
      <c r="C171">
        <v>8656431000</v>
      </c>
      <c r="D171">
        <v>1517744000</v>
      </c>
      <c r="E171">
        <v>100209000</v>
      </c>
      <c r="F171">
        <v>100209000</v>
      </c>
      <c r="G171">
        <v>1288661000</v>
      </c>
      <c r="H171">
        <v>32501000</v>
      </c>
      <c r="I171">
        <v>7138687000</v>
      </c>
      <c r="J171">
        <v>1274245000</v>
      </c>
      <c r="K171">
        <v>0</v>
      </c>
      <c r="L171">
        <v>1370557000</v>
      </c>
      <c r="M171">
        <v>1370557000</v>
      </c>
      <c r="N171">
        <v>4344930000</v>
      </c>
      <c r="O171">
        <v>0</v>
      </c>
      <c r="P171">
        <v>0</v>
      </c>
      <c r="Q171">
        <v>19611000</v>
      </c>
      <c r="R171">
        <v>76762000</v>
      </c>
      <c r="S171">
        <v>0</v>
      </c>
      <c r="T171">
        <v>5952558000</v>
      </c>
      <c r="U171">
        <v>858241000</v>
      </c>
      <c r="V171">
        <v>551040000</v>
      </c>
      <c r="W171">
        <v>0</v>
      </c>
      <c r="X171">
        <v>0</v>
      </c>
      <c r="Y171">
        <v>3246000</v>
      </c>
      <c r="Z171">
        <v>5094317000</v>
      </c>
      <c r="AA171">
        <v>0</v>
      </c>
      <c r="AB171">
        <v>4278756000</v>
      </c>
      <c r="AC171">
        <v>0</v>
      </c>
      <c r="AD171">
        <v>0</v>
      </c>
      <c r="AE171">
        <v>4282002000</v>
      </c>
      <c r="AF171">
        <v>300956000</v>
      </c>
      <c r="AG171">
        <v>0</v>
      </c>
      <c r="AH171">
        <v>2703873000</v>
      </c>
      <c r="AI171">
        <v>0</v>
      </c>
      <c r="AJ171">
        <v>-4818000</v>
      </c>
      <c r="AK171">
        <v>277741000</v>
      </c>
      <c r="AL171">
        <v>313600000</v>
      </c>
    </row>
    <row r="172" spans="1:38">
      <c r="A172" s="21">
        <v>39386</v>
      </c>
      <c r="B172" t="s">
        <v>42</v>
      </c>
      <c r="C172">
        <v>8931735000</v>
      </c>
      <c r="D172">
        <v>0</v>
      </c>
      <c r="E172">
        <v>90538000</v>
      </c>
      <c r="F172">
        <v>90538000</v>
      </c>
      <c r="G172">
        <v>1486094000</v>
      </c>
      <c r="H172">
        <v>0</v>
      </c>
      <c r="I172">
        <v>0</v>
      </c>
      <c r="J172">
        <v>1243998000</v>
      </c>
      <c r="K172">
        <v>0</v>
      </c>
      <c r="L172">
        <v>5747467000</v>
      </c>
      <c r="M172">
        <v>5747467000</v>
      </c>
      <c r="N172">
        <v>4364841000</v>
      </c>
      <c r="O172">
        <v>0</v>
      </c>
      <c r="P172">
        <v>0</v>
      </c>
      <c r="Q172">
        <v>25336000</v>
      </c>
      <c r="R172">
        <v>98055000</v>
      </c>
      <c r="S172">
        <v>0</v>
      </c>
      <c r="T172">
        <v>6236731000</v>
      </c>
      <c r="U172">
        <v>962357000</v>
      </c>
      <c r="V172">
        <v>551786000</v>
      </c>
      <c r="W172">
        <v>0</v>
      </c>
      <c r="X172">
        <v>0</v>
      </c>
      <c r="Y172">
        <v>0</v>
      </c>
      <c r="Z172">
        <v>0</v>
      </c>
      <c r="AA172">
        <v>0</v>
      </c>
      <c r="AB172">
        <v>4502788000</v>
      </c>
      <c r="AC172">
        <v>0</v>
      </c>
      <c r="AD172">
        <v>0</v>
      </c>
      <c r="AE172">
        <v>0</v>
      </c>
      <c r="AF172">
        <v>402637000</v>
      </c>
      <c r="AG172">
        <v>0</v>
      </c>
      <c r="AH172">
        <v>2695004000</v>
      </c>
      <c r="AI172">
        <v>0</v>
      </c>
      <c r="AJ172">
        <v>0</v>
      </c>
      <c r="AK172">
        <v>277304000</v>
      </c>
      <c r="AL172">
        <v>315928002</v>
      </c>
    </row>
    <row r="173" spans="1:38">
      <c r="A173" s="21">
        <v>39294</v>
      </c>
      <c r="B173" t="s">
        <v>42</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315928002</v>
      </c>
    </row>
    <row r="174" spans="1:38">
      <c r="A174" s="21">
        <v>39202</v>
      </c>
      <c r="B174" t="s">
        <v>42</v>
      </c>
      <c r="C174">
        <v>3074309000</v>
      </c>
      <c r="D174">
        <v>1786157000</v>
      </c>
      <c r="E174">
        <v>204417000</v>
      </c>
      <c r="F174">
        <v>204417000</v>
      </c>
      <c r="G174">
        <v>1444313000</v>
      </c>
      <c r="H174">
        <v>14624000</v>
      </c>
      <c r="I174">
        <v>1288152000</v>
      </c>
      <c r="J174">
        <v>1212198000</v>
      </c>
      <c r="K174">
        <v>0</v>
      </c>
      <c r="L174">
        <v>0</v>
      </c>
      <c r="M174">
        <v>0</v>
      </c>
      <c r="N174">
        <v>0</v>
      </c>
      <c r="O174">
        <v>0</v>
      </c>
      <c r="P174">
        <v>0</v>
      </c>
      <c r="Q174">
        <v>27371000</v>
      </c>
      <c r="R174">
        <v>95432000</v>
      </c>
      <c r="S174">
        <v>0</v>
      </c>
      <c r="T174">
        <v>1277532000</v>
      </c>
      <c r="U174">
        <v>750273000</v>
      </c>
      <c r="V174">
        <v>484949000</v>
      </c>
      <c r="W174">
        <v>0</v>
      </c>
      <c r="X174">
        <v>0</v>
      </c>
      <c r="Y174">
        <v>7186000</v>
      </c>
      <c r="Z174">
        <v>527259000</v>
      </c>
      <c r="AA174">
        <v>0</v>
      </c>
      <c r="AB174">
        <v>260373000</v>
      </c>
      <c r="AC174">
        <v>0</v>
      </c>
      <c r="AD174">
        <v>0</v>
      </c>
      <c r="AE174">
        <v>267559000</v>
      </c>
      <c r="AF174">
        <v>258090000</v>
      </c>
      <c r="AG174">
        <v>0</v>
      </c>
      <c r="AH174">
        <v>1796777000</v>
      </c>
      <c r="AI174">
        <v>0</v>
      </c>
      <c r="AJ174">
        <v>1114170000</v>
      </c>
      <c r="AK174">
        <v>157298000</v>
      </c>
      <c r="AL174">
        <v>262538002</v>
      </c>
    </row>
    <row r="175" spans="1:38">
      <c r="A175" s="21">
        <v>39113</v>
      </c>
      <c r="B175" t="s">
        <v>42</v>
      </c>
      <c r="C175">
        <v>3040514000</v>
      </c>
      <c r="D175">
        <v>1742748000</v>
      </c>
      <c r="E175">
        <v>189288000</v>
      </c>
      <c r="F175">
        <v>189288000</v>
      </c>
      <c r="G175">
        <v>1432336000</v>
      </c>
      <c r="H175">
        <v>9833000</v>
      </c>
      <c r="I175">
        <v>1297766000</v>
      </c>
      <c r="J175">
        <v>1236874000</v>
      </c>
      <c r="K175">
        <v>0</v>
      </c>
      <c r="L175">
        <v>0</v>
      </c>
      <c r="M175">
        <v>0</v>
      </c>
      <c r="N175">
        <v>2000000</v>
      </c>
      <c r="O175">
        <v>0</v>
      </c>
      <c r="P175">
        <v>0</v>
      </c>
      <c r="Q175">
        <v>29950000</v>
      </c>
      <c r="R175">
        <v>81341000</v>
      </c>
      <c r="S175">
        <v>0</v>
      </c>
      <c r="T175">
        <v>1294767000</v>
      </c>
      <c r="U175">
        <v>832871000</v>
      </c>
      <c r="V175">
        <v>555274000</v>
      </c>
      <c r="W175">
        <v>0</v>
      </c>
      <c r="X175">
        <v>0</v>
      </c>
      <c r="Y175">
        <v>8080000</v>
      </c>
      <c r="Z175">
        <v>461896000</v>
      </c>
      <c r="AA175">
        <v>0</v>
      </c>
      <c r="AB175">
        <v>261958000</v>
      </c>
      <c r="AC175">
        <v>0</v>
      </c>
      <c r="AD175">
        <v>0</v>
      </c>
      <c r="AE175">
        <v>270038000</v>
      </c>
      <c r="AF175">
        <v>253558000</v>
      </c>
      <c r="AG175">
        <v>0</v>
      </c>
      <c r="AH175">
        <v>1745747000</v>
      </c>
      <c r="AI175">
        <v>-2288000</v>
      </c>
      <c r="AJ175">
        <v>1103951000</v>
      </c>
      <c r="AK175">
        <v>156218000</v>
      </c>
      <c r="AL175">
        <v>313300000</v>
      </c>
    </row>
    <row r="176" spans="1:38">
      <c r="A176" s="21">
        <v>39021</v>
      </c>
      <c r="B176" t="s">
        <v>42</v>
      </c>
      <c r="C176">
        <v>3206303000</v>
      </c>
      <c r="D176">
        <v>1917991000</v>
      </c>
      <c r="E176">
        <v>90914000</v>
      </c>
      <c r="F176">
        <v>90914000</v>
      </c>
      <c r="G176">
        <v>1676057000</v>
      </c>
      <c r="H176">
        <v>0</v>
      </c>
      <c r="I176">
        <v>1288312000</v>
      </c>
      <c r="J176">
        <v>1246890000</v>
      </c>
      <c r="K176">
        <v>0</v>
      </c>
      <c r="L176">
        <v>0</v>
      </c>
      <c r="M176">
        <v>0</v>
      </c>
      <c r="N176">
        <v>0</v>
      </c>
      <c r="O176">
        <v>0</v>
      </c>
      <c r="P176">
        <v>0</v>
      </c>
      <c r="Q176">
        <v>29400000</v>
      </c>
      <c r="R176">
        <v>121620000</v>
      </c>
      <c r="S176">
        <v>0</v>
      </c>
      <c r="T176">
        <v>1503362000</v>
      </c>
      <c r="U176">
        <v>948503000</v>
      </c>
      <c r="V176">
        <v>517443000</v>
      </c>
      <c r="W176">
        <v>0</v>
      </c>
      <c r="X176">
        <v>0</v>
      </c>
      <c r="Y176">
        <v>8473000</v>
      </c>
      <c r="Z176">
        <v>554859000</v>
      </c>
      <c r="AA176">
        <v>0</v>
      </c>
      <c r="AB176">
        <v>495339000</v>
      </c>
      <c r="AC176">
        <v>0</v>
      </c>
      <c r="AD176">
        <v>0</v>
      </c>
      <c r="AE176">
        <v>503812000</v>
      </c>
      <c r="AF176">
        <v>406761000</v>
      </c>
      <c r="AG176">
        <v>0</v>
      </c>
      <c r="AH176">
        <v>1702941000</v>
      </c>
      <c r="AI176">
        <v>0</v>
      </c>
      <c r="AJ176">
        <v>1069472000</v>
      </c>
      <c r="AK176">
        <v>156024000</v>
      </c>
      <c r="AL176">
        <v>312049002</v>
      </c>
    </row>
    <row r="177" spans="1:38">
      <c r="A177" s="21">
        <v>38929</v>
      </c>
      <c r="B177" t="s">
        <v>42</v>
      </c>
      <c r="C177">
        <v>3245197000</v>
      </c>
      <c r="D177">
        <v>1953880000</v>
      </c>
      <c r="E177">
        <v>86352000</v>
      </c>
      <c r="F177">
        <v>86352000</v>
      </c>
      <c r="G177">
        <v>1735031000</v>
      </c>
      <c r="H177">
        <v>38753000</v>
      </c>
      <c r="I177">
        <v>1291317000</v>
      </c>
      <c r="J177">
        <v>1241219000</v>
      </c>
      <c r="K177">
        <v>0</v>
      </c>
      <c r="L177">
        <v>0</v>
      </c>
      <c r="M177">
        <v>0</v>
      </c>
      <c r="N177">
        <v>0</v>
      </c>
      <c r="O177">
        <v>0</v>
      </c>
      <c r="P177">
        <v>0</v>
      </c>
      <c r="Q177">
        <v>21530000</v>
      </c>
      <c r="R177">
        <v>72214000</v>
      </c>
      <c r="S177">
        <v>0</v>
      </c>
      <c r="T177">
        <v>1523720000</v>
      </c>
      <c r="U177">
        <v>944652000</v>
      </c>
      <c r="V177">
        <v>538046000</v>
      </c>
      <c r="W177">
        <v>0</v>
      </c>
      <c r="X177">
        <v>0</v>
      </c>
      <c r="Y177">
        <v>9167000</v>
      </c>
      <c r="Z177">
        <v>579068000</v>
      </c>
      <c r="AA177">
        <v>0</v>
      </c>
      <c r="AB177">
        <v>516537000</v>
      </c>
      <c r="AC177">
        <v>0</v>
      </c>
      <c r="AD177">
        <v>0</v>
      </c>
      <c r="AE177">
        <v>525704000</v>
      </c>
      <c r="AF177">
        <v>387869000</v>
      </c>
      <c r="AG177">
        <v>0</v>
      </c>
      <c r="AH177">
        <v>1721477000</v>
      </c>
      <c r="AI177">
        <v>0</v>
      </c>
      <c r="AJ177">
        <v>1090298000</v>
      </c>
      <c r="AK177">
        <v>156000000</v>
      </c>
      <c r="AL177">
        <v>312594002</v>
      </c>
    </row>
    <row r="178" spans="1:38">
      <c r="A178" s="21">
        <v>38837</v>
      </c>
      <c r="B178" t="s">
        <v>42</v>
      </c>
      <c r="C178">
        <v>3063467000</v>
      </c>
      <c r="D178">
        <v>1808755000</v>
      </c>
      <c r="E178">
        <v>71876000</v>
      </c>
      <c r="F178">
        <v>71876000</v>
      </c>
      <c r="G178">
        <v>1636118000</v>
      </c>
      <c r="H178">
        <v>0</v>
      </c>
      <c r="I178">
        <v>1254712000</v>
      </c>
      <c r="J178">
        <v>1212386000</v>
      </c>
      <c r="K178">
        <v>0</v>
      </c>
      <c r="L178">
        <v>0</v>
      </c>
      <c r="M178">
        <v>0</v>
      </c>
      <c r="N178">
        <v>0</v>
      </c>
      <c r="O178">
        <v>0</v>
      </c>
      <c r="P178">
        <v>0</v>
      </c>
      <c r="Q178">
        <v>18825000</v>
      </c>
      <c r="R178">
        <v>81936000</v>
      </c>
      <c r="S178">
        <v>0</v>
      </c>
      <c r="T178">
        <v>1376653000</v>
      </c>
      <c r="U178">
        <v>979492000</v>
      </c>
      <c r="V178">
        <v>569447000</v>
      </c>
      <c r="W178">
        <v>0</v>
      </c>
      <c r="X178">
        <v>0</v>
      </c>
      <c r="Y178">
        <v>8800000</v>
      </c>
      <c r="Z178">
        <v>397161000</v>
      </c>
      <c r="AA178">
        <v>0</v>
      </c>
      <c r="AB178">
        <v>333471000</v>
      </c>
      <c r="AC178">
        <v>0</v>
      </c>
      <c r="AD178">
        <v>0</v>
      </c>
      <c r="AE178">
        <v>342271000</v>
      </c>
      <c r="AF178">
        <v>379218000</v>
      </c>
      <c r="AG178">
        <v>0</v>
      </c>
      <c r="AH178">
        <v>1686814000</v>
      </c>
      <c r="AI178">
        <v>0</v>
      </c>
      <c r="AJ178">
        <v>1060427000</v>
      </c>
      <c r="AK178">
        <v>155859000</v>
      </c>
      <c r="AL178">
        <v>315233002</v>
      </c>
    </row>
    <row r="179" spans="1:38">
      <c r="A179" s="21">
        <v>38748</v>
      </c>
      <c r="B179" t="s">
        <v>42</v>
      </c>
      <c r="C179">
        <v>2992187000</v>
      </c>
      <c r="D179">
        <v>1762925000</v>
      </c>
      <c r="E179">
        <v>200609000</v>
      </c>
      <c r="F179">
        <v>200609000</v>
      </c>
      <c r="G179">
        <v>1474414000</v>
      </c>
      <c r="H179">
        <v>0</v>
      </c>
      <c r="I179">
        <v>1229262000</v>
      </c>
      <c r="J179">
        <v>1192172000</v>
      </c>
      <c r="K179">
        <v>0</v>
      </c>
      <c r="L179">
        <v>0</v>
      </c>
      <c r="M179">
        <v>0</v>
      </c>
      <c r="N179">
        <v>0</v>
      </c>
      <c r="O179">
        <v>0</v>
      </c>
      <c r="P179">
        <v>0</v>
      </c>
      <c r="Q179">
        <v>8850000</v>
      </c>
      <c r="R179">
        <v>51339000</v>
      </c>
      <c r="S179">
        <v>0</v>
      </c>
      <c r="T179">
        <v>1271392000</v>
      </c>
      <c r="U179">
        <v>933797000</v>
      </c>
      <c r="V179">
        <v>508386000</v>
      </c>
      <c r="W179">
        <v>0</v>
      </c>
      <c r="X179">
        <v>0</v>
      </c>
      <c r="Y179">
        <v>8785000</v>
      </c>
      <c r="Z179">
        <v>337595000</v>
      </c>
      <c r="AA179">
        <v>0</v>
      </c>
      <c r="AB179">
        <v>269962000</v>
      </c>
      <c r="AC179">
        <v>0</v>
      </c>
      <c r="AD179">
        <v>0</v>
      </c>
      <c r="AE179">
        <v>278747000</v>
      </c>
      <c r="AF179">
        <v>372920000</v>
      </c>
      <c r="AG179">
        <v>0</v>
      </c>
      <c r="AH179">
        <v>1720795000</v>
      </c>
      <c r="AI179">
        <v>-2328000</v>
      </c>
      <c r="AJ179">
        <v>1106165000</v>
      </c>
      <c r="AK179">
        <v>157840000</v>
      </c>
      <c r="AL179">
        <v>317500000</v>
      </c>
    </row>
    <row r="180" spans="1:38">
      <c r="A180" s="21">
        <v>38656</v>
      </c>
      <c r="B180" t="s">
        <v>42</v>
      </c>
      <c r="C180">
        <v>2930781000</v>
      </c>
      <c r="D180">
        <v>1744650000</v>
      </c>
      <c r="E180">
        <v>92769000</v>
      </c>
      <c r="F180">
        <v>92769000</v>
      </c>
      <c r="G180">
        <v>1574567000</v>
      </c>
      <c r="H180">
        <v>0</v>
      </c>
      <c r="I180">
        <v>1186131000</v>
      </c>
      <c r="J180">
        <v>1155281000</v>
      </c>
      <c r="K180">
        <v>0</v>
      </c>
      <c r="L180">
        <v>0</v>
      </c>
      <c r="M180">
        <v>0</v>
      </c>
      <c r="N180">
        <v>0</v>
      </c>
      <c r="O180">
        <v>0</v>
      </c>
      <c r="P180">
        <v>0</v>
      </c>
      <c r="Q180">
        <v>1417000</v>
      </c>
      <c r="R180">
        <v>75897000</v>
      </c>
      <c r="S180">
        <v>0</v>
      </c>
      <c r="T180">
        <v>1316494000</v>
      </c>
      <c r="U180">
        <v>909940000</v>
      </c>
      <c r="V180">
        <v>521087000</v>
      </c>
      <c r="W180">
        <v>0</v>
      </c>
      <c r="X180">
        <v>0</v>
      </c>
      <c r="Y180">
        <v>8864000</v>
      </c>
      <c r="Z180">
        <v>406554000</v>
      </c>
      <c r="AA180">
        <v>0</v>
      </c>
      <c r="AB180">
        <v>344436000</v>
      </c>
      <c r="AC180">
        <v>0</v>
      </c>
      <c r="AD180">
        <v>0</v>
      </c>
      <c r="AE180">
        <v>353300000</v>
      </c>
      <c r="AF180">
        <v>372537000</v>
      </c>
      <c r="AG180">
        <v>0</v>
      </c>
      <c r="AH180">
        <v>1614287000</v>
      </c>
      <c r="AI180">
        <v>0</v>
      </c>
      <c r="AJ180">
        <v>1011019000</v>
      </c>
      <c r="AK180">
        <v>158437000</v>
      </c>
      <c r="AL180">
        <v>321443002</v>
      </c>
    </row>
    <row r="181" spans="1:38">
      <c r="A181" s="21">
        <v>38564</v>
      </c>
      <c r="B181" t="s">
        <v>42</v>
      </c>
      <c r="C181">
        <v>2840366000</v>
      </c>
      <c r="D181">
        <v>1698663000</v>
      </c>
      <c r="E181">
        <v>145950000</v>
      </c>
      <c r="F181">
        <v>145950000</v>
      </c>
      <c r="G181">
        <v>1460700000</v>
      </c>
      <c r="H181">
        <v>0</v>
      </c>
      <c r="I181">
        <v>1141703000</v>
      </c>
      <c r="J181">
        <v>1121697000</v>
      </c>
      <c r="K181">
        <v>0</v>
      </c>
      <c r="L181">
        <v>0</v>
      </c>
      <c r="M181">
        <v>0</v>
      </c>
      <c r="N181">
        <v>0</v>
      </c>
      <c r="O181">
        <v>0</v>
      </c>
      <c r="P181">
        <v>0</v>
      </c>
      <c r="Q181">
        <v>0</v>
      </c>
      <c r="R181">
        <v>92013000</v>
      </c>
      <c r="S181">
        <v>0</v>
      </c>
      <c r="T181">
        <v>1192549000</v>
      </c>
      <c r="U181">
        <v>869368000</v>
      </c>
      <c r="V181">
        <v>462697000</v>
      </c>
      <c r="W181">
        <v>0</v>
      </c>
      <c r="X181">
        <v>0</v>
      </c>
      <c r="Y181">
        <v>9561000</v>
      </c>
      <c r="Z181">
        <v>323181000</v>
      </c>
      <c r="AA181">
        <v>0</v>
      </c>
      <c r="AB181">
        <v>255445000</v>
      </c>
      <c r="AC181">
        <v>0</v>
      </c>
      <c r="AD181">
        <v>0</v>
      </c>
      <c r="AE181">
        <v>265006000</v>
      </c>
      <c r="AF181">
        <v>347606000</v>
      </c>
      <c r="AG181">
        <v>0</v>
      </c>
      <c r="AH181">
        <v>1647817000</v>
      </c>
      <c r="AI181">
        <v>0</v>
      </c>
      <c r="AJ181">
        <v>1046650000</v>
      </c>
      <c r="AK181">
        <v>160630000</v>
      </c>
      <c r="AL181">
        <v>326340002</v>
      </c>
    </row>
    <row r="182" spans="1:38">
      <c r="A182" s="21">
        <v>38472</v>
      </c>
      <c r="B182" t="s">
        <v>42</v>
      </c>
      <c r="C182">
        <v>2904538000</v>
      </c>
      <c r="D182">
        <v>1783195000</v>
      </c>
      <c r="E182">
        <v>236523000</v>
      </c>
      <c r="F182">
        <v>236523000</v>
      </c>
      <c r="G182">
        <v>1465981000</v>
      </c>
      <c r="H182">
        <v>0</v>
      </c>
      <c r="I182">
        <v>1121343000</v>
      </c>
      <c r="J182">
        <v>1091997000</v>
      </c>
      <c r="K182">
        <v>0</v>
      </c>
      <c r="L182">
        <v>0</v>
      </c>
      <c r="M182">
        <v>0</v>
      </c>
      <c r="N182">
        <v>0</v>
      </c>
      <c r="O182">
        <v>0</v>
      </c>
      <c r="P182">
        <v>0</v>
      </c>
      <c r="Q182">
        <v>43000000</v>
      </c>
      <c r="R182">
        <v>80691000</v>
      </c>
      <c r="S182">
        <v>0</v>
      </c>
      <c r="T182">
        <v>1176572000</v>
      </c>
      <c r="U182">
        <v>847778000</v>
      </c>
      <c r="V182">
        <v>459742000</v>
      </c>
      <c r="W182">
        <v>0</v>
      </c>
      <c r="X182">
        <v>0</v>
      </c>
      <c r="Y182">
        <v>10737000</v>
      </c>
      <c r="Z182">
        <v>328794000</v>
      </c>
      <c r="AA182">
        <v>0</v>
      </c>
      <c r="AB182">
        <v>256452000</v>
      </c>
      <c r="AC182">
        <v>0</v>
      </c>
      <c r="AD182">
        <v>0</v>
      </c>
      <c r="AE182">
        <v>267189000</v>
      </c>
      <c r="AF182">
        <v>322742000</v>
      </c>
      <c r="AG182">
        <v>0</v>
      </c>
      <c r="AH182">
        <v>1727966000</v>
      </c>
      <c r="AI182">
        <v>0</v>
      </c>
      <c r="AJ182">
        <v>1129626000</v>
      </c>
      <c r="AK182">
        <v>164071000</v>
      </c>
      <c r="AL182">
        <v>331218002</v>
      </c>
    </row>
    <row r="183" spans="1:38">
      <c r="A183" s="21"/>
    </row>
    <row r="184" spans="1:38">
      <c r="A184" s="21"/>
    </row>
    <row r="185" spans="1:38">
      <c r="A185" s="21"/>
    </row>
    <row r="186" spans="1:38">
      <c r="A186" s="21"/>
    </row>
    <row r="187" spans="1:38">
      <c r="A187" s="21"/>
    </row>
    <row r="188" spans="1:38">
      <c r="A188" s="21"/>
    </row>
    <row r="189" spans="1:38">
      <c r="A189" s="21"/>
    </row>
    <row r="190" spans="1:38">
      <c r="A190" s="21"/>
    </row>
    <row r="191" spans="1:38">
      <c r="A191" s="21"/>
    </row>
    <row r="192" spans="1:38">
      <c r="A192" s="21"/>
    </row>
    <row r="193" spans="1:29">
      <c r="A193" s="21"/>
    </row>
    <row r="194" spans="1:29">
      <c r="A194" s="21"/>
    </row>
    <row r="195" spans="1:29">
      <c r="A195" s="21"/>
    </row>
    <row r="196" spans="1:29">
      <c r="A196" s="21"/>
    </row>
    <row r="197" spans="1:29">
      <c r="A197" s="21"/>
    </row>
    <row r="198" spans="1:29">
      <c r="A198" s="21"/>
    </row>
    <row r="199" spans="1:29">
      <c r="A199" s="21"/>
    </row>
    <row r="200" spans="1:29">
      <c r="A200" s="21" t="s">
        <v>230</v>
      </c>
    </row>
    <row r="201" spans="1:29">
      <c r="A201" s="21" t="s">
        <v>14</v>
      </c>
      <c r="B201" t="s">
        <v>15</v>
      </c>
      <c r="C201" t="s">
        <v>163</v>
      </c>
      <c r="D201" t="s">
        <v>164</v>
      </c>
      <c r="E201" t="s">
        <v>165</v>
      </c>
      <c r="F201" t="s">
        <v>166</v>
      </c>
      <c r="G201" t="s">
        <v>167</v>
      </c>
      <c r="H201" t="s">
        <v>168</v>
      </c>
      <c r="I201" t="s">
        <v>169</v>
      </c>
      <c r="J201" t="s">
        <v>170</v>
      </c>
      <c r="K201" t="s">
        <v>171</v>
      </c>
      <c r="L201" t="s">
        <v>172</v>
      </c>
      <c r="M201" t="s">
        <v>173</v>
      </c>
      <c r="N201" t="s">
        <v>174</v>
      </c>
      <c r="O201" t="s">
        <v>175</v>
      </c>
      <c r="P201" t="s">
        <v>176</v>
      </c>
      <c r="Q201" t="s">
        <v>177</v>
      </c>
      <c r="R201" t="s">
        <v>178</v>
      </c>
      <c r="S201" t="s">
        <v>179</v>
      </c>
      <c r="T201" t="s">
        <v>180</v>
      </c>
      <c r="U201" t="s">
        <v>181</v>
      </c>
      <c r="V201" t="s">
        <v>182</v>
      </c>
      <c r="W201" t="s">
        <v>100</v>
      </c>
      <c r="X201" t="s">
        <v>101</v>
      </c>
      <c r="Y201" t="s">
        <v>102</v>
      </c>
      <c r="Z201" t="s">
        <v>103</v>
      </c>
      <c r="AA201" t="s">
        <v>104</v>
      </c>
      <c r="AB201" t="s">
        <v>105</v>
      </c>
      <c r="AC201" t="s">
        <v>39</v>
      </c>
    </row>
    <row r="202" spans="1:29">
      <c r="A202" s="21">
        <v>45777</v>
      </c>
      <c r="B202" t="s">
        <v>42</v>
      </c>
      <c r="C202">
        <v>847155000</v>
      </c>
      <c r="D202">
        <v>0</v>
      </c>
      <c r="E202">
        <v>0</v>
      </c>
      <c r="F202">
        <v>0</v>
      </c>
      <c r="G202">
        <v>0</v>
      </c>
      <c r="H202">
        <v>252793000</v>
      </c>
      <c r="I202">
        <v>290928000</v>
      </c>
      <c r="J202">
        <v>0</v>
      </c>
      <c r="K202">
        <v>124841000</v>
      </c>
      <c r="L202">
        <v>0</v>
      </c>
      <c r="M202">
        <v>0</v>
      </c>
      <c r="N202">
        <v>-639337000</v>
      </c>
      <c r="O202">
        <v>0</v>
      </c>
      <c r="P202">
        <v>0</v>
      </c>
      <c r="Q202">
        <v>0</v>
      </c>
      <c r="R202">
        <v>0</v>
      </c>
      <c r="S202">
        <v>129819000</v>
      </c>
      <c r="T202">
        <v>129819000</v>
      </c>
      <c r="U202">
        <v>0</v>
      </c>
      <c r="V202">
        <v>0</v>
      </c>
      <c r="W202">
        <v>0</v>
      </c>
      <c r="X202">
        <v>0</v>
      </c>
      <c r="Y202">
        <v>0</v>
      </c>
      <c r="Z202">
        <v>0</v>
      </c>
      <c r="AA202">
        <v>0</v>
      </c>
      <c r="AB202">
        <v>0</v>
      </c>
      <c r="AC202">
        <v>391928000</v>
      </c>
    </row>
    <row r="203" spans="1:29">
      <c r="A203" s="21">
        <v>45688</v>
      </c>
      <c r="B203" t="s">
        <v>42</v>
      </c>
      <c r="C203">
        <v>800901000</v>
      </c>
      <c r="D203">
        <v>0</v>
      </c>
      <c r="E203">
        <v>0</v>
      </c>
      <c r="F203">
        <v>0</v>
      </c>
      <c r="G203">
        <v>0</v>
      </c>
      <c r="H203">
        <v>253610000</v>
      </c>
      <c r="I203">
        <v>272791000</v>
      </c>
      <c r="J203">
        <v>0</v>
      </c>
      <c r="K203">
        <v>377720000</v>
      </c>
      <c r="L203">
        <v>0</v>
      </c>
      <c r="M203">
        <v>0</v>
      </c>
      <c r="N203">
        <v>-134225000</v>
      </c>
      <c r="O203">
        <v>0</v>
      </c>
      <c r="P203">
        <v>0</v>
      </c>
      <c r="Q203">
        <v>0</v>
      </c>
      <c r="R203">
        <v>0</v>
      </c>
      <c r="S203">
        <v>129746000</v>
      </c>
      <c r="T203">
        <v>129746000</v>
      </c>
      <c r="U203">
        <v>0</v>
      </c>
      <c r="V203">
        <v>0</v>
      </c>
      <c r="W203">
        <v>0</v>
      </c>
      <c r="X203">
        <v>0</v>
      </c>
      <c r="Y203">
        <v>0</v>
      </c>
      <c r="Z203">
        <v>0</v>
      </c>
      <c r="AA203">
        <v>0</v>
      </c>
      <c r="AB203">
        <v>0</v>
      </c>
      <c r="AC203">
        <v>191217000</v>
      </c>
    </row>
    <row r="204" spans="1:29">
      <c r="A204" s="21">
        <v>45596</v>
      </c>
      <c r="B204" t="s">
        <v>42</v>
      </c>
      <c r="C204">
        <v>542434000</v>
      </c>
      <c r="D204">
        <v>0</v>
      </c>
      <c r="E204">
        <v>0</v>
      </c>
      <c r="F204">
        <v>0</v>
      </c>
      <c r="G204">
        <v>0</v>
      </c>
      <c r="H204">
        <v>247014000</v>
      </c>
      <c r="I204">
        <v>341414000</v>
      </c>
      <c r="J204">
        <v>0</v>
      </c>
      <c r="K204">
        <v>-124143000</v>
      </c>
      <c r="L204">
        <v>0</v>
      </c>
      <c r="M204">
        <v>0</v>
      </c>
      <c r="N204">
        <v>-887056000</v>
      </c>
      <c r="O204">
        <v>0</v>
      </c>
      <c r="P204">
        <v>0</v>
      </c>
      <c r="Q204">
        <v>0</v>
      </c>
      <c r="R204">
        <v>0</v>
      </c>
      <c r="S204">
        <v>129755000</v>
      </c>
      <c r="T204">
        <v>129755000</v>
      </c>
      <c r="U204">
        <v>0</v>
      </c>
      <c r="V204">
        <v>0</v>
      </c>
      <c r="W204">
        <v>0</v>
      </c>
      <c r="X204">
        <v>0</v>
      </c>
      <c r="Y204">
        <v>0</v>
      </c>
      <c r="Z204">
        <v>0</v>
      </c>
      <c r="AA204">
        <v>0</v>
      </c>
      <c r="AB204">
        <v>0</v>
      </c>
      <c r="AC204">
        <v>196529000</v>
      </c>
    </row>
    <row r="205" spans="1:29">
      <c r="A205" s="21">
        <v>45504</v>
      </c>
      <c r="B205" t="s">
        <v>42</v>
      </c>
      <c r="C205">
        <v>988923000</v>
      </c>
      <c r="D205">
        <v>0</v>
      </c>
      <c r="E205">
        <v>0</v>
      </c>
      <c r="F205">
        <v>0</v>
      </c>
      <c r="G205">
        <v>0</v>
      </c>
      <c r="H205">
        <v>238793000</v>
      </c>
      <c r="I205">
        <v>353708000</v>
      </c>
      <c r="J205">
        <v>0</v>
      </c>
      <c r="K205">
        <v>-72931000</v>
      </c>
      <c r="L205">
        <v>0</v>
      </c>
      <c r="M205">
        <v>0</v>
      </c>
      <c r="N205">
        <v>-133935000</v>
      </c>
      <c r="O205">
        <v>0</v>
      </c>
      <c r="P205">
        <v>0</v>
      </c>
      <c r="Q205">
        <v>0</v>
      </c>
      <c r="R205">
        <v>0</v>
      </c>
      <c r="S205">
        <v>129746000</v>
      </c>
      <c r="T205">
        <v>129746000</v>
      </c>
      <c r="U205">
        <v>0</v>
      </c>
      <c r="V205">
        <v>0</v>
      </c>
      <c r="W205">
        <v>0</v>
      </c>
      <c r="X205">
        <v>0</v>
      </c>
      <c r="Y205">
        <v>0</v>
      </c>
      <c r="Z205">
        <v>0</v>
      </c>
      <c r="AA205">
        <v>0</v>
      </c>
      <c r="AB205">
        <v>0</v>
      </c>
      <c r="AC205">
        <v>374190000</v>
      </c>
    </row>
    <row r="206" spans="1:29">
      <c r="A206" s="21">
        <v>45412</v>
      </c>
      <c r="B206" t="s">
        <v>42</v>
      </c>
      <c r="C206">
        <v>663806000</v>
      </c>
      <c r="D206">
        <v>0</v>
      </c>
      <c r="E206">
        <v>0</v>
      </c>
      <c r="F206">
        <v>0</v>
      </c>
      <c r="G206">
        <v>0</v>
      </c>
      <c r="H206">
        <v>232286000</v>
      </c>
      <c r="I206">
        <v>341975000</v>
      </c>
      <c r="J206">
        <v>0</v>
      </c>
      <c r="K206">
        <v>49562000</v>
      </c>
      <c r="L206">
        <v>0</v>
      </c>
      <c r="M206">
        <v>0</v>
      </c>
      <c r="N206">
        <v>-139228000</v>
      </c>
      <c r="O206">
        <v>0</v>
      </c>
      <c r="P206">
        <v>0</v>
      </c>
      <c r="Q206">
        <v>0</v>
      </c>
      <c r="R206">
        <v>0</v>
      </c>
      <c r="S206">
        <v>129736000</v>
      </c>
      <c r="T206">
        <v>129736000</v>
      </c>
      <c r="U206">
        <v>0</v>
      </c>
      <c r="V206">
        <v>0</v>
      </c>
      <c r="W206">
        <v>0</v>
      </c>
      <c r="X206">
        <v>0</v>
      </c>
      <c r="Y206">
        <v>0</v>
      </c>
      <c r="Z206">
        <v>0</v>
      </c>
      <c r="AA206">
        <v>0</v>
      </c>
      <c r="AB206">
        <v>0</v>
      </c>
      <c r="AC206">
        <v>363317000</v>
      </c>
    </row>
    <row r="207" spans="1:29">
      <c r="A207" s="21">
        <v>45322</v>
      </c>
      <c r="B207" t="s">
        <v>42</v>
      </c>
      <c r="C207">
        <v>949779000</v>
      </c>
      <c r="D207">
        <v>0</v>
      </c>
      <c r="E207">
        <v>0</v>
      </c>
      <c r="F207">
        <v>0</v>
      </c>
      <c r="G207">
        <v>0</v>
      </c>
      <c r="H207">
        <v>222976000</v>
      </c>
      <c r="I207">
        <v>459715000</v>
      </c>
      <c r="J207">
        <v>0</v>
      </c>
      <c r="K207">
        <v>362545000</v>
      </c>
      <c r="L207">
        <v>0</v>
      </c>
      <c r="M207">
        <v>0</v>
      </c>
      <c r="N207">
        <v>-319464000</v>
      </c>
      <c r="O207">
        <v>0</v>
      </c>
      <c r="P207">
        <v>0</v>
      </c>
      <c r="Q207">
        <v>0</v>
      </c>
      <c r="R207">
        <v>0</v>
      </c>
      <c r="S207">
        <v>129598000</v>
      </c>
      <c r="T207">
        <v>129598000</v>
      </c>
      <c r="U207">
        <v>0</v>
      </c>
      <c r="V207">
        <v>0</v>
      </c>
      <c r="W207">
        <v>0</v>
      </c>
      <c r="X207">
        <v>0</v>
      </c>
      <c r="Y207">
        <v>0</v>
      </c>
      <c r="Z207">
        <v>0</v>
      </c>
      <c r="AA207">
        <v>0</v>
      </c>
      <c r="AB207">
        <v>0</v>
      </c>
      <c r="AC207">
        <v>401813000</v>
      </c>
    </row>
    <row r="208" spans="1:29">
      <c r="A208" s="21">
        <v>45230</v>
      </c>
      <c r="B208" t="s">
        <v>42</v>
      </c>
      <c r="C208">
        <v>715298000</v>
      </c>
      <c r="D208">
        <v>0</v>
      </c>
      <c r="E208">
        <v>0</v>
      </c>
      <c r="F208">
        <v>0</v>
      </c>
      <c r="G208">
        <v>0</v>
      </c>
      <c r="H208">
        <v>215530000</v>
      </c>
      <c r="I208">
        <v>472572000</v>
      </c>
      <c r="J208">
        <v>0</v>
      </c>
      <c r="K208">
        <v>155390000</v>
      </c>
      <c r="L208">
        <v>0</v>
      </c>
      <c r="M208">
        <v>-470843000</v>
      </c>
      <c r="N208">
        <v>-232026000</v>
      </c>
      <c r="O208">
        <v>0</v>
      </c>
      <c r="P208">
        <v>0</v>
      </c>
      <c r="Q208">
        <v>0</v>
      </c>
      <c r="R208">
        <v>0</v>
      </c>
      <c r="S208">
        <v>129496000</v>
      </c>
      <c r="T208">
        <v>129496000</v>
      </c>
      <c r="U208">
        <v>0</v>
      </c>
      <c r="V208">
        <v>0</v>
      </c>
      <c r="W208">
        <v>0</v>
      </c>
      <c r="X208">
        <v>0</v>
      </c>
      <c r="Y208">
        <v>0</v>
      </c>
      <c r="Z208">
        <v>0</v>
      </c>
      <c r="AA208">
        <v>0</v>
      </c>
      <c r="AB208">
        <v>0</v>
      </c>
      <c r="AC208">
        <v>276246000</v>
      </c>
    </row>
    <row r="209" spans="1:29">
      <c r="A209" s="21">
        <v>45138</v>
      </c>
      <c r="B209" t="s">
        <v>42</v>
      </c>
      <c r="C209">
        <v>535606000</v>
      </c>
      <c r="D209">
        <v>0</v>
      </c>
      <c r="E209">
        <v>0</v>
      </c>
      <c r="F209">
        <v>0</v>
      </c>
      <c r="G209">
        <v>0</v>
      </c>
      <c r="H209">
        <v>208380000</v>
      </c>
      <c r="I209">
        <v>404794000</v>
      </c>
      <c r="J209">
        <v>0</v>
      </c>
      <c r="K209">
        <v>-215863000</v>
      </c>
      <c r="L209">
        <v>0</v>
      </c>
      <c r="M209">
        <v>-764701000</v>
      </c>
      <c r="N209">
        <v>-92553000</v>
      </c>
      <c r="O209">
        <v>0</v>
      </c>
      <c r="P209">
        <v>0</v>
      </c>
      <c r="Q209">
        <v>0</v>
      </c>
      <c r="R209">
        <v>0</v>
      </c>
      <c r="S209">
        <v>129484000</v>
      </c>
      <c r="T209">
        <v>129484000</v>
      </c>
      <c r="U209">
        <v>0</v>
      </c>
      <c r="V209">
        <v>0</v>
      </c>
      <c r="W209">
        <v>0</v>
      </c>
      <c r="X209">
        <v>0</v>
      </c>
      <c r="Y209">
        <v>0</v>
      </c>
      <c r="Z209">
        <v>0</v>
      </c>
      <c r="AA209">
        <v>0</v>
      </c>
      <c r="AB209">
        <v>0</v>
      </c>
      <c r="AC209">
        <v>468835000</v>
      </c>
    </row>
    <row r="210" spans="1:29">
      <c r="A210" s="21">
        <v>45046</v>
      </c>
      <c r="B210" t="s">
        <v>42</v>
      </c>
      <c r="C210">
        <v>191115000</v>
      </c>
      <c r="D210">
        <v>0</v>
      </c>
      <c r="E210">
        <v>0</v>
      </c>
      <c r="F210">
        <v>0</v>
      </c>
      <c r="G210">
        <v>0</v>
      </c>
      <c r="H210">
        <v>201907000</v>
      </c>
      <c r="I210">
        <v>363141000</v>
      </c>
      <c r="J210">
        <v>0</v>
      </c>
      <c r="K210">
        <v>-601138000</v>
      </c>
      <c r="L210">
        <v>0</v>
      </c>
      <c r="M210">
        <v>-361602000</v>
      </c>
      <c r="N210">
        <v>101975000</v>
      </c>
      <c r="O210">
        <v>0</v>
      </c>
      <c r="P210">
        <v>0</v>
      </c>
      <c r="Q210">
        <v>0</v>
      </c>
      <c r="R210">
        <v>0</v>
      </c>
      <c r="S210">
        <v>129401000</v>
      </c>
      <c r="T210">
        <v>129401000</v>
      </c>
      <c r="U210">
        <v>0</v>
      </c>
      <c r="V210">
        <v>0</v>
      </c>
      <c r="W210">
        <v>0</v>
      </c>
      <c r="X210">
        <v>0</v>
      </c>
      <c r="Y210">
        <v>0</v>
      </c>
      <c r="Z210">
        <v>0</v>
      </c>
      <c r="AA210">
        <v>-68512000</v>
      </c>
      <c r="AB210">
        <v>0</v>
      </c>
      <c r="AC210">
        <v>514380000</v>
      </c>
    </row>
    <row r="211" spans="1:29">
      <c r="A211" s="21">
        <v>44957</v>
      </c>
      <c r="B211" t="s">
        <v>42</v>
      </c>
      <c r="C211">
        <v>736368000</v>
      </c>
      <c r="D211">
        <v>0</v>
      </c>
      <c r="E211">
        <v>0</v>
      </c>
      <c r="F211">
        <v>0</v>
      </c>
      <c r="G211">
        <v>0</v>
      </c>
      <c r="H211">
        <v>192363000</v>
      </c>
      <c r="I211">
        <v>482374000</v>
      </c>
      <c r="J211">
        <v>0</v>
      </c>
      <c r="K211">
        <v>220082000</v>
      </c>
      <c r="L211">
        <v>0</v>
      </c>
      <c r="M211">
        <v>-479526000</v>
      </c>
      <c r="N211">
        <v>-237997000</v>
      </c>
      <c r="O211">
        <v>0</v>
      </c>
      <c r="P211">
        <v>0</v>
      </c>
      <c r="Q211">
        <v>0</v>
      </c>
      <c r="R211">
        <v>0</v>
      </c>
      <c r="S211">
        <v>121303000</v>
      </c>
      <c r="T211">
        <v>121303000</v>
      </c>
      <c r="U211">
        <v>0</v>
      </c>
      <c r="V211">
        <v>0</v>
      </c>
      <c r="W211">
        <v>0</v>
      </c>
      <c r="X211">
        <v>0</v>
      </c>
      <c r="Y211">
        <v>-1106163000</v>
      </c>
      <c r="Z211">
        <v>0</v>
      </c>
      <c r="AA211">
        <v>18845000</v>
      </c>
      <c r="AB211">
        <v>0</v>
      </c>
      <c r="AC211">
        <v>659135000</v>
      </c>
    </row>
    <row r="212" spans="1:29">
      <c r="A212" s="21">
        <v>44865</v>
      </c>
      <c r="B212" t="s">
        <v>42</v>
      </c>
      <c r="C212">
        <v>300171000</v>
      </c>
      <c r="D212">
        <v>0</v>
      </c>
      <c r="E212">
        <v>0</v>
      </c>
      <c r="F212">
        <v>0</v>
      </c>
      <c r="G212">
        <v>0</v>
      </c>
      <c r="H212">
        <v>182792000</v>
      </c>
      <c r="I212">
        <v>419424000</v>
      </c>
      <c r="J212">
        <v>0</v>
      </c>
      <c r="K212">
        <v>-356690000</v>
      </c>
      <c r="L212">
        <v>0</v>
      </c>
      <c r="M212">
        <v>-419202000</v>
      </c>
      <c r="N212">
        <v>155499000</v>
      </c>
      <c r="O212">
        <v>0</v>
      </c>
      <c r="P212">
        <v>0</v>
      </c>
      <c r="Q212">
        <v>0</v>
      </c>
      <c r="R212">
        <v>0</v>
      </c>
      <c r="S212">
        <v>122961000</v>
      </c>
      <c r="T212">
        <v>122961000</v>
      </c>
      <c r="U212">
        <v>0</v>
      </c>
      <c r="V212">
        <v>0</v>
      </c>
      <c r="W212">
        <v>0</v>
      </c>
      <c r="X212">
        <v>0</v>
      </c>
      <c r="Y212">
        <v>-546455000</v>
      </c>
      <c r="Z212">
        <v>0</v>
      </c>
      <c r="AA212">
        <v>36468000</v>
      </c>
      <c r="AB212">
        <v>0</v>
      </c>
      <c r="AC212">
        <v>526167000</v>
      </c>
    </row>
    <row r="213" spans="1:29">
      <c r="A213" s="21">
        <v>44773</v>
      </c>
      <c r="B213" t="s">
        <v>42</v>
      </c>
      <c r="C213">
        <v>498500000</v>
      </c>
      <c r="D213">
        <v>0</v>
      </c>
      <c r="E213">
        <v>0</v>
      </c>
      <c r="F213">
        <v>0</v>
      </c>
      <c r="G213">
        <v>0</v>
      </c>
      <c r="H213">
        <v>177159000</v>
      </c>
      <c r="I213">
        <v>377204000</v>
      </c>
      <c r="J213">
        <v>0</v>
      </c>
      <c r="K213">
        <v>-989823000</v>
      </c>
      <c r="L213">
        <v>0</v>
      </c>
      <c r="M213">
        <v>-375774000</v>
      </c>
      <c r="N213">
        <v>-132076000</v>
      </c>
      <c r="O213">
        <v>0</v>
      </c>
      <c r="P213">
        <v>0</v>
      </c>
      <c r="Q213">
        <v>0</v>
      </c>
      <c r="R213">
        <v>0</v>
      </c>
      <c r="S213">
        <v>124200000</v>
      </c>
      <c r="T213">
        <v>124200000</v>
      </c>
      <c r="U213">
        <v>0</v>
      </c>
      <c r="V213">
        <v>0</v>
      </c>
      <c r="W213">
        <v>0</v>
      </c>
      <c r="X213">
        <v>0</v>
      </c>
      <c r="Y213">
        <v>-348623000</v>
      </c>
      <c r="Z213">
        <v>0</v>
      </c>
      <c r="AA213">
        <v>-9350000</v>
      </c>
      <c r="AB213">
        <v>0</v>
      </c>
      <c r="AC213">
        <v>678030000</v>
      </c>
    </row>
    <row r="214" spans="1:29">
      <c r="A214" s="21">
        <v>44681</v>
      </c>
      <c r="B214" t="s">
        <v>42</v>
      </c>
      <c r="C214">
        <v>449516000</v>
      </c>
      <c r="D214">
        <v>0</v>
      </c>
      <c r="E214">
        <v>0</v>
      </c>
      <c r="F214">
        <v>0</v>
      </c>
      <c r="G214">
        <v>0</v>
      </c>
      <c r="H214">
        <v>172563000</v>
      </c>
      <c r="I214">
        <v>281580000</v>
      </c>
      <c r="J214">
        <v>0</v>
      </c>
      <c r="K214">
        <v>-538921000</v>
      </c>
      <c r="L214">
        <v>0</v>
      </c>
      <c r="M214">
        <v>-280844000</v>
      </c>
      <c r="N214">
        <v>-177888000</v>
      </c>
      <c r="O214">
        <v>0</v>
      </c>
      <c r="P214">
        <v>0</v>
      </c>
      <c r="Q214">
        <v>0</v>
      </c>
      <c r="R214">
        <v>0</v>
      </c>
      <c r="S214">
        <v>125262000</v>
      </c>
      <c r="T214">
        <v>125262000</v>
      </c>
      <c r="U214">
        <v>0</v>
      </c>
      <c r="V214">
        <v>0</v>
      </c>
      <c r="W214">
        <v>0</v>
      </c>
      <c r="X214">
        <v>0</v>
      </c>
      <c r="Y214">
        <v>-746773000</v>
      </c>
      <c r="Z214">
        <v>0</v>
      </c>
      <c r="AA214">
        <v>-9216000</v>
      </c>
      <c r="AB214">
        <v>0</v>
      </c>
      <c r="AC214">
        <v>552657000</v>
      </c>
    </row>
    <row r="215" spans="1:29">
      <c r="A215" s="21">
        <v>44592</v>
      </c>
      <c r="B215" t="s">
        <v>42</v>
      </c>
      <c r="C215">
        <v>639095000</v>
      </c>
      <c r="D215">
        <v>0</v>
      </c>
      <c r="E215">
        <v>0</v>
      </c>
      <c r="F215">
        <v>0</v>
      </c>
      <c r="G215">
        <v>0</v>
      </c>
      <c r="H215">
        <v>166371000</v>
      </c>
      <c r="I215">
        <v>291054000</v>
      </c>
      <c r="J215">
        <v>0</v>
      </c>
      <c r="K215">
        <v>-390017000</v>
      </c>
      <c r="L215">
        <v>0</v>
      </c>
      <c r="M215">
        <v>-290119000</v>
      </c>
      <c r="N215">
        <v>-492809000</v>
      </c>
      <c r="O215">
        <v>0</v>
      </c>
      <c r="P215">
        <v>0</v>
      </c>
      <c r="Q215">
        <v>0</v>
      </c>
      <c r="R215">
        <v>0</v>
      </c>
      <c r="S215">
        <v>96768000</v>
      </c>
      <c r="T215">
        <v>96768000</v>
      </c>
      <c r="U215">
        <v>0</v>
      </c>
      <c r="V215">
        <v>0</v>
      </c>
      <c r="W215">
        <v>0</v>
      </c>
      <c r="X215">
        <v>0</v>
      </c>
      <c r="Y215">
        <v>-489762000</v>
      </c>
      <c r="Z215">
        <v>0</v>
      </c>
      <c r="AA215">
        <v>-143833000</v>
      </c>
      <c r="AB215">
        <v>0</v>
      </c>
      <c r="AC215">
        <v>597433000</v>
      </c>
    </row>
    <row r="216" spans="1:29">
      <c r="A216" s="21">
        <v>44500</v>
      </c>
      <c r="B216" t="s">
        <v>42</v>
      </c>
      <c r="C216">
        <v>909172000</v>
      </c>
      <c r="D216">
        <v>0</v>
      </c>
      <c r="E216">
        <v>0</v>
      </c>
      <c r="F216">
        <v>0</v>
      </c>
      <c r="G216">
        <v>0</v>
      </c>
      <c r="H216">
        <v>162263000</v>
      </c>
      <c r="I216">
        <v>260940000</v>
      </c>
      <c r="J216">
        <v>0</v>
      </c>
      <c r="K216">
        <v>-80059000</v>
      </c>
      <c r="L216">
        <v>0</v>
      </c>
      <c r="M216">
        <v>-258777000</v>
      </c>
      <c r="N216">
        <v>-475399000</v>
      </c>
      <c r="O216">
        <v>0</v>
      </c>
      <c r="P216">
        <v>0</v>
      </c>
      <c r="Q216">
        <v>0</v>
      </c>
      <c r="R216">
        <v>0</v>
      </c>
      <c r="S216">
        <v>97313000</v>
      </c>
      <c r="T216">
        <v>97313000</v>
      </c>
      <c r="U216">
        <v>0</v>
      </c>
      <c r="V216">
        <v>0</v>
      </c>
      <c r="W216">
        <v>0</v>
      </c>
      <c r="X216">
        <v>0</v>
      </c>
      <c r="Y216">
        <v>-359759000</v>
      </c>
      <c r="Z216">
        <v>0</v>
      </c>
      <c r="AA216">
        <v>174996000</v>
      </c>
      <c r="AB216">
        <v>0</v>
      </c>
      <c r="AC216">
        <v>487031000</v>
      </c>
    </row>
    <row r="217" spans="1:29">
      <c r="A217" s="21">
        <v>44408</v>
      </c>
      <c r="B217" t="s">
        <v>42</v>
      </c>
      <c r="C217">
        <v>614553000</v>
      </c>
      <c r="D217">
        <v>0</v>
      </c>
      <c r="E217">
        <v>0</v>
      </c>
      <c r="F217">
        <v>0</v>
      </c>
      <c r="G217">
        <v>0</v>
      </c>
      <c r="H217">
        <v>158536000</v>
      </c>
      <c r="I217">
        <v>240736000</v>
      </c>
      <c r="J217">
        <v>0</v>
      </c>
      <c r="K217">
        <v>-215770000</v>
      </c>
      <c r="L217">
        <v>0</v>
      </c>
      <c r="M217">
        <v>-239738000</v>
      </c>
      <c r="N217">
        <v>-749204000</v>
      </c>
      <c r="O217">
        <v>0</v>
      </c>
      <c r="P217">
        <v>0</v>
      </c>
      <c r="Q217">
        <v>0</v>
      </c>
      <c r="R217">
        <v>0</v>
      </c>
      <c r="S217">
        <v>98275000</v>
      </c>
      <c r="T217">
        <v>98275000</v>
      </c>
      <c r="U217">
        <v>0</v>
      </c>
      <c r="V217">
        <v>0</v>
      </c>
      <c r="W217">
        <v>0</v>
      </c>
      <c r="X217">
        <v>0</v>
      </c>
      <c r="Y217">
        <v>-699796000</v>
      </c>
      <c r="Z217">
        <v>0</v>
      </c>
      <c r="AA217">
        <v>-374389000</v>
      </c>
      <c r="AB217">
        <v>0</v>
      </c>
      <c r="AC217">
        <v>637019000</v>
      </c>
    </row>
    <row r="218" spans="1:29">
      <c r="A218" s="21">
        <v>44316</v>
      </c>
      <c r="B218" t="s">
        <v>42</v>
      </c>
      <c r="C218">
        <v>702991000</v>
      </c>
      <c r="D218">
        <v>0</v>
      </c>
      <c r="E218">
        <v>0</v>
      </c>
      <c r="F218">
        <v>0</v>
      </c>
      <c r="G218">
        <v>0</v>
      </c>
      <c r="H218">
        <v>154146000</v>
      </c>
      <c r="I218">
        <v>277730000</v>
      </c>
      <c r="J218">
        <v>0</v>
      </c>
      <c r="K218">
        <v>135732000</v>
      </c>
      <c r="L218">
        <v>0</v>
      </c>
      <c r="M218">
        <v>-276923000</v>
      </c>
      <c r="N218">
        <v>-1114590000</v>
      </c>
      <c r="O218">
        <v>0</v>
      </c>
      <c r="P218">
        <v>0</v>
      </c>
      <c r="Q218">
        <v>0</v>
      </c>
      <c r="R218">
        <v>0</v>
      </c>
      <c r="S218">
        <v>99832000</v>
      </c>
      <c r="T218">
        <v>99832000</v>
      </c>
      <c r="U218">
        <v>0</v>
      </c>
      <c r="V218">
        <v>0</v>
      </c>
      <c r="W218">
        <v>0</v>
      </c>
      <c r="X218">
        <v>0</v>
      </c>
      <c r="Y218">
        <v>-1000352000</v>
      </c>
      <c r="Z218">
        <v>0</v>
      </c>
      <c r="AA218">
        <v>-688522000</v>
      </c>
      <c r="AB218">
        <v>0</v>
      </c>
      <c r="AC218">
        <v>677749000</v>
      </c>
    </row>
    <row r="219" spans="1:29">
      <c r="A219" s="21">
        <v>44227</v>
      </c>
      <c r="B219" t="s">
        <v>42</v>
      </c>
      <c r="C219">
        <v>492619000</v>
      </c>
      <c r="D219">
        <v>0</v>
      </c>
      <c r="E219">
        <v>0</v>
      </c>
      <c r="F219">
        <v>0</v>
      </c>
      <c r="G219">
        <v>0</v>
      </c>
      <c r="H219">
        <v>149771000</v>
      </c>
      <c r="I219">
        <v>330365000</v>
      </c>
      <c r="J219">
        <v>0</v>
      </c>
      <c r="K219">
        <v>-223566000</v>
      </c>
      <c r="L219">
        <v>0</v>
      </c>
      <c r="M219">
        <v>-328899000</v>
      </c>
      <c r="N219">
        <v>-986586000</v>
      </c>
      <c r="O219">
        <v>0</v>
      </c>
      <c r="P219">
        <v>0</v>
      </c>
      <c r="Q219">
        <v>0</v>
      </c>
      <c r="R219">
        <v>0</v>
      </c>
      <c r="S219">
        <v>87296000</v>
      </c>
      <c r="T219">
        <v>87296000</v>
      </c>
      <c r="U219">
        <v>0</v>
      </c>
      <c r="V219">
        <v>0</v>
      </c>
      <c r="W219">
        <v>0</v>
      </c>
      <c r="X219">
        <v>0</v>
      </c>
      <c r="Y219">
        <v>-899888000</v>
      </c>
      <c r="Z219">
        <v>0</v>
      </c>
      <c r="AA219">
        <v>-822866000</v>
      </c>
      <c r="AB219">
        <v>0</v>
      </c>
      <c r="AC219">
        <v>642743000</v>
      </c>
    </row>
    <row r="220" spans="1:29">
      <c r="A220" s="21">
        <v>44135</v>
      </c>
      <c r="B220" t="s">
        <v>42</v>
      </c>
      <c r="C220">
        <v>476205000</v>
      </c>
      <c r="D220">
        <v>0</v>
      </c>
      <c r="E220">
        <v>0</v>
      </c>
      <c r="F220">
        <v>0</v>
      </c>
      <c r="G220">
        <v>0</v>
      </c>
      <c r="H220">
        <v>145849000</v>
      </c>
      <c r="I220">
        <v>273431000</v>
      </c>
      <c r="J220">
        <v>0</v>
      </c>
      <c r="K220">
        <v>-636218000</v>
      </c>
      <c r="L220">
        <v>0</v>
      </c>
      <c r="M220">
        <v>-272895000</v>
      </c>
      <c r="N220">
        <v>-963471000</v>
      </c>
      <c r="O220">
        <v>0</v>
      </c>
      <c r="P220">
        <v>0</v>
      </c>
      <c r="Q220">
        <v>0</v>
      </c>
      <c r="R220">
        <v>0</v>
      </c>
      <c r="S220">
        <v>88362000</v>
      </c>
      <c r="T220">
        <v>88362000</v>
      </c>
      <c r="U220">
        <v>0</v>
      </c>
      <c r="V220">
        <v>0</v>
      </c>
      <c r="W220">
        <v>0</v>
      </c>
      <c r="X220">
        <v>0</v>
      </c>
      <c r="Y220">
        <v>-901930000</v>
      </c>
      <c r="Z220">
        <v>0</v>
      </c>
      <c r="AA220">
        <v>-760161000</v>
      </c>
      <c r="AB220">
        <v>0</v>
      </c>
      <c r="AC220">
        <v>574260000</v>
      </c>
    </row>
    <row r="221" spans="1:29">
      <c r="A221" s="21">
        <v>44043</v>
      </c>
      <c r="B221" t="s">
        <v>42</v>
      </c>
      <c r="C221">
        <v>1171009000</v>
      </c>
      <c r="D221">
        <v>0</v>
      </c>
      <c r="E221">
        <v>0</v>
      </c>
      <c r="F221">
        <v>0</v>
      </c>
      <c r="G221">
        <v>0</v>
      </c>
      <c r="H221">
        <v>140962000</v>
      </c>
      <c r="I221">
        <v>228733000</v>
      </c>
      <c r="J221">
        <v>0</v>
      </c>
      <c r="K221">
        <v>-283945000</v>
      </c>
      <c r="L221">
        <v>0</v>
      </c>
      <c r="M221">
        <v>-228148000</v>
      </c>
      <c r="N221">
        <v>-657169000</v>
      </c>
      <c r="O221">
        <v>0</v>
      </c>
      <c r="P221">
        <v>0</v>
      </c>
      <c r="Q221">
        <v>0</v>
      </c>
      <c r="R221">
        <v>0</v>
      </c>
      <c r="S221">
        <v>89651000</v>
      </c>
      <c r="T221">
        <v>89651000</v>
      </c>
      <c r="U221">
        <v>0</v>
      </c>
      <c r="V221">
        <v>0</v>
      </c>
      <c r="W221">
        <v>0</v>
      </c>
      <c r="X221">
        <v>0</v>
      </c>
      <c r="Y221">
        <v>-601536000</v>
      </c>
      <c r="Z221">
        <v>0</v>
      </c>
      <c r="AA221">
        <v>285692000</v>
      </c>
      <c r="AB221">
        <v>0</v>
      </c>
      <c r="AC221">
        <v>787601000</v>
      </c>
    </row>
    <row r="222" spans="1:29">
      <c r="A222" s="21">
        <v>43951</v>
      </c>
      <c r="B222" t="s">
        <v>42</v>
      </c>
      <c r="C222">
        <v>1736326000</v>
      </c>
      <c r="D222">
        <v>0</v>
      </c>
      <c r="E222">
        <v>0</v>
      </c>
      <c r="F222">
        <v>0</v>
      </c>
      <c r="G222">
        <v>0</v>
      </c>
      <c r="H222">
        <v>137655000</v>
      </c>
      <c r="I222">
        <v>195434000</v>
      </c>
      <c r="J222">
        <v>0</v>
      </c>
      <c r="K222">
        <v>567902000</v>
      </c>
      <c r="L222">
        <v>0</v>
      </c>
      <c r="M222">
        <v>-194968000</v>
      </c>
      <c r="N222">
        <v>892234000</v>
      </c>
      <c r="O222">
        <v>0</v>
      </c>
      <c r="P222">
        <v>0</v>
      </c>
      <c r="Q222">
        <v>0</v>
      </c>
      <c r="R222">
        <v>0</v>
      </c>
      <c r="S222">
        <v>90617000</v>
      </c>
      <c r="T222">
        <v>90617000</v>
      </c>
      <c r="U222">
        <v>0</v>
      </c>
      <c r="V222">
        <v>0</v>
      </c>
      <c r="W222">
        <v>0</v>
      </c>
      <c r="X222">
        <v>0</v>
      </c>
      <c r="Y222">
        <v>-63080000</v>
      </c>
      <c r="Z222">
        <v>0</v>
      </c>
      <c r="AA222">
        <v>2433592000</v>
      </c>
      <c r="AB222">
        <v>0</v>
      </c>
      <c r="AC222">
        <v>650446000</v>
      </c>
    </row>
    <row r="223" spans="1:29">
      <c r="A223" s="21">
        <v>43861</v>
      </c>
      <c r="B223" t="s">
        <v>42</v>
      </c>
      <c r="C223">
        <v>576888000</v>
      </c>
      <c r="D223">
        <v>0</v>
      </c>
      <c r="E223">
        <v>0</v>
      </c>
      <c r="F223">
        <v>0</v>
      </c>
      <c r="G223">
        <v>0</v>
      </c>
      <c r="H223">
        <v>132426000</v>
      </c>
      <c r="I223">
        <v>266792000</v>
      </c>
      <c r="J223">
        <v>0</v>
      </c>
      <c r="K223">
        <v>-177777000</v>
      </c>
      <c r="L223">
        <v>0</v>
      </c>
      <c r="M223">
        <v>-266344000</v>
      </c>
      <c r="N223">
        <v>-346300000</v>
      </c>
      <c r="O223">
        <v>0</v>
      </c>
      <c r="P223">
        <v>0</v>
      </c>
      <c r="Q223">
        <v>0</v>
      </c>
      <c r="R223">
        <v>0</v>
      </c>
      <c r="S223">
        <v>80792000</v>
      </c>
      <c r="T223">
        <v>80792000</v>
      </c>
      <c r="U223">
        <v>0</v>
      </c>
      <c r="V223">
        <v>0</v>
      </c>
      <c r="W223">
        <v>0</v>
      </c>
      <c r="X223">
        <v>0</v>
      </c>
      <c r="Y223">
        <v>-415075000</v>
      </c>
      <c r="Z223">
        <v>0</v>
      </c>
      <c r="AA223">
        <v>-35756000</v>
      </c>
      <c r="AB223">
        <v>0</v>
      </c>
      <c r="AC223">
        <v>535437000</v>
      </c>
    </row>
    <row r="224" spans="1:29">
      <c r="A224" s="21">
        <v>43769</v>
      </c>
      <c r="B224" t="s">
        <v>42</v>
      </c>
      <c r="C224">
        <v>530589000</v>
      </c>
      <c r="D224">
        <v>0</v>
      </c>
      <c r="E224">
        <v>0</v>
      </c>
      <c r="F224">
        <v>0</v>
      </c>
      <c r="G224">
        <v>0</v>
      </c>
      <c r="H224">
        <v>126470000</v>
      </c>
      <c r="I224">
        <v>224991000</v>
      </c>
      <c r="J224">
        <v>0</v>
      </c>
      <c r="K224">
        <v>-79921000</v>
      </c>
      <c r="L224">
        <v>0</v>
      </c>
      <c r="M224">
        <v>-224548000</v>
      </c>
      <c r="N224">
        <v>-289533000</v>
      </c>
      <c r="O224">
        <v>0</v>
      </c>
      <c r="P224">
        <v>0</v>
      </c>
      <c r="Q224">
        <v>0</v>
      </c>
      <c r="R224">
        <v>0</v>
      </c>
      <c r="S224">
        <v>81640000</v>
      </c>
      <c r="T224">
        <v>81640000</v>
      </c>
      <c r="U224">
        <v>0</v>
      </c>
      <c r="V224">
        <v>0</v>
      </c>
      <c r="W224">
        <v>0</v>
      </c>
      <c r="X224">
        <v>0</v>
      </c>
      <c r="Y224">
        <v>-400327000</v>
      </c>
      <c r="Z224">
        <v>0</v>
      </c>
      <c r="AA224">
        <v>16508000</v>
      </c>
      <c r="AB224">
        <v>0</v>
      </c>
      <c r="AC224">
        <v>365550000</v>
      </c>
    </row>
    <row r="225" spans="1:29">
      <c r="A225" s="21">
        <v>43677</v>
      </c>
      <c r="B225" t="s">
        <v>42</v>
      </c>
      <c r="C225">
        <v>556326000</v>
      </c>
      <c r="D225">
        <v>0</v>
      </c>
      <c r="E225">
        <v>0</v>
      </c>
      <c r="F225">
        <v>0</v>
      </c>
      <c r="G225">
        <v>0</v>
      </c>
      <c r="H225">
        <v>123423000</v>
      </c>
      <c r="I225">
        <v>148303000</v>
      </c>
      <c r="J225">
        <v>0</v>
      </c>
      <c r="K225">
        <v>-306833000</v>
      </c>
      <c r="L225">
        <v>0</v>
      </c>
      <c r="M225">
        <v>-147289000</v>
      </c>
      <c r="N225">
        <v>-420580000</v>
      </c>
      <c r="O225">
        <v>0</v>
      </c>
      <c r="P225">
        <v>0</v>
      </c>
      <c r="Q225">
        <v>0</v>
      </c>
      <c r="R225">
        <v>0</v>
      </c>
      <c r="S225">
        <v>82380000</v>
      </c>
      <c r="T225">
        <v>82380000</v>
      </c>
      <c r="U225">
        <v>0</v>
      </c>
      <c r="V225">
        <v>0</v>
      </c>
      <c r="W225">
        <v>0</v>
      </c>
      <c r="X225">
        <v>0</v>
      </c>
      <c r="Y225">
        <v>-184988000</v>
      </c>
      <c r="Z225">
        <v>0</v>
      </c>
      <c r="AA225">
        <v>-11543000</v>
      </c>
      <c r="AB225">
        <v>0</v>
      </c>
      <c r="AC225">
        <v>426555000</v>
      </c>
    </row>
    <row r="226" spans="1:29">
      <c r="A226" s="21">
        <v>43585</v>
      </c>
      <c r="B226" t="s">
        <v>42</v>
      </c>
      <c r="C226">
        <v>574195000</v>
      </c>
      <c r="D226">
        <v>0</v>
      </c>
      <c r="E226">
        <v>0</v>
      </c>
      <c r="F226">
        <v>0</v>
      </c>
      <c r="G226">
        <v>0</v>
      </c>
      <c r="H226">
        <v>122485000</v>
      </c>
      <c r="I226">
        <v>144757000</v>
      </c>
      <c r="J226">
        <v>0</v>
      </c>
      <c r="K226">
        <v>-14252000</v>
      </c>
      <c r="L226">
        <v>0</v>
      </c>
      <c r="M226">
        <v>-144304000</v>
      </c>
      <c r="N226">
        <v>-394267000</v>
      </c>
      <c r="O226">
        <v>0</v>
      </c>
      <c r="P226">
        <v>0</v>
      </c>
      <c r="Q226">
        <v>0</v>
      </c>
      <c r="R226">
        <v>0</v>
      </c>
      <c r="S226">
        <v>82756000</v>
      </c>
      <c r="T226">
        <v>82756000</v>
      </c>
      <c r="U226">
        <v>0</v>
      </c>
      <c r="V226">
        <v>0</v>
      </c>
      <c r="W226">
        <v>0</v>
      </c>
      <c r="X226">
        <v>0</v>
      </c>
      <c r="Y226">
        <v>-199986000</v>
      </c>
      <c r="Z226">
        <v>0</v>
      </c>
      <c r="AA226">
        <v>35624000</v>
      </c>
      <c r="AB226">
        <v>0</v>
      </c>
      <c r="AC226">
        <v>385013000</v>
      </c>
    </row>
    <row r="227" spans="1:29">
      <c r="A227" s="21">
        <v>43496</v>
      </c>
      <c r="B227" t="s">
        <v>42</v>
      </c>
      <c r="C227">
        <v>629433000</v>
      </c>
      <c r="D227">
        <v>0</v>
      </c>
      <c r="E227">
        <v>0</v>
      </c>
      <c r="F227">
        <v>0</v>
      </c>
      <c r="G227">
        <v>0</v>
      </c>
      <c r="H227">
        <v>117771000</v>
      </c>
      <c r="I227">
        <v>183464000</v>
      </c>
      <c r="J227">
        <v>0</v>
      </c>
      <c r="K227">
        <v>-133229000</v>
      </c>
      <c r="L227">
        <v>0</v>
      </c>
      <c r="M227">
        <v>-182522000</v>
      </c>
      <c r="N227">
        <v>-472112000</v>
      </c>
      <c r="O227">
        <v>0</v>
      </c>
      <c r="P227">
        <v>0</v>
      </c>
      <c r="Q227">
        <v>0</v>
      </c>
      <c r="R227">
        <v>0</v>
      </c>
      <c r="S227">
        <v>75295000</v>
      </c>
      <c r="T227">
        <v>75295000</v>
      </c>
      <c r="U227">
        <v>0</v>
      </c>
      <c r="V227">
        <v>0</v>
      </c>
      <c r="W227">
        <v>0</v>
      </c>
      <c r="X227">
        <v>0</v>
      </c>
      <c r="Y227">
        <v>-359992000</v>
      </c>
      <c r="Z227">
        <v>0</v>
      </c>
      <c r="AA227">
        <v>-25201000</v>
      </c>
      <c r="AB227">
        <v>0</v>
      </c>
      <c r="AC227">
        <v>483241000</v>
      </c>
    </row>
    <row r="228" spans="1:29">
      <c r="A228" s="21">
        <v>43404</v>
      </c>
      <c r="B228" t="s">
        <v>42</v>
      </c>
      <c r="C228">
        <v>416828000</v>
      </c>
      <c r="D228">
        <v>0</v>
      </c>
      <c r="E228">
        <v>0</v>
      </c>
      <c r="F228">
        <v>0</v>
      </c>
      <c r="G228">
        <v>0</v>
      </c>
      <c r="H228">
        <v>114852000</v>
      </c>
      <c r="I228">
        <v>179948000</v>
      </c>
      <c r="J228">
        <v>0</v>
      </c>
      <c r="K228">
        <v>-95179000</v>
      </c>
      <c r="L228">
        <v>0</v>
      </c>
      <c r="M228">
        <v>-179462000</v>
      </c>
      <c r="N228">
        <v>-241966000</v>
      </c>
      <c r="O228">
        <v>0</v>
      </c>
      <c r="P228">
        <v>0</v>
      </c>
      <c r="Q228">
        <v>0</v>
      </c>
      <c r="R228">
        <v>0</v>
      </c>
      <c r="S228">
        <v>76520000</v>
      </c>
      <c r="T228">
        <v>76520000</v>
      </c>
      <c r="U228">
        <v>0</v>
      </c>
      <c r="V228">
        <v>0</v>
      </c>
      <c r="W228">
        <v>0</v>
      </c>
      <c r="X228">
        <v>0</v>
      </c>
      <c r="Y228">
        <v>-297964000</v>
      </c>
      <c r="Z228">
        <v>0</v>
      </c>
      <c r="AA228">
        <v>-4600000</v>
      </c>
      <c r="AB228">
        <v>0</v>
      </c>
      <c r="AC228">
        <v>334142000</v>
      </c>
    </row>
    <row r="229" spans="1:29">
      <c r="A229" s="21">
        <v>43312</v>
      </c>
      <c r="B229" t="s">
        <v>42</v>
      </c>
      <c r="C229">
        <v>548641000</v>
      </c>
      <c r="D229">
        <v>0</v>
      </c>
      <c r="E229">
        <v>0</v>
      </c>
      <c r="F229">
        <v>0</v>
      </c>
      <c r="G229">
        <v>0</v>
      </c>
      <c r="H229">
        <v>112176000</v>
      </c>
      <c r="I229">
        <v>206338000</v>
      </c>
      <c r="J229">
        <v>0</v>
      </c>
      <c r="K229">
        <v>-305290000</v>
      </c>
      <c r="L229">
        <v>0</v>
      </c>
      <c r="M229">
        <v>-205620000</v>
      </c>
      <c r="N229">
        <v>-361703000</v>
      </c>
      <c r="O229">
        <v>0</v>
      </c>
      <c r="P229">
        <v>0</v>
      </c>
      <c r="Q229">
        <v>0</v>
      </c>
      <c r="R229">
        <v>0</v>
      </c>
      <c r="S229">
        <v>77051000</v>
      </c>
      <c r="T229">
        <v>77051000</v>
      </c>
      <c r="U229">
        <v>0</v>
      </c>
      <c r="V229">
        <v>0</v>
      </c>
      <c r="W229">
        <v>0</v>
      </c>
      <c r="X229">
        <v>0</v>
      </c>
      <c r="Y229">
        <v>-199537000</v>
      </c>
      <c r="Z229">
        <v>0</v>
      </c>
      <c r="AA229">
        <v>-18682000</v>
      </c>
      <c r="AB229">
        <v>0</v>
      </c>
      <c r="AC229">
        <v>407237000</v>
      </c>
    </row>
    <row r="230" spans="1:29">
      <c r="A230" s="21">
        <v>43220</v>
      </c>
      <c r="B230" t="s">
        <v>42</v>
      </c>
      <c r="C230">
        <v>548648000</v>
      </c>
      <c r="D230">
        <v>0</v>
      </c>
      <c r="E230">
        <v>0</v>
      </c>
      <c r="F230">
        <v>0</v>
      </c>
      <c r="G230">
        <v>0</v>
      </c>
      <c r="H230">
        <v>109335000</v>
      </c>
      <c r="I230">
        <v>164630000</v>
      </c>
      <c r="J230">
        <v>0</v>
      </c>
      <c r="K230">
        <v>12356000</v>
      </c>
      <c r="L230">
        <v>0</v>
      </c>
      <c r="M230">
        <v>-163999000</v>
      </c>
      <c r="N230">
        <v>-368120000</v>
      </c>
      <c r="O230">
        <v>0</v>
      </c>
      <c r="P230">
        <v>0</v>
      </c>
      <c r="Q230">
        <v>0</v>
      </c>
      <c r="R230">
        <v>0</v>
      </c>
      <c r="S230">
        <v>77657000</v>
      </c>
      <c r="T230">
        <v>77657000</v>
      </c>
      <c r="U230">
        <v>0</v>
      </c>
      <c r="V230">
        <v>0</v>
      </c>
      <c r="W230">
        <v>0</v>
      </c>
      <c r="X230">
        <v>0</v>
      </c>
      <c r="Y230">
        <v>-150001000</v>
      </c>
      <c r="Z230">
        <v>0</v>
      </c>
      <c r="AA230">
        <v>16529000</v>
      </c>
      <c r="AB230">
        <v>0</v>
      </c>
      <c r="AC230">
        <v>364852000</v>
      </c>
    </row>
    <row r="231" spans="1:29">
      <c r="A231" s="21">
        <v>43131</v>
      </c>
      <c r="B231" t="s">
        <v>42</v>
      </c>
      <c r="C231">
        <v>659228000</v>
      </c>
      <c r="D231">
        <v>0</v>
      </c>
      <c r="E231">
        <v>0</v>
      </c>
      <c r="F231">
        <v>0</v>
      </c>
      <c r="G231">
        <v>0</v>
      </c>
      <c r="H231">
        <v>105660000</v>
      </c>
      <c r="I231">
        <v>157840000</v>
      </c>
      <c r="J231">
        <v>0</v>
      </c>
      <c r="K231">
        <v>-8273000</v>
      </c>
      <c r="L231">
        <v>0</v>
      </c>
      <c r="M231">
        <v>-157417000</v>
      </c>
      <c r="N231">
        <v>-460562000</v>
      </c>
      <c r="O231">
        <v>0</v>
      </c>
      <c r="P231">
        <v>0</v>
      </c>
      <c r="Q231">
        <v>0</v>
      </c>
      <c r="R231">
        <v>0</v>
      </c>
      <c r="S231">
        <v>69997000</v>
      </c>
      <c r="T231">
        <v>69997000</v>
      </c>
      <c r="U231">
        <v>0</v>
      </c>
      <c r="V231">
        <v>0</v>
      </c>
      <c r="W231">
        <v>0</v>
      </c>
      <c r="X231">
        <v>0</v>
      </c>
      <c r="Y231">
        <v>-280977000</v>
      </c>
      <c r="Z231">
        <v>0</v>
      </c>
      <c r="AA231">
        <v>41249000</v>
      </c>
      <c r="AB231">
        <v>0</v>
      </c>
      <c r="AC231">
        <v>712155000</v>
      </c>
    </row>
    <row r="232" spans="1:29">
      <c r="A232" s="21">
        <v>43039</v>
      </c>
      <c r="B232" t="s">
        <v>42</v>
      </c>
      <c r="C232">
        <v>356650000</v>
      </c>
      <c r="D232">
        <v>0</v>
      </c>
      <c r="E232">
        <v>0</v>
      </c>
      <c r="F232">
        <v>0</v>
      </c>
      <c r="G232">
        <v>0</v>
      </c>
      <c r="H232">
        <v>100955000</v>
      </c>
      <c r="I232">
        <v>174566000</v>
      </c>
      <c r="J232">
        <v>0</v>
      </c>
      <c r="K232">
        <v>-134705000</v>
      </c>
      <c r="L232">
        <v>0</v>
      </c>
      <c r="M232">
        <v>-173904000</v>
      </c>
      <c r="N232">
        <v>-170727000</v>
      </c>
      <c r="O232">
        <v>0</v>
      </c>
      <c r="P232">
        <v>0</v>
      </c>
      <c r="Q232">
        <v>0</v>
      </c>
      <c r="R232">
        <v>0</v>
      </c>
      <c r="S232">
        <v>70595000</v>
      </c>
      <c r="T232">
        <v>70595000</v>
      </c>
      <c r="U232">
        <v>0</v>
      </c>
      <c r="V232">
        <v>0</v>
      </c>
      <c r="W232">
        <v>0</v>
      </c>
      <c r="X232">
        <v>0</v>
      </c>
      <c r="Y232">
        <v>-134999000</v>
      </c>
      <c r="Z232">
        <v>0</v>
      </c>
      <c r="AA232">
        <v>12019000</v>
      </c>
      <c r="AB232">
        <v>0</v>
      </c>
      <c r="AC232">
        <v>252533000</v>
      </c>
    </row>
    <row r="233" spans="1:29">
      <c r="A233" s="21">
        <v>42947</v>
      </c>
      <c r="B233" t="s">
        <v>42</v>
      </c>
      <c r="C233">
        <v>275768000</v>
      </c>
      <c r="D233">
        <v>0</v>
      </c>
      <c r="E233">
        <v>0</v>
      </c>
      <c r="F233">
        <v>0</v>
      </c>
      <c r="G233">
        <v>0</v>
      </c>
      <c r="H233">
        <v>99030000</v>
      </c>
      <c r="I233">
        <v>170531000</v>
      </c>
      <c r="J233">
        <v>0</v>
      </c>
      <c r="K233">
        <v>-162929000</v>
      </c>
      <c r="L233">
        <v>0</v>
      </c>
      <c r="M233">
        <v>-170319000</v>
      </c>
      <c r="N233">
        <v>-97253000</v>
      </c>
      <c r="O233">
        <v>0</v>
      </c>
      <c r="P233">
        <v>0</v>
      </c>
      <c r="Q233">
        <v>0</v>
      </c>
      <c r="R233">
        <v>0</v>
      </c>
      <c r="S233">
        <v>71045000</v>
      </c>
      <c r="T233">
        <v>71045000</v>
      </c>
      <c r="U233">
        <v>0</v>
      </c>
      <c r="V233">
        <v>0</v>
      </c>
      <c r="W233">
        <v>0</v>
      </c>
      <c r="X233">
        <v>0</v>
      </c>
      <c r="Y233">
        <v>-74981000</v>
      </c>
      <c r="Z233">
        <v>0</v>
      </c>
      <c r="AA233">
        <v>8196000</v>
      </c>
      <c r="AB233">
        <v>0</v>
      </c>
      <c r="AC233">
        <v>294783000</v>
      </c>
    </row>
    <row r="234" spans="1:29">
      <c r="A234" s="21">
        <v>42855</v>
      </c>
      <c r="B234" t="s">
        <v>42</v>
      </c>
      <c r="C234">
        <v>510462000</v>
      </c>
      <c r="D234">
        <v>0</v>
      </c>
      <c r="E234">
        <v>0</v>
      </c>
      <c r="F234">
        <v>0</v>
      </c>
      <c r="G234">
        <v>0</v>
      </c>
      <c r="H234">
        <v>98586000</v>
      </c>
      <c r="I234">
        <v>143519000</v>
      </c>
      <c r="J234">
        <v>0</v>
      </c>
      <c r="K234">
        <v>-42456000</v>
      </c>
      <c r="L234">
        <v>0</v>
      </c>
      <c r="M234">
        <v>-143388000</v>
      </c>
      <c r="N234">
        <v>-349012000</v>
      </c>
      <c r="O234">
        <v>0</v>
      </c>
      <c r="P234">
        <v>0</v>
      </c>
      <c r="Q234">
        <v>0</v>
      </c>
      <c r="R234">
        <v>0</v>
      </c>
      <c r="S234">
        <v>71294000</v>
      </c>
      <c r="T234">
        <v>71294000</v>
      </c>
      <c r="U234">
        <v>0</v>
      </c>
      <c r="V234">
        <v>0</v>
      </c>
      <c r="W234">
        <v>0</v>
      </c>
      <c r="X234">
        <v>0</v>
      </c>
      <c r="Y234">
        <v>-88755000</v>
      </c>
      <c r="Z234">
        <v>0</v>
      </c>
      <c r="AA234">
        <v>18062000</v>
      </c>
      <c r="AB234">
        <v>0</v>
      </c>
      <c r="AC234">
        <v>279489000</v>
      </c>
    </row>
    <row r="235" spans="1:29">
      <c r="A235" s="21">
        <v>42766</v>
      </c>
      <c r="B235" t="s">
        <v>42</v>
      </c>
      <c r="C235">
        <v>480627000</v>
      </c>
      <c r="D235">
        <v>0</v>
      </c>
      <c r="E235">
        <v>0</v>
      </c>
      <c r="F235">
        <v>0</v>
      </c>
      <c r="G235">
        <v>0</v>
      </c>
      <c r="H235">
        <v>97545000</v>
      </c>
      <c r="I235">
        <v>154397000</v>
      </c>
      <c r="J235">
        <v>0</v>
      </c>
      <c r="K235">
        <v>233548000</v>
      </c>
      <c r="L235">
        <v>0</v>
      </c>
      <c r="M235">
        <v>-149370000</v>
      </c>
      <c r="N235">
        <v>-343578000</v>
      </c>
      <c r="O235">
        <v>0</v>
      </c>
      <c r="P235">
        <v>0</v>
      </c>
      <c r="Q235">
        <v>0</v>
      </c>
      <c r="R235">
        <v>0</v>
      </c>
      <c r="S235">
        <v>68886000</v>
      </c>
      <c r="T235">
        <v>68886000</v>
      </c>
      <c r="U235">
        <v>0</v>
      </c>
      <c r="V235">
        <v>0</v>
      </c>
      <c r="W235">
        <v>0</v>
      </c>
      <c r="X235">
        <v>0</v>
      </c>
      <c r="Y235">
        <v>-311058000</v>
      </c>
      <c r="Z235">
        <v>0</v>
      </c>
      <c r="AA235">
        <v>-12321000</v>
      </c>
      <c r="AB235">
        <v>0</v>
      </c>
      <c r="AC235">
        <v>414176000</v>
      </c>
    </row>
    <row r="236" spans="1:29">
      <c r="A236" s="21">
        <v>42674</v>
      </c>
      <c r="B236" t="s">
        <v>42</v>
      </c>
      <c r="C236">
        <v>331080000</v>
      </c>
      <c r="D236">
        <v>0</v>
      </c>
      <c r="E236">
        <v>0</v>
      </c>
      <c r="F236">
        <v>0</v>
      </c>
      <c r="G236">
        <v>0</v>
      </c>
      <c r="H236">
        <v>95444000</v>
      </c>
      <c r="I236">
        <v>138087000</v>
      </c>
      <c r="J236">
        <v>0</v>
      </c>
      <c r="K236">
        <v>-213774000</v>
      </c>
      <c r="L236">
        <v>0</v>
      </c>
      <c r="M236">
        <v>-136180000</v>
      </c>
      <c r="N236">
        <v>-179697000</v>
      </c>
      <c r="O236">
        <v>0</v>
      </c>
      <c r="P236">
        <v>0</v>
      </c>
      <c r="Q236">
        <v>0</v>
      </c>
      <c r="R236">
        <v>0</v>
      </c>
      <c r="S236">
        <v>70088000</v>
      </c>
      <c r="T236">
        <v>70088000</v>
      </c>
      <c r="U236">
        <v>0</v>
      </c>
      <c r="V236">
        <v>0</v>
      </c>
      <c r="W236">
        <v>0</v>
      </c>
      <c r="X236">
        <v>0</v>
      </c>
      <c r="Y236">
        <v>-224908000</v>
      </c>
      <c r="Z236">
        <v>0</v>
      </c>
      <c r="AA236">
        <v>15203000</v>
      </c>
      <c r="AB236">
        <v>0</v>
      </c>
      <c r="AC236">
        <v>235315000</v>
      </c>
    </row>
    <row r="237" spans="1:29">
      <c r="A237" s="21">
        <v>42582</v>
      </c>
      <c r="B237" t="s">
        <v>42</v>
      </c>
      <c r="C237">
        <v>389381000</v>
      </c>
      <c r="D237">
        <v>0</v>
      </c>
      <c r="E237">
        <v>0</v>
      </c>
      <c r="F237">
        <v>0</v>
      </c>
      <c r="G237">
        <v>0</v>
      </c>
      <c r="H237">
        <v>94618000</v>
      </c>
      <c r="I237">
        <v>168844000</v>
      </c>
      <c r="J237">
        <v>0</v>
      </c>
      <c r="K237">
        <v>-195158000</v>
      </c>
      <c r="L237">
        <v>0</v>
      </c>
      <c r="M237">
        <v>-166741000</v>
      </c>
      <c r="N237">
        <v>-225294000</v>
      </c>
      <c r="O237">
        <v>0</v>
      </c>
      <c r="P237">
        <v>0</v>
      </c>
      <c r="Q237">
        <v>0</v>
      </c>
      <c r="R237">
        <v>0</v>
      </c>
      <c r="S237">
        <v>70853000</v>
      </c>
      <c r="T237">
        <v>70853000</v>
      </c>
      <c r="U237">
        <v>0</v>
      </c>
      <c r="V237">
        <v>0</v>
      </c>
      <c r="W237">
        <v>0</v>
      </c>
      <c r="X237">
        <v>0</v>
      </c>
      <c r="Y237">
        <v>-223547000</v>
      </c>
      <c r="Z237">
        <v>0</v>
      </c>
      <c r="AA237">
        <v>-2654000</v>
      </c>
      <c r="AB237">
        <v>0</v>
      </c>
      <c r="AC237">
        <v>306518000</v>
      </c>
    </row>
    <row r="238" spans="1:29">
      <c r="A238" s="21">
        <v>42490</v>
      </c>
      <c r="B238" t="s">
        <v>42</v>
      </c>
      <c r="C238">
        <v>403953000</v>
      </c>
      <c r="D238">
        <v>0</v>
      </c>
      <c r="E238">
        <v>0</v>
      </c>
      <c r="F238">
        <v>0</v>
      </c>
      <c r="G238">
        <v>0</v>
      </c>
      <c r="H238">
        <v>92324000</v>
      </c>
      <c r="I238">
        <v>98968000</v>
      </c>
      <c r="J238">
        <v>0</v>
      </c>
      <c r="K238">
        <v>3476000</v>
      </c>
      <c r="L238">
        <v>0</v>
      </c>
      <c r="M238">
        <v>-98645000</v>
      </c>
      <c r="N238">
        <v>-275568000</v>
      </c>
      <c r="O238">
        <v>0</v>
      </c>
      <c r="P238">
        <v>0</v>
      </c>
      <c r="Q238">
        <v>0</v>
      </c>
      <c r="R238">
        <v>0</v>
      </c>
      <c r="S238">
        <v>71308000</v>
      </c>
      <c r="T238">
        <v>71308000</v>
      </c>
      <c r="U238">
        <v>0</v>
      </c>
      <c r="V238">
        <v>0</v>
      </c>
      <c r="W238">
        <v>0</v>
      </c>
      <c r="X238">
        <v>0</v>
      </c>
      <c r="Y238">
        <v>-230961000</v>
      </c>
      <c r="Z238">
        <v>0</v>
      </c>
      <c r="AA238">
        <v>29740000</v>
      </c>
      <c r="AB238">
        <v>0</v>
      </c>
      <c r="AC238">
        <v>295124000</v>
      </c>
    </row>
    <row r="239" spans="1:29">
      <c r="A239" s="21">
        <v>42400</v>
      </c>
      <c r="B239" t="s">
        <v>42</v>
      </c>
      <c r="C239">
        <v>597445000</v>
      </c>
      <c r="D239">
        <v>0</v>
      </c>
      <c r="E239">
        <v>0</v>
      </c>
      <c r="F239">
        <v>0</v>
      </c>
      <c r="G239">
        <v>0</v>
      </c>
      <c r="H239">
        <v>89144000</v>
      </c>
      <c r="I239">
        <v>117920000</v>
      </c>
      <c r="J239">
        <v>0</v>
      </c>
      <c r="K239">
        <v>27272000</v>
      </c>
      <c r="L239">
        <v>0</v>
      </c>
      <c r="M239">
        <v>-117310000</v>
      </c>
      <c r="N239">
        <v>-504702000</v>
      </c>
      <c r="O239">
        <v>0</v>
      </c>
      <c r="P239">
        <v>0</v>
      </c>
      <c r="Q239">
        <v>0</v>
      </c>
      <c r="R239">
        <v>0</v>
      </c>
      <c r="S239">
        <v>63159000</v>
      </c>
      <c r="T239">
        <v>63159000</v>
      </c>
      <c r="U239">
        <v>0</v>
      </c>
      <c r="V239">
        <v>0</v>
      </c>
      <c r="W239">
        <v>0</v>
      </c>
      <c r="X239">
        <v>0</v>
      </c>
      <c r="Y239">
        <v>-290202000</v>
      </c>
      <c r="Z239">
        <v>0</v>
      </c>
      <c r="AA239">
        <v>-24567000</v>
      </c>
      <c r="AB239">
        <v>0</v>
      </c>
      <c r="AC239">
        <v>376175000</v>
      </c>
    </row>
    <row r="240" spans="1:29">
      <c r="A240" s="21">
        <v>42308</v>
      </c>
      <c r="B240" t="s">
        <v>42</v>
      </c>
      <c r="C240">
        <v>223491000</v>
      </c>
      <c r="D240">
        <v>0</v>
      </c>
      <c r="E240">
        <v>0</v>
      </c>
      <c r="F240">
        <v>0</v>
      </c>
      <c r="G240">
        <v>0</v>
      </c>
      <c r="H240">
        <v>88553000</v>
      </c>
      <c r="I240">
        <v>139835000</v>
      </c>
      <c r="J240">
        <v>0</v>
      </c>
      <c r="K240">
        <v>-70480000</v>
      </c>
      <c r="L240">
        <v>0</v>
      </c>
      <c r="M240">
        <v>-139279000</v>
      </c>
      <c r="N240">
        <v>-82223000</v>
      </c>
      <c r="O240">
        <v>0</v>
      </c>
      <c r="P240">
        <v>0</v>
      </c>
      <c r="Q240">
        <v>0</v>
      </c>
      <c r="R240">
        <v>0</v>
      </c>
      <c r="S240">
        <v>63965000</v>
      </c>
      <c r="T240">
        <v>63965000</v>
      </c>
      <c r="U240">
        <v>0</v>
      </c>
      <c r="V240">
        <v>0</v>
      </c>
      <c r="W240">
        <v>0</v>
      </c>
      <c r="X240">
        <v>0</v>
      </c>
      <c r="Y240">
        <v>-275077000</v>
      </c>
      <c r="Z240">
        <v>0</v>
      </c>
      <c r="AA240">
        <v>1989000</v>
      </c>
      <c r="AB240">
        <v>0</v>
      </c>
      <c r="AC240">
        <v>253321000</v>
      </c>
    </row>
    <row r="241" spans="1:29">
      <c r="A241" s="21">
        <v>42216</v>
      </c>
      <c r="B241" t="s">
        <v>42</v>
      </c>
      <c r="C241">
        <v>213159000</v>
      </c>
      <c r="D241">
        <v>0</v>
      </c>
      <c r="E241">
        <v>0</v>
      </c>
      <c r="F241">
        <v>0</v>
      </c>
      <c r="G241">
        <v>0</v>
      </c>
      <c r="H241">
        <v>87582000</v>
      </c>
      <c r="I241">
        <v>147122000</v>
      </c>
      <c r="J241">
        <v>0</v>
      </c>
      <c r="K241">
        <v>-189690000</v>
      </c>
      <c r="L241">
        <v>0</v>
      </c>
      <c r="M241">
        <v>-147028000</v>
      </c>
      <c r="N241">
        <v>-110722000</v>
      </c>
      <c r="O241">
        <v>0</v>
      </c>
      <c r="P241">
        <v>0</v>
      </c>
      <c r="Q241">
        <v>0</v>
      </c>
      <c r="R241">
        <v>0</v>
      </c>
      <c r="S241">
        <v>65167000</v>
      </c>
      <c r="T241">
        <v>65167000</v>
      </c>
      <c r="U241">
        <v>0</v>
      </c>
      <c r="V241">
        <v>0</v>
      </c>
      <c r="W241">
        <v>0</v>
      </c>
      <c r="X241">
        <v>0</v>
      </c>
      <c r="Y241">
        <v>-199680000</v>
      </c>
      <c r="Z241">
        <v>0</v>
      </c>
      <c r="AA241">
        <v>-44591000</v>
      </c>
      <c r="AB241">
        <v>0</v>
      </c>
      <c r="AC241">
        <v>282349000</v>
      </c>
    </row>
    <row r="242" spans="1:29">
      <c r="A242" s="21">
        <v>42124</v>
      </c>
      <c r="B242" t="s">
        <v>42</v>
      </c>
      <c r="C242">
        <v>343893000</v>
      </c>
      <c r="D242">
        <v>0</v>
      </c>
      <c r="E242">
        <v>0</v>
      </c>
      <c r="F242">
        <v>0</v>
      </c>
      <c r="G242">
        <v>0</v>
      </c>
      <c r="H242">
        <v>87152000</v>
      </c>
      <c r="I242">
        <v>99929000</v>
      </c>
      <c r="J242">
        <v>0</v>
      </c>
      <c r="K242">
        <v>-57103000</v>
      </c>
      <c r="L242">
        <v>0</v>
      </c>
      <c r="M242">
        <v>-99766000</v>
      </c>
      <c r="N242">
        <v>-598834000</v>
      </c>
      <c r="O242">
        <v>0</v>
      </c>
      <c r="P242">
        <v>0</v>
      </c>
      <c r="Q242">
        <v>0</v>
      </c>
      <c r="R242">
        <v>0</v>
      </c>
      <c r="S242">
        <v>66037000</v>
      </c>
      <c r="T242">
        <v>66037000</v>
      </c>
      <c r="U242">
        <v>0</v>
      </c>
      <c r="V242">
        <v>0</v>
      </c>
      <c r="W242">
        <v>0</v>
      </c>
      <c r="X242">
        <v>0</v>
      </c>
      <c r="Y242">
        <v>-534654000</v>
      </c>
      <c r="Z242">
        <v>0</v>
      </c>
      <c r="AA242">
        <v>-354707000</v>
      </c>
      <c r="AB242">
        <v>0</v>
      </c>
      <c r="AC242">
        <v>253235000</v>
      </c>
    </row>
    <row r="243" spans="1:29">
      <c r="A243" s="21">
        <v>42035</v>
      </c>
      <c r="B243" t="s">
        <v>42</v>
      </c>
      <c r="C243">
        <v>474197000</v>
      </c>
      <c r="D243">
        <v>0</v>
      </c>
      <c r="E243">
        <v>0</v>
      </c>
      <c r="F243">
        <v>0</v>
      </c>
      <c r="G243">
        <v>0</v>
      </c>
      <c r="H243">
        <v>86594000</v>
      </c>
      <c r="I243">
        <v>85430000</v>
      </c>
      <c r="J243">
        <v>0</v>
      </c>
      <c r="K243">
        <v>5743000</v>
      </c>
      <c r="L243">
        <v>0</v>
      </c>
      <c r="M243">
        <v>-84750000</v>
      </c>
      <c r="N243">
        <v>-25779000</v>
      </c>
      <c r="O243">
        <v>0</v>
      </c>
      <c r="P243">
        <v>0</v>
      </c>
      <c r="Q243">
        <v>0</v>
      </c>
      <c r="R243">
        <v>0</v>
      </c>
      <c r="S243">
        <v>258328000</v>
      </c>
      <c r="T243">
        <v>258328000</v>
      </c>
      <c r="U243">
        <v>0</v>
      </c>
      <c r="V243">
        <v>0</v>
      </c>
      <c r="W243">
        <v>0</v>
      </c>
      <c r="X243">
        <v>0</v>
      </c>
      <c r="Y243">
        <v>0</v>
      </c>
      <c r="Z243">
        <v>0</v>
      </c>
      <c r="AA243">
        <v>363668000</v>
      </c>
      <c r="AB243">
        <v>0</v>
      </c>
      <c r="AC243">
        <v>355371000</v>
      </c>
    </row>
    <row r="244" spans="1:29">
      <c r="A244" s="21">
        <v>41943</v>
      </c>
      <c r="B244" t="s">
        <v>42</v>
      </c>
      <c r="C244">
        <v>353623000</v>
      </c>
      <c r="D244">
        <v>0</v>
      </c>
      <c r="E244">
        <v>0</v>
      </c>
      <c r="F244">
        <v>0</v>
      </c>
      <c r="G244">
        <v>0</v>
      </c>
      <c r="H244">
        <v>86261000</v>
      </c>
      <c r="I244">
        <v>97123000</v>
      </c>
      <c r="J244">
        <v>0</v>
      </c>
      <c r="K244">
        <v>-3412000</v>
      </c>
      <c r="L244">
        <v>0</v>
      </c>
      <c r="M244">
        <v>-96227000</v>
      </c>
      <c r="N244">
        <v>-213715000</v>
      </c>
      <c r="O244">
        <v>0</v>
      </c>
      <c r="P244">
        <v>0</v>
      </c>
      <c r="Q244">
        <v>0</v>
      </c>
      <c r="R244">
        <v>0</v>
      </c>
      <c r="S244">
        <v>0</v>
      </c>
      <c r="T244">
        <v>0</v>
      </c>
      <c r="U244">
        <v>0</v>
      </c>
      <c r="V244">
        <v>0</v>
      </c>
      <c r="W244">
        <v>0</v>
      </c>
      <c r="X244">
        <v>0</v>
      </c>
      <c r="Y244">
        <v>0</v>
      </c>
      <c r="Z244">
        <v>0</v>
      </c>
      <c r="AA244">
        <v>43681000</v>
      </c>
      <c r="AB244">
        <v>0</v>
      </c>
      <c r="AC244">
        <v>236316000</v>
      </c>
    </row>
    <row r="245" spans="1:29">
      <c r="A245" s="21">
        <v>41851</v>
      </c>
      <c r="B245" t="s">
        <v>42</v>
      </c>
      <c r="C245">
        <v>235464000</v>
      </c>
      <c r="D245">
        <v>0</v>
      </c>
      <c r="E245">
        <v>0</v>
      </c>
      <c r="F245">
        <v>0</v>
      </c>
      <c r="G245">
        <v>0</v>
      </c>
      <c r="H245">
        <v>85340000</v>
      </c>
      <c r="I245">
        <v>107326000</v>
      </c>
      <c r="J245">
        <v>0</v>
      </c>
      <c r="K245">
        <v>-184354000</v>
      </c>
      <c r="L245">
        <v>0</v>
      </c>
      <c r="M245">
        <v>-106737000</v>
      </c>
      <c r="N245">
        <v>-122583000</v>
      </c>
      <c r="O245">
        <v>0</v>
      </c>
      <c r="P245">
        <v>0</v>
      </c>
      <c r="Q245">
        <v>0</v>
      </c>
      <c r="R245">
        <v>0</v>
      </c>
      <c r="S245">
        <v>0</v>
      </c>
      <c r="T245">
        <v>0</v>
      </c>
      <c r="U245">
        <v>0</v>
      </c>
      <c r="V245">
        <v>0</v>
      </c>
      <c r="W245">
        <v>0</v>
      </c>
      <c r="X245">
        <v>0</v>
      </c>
      <c r="Y245">
        <v>0</v>
      </c>
      <c r="Z245">
        <v>0</v>
      </c>
      <c r="AA245">
        <v>6144000</v>
      </c>
      <c r="AB245">
        <v>0</v>
      </c>
      <c r="AC245">
        <v>251260000</v>
      </c>
    </row>
    <row r="246" spans="1:29">
      <c r="A246" s="21">
        <v>41759</v>
      </c>
      <c r="B246" t="s">
        <v>42</v>
      </c>
      <c r="C246">
        <v>251460000</v>
      </c>
      <c r="D246">
        <v>0</v>
      </c>
      <c r="E246">
        <v>0</v>
      </c>
      <c r="F246">
        <v>0</v>
      </c>
      <c r="G246">
        <v>0</v>
      </c>
      <c r="H246">
        <v>84158000</v>
      </c>
      <c r="I246">
        <v>84088000</v>
      </c>
      <c r="J246">
        <v>0</v>
      </c>
      <c r="K246">
        <v>-51536000</v>
      </c>
      <c r="L246">
        <v>0</v>
      </c>
      <c r="M246">
        <v>-83985000</v>
      </c>
      <c r="N246">
        <v>-506711000</v>
      </c>
      <c r="O246">
        <v>0</v>
      </c>
      <c r="P246">
        <v>0</v>
      </c>
      <c r="Q246">
        <v>0</v>
      </c>
      <c r="R246">
        <v>0</v>
      </c>
      <c r="S246">
        <v>0</v>
      </c>
      <c r="T246">
        <v>0</v>
      </c>
      <c r="U246">
        <v>0</v>
      </c>
      <c r="V246">
        <v>0</v>
      </c>
      <c r="W246">
        <v>0</v>
      </c>
      <c r="X246">
        <v>0</v>
      </c>
      <c r="Y246">
        <v>-800095000</v>
      </c>
      <c r="Z246">
        <v>0</v>
      </c>
      <c r="AA246">
        <v>-339236000</v>
      </c>
      <c r="AB246">
        <v>0</v>
      </c>
      <c r="AC246">
        <v>222398000</v>
      </c>
    </row>
    <row r="247" spans="1:29">
      <c r="A247" s="21">
        <v>41670</v>
      </c>
      <c r="B247" t="s">
        <v>42</v>
      </c>
      <c r="C247">
        <v>452490000</v>
      </c>
      <c r="D247">
        <v>0</v>
      </c>
      <c r="E247">
        <v>0</v>
      </c>
      <c r="F247">
        <v>0</v>
      </c>
      <c r="G247">
        <v>0</v>
      </c>
      <c r="H247">
        <v>85165000</v>
      </c>
      <c r="I247">
        <v>94466000</v>
      </c>
      <c r="J247">
        <v>0</v>
      </c>
      <c r="K247">
        <v>42547000</v>
      </c>
      <c r="L247">
        <v>0</v>
      </c>
      <c r="M247">
        <v>193050000</v>
      </c>
      <c r="N247">
        <v>-305691000</v>
      </c>
      <c r="O247">
        <v>0</v>
      </c>
      <c r="P247">
        <v>0</v>
      </c>
      <c r="Q247">
        <v>0</v>
      </c>
      <c r="R247">
        <v>0</v>
      </c>
      <c r="S247">
        <v>0</v>
      </c>
      <c r="T247">
        <v>0</v>
      </c>
      <c r="U247">
        <v>0</v>
      </c>
      <c r="V247">
        <v>0</v>
      </c>
      <c r="W247">
        <v>0</v>
      </c>
      <c r="X247">
        <v>0</v>
      </c>
      <c r="Y247">
        <v>-200078000</v>
      </c>
      <c r="Z247">
        <v>0</v>
      </c>
      <c r="AA247">
        <v>339849000</v>
      </c>
      <c r="AB247">
        <v>0</v>
      </c>
      <c r="AC247">
        <v>322173000</v>
      </c>
    </row>
    <row r="248" spans="1:29">
      <c r="A248" s="21">
        <v>41578</v>
      </c>
      <c r="B248" t="s">
        <v>42</v>
      </c>
      <c r="C248">
        <v>276460000</v>
      </c>
      <c r="D248">
        <v>0</v>
      </c>
      <c r="E248">
        <v>0</v>
      </c>
      <c r="F248">
        <v>0</v>
      </c>
      <c r="G248">
        <v>0</v>
      </c>
      <c r="H248">
        <v>84435000</v>
      </c>
      <c r="I248">
        <v>135452000</v>
      </c>
      <c r="J248">
        <v>0</v>
      </c>
      <c r="K248">
        <v>-54076000</v>
      </c>
      <c r="L248">
        <v>0</v>
      </c>
      <c r="M248">
        <v>-134760000</v>
      </c>
      <c r="N248">
        <v>-145203000</v>
      </c>
      <c r="O248">
        <v>0</v>
      </c>
      <c r="P248">
        <v>0</v>
      </c>
      <c r="Q248">
        <v>0</v>
      </c>
      <c r="R248">
        <v>0</v>
      </c>
      <c r="S248">
        <v>0</v>
      </c>
      <c r="T248">
        <v>0</v>
      </c>
      <c r="U248">
        <v>0</v>
      </c>
      <c r="V248">
        <v>0</v>
      </c>
      <c r="W248">
        <v>0</v>
      </c>
      <c r="X248">
        <v>0</v>
      </c>
      <c r="Y248">
        <v>-199993000</v>
      </c>
      <c r="Z248">
        <v>0</v>
      </c>
      <c r="AA248">
        <v>-3503000</v>
      </c>
      <c r="AB248">
        <v>0</v>
      </c>
      <c r="AC248">
        <v>237385000</v>
      </c>
    </row>
    <row r="249" spans="1:29">
      <c r="A249" s="21">
        <v>41486</v>
      </c>
      <c r="B249" t="s">
        <v>42</v>
      </c>
      <c r="C249">
        <v>336889000</v>
      </c>
      <c r="D249">
        <v>0</v>
      </c>
      <c r="E249">
        <v>0</v>
      </c>
      <c r="F249">
        <v>0</v>
      </c>
      <c r="G249">
        <v>0</v>
      </c>
      <c r="H249">
        <v>82744000</v>
      </c>
      <c r="I249">
        <v>158874000</v>
      </c>
      <c r="J249">
        <v>0</v>
      </c>
      <c r="K249">
        <v>-117003000</v>
      </c>
      <c r="L249">
        <v>0</v>
      </c>
      <c r="M249">
        <v>-158691000</v>
      </c>
      <c r="N249">
        <v>-164504000</v>
      </c>
      <c r="O249">
        <v>0</v>
      </c>
      <c r="P249">
        <v>0</v>
      </c>
      <c r="Q249">
        <v>0</v>
      </c>
      <c r="R249">
        <v>0</v>
      </c>
      <c r="S249">
        <v>0</v>
      </c>
      <c r="T249">
        <v>0</v>
      </c>
      <c r="U249">
        <v>0</v>
      </c>
      <c r="V249">
        <v>0</v>
      </c>
      <c r="W249">
        <v>0</v>
      </c>
      <c r="X249">
        <v>0</v>
      </c>
      <c r="Y249">
        <v>-199981000</v>
      </c>
      <c r="Z249">
        <v>0</v>
      </c>
      <c r="AA249">
        <v>13694000</v>
      </c>
      <c r="AB249">
        <v>0</v>
      </c>
      <c r="AC249">
        <v>245475000</v>
      </c>
    </row>
    <row r="250" spans="1:29">
      <c r="A250" s="21">
        <v>41394</v>
      </c>
      <c r="B250" t="s">
        <v>42</v>
      </c>
      <c r="C250">
        <v>147226000</v>
      </c>
      <c r="D250">
        <v>0</v>
      </c>
      <c r="E250">
        <v>0</v>
      </c>
      <c r="F250">
        <v>0</v>
      </c>
      <c r="G250">
        <v>0</v>
      </c>
      <c r="H250">
        <v>80493000</v>
      </c>
      <c r="I250">
        <v>149652000</v>
      </c>
      <c r="J250">
        <v>0</v>
      </c>
      <c r="K250">
        <v>-16411000</v>
      </c>
      <c r="L250">
        <v>0</v>
      </c>
      <c r="M250">
        <v>-149577000</v>
      </c>
      <c r="N250">
        <v>17068000</v>
      </c>
      <c r="O250">
        <v>0</v>
      </c>
      <c r="P250">
        <v>0</v>
      </c>
      <c r="Q250">
        <v>0</v>
      </c>
      <c r="R250">
        <v>0</v>
      </c>
      <c r="S250">
        <v>0</v>
      </c>
      <c r="T250">
        <v>0</v>
      </c>
      <c r="U250">
        <v>0</v>
      </c>
      <c r="V250">
        <v>0</v>
      </c>
      <c r="W250">
        <v>0</v>
      </c>
      <c r="X250">
        <v>0</v>
      </c>
      <c r="Y250">
        <v>-20000000</v>
      </c>
      <c r="Z250">
        <v>0</v>
      </c>
      <c r="AA250">
        <v>14717000</v>
      </c>
      <c r="AB250">
        <v>0</v>
      </c>
      <c r="AC250">
        <v>220083000</v>
      </c>
    </row>
    <row r="251" spans="1:29">
      <c r="A251" s="21">
        <v>41305</v>
      </c>
      <c r="B251" t="s">
        <v>42</v>
      </c>
      <c r="C251">
        <v>440466000</v>
      </c>
      <c r="D251">
        <v>0</v>
      </c>
      <c r="E251">
        <v>0</v>
      </c>
      <c r="F251">
        <v>0</v>
      </c>
      <c r="G251">
        <v>0</v>
      </c>
      <c r="H251">
        <v>80513000</v>
      </c>
      <c r="I251">
        <v>117970000</v>
      </c>
      <c r="J251">
        <v>0</v>
      </c>
      <c r="K251">
        <v>-65333000</v>
      </c>
      <c r="L251">
        <v>0</v>
      </c>
      <c r="M251">
        <v>-117354000</v>
      </c>
      <c r="N251">
        <v>-324883000</v>
      </c>
      <c r="O251">
        <v>0</v>
      </c>
      <c r="P251">
        <v>0</v>
      </c>
      <c r="Q251">
        <v>0</v>
      </c>
      <c r="R251">
        <v>0</v>
      </c>
      <c r="S251">
        <v>0</v>
      </c>
      <c r="T251">
        <v>0</v>
      </c>
      <c r="U251">
        <v>0</v>
      </c>
      <c r="V251">
        <v>0</v>
      </c>
      <c r="W251">
        <v>0</v>
      </c>
      <c r="X251">
        <v>0</v>
      </c>
      <c r="Y251">
        <v>-75017000</v>
      </c>
      <c r="Z251">
        <v>0</v>
      </c>
      <c r="AA251">
        <v>-1771000</v>
      </c>
      <c r="AB251">
        <v>0</v>
      </c>
      <c r="AC251">
        <v>317422000</v>
      </c>
    </row>
    <row r="252" spans="1:29">
      <c r="A252" s="21">
        <v>41213</v>
      </c>
      <c r="B252" t="s">
        <v>42</v>
      </c>
      <c r="C252">
        <v>317394000</v>
      </c>
      <c r="D252">
        <v>0</v>
      </c>
      <c r="E252">
        <v>0</v>
      </c>
      <c r="F252">
        <v>0</v>
      </c>
      <c r="G252">
        <v>0</v>
      </c>
      <c r="H252">
        <v>76138000</v>
      </c>
      <c r="I252">
        <v>149638000</v>
      </c>
      <c r="J252">
        <v>0</v>
      </c>
      <c r="K252">
        <v>-186078000</v>
      </c>
      <c r="L252">
        <v>0</v>
      </c>
      <c r="M252">
        <v>-148920000</v>
      </c>
      <c r="N252">
        <v>-160051000</v>
      </c>
      <c r="O252">
        <v>0</v>
      </c>
      <c r="P252">
        <v>0</v>
      </c>
      <c r="Q252">
        <v>0</v>
      </c>
      <c r="R252">
        <v>0</v>
      </c>
      <c r="S252">
        <v>0</v>
      </c>
      <c r="T252">
        <v>0</v>
      </c>
      <c r="U252">
        <v>0</v>
      </c>
      <c r="V252">
        <v>0</v>
      </c>
      <c r="W252">
        <v>0</v>
      </c>
      <c r="X252">
        <v>0</v>
      </c>
      <c r="Y252">
        <v>-296442000</v>
      </c>
      <c r="Z252">
        <v>0</v>
      </c>
      <c r="AA252">
        <v>8423000</v>
      </c>
      <c r="AB252">
        <v>0</v>
      </c>
      <c r="AC252">
        <v>207685000</v>
      </c>
    </row>
    <row r="253" spans="1:29">
      <c r="A253" s="21">
        <v>41121</v>
      </c>
      <c r="B253" t="s">
        <v>42</v>
      </c>
      <c r="C253">
        <v>180853000</v>
      </c>
      <c r="D253">
        <v>0</v>
      </c>
      <c r="E253">
        <v>0</v>
      </c>
      <c r="F253">
        <v>0</v>
      </c>
      <c r="G253">
        <v>0</v>
      </c>
      <c r="H253">
        <v>73989000</v>
      </c>
      <c r="I253">
        <v>158131000</v>
      </c>
      <c r="J253">
        <v>0</v>
      </c>
      <c r="K253">
        <v>-146497000</v>
      </c>
      <c r="L253">
        <v>0</v>
      </c>
      <c r="M253">
        <v>-157824000</v>
      </c>
      <c r="N253">
        <v>-21402000</v>
      </c>
      <c r="O253">
        <v>0</v>
      </c>
      <c r="P253">
        <v>0</v>
      </c>
      <c r="Q253">
        <v>0</v>
      </c>
      <c r="R253">
        <v>0</v>
      </c>
      <c r="S253">
        <v>0</v>
      </c>
      <c r="T253">
        <v>0</v>
      </c>
      <c r="U253">
        <v>0</v>
      </c>
      <c r="V253">
        <v>0</v>
      </c>
      <c r="W253">
        <v>0</v>
      </c>
      <c r="X253">
        <v>0</v>
      </c>
      <c r="Y253">
        <v>0</v>
      </c>
      <c r="Z253">
        <v>0</v>
      </c>
      <c r="AA253">
        <v>1627000</v>
      </c>
      <c r="AB253">
        <v>0</v>
      </c>
      <c r="AC253">
        <v>214140000</v>
      </c>
    </row>
    <row r="254" spans="1:29">
      <c r="A254" s="21">
        <v>41029</v>
      </c>
      <c r="B254" t="s">
        <v>42</v>
      </c>
      <c r="C254">
        <v>192639000</v>
      </c>
      <c r="D254">
        <v>0</v>
      </c>
      <c r="E254">
        <v>0</v>
      </c>
      <c r="F254">
        <v>0</v>
      </c>
      <c r="G254">
        <v>0</v>
      </c>
      <c r="H254">
        <v>72271000</v>
      </c>
      <c r="I254">
        <v>145857000</v>
      </c>
      <c r="J254">
        <v>0</v>
      </c>
      <c r="K254">
        <v>6499000</v>
      </c>
      <c r="L254">
        <v>0</v>
      </c>
      <c r="M254">
        <v>-145738000</v>
      </c>
      <c r="N254">
        <v>-40497000</v>
      </c>
      <c r="O254">
        <v>0</v>
      </c>
      <c r="P254">
        <v>0</v>
      </c>
      <c r="Q254">
        <v>0</v>
      </c>
      <c r="R254">
        <v>0</v>
      </c>
      <c r="S254">
        <v>0</v>
      </c>
      <c r="T254">
        <v>0</v>
      </c>
      <c r="U254">
        <v>0</v>
      </c>
      <c r="V254">
        <v>0</v>
      </c>
      <c r="W254">
        <v>0</v>
      </c>
      <c r="X254">
        <v>0</v>
      </c>
      <c r="Y254">
        <v>-300000000</v>
      </c>
      <c r="Z254">
        <v>0</v>
      </c>
      <c r="AA254">
        <v>6404000</v>
      </c>
      <c r="AB254">
        <v>0</v>
      </c>
      <c r="AC254">
        <v>213415000</v>
      </c>
    </row>
    <row r="255" spans="1:29">
      <c r="A255" s="21">
        <v>40939</v>
      </c>
      <c r="B255" t="s">
        <v>42</v>
      </c>
      <c r="C255">
        <v>445981000</v>
      </c>
      <c r="D255">
        <v>0</v>
      </c>
      <c r="E255">
        <v>0</v>
      </c>
      <c r="F255">
        <v>0</v>
      </c>
      <c r="G255">
        <v>0</v>
      </c>
      <c r="H255">
        <v>70637000</v>
      </c>
      <c r="I255">
        <v>151762000</v>
      </c>
      <c r="J255">
        <v>0</v>
      </c>
      <c r="K255">
        <v>59440000</v>
      </c>
      <c r="L255">
        <v>0</v>
      </c>
      <c r="M255">
        <v>-151465000</v>
      </c>
      <c r="N255">
        <v>-286970000</v>
      </c>
      <c r="O255">
        <v>0</v>
      </c>
      <c r="P255">
        <v>0</v>
      </c>
      <c r="Q255">
        <v>0</v>
      </c>
      <c r="R255">
        <v>0</v>
      </c>
      <c r="S255">
        <v>0</v>
      </c>
      <c r="T255">
        <v>0</v>
      </c>
      <c r="U255">
        <v>0</v>
      </c>
      <c r="V255">
        <v>0</v>
      </c>
      <c r="W255">
        <v>0</v>
      </c>
      <c r="X255">
        <v>0</v>
      </c>
      <c r="Y255">
        <v>-171635000</v>
      </c>
      <c r="Z255">
        <v>0</v>
      </c>
      <c r="AA255">
        <v>7546000</v>
      </c>
      <c r="AB255">
        <v>0</v>
      </c>
      <c r="AC255">
        <v>292510000</v>
      </c>
    </row>
    <row r="256" spans="1:29">
      <c r="A256" s="21">
        <v>40847</v>
      </c>
      <c r="B256" t="s">
        <v>42</v>
      </c>
      <c r="C256">
        <v>206060000</v>
      </c>
      <c r="D256">
        <v>0</v>
      </c>
      <c r="E256">
        <v>0</v>
      </c>
      <c r="F256">
        <v>0</v>
      </c>
      <c r="G256">
        <v>0</v>
      </c>
      <c r="H256">
        <v>68900000</v>
      </c>
      <c r="I256">
        <v>144976000</v>
      </c>
      <c r="J256">
        <v>0</v>
      </c>
      <c r="K256">
        <v>-128263000</v>
      </c>
      <c r="L256">
        <v>0</v>
      </c>
      <c r="M256">
        <v>-144720000</v>
      </c>
      <c r="N256">
        <v>-55810000</v>
      </c>
      <c r="O256">
        <v>0</v>
      </c>
      <c r="P256">
        <v>0</v>
      </c>
      <c r="Q256">
        <v>0</v>
      </c>
      <c r="R256">
        <v>0</v>
      </c>
      <c r="S256">
        <v>0</v>
      </c>
      <c r="T256">
        <v>0</v>
      </c>
      <c r="U256">
        <v>0</v>
      </c>
      <c r="V256">
        <v>0</v>
      </c>
      <c r="W256">
        <v>0</v>
      </c>
      <c r="X256">
        <v>0</v>
      </c>
      <c r="Y256">
        <v>-12914000</v>
      </c>
      <c r="Z256">
        <v>0</v>
      </c>
      <c r="AA256">
        <v>5530000</v>
      </c>
      <c r="AB256">
        <v>0</v>
      </c>
      <c r="AC256">
        <v>171164000</v>
      </c>
    </row>
    <row r="257" spans="1:29">
      <c r="A257" s="21">
        <v>40755</v>
      </c>
      <c r="B257" t="s">
        <v>42</v>
      </c>
      <c r="C257">
        <v>174867000</v>
      </c>
      <c r="D257">
        <v>0</v>
      </c>
      <c r="E257">
        <v>0</v>
      </c>
      <c r="F257">
        <v>0</v>
      </c>
      <c r="G257">
        <v>0</v>
      </c>
      <c r="H257">
        <v>68385000</v>
      </c>
      <c r="I257">
        <v>126165000</v>
      </c>
      <c r="J257">
        <v>0</v>
      </c>
      <c r="K257">
        <v>-217394000</v>
      </c>
      <c r="L257">
        <v>0</v>
      </c>
      <c r="M257">
        <v>-126059000</v>
      </c>
      <c r="N257">
        <v>-538221000</v>
      </c>
      <c r="O257">
        <v>0</v>
      </c>
      <c r="P257">
        <v>0</v>
      </c>
      <c r="Q257">
        <v>0</v>
      </c>
      <c r="R257">
        <v>0</v>
      </c>
      <c r="S257">
        <v>371600000</v>
      </c>
      <c r="T257">
        <v>371600000</v>
      </c>
      <c r="U257">
        <v>0</v>
      </c>
      <c r="V257">
        <v>0</v>
      </c>
      <c r="W257">
        <v>0</v>
      </c>
      <c r="X257">
        <v>0</v>
      </c>
      <c r="Y257">
        <v>-39000</v>
      </c>
      <c r="Z257">
        <v>0</v>
      </c>
      <c r="AA257">
        <v>-489413000</v>
      </c>
      <c r="AB257">
        <v>0</v>
      </c>
      <c r="AC257">
        <v>146042000</v>
      </c>
    </row>
    <row r="258" spans="1:29">
      <c r="A258" s="21">
        <v>40663</v>
      </c>
      <c r="B258" t="s">
        <v>42</v>
      </c>
      <c r="C258">
        <v>223572000</v>
      </c>
      <c r="D258">
        <v>0</v>
      </c>
      <c r="E258">
        <v>0</v>
      </c>
      <c r="F258">
        <v>0</v>
      </c>
      <c r="G258">
        <v>0</v>
      </c>
      <c r="H258">
        <v>67486000</v>
      </c>
      <c r="I258">
        <v>91958000</v>
      </c>
      <c r="J258">
        <v>0</v>
      </c>
      <c r="K258">
        <v>-5275000</v>
      </c>
      <c r="L258">
        <v>0</v>
      </c>
      <c r="M258">
        <v>-91591000</v>
      </c>
      <c r="N258">
        <v>-26964000</v>
      </c>
      <c r="O258">
        <v>0</v>
      </c>
      <c r="P258">
        <v>0</v>
      </c>
      <c r="Q258">
        <v>0</v>
      </c>
      <c r="R258">
        <v>0</v>
      </c>
      <c r="S258">
        <v>0</v>
      </c>
      <c r="T258">
        <v>0</v>
      </c>
      <c r="U258">
        <v>0</v>
      </c>
      <c r="V258">
        <v>0</v>
      </c>
      <c r="W258">
        <v>0</v>
      </c>
      <c r="X258">
        <v>0</v>
      </c>
      <c r="Y258">
        <v>-412000</v>
      </c>
      <c r="Z258">
        <v>0</v>
      </c>
      <c r="AA258">
        <v>105017000</v>
      </c>
      <c r="AB258">
        <v>0</v>
      </c>
      <c r="AC258">
        <v>156969000</v>
      </c>
    </row>
    <row r="259" spans="1:29">
      <c r="A259" s="21">
        <v>40574</v>
      </c>
      <c r="B259" t="s">
        <v>42</v>
      </c>
      <c r="C259">
        <v>426062000</v>
      </c>
      <c r="D259">
        <v>0</v>
      </c>
      <c r="E259">
        <v>0</v>
      </c>
      <c r="F259">
        <v>0</v>
      </c>
      <c r="G259">
        <v>0</v>
      </c>
      <c r="H259">
        <v>65188000</v>
      </c>
      <c r="I259">
        <v>161152000</v>
      </c>
      <c r="J259">
        <v>0</v>
      </c>
      <c r="K259">
        <v>115094000</v>
      </c>
      <c r="L259">
        <v>0</v>
      </c>
      <c r="M259">
        <v>0</v>
      </c>
      <c r="N259">
        <v>-5950000</v>
      </c>
      <c r="O259">
        <v>0</v>
      </c>
      <c r="P259">
        <v>0</v>
      </c>
      <c r="Q259">
        <v>0</v>
      </c>
      <c r="R259">
        <v>0</v>
      </c>
      <c r="S259">
        <v>50000</v>
      </c>
      <c r="T259">
        <v>50000</v>
      </c>
      <c r="U259">
        <v>0</v>
      </c>
      <c r="V259">
        <v>0</v>
      </c>
      <c r="W259">
        <v>0</v>
      </c>
      <c r="X259">
        <v>0</v>
      </c>
      <c r="Y259">
        <v>-13723000</v>
      </c>
      <c r="Z259">
        <v>0</v>
      </c>
      <c r="AA259">
        <v>0</v>
      </c>
      <c r="AB259">
        <v>0</v>
      </c>
      <c r="AC259">
        <v>222546000</v>
      </c>
    </row>
    <row r="260" spans="1:29">
      <c r="A260" s="21">
        <v>40482</v>
      </c>
      <c r="B260" t="s">
        <v>42</v>
      </c>
      <c r="C260">
        <v>123739000</v>
      </c>
      <c r="D260">
        <v>0</v>
      </c>
      <c r="E260">
        <v>0</v>
      </c>
      <c r="F260">
        <v>0</v>
      </c>
      <c r="G260">
        <v>0</v>
      </c>
      <c r="H260">
        <v>63583000</v>
      </c>
      <c r="I260">
        <v>96185000</v>
      </c>
      <c r="J260">
        <v>0</v>
      </c>
      <c r="K260">
        <v>-147314000</v>
      </c>
      <c r="L260">
        <v>0</v>
      </c>
      <c r="M260">
        <v>0</v>
      </c>
      <c r="N260">
        <v>-71393000</v>
      </c>
      <c r="O260">
        <v>0</v>
      </c>
      <c r="P260">
        <v>0</v>
      </c>
      <c r="Q260">
        <v>0</v>
      </c>
      <c r="R260">
        <v>0</v>
      </c>
      <c r="S260">
        <v>0</v>
      </c>
      <c r="T260">
        <v>0</v>
      </c>
      <c r="U260">
        <v>0</v>
      </c>
      <c r="V260">
        <v>0</v>
      </c>
      <c r="W260">
        <v>0</v>
      </c>
      <c r="X260">
        <v>0</v>
      </c>
      <c r="Y260">
        <v>-851000</v>
      </c>
      <c r="Z260">
        <v>0</v>
      </c>
      <c r="AA260">
        <v>0</v>
      </c>
      <c r="AB260">
        <v>0</v>
      </c>
      <c r="AC260">
        <v>128120000</v>
      </c>
    </row>
    <row r="261" spans="1:29">
      <c r="A261" s="21">
        <v>40390</v>
      </c>
      <c r="B261" t="s">
        <v>42</v>
      </c>
      <c r="C261">
        <v>187910000</v>
      </c>
      <c r="D261">
        <v>0</v>
      </c>
      <c r="E261">
        <v>0</v>
      </c>
      <c r="F261">
        <v>0</v>
      </c>
      <c r="G261">
        <v>0</v>
      </c>
      <c r="H261">
        <v>62904000</v>
      </c>
      <c r="I261">
        <v>72060000</v>
      </c>
      <c r="J261">
        <v>0</v>
      </c>
      <c r="K261">
        <v>-134413000</v>
      </c>
      <c r="L261">
        <v>0</v>
      </c>
      <c r="M261">
        <v>0</v>
      </c>
      <c r="N261">
        <v>-57424000</v>
      </c>
      <c r="O261">
        <v>0</v>
      </c>
      <c r="P261">
        <v>0</v>
      </c>
      <c r="Q261">
        <v>0</v>
      </c>
      <c r="R261">
        <v>0</v>
      </c>
      <c r="S261">
        <v>0</v>
      </c>
      <c r="T261">
        <v>0</v>
      </c>
      <c r="U261">
        <v>0</v>
      </c>
      <c r="V261">
        <v>0</v>
      </c>
      <c r="W261">
        <v>0</v>
      </c>
      <c r="X261">
        <v>0</v>
      </c>
      <c r="Y261">
        <v>-631000</v>
      </c>
      <c r="Z261">
        <v>0</v>
      </c>
      <c r="AA261">
        <v>0</v>
      </c>
      <c r="AB261">
        <v>0</v>
      </c>
      <c r="AC261">
        <v>141195000</v>
      </c>
    </row>
    <row r="262" spans="1:29">
      <c r="A262" s="21">
        <v>40298</v>
      </c>
      <c r="B262" t="s">
        <v>42</v>
      </c>
      <c r="C262">
        <v>86973000</v>
      </c>
      <c r="D262">
        <v>0</v>
      </c>
      <c r="E262">
        <v>0</v>
      </c>
      <c r="F262">
        <v>0</v>
      </c>
      <c r="G262">
        <v>0</v>
      </c>
      <c r="H262">
        <v>63252000</v>
      </c>
      <c r="I262">
        <v>90998000</v>
      </c>
      <c r="J262">
        <v>0</v>
      </c>
      <c r="K262">
        <v>-85176000</v>
      </c>
      <c r="L262">
        <v>0</v>
      </c>
      <c r="M262">
        <v>0</v>
      </c>
      <c r="N262">
        <v>4400000</v>
      </c>
      <c r="O262">
        <v>0</v>
      </c>
      <c r="P262">
        <v>0</v>
      </c>
      <c r="Q262">
        <v>0</v>
      </c>
      <c r="R262">
        <v>0</v>
      </c>
      <c r="S262">
        <v>0</v>
      </c>
      <c r="T262">
        <v>0</v>
      </c>
      <c r="U262">
        <v>0</v>
      </c>
      <c r="V262">
        <v>0</v>
      </c>
      <c r="W262">
        <v>0</v>
      </c>
      <c r="X262">
        <v>0</v>
      </c>
      <c r="Y262">
        <v>-4467000</v>
      </c>
      <c r="Z262">
        <v>0</v>
      </c>
      <c r="AA262">
        <v>0</v>
      </c>
      <c r="AB262">
        <v>0</v>
      </c>
      <c r="AC262">
        <v>135996000</v>
      </c>
    </row>
    <row r="263" spans="1:29">
      <c r="A263" s="21">
        <v>40209</v>
      </c>
      <c r="B263" t="s">
        <v>42</v>
      </c>
      <c r="C263">
        <v>277516000</v>
      </c>
      <c r="D263">
        <v>0</v>
      </c>
      <c r="E263">
        <v>0</v>
      </c>
      <c r="F263">
        <v>0</v>
      </c>
      <c r="G263">
        <v>0</v>
      </c>
      <c r="H263">
        <v>62726000</v>
      </c>
      <c r="I263">
        <v>63888000</v>
      </c>
      <c r="J263">
        <v>0</v>
      </c>
      <c r="K263">
        <v>162745000</v>
      </c>
      <c r="L263">
        <v>0</v>
      </c>
      <c r="M263">
        <v>0</v>
      </c>
      <c r="N263">
        <v>-330590000</v>
      </c>
      <c r="O263">
        <v>0</v>
      </c>
      <c r="P263">
        <v>0</v>
      </c>
      <c r="Q263">
        <v>0</v>
      </c>
      <c r="R263">
        <v>0</v>
      </c>
      <c r="S263">
        <v>239731000</v>
      </c>
      <c r="T263">
        <v>239731000</v>
      </c>
      <c r="U263">
        <v>0</v>
      </c>
      <c r="V263">
        <v>0</v>
      </c>
      <c r="W263">
        <v>0</v>
      </c>
      <c r="X263">
        <v>0</v>
      </c>
      <c r="Y263">
        <v>1680000</v>
      </c>
      <c r="Z263">
        <v>0</v>
      </c>
      <c r="AA263">
        <v>0</v>
      </c>
      <c r="AB263">
        <v>0</v>
      </c>
      <c r="AC263">
        <v>87197000</v>
      </c>
    </row>
    <row r="264" spans="1:29">
      <c r="A264" s="21">
        <v>40117</v>
      </c>
      <c r="B264" t="s">
        <v>42</v>
      </c>
      <c r="C264">
        <v>147262000</v>
      </c>
      <c r="D264">
        <v>0</v>
      </c>
      <c r="E264">
        <v>0</v>
      </c>
      <c r="F264">
        <v>0</v>
      </c>
      <c r="G264">
        <v>0</v>
      </c>
      <c r="H264">
        <v>62977000</v>
      </c>
      <c r="I264">
        <v>79554000</v>
      </c>
      <c r="J264">
        <v>0</v>
      </c>
      <c r="K264">
        <v>-126731000</v>
      </c>
      <c r="L264">
        <v>0</v>
      </c>
      <c r="M264">
        <v>0</v>
      </c>
      <c r="N264">
        <v>-246424000</v>
      </c>
      <c r="O264">
        <v>0</v>
      </c>
      <c r="P264">
        <v>0</v>
      </c>
      <c r="Q264">
        <v>0</v>
      </c>
      <c r="R264">
        <v>0</v>
      </c>
      <c r="S264">
        <v>239700000</v>
      </c>
      <c r="T264">
        <v>239700000</v>
      </c>
      <c r="U264">
        <v>0</v>
      </c>
      <c r="V264">
        <v>0</v>
      </c>
      <c r="W264">
        <v>0</v>
      </c>
      <c r="X264">
        <v>0</v>
      </c>
      <c r="Y264">
        <v>-353000</v>
      </c>
      <c r="Z264">
        <v>0</v>
      </c>
      <c r="AA264">
        <v>0</v>
      </c>
      <c r="AB264">
        <v>0</v>
      </c>
      <c r="AC264">
        <v>75649000</v>
      </c>
    </row>
    <row r="265" spans="1:29">
      <c r="A265" s="21">
        <v>40025</v>
      </c>
      <c r="B265" t="s">
        <v>42</v>
      </c>
      <c r="C265">
        <v>134972000</v>
      </c>
      <c r="D265">
        <v>0</v>
      </c>
      <c r="E265">
        <v>0</v>
      </c>
      <c r="F265">
        <v>0</v>
      </c>
      <c r="G265">
        <v>0</v>
      </c>
      <c r="H265">
        <v>66537000</v>
      </c>
      <c r="I265">
        <v>55480000</v>
      </c>
      <c r="J265">
        <v>0</v>
      </c>
      <c r="K265">
        <v>-97222000</v>
      </c>
      <c r="L265">
        <v>0</v>
      </c>
      <c r="M265">
        <v>0</v>
      </c>
      <c r="N265">
        <v>1129000</v>
      </c>
      <c r="O265">
        <v>0</v>
      </c>
      <c r="P265">
        <v>0</v>
      </c>
      <c r="Q265">
        <v>0</v>
      </c>
      <c r="R265">
        <v>0</v>
      </c>
      <c r="S265">
        <v>0</v>
      </c>
      <c r="T265">
        <v>0</v>
      </c>
      <c r="U265">
        <v>0</v>
      </c>
      <c r="V265">
        <v>0</v>
      </c>
      <c r="W265">
        <v>0</v>
      </c>
      <c r="X265">
        <v>0</v>
      </c>
      <c r="Y265">
        <v>-1075000</v>
      </c>
      <c r="Z265">
        <v>0</v>
      </c>
      <c r="AA265">
        <v>0</v>
      </c>
      <c r="AB265">
        <v>0</v>
      </c>
      <c r="AC265">
        <v>93590000</v>
      </c>
    </row>
    <row r="266" spans="1:29">
      <c r="A266" s="21">
        <v>39933</v>
      </c>
      <c r="B266" t="s">
        <v>42</v>
      </c>
      <c r="C266">
        <v>108893000</v>
      </c>
      <c r="D266">
        <v>0</v>
      </c>
      <c r="E266">
        <v>0</v>
      </c>
      <c r="F266">
        <v>0</v>
      </c>
      <c r="G266">
        <v>0</v>
      </c>
      <c r="H266">
        <v>64531000</v>
      </c>
      <c r="I266">
        <v>51825000</v>
      </c>
      <c r="J266">
        <v>0</v>
      </c>
      <c r="K266">
        <v>-39040000</v>
      </c>
      <c r="L266">
        <v>0</v>
      </c>
      <c r="M266">
        <v>0</v>
      </c>
      <c r="N266">
        <v>-631000</v>
      </c>
      <c r="O266">
        <v>0</v>
      </c>
      <c r="P266">
        <v>0</v>
      </c>
      <c r="Q266">
        <v>0</v>
      </c>
      <c r="R266">
        <v>0</v>
      </c>
      <c r="S266">
        <v>0</v>
      </c>
      <c r="T266">
        <v>0</v>
      </c>
      <c r="U266">
        <v>0</v>
      </c>
      <c r="V266">
        <v>0</v>
      </c>
      <c r="W266">
        <v>0</v>
      </c>
      <c r="X266">
        <v>0</v>
      </c>
      <c r="Y266">
        <v>-252000</v>
      </c>
      <c r="Z266">
        <v>0</v>
      </c>
      <c r="AA266">
        <v>0</v>
      </c>
      <c r="AB266">
        <v>0</v>
      </c>
      <c r="AC266">
        <v>83006000</v>
      </c>
    </row>
    <row r="267" spans="1:29">
      <c r="A267" s="21">
        <v>39844</v>
      </c>
      <c r="B267" t="s">
        <v>42</v>
      </c>
      <c r="C267">
        <v>314036000</v>
      </c>
      <c r="D267">
        <v>0</v>
      </c>
      <c r="E267">
        <v>0</v>
      </c>
      <c r="F267">
        <v>0</v>
      </c>
      <c r="G267">
        <v>0</v>
      </c>
      <c r="H267">
        <v>63744000</v>
      </c>
      <c r="I267">
        <v>45837000</v>
      </c>
      <c r="J267">
        <v>0</v>
      </c>
      <c r="K267">
        <v>191683000</v>
      </c>
      <c r="L267">
        <v>0</v>
      </c>
      <c r="M267">
        <v>0</v>
      </c>
      <c r="N267">
        <v>-41089000</v>
      </c>
      <c r="O267">
        <v>0</v>
      </c>
      <c r="P267">
        <v>0</v>
      </c>
      <c r="Q267">
        <v>0</v>
      </c>
      <c r="R267">
        <v>0</v>
      </c>
      <c r="S267">
        <v>0</v>
      </c>
      <c r="T267">
        <v>0</v>
      </c>
      <c r="U267">
        <v>0</v>
      </c>
      <c r="V267">
        <v>0</v>
      </c>
      <c r="W267">
        <v>0</v>
      </c>
      <c r="X267">
        <v>0</v>
      </c>
      <c r="Y267">
        <v>290000</v>
      </c>
      <c r="Z267">
        <v>0</v>
      </c>
      <c r="AA267">
        <v>0</v>
      </c>
      <c r="AB267">
        <v>0</v>
      </c>
      <c r="AC267">
        <v>81854000</v>
      </c>
    </row>
    <row r="268" spans="1:29">
      <c r="A268" s="21">
        <v>39752</v>
      </c>
      <c r="B268" t="s">
        <v>42</v>
      </c>
      <c r="C268">
        <v>-35382000</v>
      </c>
      <c r="D268">
        <v>0</v>
      </c>
      <c r="E268">
        <v>0</v>
      </c>
      <c r="F268">
        <v>0</v>
      </c>
      <c r="G268">
        <v>0</v>
      </c>
      <c r="H268">
        <v>62132000</v>
      </c>
      <c r="I268">
        <v>79609000</v>
      </c>
      <c r="J268">
        <v>0</v>
      </c>
      <c r="K268">
        <v>-147258000</v>
      </c>
      <c r="L268">
        <v>0</v>
      </c>
      <c r="M268">
        <v>0</v>
      </c>
      <c r="N268">
        <v>1066000</v>
      </c>
      <c r="O268">
        <v>0</v>
      </c>
      <c r="P268">
        <v>0</v>
      </c>
      <c r="Q268">
        <v>0</v>
      </c>
      <c r="R268">
        <v>0</v>
      </c>
      <c r="S268">
        <v>0</v>
      </c>
      <c r="T268">
        <v>0</v>
      </c>
      <c r="U268">
        <v>0</v>
      </c>
      <c r="V268">
        <v>0</v>
      </c>
      <c r="W268">
        <v>0</v>
      </c>
      <c r="X268">
        <v>0</v>
      </c>
      <c r="Y268">
        <v>-275000</v>
      </c>
      <c r="Z268">
        <v>0</v>
      </c>
      <c r="AA268">
        <v>0</v>
      </c>
      <c r="AB268">
        <v>0</v>
      </c>
      <c r="AC268">
        <v>-7306000</v>
      </c>
    </row>
    <row r="269" spans="1:29">
      <c r="A269" s="21">
        <v>39660</v>
      </c>
      <c r="B269" t="s">
        <v>42</v>
      </c>
      <c r="C269">
        <v>144963000</v>
      </c>
      <c r="D269">
        <v>0</v>
      </c>
      <c r="E269">
        <v>0</v>
      </c>
      <c r="F269">
        <v>0</v>
      </c>
      <c r="G269">
        <v>0</v>
      </c>
      <c r="H269">
        <v>60617000</v>
      </c>
      <c r="I269">
        <v>44727000</v>
      </c>
      <c r="J269">
        <v>0</v>
      </c>
      <c r="K269">
        <v>-189003000</v>
      </c>
      <c r="L269">
        <v>0</v>
      </c>
      <c r="M269">
        <v>0</v>
      </c>
      <c r="N269">
        <v>-1073000</v>
      </c>
      <c r="O269">
        <v>0</v>
      </c>
      <c r="P269">
        <v>0</v>
      </c>
      <c r="Q269">
        <v>0</v>
      </c>
      <c r="R269">
        <v>0</v>
      </c>
      <c r="S269">
        <v>0</v>
      </c>
      <c r="T269">
        <v>0</v>
      </c>
      <c r="U269">
        <v>0</v>
      </c>
      <c r="V269">
        <v>0</v>
      </c>
      <c r="W269">
        <v>0</v>
      </c>
      <c r="X269">
        <v>0</v>
      </c>
      <c r="Y269">
        <v>-503000</v>
      </c>
      <c r="Z269">
        <v>0</v>
      </c>
      <c r="AA269">
        <v>0</v>
      </c>
      <c r="AB269">
        <v>0</v>
      </c>
      <c r="AC269">
        <v>27718000</v>
      </c>
    </row>
    <row r="270" spans="1:29">
      <c r="A270" s="21">
        <v>39568</v>
      </c>
      <c r="B270" t="s">
        <v>42</v>
      </c>
      <c r="C270">
        <v>151561000</v>
      </c>
      <c r="D270">
        <v>0</v>
      </c>
      <c r="E270">
        <v>0</v>
      </c>
      <c r="F270">
        <v>0</v>
      </c>
      <c r="G270">
        <v>0</v>
      </c>
      <c r="H270">
        <v>61406000</v>
      </c>
      <c r="I270">
        <v>35373000</v>
      </c>
      <c r="J270">
        <v>0</v>
      </c>
      <c r="K270">
        <v>-28436000</v>
      </c>
      <c r="L270">
        <v>0</v>
      </c>
      <c r="M270">
        <v>0</v>
      </c>
      <c r="N270">
        <v>-103660000</v>
      </c>
      <c r="O270">
        <v>0</v>
      </c>
      <c r="P270">
        <v>0</v>
      </c>
      <c r="Q270">
        <v>0</v>
      </c>
      <c r="R270">
        <v>0</v>
      </c>
      <c r="S270">
        <v>0</v>
      </c>
      <c r="T270">
        <v>0</v>
      </c>
      <c r="U270">
        <v>0</v>
      </c>
      <c r="V270">
        <v>0</v>
      </c>
      <c r="W270">
        <v>0</v>
      </c>
      <c r="X270">
        <v>0</v>
      </c>
      <c r="Y270">
        <v>-10000</v>
      </c>
      <c r="Z270">
        <v>0</v>
      </c>
      <c r="AA270">
        <v>0</v>
      </c>
      <c r="AB270">
        <v>0</v>
      </c>
      <c r="AC270">
        <v>5916000</v>
      </c>
    </row>
    <row r="271" spans="1:29">
      <c r="A271" s="21">
        <v>39478</v>
      </c>
      <c r="B271" t="s">
        <v>42</v>
      </c>
      <c r="C271">
        <v>273432000</v>
      </c>
      <c r="D271">
        <v>0</v>
      </c>
      <c r="E271">
        <v>0</v>
      </c>
      <c r="F271">
        <v>0</v>
      </c>
      <c r="G271">
        <v>0</v>
      </c>
      <c r="H271">
        <v>59306000</v>
      </c>
      <c r="I271">
        <v>38935000</v>
      </c>
      <c r="J271">
        <v>0</v>
      </c>
      <c r="K271">
        <v>187343000</v>
      </c>
      <c r="L271">
        <v>0</v>
      </c>
      <c r="M271">
        <v>0</v>
      </c>
      <c r="N271">
        <v>-230650000</v>
      </c>
      <c r="O271">
        <v>0</v>
      </c>
      <c r="P271">
        <v>0</v>
      </c>
      <c r="Q271">
        <v>0</v>
      </c>
      <c r="R271">
        <v>0</v>
      </c>
      <c r="S271">
        <v>46758000</v>
      </c>
      <c r="T271">
        <v>46758000</v>
      </c>
      <c r="U271">
        <v>0</v>
      </c>
      <c r="V271">
        <v>0</v>
      </c>
      <c r="W271">
        <v>0</v>
      </c>
      <c r="X271">
        <v>0</v>
      </c>
      <c r="Y271">
        <v>-417000</v>
      </c>
      <c r="Z271">
        <v>0</v>
      </c>
      <c r="AA271">
        <v>0</v>
      </c>
      <c r="AB271">
        <v>0</v>
      </c>
      <c r="AC271">
        <v>55389000</v>
      </c>
    </row>
    <row r="272" spans="1:29">
      <c r="A272" s="21">
        <v>39386</v>
      </c>
      <c r="B272" t="s">
        <v>42</v>
      </c>
      <c r="C272">
        <v>25815000</v>
      </c>
      <c r="D272">
        <v>0</v>
      </c>
      <c r="E272">
        <v>0</v>
      </c>
      <c r="F272">
        <v>0</v>
      </c>
      <c r="G272">
        <v>0</v>
      </c>
      <c r="H272">
        <v>65332000</v>
      </c>
      <c r="I272">
        <v>33306000</v>
      </c>
      <c r="J272">
        <v>0</v>
      </c>
      <c r="K272">
        <v>-80847000</v>
      </c>
      <c r="L272">
        <v>0</v>
      </c>
      <c r="M272">
        <v>0</v>
      </c>
      <c r="N272">
        <v>17046000</v>
      </c>
      <c r="O272">
        <v>0</v>
      </c>
      <c r="P272">
        <v>0</v>
      </c>
      <c r="Q272">
        <v>0</v>
      </c>
      <c r="R272">
        <v>0</v>
      </c>
      <c r="S272">
        <v>801400000</v>
      </c>
      <c r="T272">
        <v>801400000</v>
      </c>
      <c r="U272">
        <v>0</v>
      </c>
      <c r="V272">
        <v>0</v>
      </c>
      <c r="W272">
        <v>0</v>
      </c>
      <c r="X272">
        <v>0</v>
      </c>
      <c r="Y272">
        <v>-124000</v>
      </c>
      <c r="Z272">
        <v>0</v>
      </c>
      <c r="AA272">
        <v>0</v>
      </c>
      <c r="AB272">
        <v>0</v>
      </c>
      <c r="AC272">
        <v>-33032000</v>
      </c>
    </row>
    <row r="273" spans="1:29">
      <c r="A273" s="21">
        <v>39294</v>
      </c>
      <c r="B273" t="s">
        <v>42</v>
      </c>
      <c r="C273">
        <v>113017000</v>
      </c>
      <c r="D273">
        <v>0</v>
      </c>
      <c r="E273">
        <v>0</v>
      </c>
      <c r="F273">
        <v>0</v>
      </c>
      <c r="G273">
        <v>0</v>
      </c>
      <c r="H273">
        <v>59041000</v>
      </c>
      <c r="I273">
        <v>33452000</v>
      </c>
      <c r="J273">
        <v>0</v>
      </c>
      <c r="K273">
        <v>1374000</v>
      </c>
      <c r="L273">
        <v>0</v>
      </c>
      <c r="M273">
        <v>0</v>
      </c>
      <c r="N273">
        <v>6928401000</v>
      </c>
      <c r="O273">
        <v>0</v>
      </c>
      <c r="P273">
        <v>0</v>
      </c>
      <c r="Q273">
        <v>0</v>
      </c>
      <c r="R273">
        <v>0</v>
      </c>
      <c r="S273">
        <v>2000</v>
      </c>
      <c r="T273">
        <v>2000</v>
      </c>
      <c r="U273">
        <v>0</v>
      </c>
      <c r="V273">
        <v>0</v>
      </c>
      <c r="W273">
        <v>0</v>
      </c>
      <c r="X273">
        <v>0</v>
      </c>
      <c r="Y273">
        <v>2772700000</v>
      </c>
      <c r="Z273">
        <v>0</v>
      </c>
      <c r="AA273">
        <v>0</v>
      </c>
      <c r="AB273">
        <v>0</v>
      </c>
      <c r="AC273">
        <v>-70048000</v>
      </c>
    </row>
    <row r="274" spans="1:29">
      <c r="A274" s="21">
        <v>39202</v>
      </c>
      <c r="B274" t="s">
        <v>42</v>
      </c>
      <c r="C274">
        <v>29286000</v>
      </c>
      <c r="D274">
        <v>0</v>
      </c>
      <c r="E274">
        <v>0</v>
      </c>
      <c r="F274">
        <v>0</v>
      </c>
      <c r="G274">
        <v>0</v>
      </c>
      <c r="H274">
        <v>50451000</v>
      </c>
      <c r="I274">
        <v>34101000</v>
      </c>
      <c r="J274">
        <v>0</v>
      </c>
      <c r="K274">
        <v>-11977000</v>
      </c>
      <c r="L274">
        <v>0</v>
      </c>
      <c r="M274">
        <v>0</v>
      </c>
      <c r="N274">
        <v>19445000</v>
      </c>
      <c r="O274">
        <v>0</v>
      </c>
      <c r="P274">
        <v>0</v>
      </c>
      <c r="Q274">
        <v>0</v>
      </c>
      <c r="R274">
        <v>0</v>
      </c>
      <c r="S274">
        <v>15712000</v>
      </c>
      <c r="T274">
        <v>15712000</v>
      </c>
      <c r="U274">
        <v>0</v>
      </c>
      <c r="V274">
        <v>0</v>
      </c>
      <c r="W274">
        <v>0</v>
      </c>
      <c r="X274">
        <v>0</v>
      </c>
      <c r="Y274">
        <v>34300000</v>
      </c>
      <c r="Z274">
        <v>0</v>
      </c>
      <c r="AA274">
        <v>0</v>
      </c>
      <c r="AB274">
        <v>0</v>
      </c>
      <c r="AC274">
        <v>34875000</v>
      </c>
    </row>
    <row r="275" spans="1:29">
      <c r="A275" s="21">
        <v>39113</v>
      </c>
      <c r="B275" t="s">
        <v>42</v>
      </c>
      <c r="C275">
        <v>385597000</v>
      </c>
      <c r="D275">
        <v>0</v>
      </c>
      <c r="E275">
        <v>0</v>
      </c>
      <c r="F275">
        <v>0</v>
      </c>
      <c r="G275">
        <v>0</v>
      </c>
      <c r="H275">
        <v>51697000</v>
      </c>
      <c r="I275">
        <v>40472000</v>
      </c>
      <c r="J275">
        <v>0</v>
      </c>
      <c r="K275">
        <v>244819000</v>
      </c>
      <c r="L275">
        <v>0</v>
      </c>
      <c r="M275">
        <v>0</v>
      </c>
      <c r="N275">
        <v>-244612000</v>
      </c>
      <c r="O275">
        <v>0</v>
      </c>
      <c r="P275">
        <v>0</v>
      </c>
      <c r="Q275">
        <v>0</v>
      </c>
      <c r="R275">
        <v>0</v>
      </c>
      <c r="S275">
        <v>15608000</v>
      </c>
      <c r="T275">
        <v>15608000</v>
      </c>
      <c r="U275">
        <v>0</v>
      </c>
      <c r="V275">
        <v>0</v>
      </c>
      <c r="W275">
        <v>0</v>
      </c>
      <c r="X275">
        <v>0</v>
      </c>
      <c r="Y275">
        <v>-74000000</v>
      </c>
      <c r="Z275">
        <v>0</v>
      </c>
      <c r="AA275">
        <v>0</v>
      </c>
      <c r="AB275">
        <v>0</v>
      </c>
      <c r="AC275">
        <v>50090000</v>
      </c>
    </row>
    <row r="276" spans="1:29">
      <c r="A276" s="21">
        <v>39021</v>
      </c>
      <c r="B276" t="s">
        <v>42</v>
      </c>
      <c r="C276">
        <v>105898000</v>
      </c>
      <c r="D276">
        <v>0</v>
      </c>
      <c r="E276">
        <v>0</v>
      </c>
      <c r="F276">
        <v>0</v>
      </c>
      <c r="G276">
        <v>0</v>
      </c>
      <c r="H276">
        <v>51431000</v>
      </c>
      <c r="I276">
        <v>64733000</v>
      </c>
      <c r="J276">
        <v>0</v>
      </c>
      <c r="K276">
        <v>-12259000</v>
      </c>
      <c r="L276">
        <v>0</v>
      </c>
      <c r="M276">
        <v>0</v>
      </c>
      <c r="N276">
        <v>-38485000</v>
      </c>
      <c r="O276">
        <v>0</v>
      </c>
      <c r="P276">
        <v>0</v>
      </c>
      <c r="Q276">
        <v>0</v>
      </c>
      <c r="R276">
        <v>0</v>
      </c>
      <c r="S276">
        <v>15581000</v>
      </c>
      <c r="T276">
        <v>15581000</v>
      </c>
      <c r="U276">
        <v>0</v>
      </c>
      <c r="V276">
        <v>0</v>
      </c>
      <c r="W276">
        <v>0</v>
      </c>
      <c r="X276">
        <v>0</v>
      </c>
      <c r="Y276">
        <v>300000</v>
      </c>
      <c r="Z276">
        <v>0</v>
      </c>
      <c r="AA276">
        <v>0</v>
      </c>
      <c r="AB276">
        <v>0</v>
      </c>
      <c r="AC276">
        <v>-5285000</v>
      </c>
    </row>
    <row r="277" spans="1:29">
      <c r="A277" s="21">
        <v>38929</v>
      </c>
      <c r="B277" t="s">
        <v>42</v>
      </c>
      <c r="C277">
        <v>-70022000</v>
      </c>
      <c r="D277">
        <v>0</v>
      </c>
      <c r="E277">
        <v>0</v>
      </c>
      <c r="F277">
        <v>0</v>
      </c>
      <c r="G277">
        <v>0</v>
      </c>
      <c r="H277">
        <v>48702000</v>
      </c>
      <c r="I277">
        <v>79208000</v>
      </c>
      <c r="J277">
        <v>0</v>
      </c>
      <c r="K277">
        <v>-98913000</v>
      </c>
      <c r="L277">
        <v>0</v>
      </c>
      <c r="M277">
        <v>0</v>
      </c>
      <c r="N277">
        <v>168916000</v>
      </c>
      <c r="O277">
        <v>0</v>
      </c>
      <c r="P277">
        <v>0</v>
      </c>
      <c r="Q277">
        <v>0</v>
      </c>
      <c r="R277">
        <v>0</v>
      </c>
      <c r="S277">
        <v>15597000</v>
      </c>
      <c r="T277">
        <v>15597000</v>
      </c>
      <c r="U277">
        <v>0</v>
      </c>
      <c r="V277">
        <v>0</v>
      </c>
      <c r="W277">
        <v>0</v>
      </c>
      <c r="X277">
        <v>0</v>
      </c>
      <c r="Y277">
        <v>2700000</v>
      </c>
      <c r="Z277">
        <v>0</v>
      </c>
      <c r="AA277">
        <v>0</v>
      </c>
      <c r="AB277">
        <v>0</v>
      </c>
      <c r="AC277">
        <v>45468000</v>
      </c>
    </row>
    <row r="278" spans="1:29">
      <c r="A278" s="21">
        <v>38837</v>
      </c>
      <c r="B278" t="s">
        <v>42</v>
      </c>
      <c r="C278">
        <v>-16116000</v>
      </c>
      <c r="D278">
        <v>0</v>
      </c>
      <c r="E278">
        <v>0</v>
      </c>
      <c r="F278">
        <v>0</v>
      </c>
      <c r="G278">
        <v>0</v>
      </c>
      <c r="H278">
        <v>48778000</v>
      </c>
      <c r="I278">
        <v>77102000</v>
      </c>
      <c r="J278">
        <v>0</v>
      </c>
      <c r="K278">
        <v>-161704000</v>
      </c>
      <c r="L278">
        <v>0</v>
      </c>
      <c r="M278">
        <v>0</v>
      </c>
      <c r="N278">
        <v>-20533000</v>
      </c>
      <c r="O278">
        <v>0</v>
      </c>
      <c r="P278">
        <v>0</v>
      </c>
      <c r="Q278">
        <v>0</v>
      </c>
      <c r="R278">
        <v>0</v>
      </c>
      <c r="S278">
        <v>15686000</v>
      </c>
      <c r="T278">
        <v>15686000</v>
      </c>
      <c r="U278">
        <v>0</v>
      </c>
      <c r="V278">
        <v>0</v>
      </c>
      <c r="W278">
        <v>0</v>
      </c>
      <c r="X278">
        <v>0</v>
      </c>
      <c r="Y278">
        <v>-79947000</v>
      </c>
      <c r="Z278">
        <v>0</v>
      </c>
      <c r="AA278">
        <v>0</v>
      </c>
      <c r="AB278">
        <v>0</v>
      </c>
      <c r="AC278">
        <v>47670000</v>
      </c>
    </row>
    <row r="279" spans="1:29">
      <c r="A279" s="21">
        <v>38748</v>
      </c>
      <c r="B279" t="s">
        <v>42</v>
      </c>
      <c r="C279">
        <v>320768000</v>
      </c>
      <c r="D279">
        <v>0</v>
      </c>
      <c r="E279">
        <v>0</v>
      </c>
      <c r="F279">
        <v>0</v>
      </c>
      <c r="G279">
        <v>0</v>
      </c>
      <c r="H279">
        <v>49007000</v>
      </c>
      <c r="I279">
        <v>67263000</v>
      </c>
      <c r="J279">
        <v>0</v>
      </c>
      <c r="K279">
        <v>100153000</v>
      </c>
      <c r="L279">
        <v>0</v>
      </c>
      <c r="M279">
        <v>0</v>
      </c>
      <c r="N279">
        <v>-121364000</v>
      </c>
      <c r="O279">
        <v>0</v>
      </c>
      <c r="P279">
        <v>0</v>
      </c>
      <c r="Q279">
        <v>0</v>
      </c>
      <c r="R279">
        <v>0</v>
      </c>
      <c r="S279">
        <v>14184000</v>
      </c>
      <c r="T279">
        <v>14184000</v>
      </c>
      <c r="U279">
        <v>0</v>
      </c>
      <c r="V279">
        <v>0</v>
      </c>
      <c r="W279">
        <v>0</v>
      </c>
      <c r="X279">
        <v>0</v>
      </c>
      <c r="Y279">
        <v>-36895000</v>
      </c>
      <c r="Z279">
        <v>0</v>
      </c>
      <c r="AA279">
        <v>0</v>
      </c>
      <c r="AB279">
        <v>0</v>
      </c>
      <c r="AC279">
        <v>145272000</v>
      </c>
    </row>
    <row r="280" spans="1:29">
      <c r="A280" s="21">
        <v>38656</v>
      </c>
      <c r="B280" t="s">
        <v>42</v>
      </c>
      <c r="C280">
        <v>35701000</v>
      </c>
      <c r="D280">
        <v>0</v>
      </c>
      <c r="E280">
        <v>0</v>
      </c>
      <c r="F280">
        <v>0</v>
      </c>
      <c r="G280">
        <v>0</v>
      </c>
      <c r="H280">
        <v>47501000</v>
      </c>
      <c r="I280">
        <v>77255000</v>
      </c>
      <c r="J280">
        <v>0</v>
      </c>
      <c r="K280">
        <v>-113867000</v>
      </c>
      <c r="L280">
        <v>0</v>
      </c>
      <c r="M280">
        <v>0</v>
      </c>
      <c r="N280">
        <v>-11890000</v>
      </c>
      <c r="O280">
        <v>0</v>
      </c>
      <c r="P280">
        <v>0</v>
      </c>
      <c r="Q280">
        <v>0</v>
      </c>
      <c r="R280">
        <v>0</v>
      </c>
      <c r="S280">
        <v>14403000</v>
      </c>
      <c r="T280">
        <v>14403000</v>
      </c>
      <c r="U280">
        <v>0</v>
      </c>
      <c r="V280">
        <v>0</v>
      </c>
      <c r="W280">
        <v>0</v>
      </c>
      <c r="X280">
        <v>0</v>
      </c>
      <c r="Y280">
        <v>-87952000</v>
      </c>
      <c r="Z280">
        <v>0</v>
      </c>
      <c r="AA280">
        <v>0</v>
      </c>
      <c r="AB280">
        <v>0</v>
      </c>
      <c r="AC280">
        <v>64425000</v>
      </c>
    </row>
    <row r="281" spans="1:29">
      <c r="A281" s="21">
        <v>38564</v>
      </c>
      <c r="B281" t="s">
        <v>42</v>
      </c>
      <c r="C281">
        <v>144265000</v>
      </c>
      <c r="D281">
        <v>0</v>
      </c>
      <c r="E281">
        <v>0</v>
      </c>
      <c r="F281">
        <v>0</v>
      </c>
      <c r="G281">
        <v>0</v>
      </c>
      <c r="H281">
        <v>46310000</v>
      </c>
      <c r="I281">
        <v>74533000</v>
      </c>
      <c r="J281">
        <v>0</v>
      </c>
      <c r="K281">
        <v>5281000</v>
      </c>
      <c r="L281">
        <v>0</v>
      </c>
      <c r="M281">
        <v>0</v>
      </c>
      <c r="N281">
        <v>-161005000</v>
      </c>
      <c r="O281">
        <v>0</v>
      </c>
      <c r="P281">
        <v>0</v>
      </c>
      <c r="Q281">
        <v>0</v>
      </c>
      <c r="R281">
        <v>0</v>
      </c>
      <c r="S281">
        <v>14451000</v>
      </c>
      <c r="T281">
        <v>14451000</v>
      </c>
      <c r="U281">
        <v>0</v>
      </c>
      <c r="V281">
        <v>0</v>
      </c>
      <c r="W281">
        <v>0</v>
      </c>
      <c r="X281">
        <v>0</v>
      </c>
      <c r="Y281">
        <v>-147693000</v>
      </c>
      <c r="Z281">
        <v>0</v>
      </c>
      <c r="AA281">
        <v>0</v>
      </c>
      <c r="AB281">
        <v>0</v>
      </c>
      <c r="AC281">
        <v>75558000</v>
      </c>
    </row>
    <row r="282" spans="1:29">
      <c r="A282" s="21">
        <v>38472</v>
      </c>
      <c r="B282" t="s">
        <v>42</v>
      </c>
      <c r="C282">
        <v>54751000</v>
      </c>
      <c r="D282">
        <v>0</v>
      </c>
      <c r="E282">
        <v>0</v>
      </c>
      <c r="F282">
        <v>0</v>
      </c>
      <c r="G282">
        <v>0</v>
      </c>
      <c r="H282">
        <v>44006000</v>
      </c>
      <c r="I282">
        <v>65061000</v>
      </c>
      <c r="J282">
        <v>0</v>
      </c>
      <c r="K282">
        <v>-89444000</v>
      </c>
      <c r="L282">
        <v>0</v>
      </c>
      <c r="M282">
        <v>0</v>
      </c>
      <c r="N282">
        <v>-29044000</v>
      </c>
      <c r="O282">
        <v>0</v>
      </c>
      <c r="P282">
        <v>0</v>
      </c>
      <c r="Q282">
        <v>0</v>
      </c>
      <c r="R282">
        <v>0</v>
      </c>
      <c r="S282">
        <v>13145000</v>
      </c>
      <c r="T282">
        <v>13145000</v>
      </c>
      <c r="U282">
        <v>0</v>
      </c>
      <c r="V282">
        <v>0</v>
      </c>
      <c r="W282">
        <v>0</v>
      </c>
      <c r="X282">
        <v>0</v>
      </c>
      <c r="Y282">
        <v>-25062000</v>
      </c>
      <c r="Z282">
        <v>0</v>
      </c>
      <c r="AA282">
        <v>0</v>
      </c>
      <c r="AB282">
        <v>0</v>
      </c>
      <c r="AC282">
        <v>64900000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6281-8222-5E42-83E3-81779EB42B1F}">
  <sheetPr codeName="Sheet12"/>
  <dimension ref="A2:B4"/>
  <sheetViews>
    <sheetView zoomScale="150" zoomScaleNormal="150" workbookViewId="0">
      <selection activeCell="B10" sqref="B10"/>
    </sheetView>
  </sheetViews>
  <sheetFormatPr baseColWidth="10" defaultColWidth="11.5" defaultRowHeight="13"/>
  <sheetData>
    <row r="2" spans="1:2">
      <c r="B2" s="20" t="str">
        <f ca="1">Funda!B2</f>
        <v>DG</v>
      </c>
    </row>
    <row r="3" spans="1:2">
      <c r="A3" t="s">
        <v>242</v>
      </c>
    </row>
    <row r="4" spans="1:2">
      <c r="A4" t="s">
        <v>540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A646-BB8C-6F49-8259-81C1D1DEF300}">
  <dimension ref="B2:BZ4"/>
  <sheetViews>
    <sheetView tabSelected="1" topLeftCell="B1" workbookViewId="0">
      <selection activeCell="BV3" sqref="BV3"/>
    </sheetView>
  </sheetViews>
  <sheetFormatPr baseColWidth="10" defaultRowHeight="13"/>
  <cols>
    <col min="2" max="2" width="12.1640625" bestFit="1" customWidth="1"/>
  </cols>
  <sheetData>
    <row r="2" spans="2:78" s="21" customFormat="1">
      <c r="B2" s="21" cm="1">
        <f t="array" ref="B2:BZ2">TRANSPOSE(Quarterly!A4:A80)</f>
        <v>45777</v>
      </c>
      <c r="C2" s="21">
        <v>45688</v>
      </c>
      <c r="D2" s="21">
        <v>45596</v>
      </c>
      <c r="E2" s="21">
        <v>45504</v>
      </c>
      <c r="F2" s="21">
        <v>45412</v>
      </c>
      <c r="G2" s="21">
        <v>45322</v>
      </c>
      <c r="H2" s="21">
        <v>45230</v>
      </c>
      <c r="I2" s="21">
        <v>45138</v>
      </c>
      <c r="J2" s="21">
        <v>45046</v>
      </c>
      <c r="K2" s="21">
        <v>44957</v>
      </c>
      <c r="L2" s="21">
        <v>44865</v>
      </c>
      <c r="M2" s="21">
        <v>44773</v>
      </c>
      <c r="N2" s="21">
        <v>44681</v>
      </c>
      <c r="O2" s="21">
        <v>44592</v>
      </c>
      <c r="P2" s="21">
        <v>44500</v>
      </c>
      <c r="Q2" s="21">
        <v>44408</v>
      </c>
      <c r="R2" s="21">
        <v>44316</v>
      </c>
      <c r="S2" s="21">
        <v>44227</v>
      </c>
      <c r="T2" s="21">
        <v>44135</v>
      </c>
      <c r="U2" s="21">
        <v>44043</v>
      </c>
      <c r="V2" s="21">
        <v>43951</v>
      </c>
      <c r="W2" s="21">
        <v>43861</v>
      </c>
      <c r="X2" s="21">
        <v>43769</v>
      </c>
      <c r="Y2" s="21">
        <v>43677</v>
      </c>
      <c r="Z2" s="21">
        <v>43585</v>
      </c>
      <c r="AA2" s="21">
        <v>43496</v>
      </c>
      <c r="AB2" s="21">
        <v>43404</v>
      </c>
      <c r="AC2" s="21">
        <v>43312</v>
      </c>
      <c r="AD2" s="21">
        <v>43220</v>
      </c>
      <c r="AE2" s="21">
        <v>43131</v>
      </c>
      <c r="AF2" s="21">
        <v>43039</v>
      </c>
      <c r="AG2" s="21">
        <v>42947</v>
      </c>
      <c r="AH2" s="21">
        <v>42855</v>
      </c>
      <c r="AI2" s="21">
        <v>42766</v>
      </c>
      <c r="AJ2" s="21">
        <v>42674</v>
      </c>
      <c r="AK2" s="21">
        <v>42582</v>
      </c>
      <c r="AL2" s="21">
        <v>42490</v>
      </c>
      <c r="AM2" s="21">
        <v>42400</v>
      </c>
      <c r="AN2" s="21">
        <v>42308</v>
      </c>
      <c r="AO2" s="21">
        <v>42216</v>
      </c>
      <c r="AP2" s="21">
        <v>42124</v>
      </c>
      <c r="AQ2" s="21">
        <v>42035</v>
      </c>
      <c r="AR2" s="21">
        <v>41943</v>
      </c>
      <c r="AS2" s="21">
        <v>41851</v>
      </c>
      <c r="AT2" s="21">
        <v>41759</v>
      </c>
      <c r="AU2" s="21">
        <v>41670</v>
      </c>
      <c r="AV2" s="21">
        <v>41578</v>
      </c>
      <c r="AW2" s="21">
        <v>41486</v>
      </c>
      <c r="AX2" s="21">
        <v>41394</v>
      </c>
      <c r="AY2" s="21">
        <v>41305</v>
      </c>
      <c r="AZ2" s="21">
        <v>41213</v>
      </c>
      <c r="BA2" s="21">
        <v>41121</v>
      </c>
      <c r="BB2" s="21">
        <v>41029</v>
      </c>
      <c r="BC2" s="21">
        <v>40939</v>
      </c>
      <c r="BD2" s="21">
        <v>40847</v>
      </c>
      <c r="BE2" s="21">
        <v>40755</v>
      </c>
      <c r="BF2" s="21">
        <v>40663</v>
      </c>
      <c r="BG2" s="21">
        <v>40574</v>
      </c>
      <c r="BH2" s="21">
        <v>40482</v>
      </c>
      <c r="BI2" s="21">
        <v>40390</v>
      </c>
      <c r="BJ2" s="21">
        <v>40298</v>
      </c>
      <c r="BK2" s="21">
        <v>40209</v>
      </c>
      <c r="BL2" s="21">
        <v>40117</v>
      </c>
      <c r="BM2" s="21">
        <v>40025</v>
      </c>
      <c r="BN2" s="21">
        <v>39933</v>
      </c>
      <c r="BO2" s="21">
        <v>39844</v>
      </c>
      <c r="BP2" s="21">
        <v>39752</v>
      </c>
      <c r="BQ2" s="21">
        <v>39660</v>
      </c>
      <c r="BR2" s="21">
        <v>39568</v>
      </c>
      <c r="BS2" s="21">
        <v>39478</v>
      </c>
      <c r="BT2" s="21">
        <v>39386</v>
      </c>
      <c r="BU2" s="21">
        <v>39294</v>
      </c>
      <c r="BV2" s="21">
        <v>39202</v>
      </c>
      <c r="BW2" s="21">
        <v>39113</v>
      </c>
      <c r="BX2" s="21">
        <v>39021</v>
      </c>
      <c r="BY2" s="21">
        <v>38929</v>
      </c>
      <c r="BZ2" s="21">
        <v>38837</v>
      </c>
    </row>
    <row r="4" spans="2:78">
      <c r="B4" cm="1">
        <f t="array" ref="B4:BZ4">TRANSPOSE(Quarterly!D4:D80)</f>
        <v>10435979000</v>
      </c>
      <c r="C4">
        <v>10304498000</v>
      </c>
      <c r="D4">
        <v>10183428000</v>
      </c>
      <c r="E4">
        <v>10210361000</v>
      </c>
      <c r="F4">
        <v>9914021000</v>
      </c>
      <c r="G4">
        <v>9858514000</v>
      </c>
      <c r="H4">
        <v>9694082000</v>
      </c>
      <c r="I4">
        <v>9796181000</v>
      </c>
      <c r="J4">
        <v>9342832000</v>
      </c>
      <c r="K4">
        <v>10202907000</v>
      </c>
      <c r="L4">
        <v>9464891000</v>
      </c>
      <c r="M4">
        <v>9425713000</v>
      </c>
      <c r="N4">
        <v>8751352000</v>
      </c>
      <c r="O4">
        <v>8651448000</v>
      </c>
      <c r="P4">
        <v>8517839000</v>
      </c>
      <c r="Q4">
        <v>8650198000</v>
      </c>
      <c r="R4">
        <v>8400964000</v>
      </c>
      <c r="S4">
        <v>8414524000</v>
      </c>
      <c r="T4">
        <v>8199625000</v>
      </c>
      <c r="U4">
        <v>8684241000</v>
      </c>
      <c r="V4">
        <v>8448449000</v>
      </c>
      <c r="W4">
        <v>7157642000</v>
      </c>
      <c r="X4">
        <v>6991393000</v>
      </c>
      <c r="Y4">
        <v>6981753000</v>
      </c>
      <c r="Z4">
        <v>6623185000</v>
      </c>
      <c r="AA4">
        <v>6649809000</v>
      </c>
      <c r="AB4">
        <v>6417462000</v>
      </c>
      <c r="AC4">
        <v>6443309000</v>
      </c>
      <c r="AD4">
        <v>6114463000</v>
      </c>
      <c r="AE4">
        <v>6129431000</v>
      </c>
      <c r="AF4">
        <v>5903606000</v>
      </c>
      <c r="AG4">
        <v>5828305000</v>
      </c>
      <c r="AH4">
        <v>5609625000</v>
      </c>
      <c r="AI4">
        <v>6009246000</v>
      </c>
      <c r="AJ4">
        <v>5320029000</v>
      </c>
      <c r="AK4">
        <v>5391891000</v>
      </c>
      <c r="AL4">
        <v>5265432000</v>
      </c>
      <c r="AM4">
        <v>5286938000</v>
      </c>
      <c r="AN4">
        <v>5067048000</v>
      </c>
      <c r="AO4">
        <v>5095904000</v>
      </c>
      <c r="AP4">
        <v>4918672000</v>
      </c>
      <c r="AQ4">
        <v>4939059000</v>
      </c>
      <c r="AR4">
        <v>4724409000</v>
      </c>
      <c r="AS4">
        <v>4724039000</v>
      </c>
      <c r="AT4">
        <v>4522081000</v>
      </c>
      <c r="AU4">
        <v>4493945000</v>
      </c>
      <c r="AV4">
        <v>4381838000</v>
      </c>
      <c r="AW4">
        <v>4394651000</v>
      </c>
      <c r="AX4">
        <v>4233733000</v>
      </c>
      <c r="AY4">
        <v>4207621000</v>
      </c>
      <c r="AZ4">
        <v>3964647000</v>
      </c>
      <c r="BA4">
        <v>3948655000</v>
      </c>
      <c r="BB4">
        <v>3901205000</v>
      </c>
      <c r="BC4">
        <v>4185073000</v>
      </c>
      <c r="BD4">
        <v>3595224000</v>
      </c>
      <c r="BE4">
        <v>3575194000</v>
      </c>
      <c r="BF4">
        <v>3451697000</v>
      </c>
      <c r="BG4">
        <v>3486104000</v>
      </c>
      <c r="BH4">
        <v>3223427000</v>
      </c>
      <c r="BI4">
        <v>3214155000</v>
      </c>
      <c r="BJ4">
        <v>3111314000</v>
      </c>
      <c r="BK4">
        <v>3185785000</v>
      </c>
      <c r="BL4">
        <v>2928751000</v>
      </c>
      <c r="BM4">
        <v>2901907000</v>
      </c>
      <c r="BN4">
        <v>2779937000</v>
      </c>
      <c r="BO4">
        <v>2845848000</v>
      </c>
      <c r="BP4">
        <v>2598938000</v>
      </c>
      <c r="BQ4">
        <v>2609384000</v>
      </c>
      <c r="BR4">
        <v>2403498000</v>
      </c>
      <c r="BS4">
        <v>2559573000</v>
      </c>
      <c r="BT4">
        <v>2312842000</v>
      </c>
      <c r="BU4">
        <v>2347564000</v>
      </c>
      <c r="BV4">
        <v>2275267000</v>
      </c>
      <c r="BW4">
        <v>2553986000</v>
      </c>
      <c r="BX4">
        <v>2213396000</v>
      </c>
      <c r="BY4">
        <v>2251053000</v>
      </c>
      <c r="BZ4">
        <v>2151387000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CF36C-5134-2642-BDE4-DFB5725847A8}">
  <sheetPr codeName="Sheet3"/>
  <dimension ref="A1:AD107"/>
  <sheetViews>
    <sheetView showGridLines="0" workbookViewId="0">
      <selection activeCell="I36" sqref="I36"/>
    </sheetView>
  </sheetViews>
  <sheetFormatPr baseColWidth="10" defaultColWidth="8.83203125" defaultRowHeight="13"/>
  <cols>
    <col min="1" max="1" width="4.5" style="70" customWidth="1"/>
    <col min="2" max="2" width="23.5" bestFit="1" customWidth="1"/>
    <col min="3" max="3" width="11.33203125" customWidth="1"/>
    <col min="6" max="11" width="10.33203125" bestFit="1" customWidth="1"/>
    <col min="12" max="12" width="11.1640625" bestFit="1" customWidth="1"/>
    <col min="13" max="13" width="11.83203125" bestFit="1" customWidth="1"/>
    <col min="14" max="14" width="14.83203125" customWidth="1"/>
    <col min="15" max="15" width="14.83203125" bestFit="1" customWidth="1"/>
    <col min="16" max="16" width="14.83203125" customWidth="1"/>
    <col min="17" max="17" width="14.83203125" bestFit="1" customWidth="1"/>
    <col min="18" max="24" width="9" bestFit="1" customWidth="1"/>
    <col min="25" max="25" width="12.1640625" bestFit="1" customWidth="1"/>
    <col min="26" max="27" width="10.83203125" bestFit="1" customWidth="1"/>
    <col min="28" max="28" width="14.83203125" bestFit="1" customWidth="1"/>
    <col min="29" max="30" width="10.83203125" bestFit="1" customWidth="1"/>
    <col min="32" max="32" width="12" bestFit="1" customWidth="1"/>
  </cols>
  <sheetData>
    <row r="1" spans="1:17">
      <c r="A1" s="70" t="s">
        <v>0</v>
      </c>
    </row>
    <row r="2" spans="1:17" s="72" customFormat="1">
      <c r="A2" s="71"/>
      <c r="B2" s="72" t="s">
        <v>269</v>
      </c>
    </row>
    <row r="3" spans="1:17">
      <c r="B3" t="s">
        <v>183</v>
      </c>
      <c r="C3" s="73" t="str">
        <f ca="1">Funda!B2</f>
        <v>DG</v>
      </c>
      <c r="E3" t="s">
        <v>270</v>
      </c>
      <c r="G3" s="102">
        <f ca="1">Funda!B6</f>
        <v>105.49</v>
      </c>
    </row>
    <row r="4" spans="1:17">
      <c r="B4" t="s">
        <v>241</v>
      </c>
      <c r="C4" s="74">
        <f ca="1">TODAY()</f>
        <v>45866</v>
      </c>
      <c r="E4" t="s">
        <v>271</v>
      </c>
      <c r="G4" s="73">
        <f ca="1">Y106</f>
        <v>4797.1215902073791</v>
      </c>
    </row>
    <row r="6" spans="1:17" s="76" customFormat="1">
      <c r="A6" s="75" t="s">
        <v>272</v>
      </c>
      <c r="B6" s="76" t="s">
        <v>273</v>
      </c>
    </row>
    <row r="8" spans="1:17" ht="18">
      <c r="B8" s="4" t="s">
        <v>274</v>
      </c>
      <c r="G8" s="19" t="s">
        <v>275</v>
      </c>
      <c r="K8" s="19" t="s">
        <v>276</v>
      </c>
      <c r="O8" s="19" t="s">
        <v>277</v>
      </c>
    </row>
    <row r="9" spans="1:17" ht="18">
      <c r="B9" s="4"/>
      <c r="G9" s="20" t="s">
        <v>536</v>
      </c>
      <c r="I9" s="77">
        <v>0.1</v>
      </c>
      <c r="K9" s="20" t="s">
        <v>536</v>
      </c>
      <c r="M9" s="78">
        <v>0.16</v>
      </c>
      <c r="O9" s="20" t="s">
        <v>536</v>
      </c>
      <c r="Q9" s="79"/>
    </row>
    <row r="10" spans="1:17">
      <c r="B10" t="s">
        <v>278</v>
      </c>
      <c r="E10" s="73">
        <v>2</v>
      </c>
      <c r="G10" s="20" t="s">
        <v>537</v>
      </c>
      <c r="I10" s="80">
        <v>0.05</v>
      </c>
      <c r="J10" s="81"/>
      <c r="K10" s="20" t="s">
        <v>537</v>
      </c>
      <c r="M10" s="80">
        <v>0.1</v>
      </c>
      <c r="O10" s="20" t="s">
        <v>537</v>
      </c>
      <c r="Q10" s="79"/>
    </row>
    <row r="11" spans="1:17">
      <c r="B11" t="s">
        <v>2</v>
      </c>
      <c r="E11" s="73">
        <v>2</v>
      </c>
      <c r="G11" t="s">
        <v>2</v>
      </c>
      <c r="I11" s="80">
        <v>0.2</v>
      </c>
      <c r="J11" s="81"/>
      <c r="K11" t="s">
        <v>2</v>
      </c>
      <c r="M11" s="80">
        <v>0.37</v>
      </c>
      <c r="O11" t="s">
        <v>2</v>
      </c>
      <c r="Q11" s="79"/>
    </row>
    <row r="12" spans="1:17" ht="14">
      <c r="B12" t="s">
        <v>250</v>
      </c>
      <c r="E12" s="73">
        <v>2</v>
      </c>
      <c r="G12" t="s">
        <v>279</v>
      </c>
      <c r="I12" s="82">
        <v>0.15</v>
      </c>
      <c r="J12" s="81"/>
      <c r="K12" t="s">
        <v>279</v>
      </c>
      <c r="M12" s="82">
        <v>0.2</v>
      </c>
      <c r="O12" t="s">
        <v>279</v>
      </c>
      <c r="Q12" s="83"/>
    </row>
    <row r="13" spans="1:17">
      <c r="B13" t="s">
        <v>194</v>
      </c>
      <c r="E13" s="73">
        <v>2</v>
      </c>
      <c r="G13" t="s">
        <v>194</v>
      </c>
      <c r="I13" s="79">
        <v>0.15</v>
      </c>
      <c r="J13" s="81"/>
      <c r="K13" t="s">
        <v>194</v>
      </c>
      <c r="M13" s="80">
        <v>0.1</v>
      </c>
      <c r="O13" t="s">
        <v>194</v>
      </c>
      <c r="Q13" s="80"/>
    </row>
    <row r="14" spans="1:17">
      <c r="B14" t="s">
        <v>280</v>
      </c>
      <c r="E14" s="73">
        <v>2</v>
      </c>
      <c r="G14" t="s">
        <v>280</v>
      </c>
      <c r="I14" s="80">
        <v>0.01</v>
      </c>
      <c r="J14" s="81"/>
      <c r="K14" t="s">
        <v>280</v>
      </c>
      <c r="M14" s="80">
        <v>0.02</v>
      </c>
      <c r="O14" t="s">
        <v>280</v>
      </c>
      <c r="Q14" s="79"/>
    </row>
    <row r="15" spans="1:17">
      <c r="B15" t="s">
        <v>248</v>
      </c>
      <c r="E15" s="73">
        <v>2</v>
      </c>
      <c r="G15" t="s">
        <v>248</v>
      </c>
      <c r="I15" s="80">
        <v>0.02</v>
      </c>
      <c r="J15" s="81"/>
      <c r="K15" t="s">
        <v>248</v>
      </c>
      <c r="M15" s="80">
        <v>0</v>
      </c>
      <c r="O15" t="s">
        <v>248</v>
      </c>
      <c r="Q15" s="79"/>
    </row>
    <row r="16" spans="1:17">
      <c r="B16" t="s">
        <v>281</v>
      </c>
      <c r="E16" s="73">
        <v>2</v>
      </c>
      <c r="G16" t="s">
        <v>281</v>
      </c>
      <c r="I16" s="80">
        <v>0.02</v>
      </c>
      <c r="J16" s="81"/>
      <c r="K16" t="s">
        <v>281</v>
      </c>
      <c r="M16" s="80">
        <v>0.02</v>
      </c>
      <c r="O16" t="s">
        <v>281</v>
      </c>
      <c r="Q16" s="79"/>
    </row>
    <row r="17" spans="1:25">
      <c r="B17" s="20" t="s">
        <v>305</v>
      </c>
      <c r="E17" s="73">
        <v>2</v>
      </c>
      <c r="G17" s="20" t="s">
        <v>305</v>
      </c>
      <c r="I17" s="80">
        <v>0.02</v>
      </c>
      <c r="J17" s="81"/>
      <c r="K17" s="20" t="s">
        <v>305</v>
      </c>
      <c r="M17" s="80">
        <v>0.03</v>
      </c>
      <c r="O17" t="s">
        <v>282</v>
      </c>
      <c r="Q17" s="79"/>
    </row>
    <row r="18" spans="1:25">
      <c r="J18" s="81"/>
    </row>
    <row r="19" spans="1:25" ht="16">
      <c r="B19" s="84" t="s">
        <v>283</v>
      </c>
      <c r="J19" s="81"/>
    </row>
    <row r="20" spans="1:25">
      <c r="B20" t="s">
        <v>194</v>
      </c>
      <c r="E20" s="79">
        <v>0.05</v>
      </c>
    </row>
    <row r="21" spans="1:25">
      <c r="B21" t="s">
        <v>280</v>
      </c>
      <c r="E21" s="79">
        <v>0.02</v>
      </c>
    </row>
    <row r="22" spans="1:25">
      <c r="O22">
        <f>1</f>
        <v>1</v>
      </c>
      <c r="P22">
        <f>O22+1</f>
        <v>2</v>
      </c>
      <c r="Q22">
        <f t="shared" ref="Q22:Y23" si="0">P22+1</f>
        <v>3</v>
      </c>
      <c r="R22">
        <f t="shared" si="0"/>
        <v>4</v>
      </c>
      <c r="S22">
        <f t="shared" si="0"/>
        <v>5</v>
      </c>
      <c r="T22">
        <f t="shared" si="0"/>
        <v>6</v>
      </c>
      <c r="U22">
        <f t="shared" si="0"/>
        <v>7</v>
      </c>
      <c r="V22">
        <f t="shared" si="0"/>
        <v>8</v>
      </c>
      <c r="W22">
        <f t="shared" si="0"/>
        <v>9</v>
      </c>
      <c r="X22">
        <f t="shared" si="0"/>
        <v>10</v>
      </c>
      <c r="Y22">
        <f t="shared" si="0"/>
        <v>11</v>
      </c>
    </row>
    <row r="23" spans="1:25" s="76" customFormat="1">
      <c r="A23" s="75" t="s">
        <v>272</v>
      </c>
      <c r="B23" s="76" t="s">
        <v>231</v>
      </c>
      <c r="E23" s="76">
        <f t="shared" ref="E23:L23" si="1">F23-1</f>
        <v>2015</v>
      </c>
      <c r="F23" s="76">
        <f t="shared" si="1"/>
        <v>2016</v>
      </c>
      <c r="G23" s="76">
        <f t="shared" si="1"/>
        <v>2017</v>
      </c>
      <c r="H23" s="76">
        <f t="shared" si="1"/>
        <v>2018</v>
      </c>
      <c r="I23" s="76">
        <f t="shared" si="1"/>
        <v>2019</v>
      </c>
      <c r="J23" s="76">
        <f t="shared" si="1"/>
        <v>2020</v>
      </c>
      <c r="K23" s="76">
        <f t="shared" si="1"/>
        <v>2021</v>
      </c>
      <c r="L23" s="76">
        <f t="shared" si="1"/>
        <v>2022</v>
      </c>
      <c r="M23" s="76">
        <f>N23-1</f>
        <v>2023</v>
      </c>
      <c r="N23" s="76">
        <v>2024</v>
      </c>
      <c r="O23" s="76">
        <f>N23+1</f>
        <v>2025</v>
      </c>
      <c r="P23" s="76">
        <f t="shared" ref="P23" si="2">O23+1</f>
        <v>2026</v>
      </c>
      <c r="Q23" s="76">
        <f t="shared" si="0"/>
        <v>2027</v>
      </c>
      <c r="R23" s="76">
        <f t="shared" si="0"/>
        <v>2028</v>
      </c>
      <c r="S23" s="76">
        <f t="shared" si="0"/>
        <v>2029</v>
      </c>
      <c r="T23" s="76">
        <f t="shared" si="0"/>
        <v>2030</v>
      </c>
      <c r="U23" s="76">
        <f t="shared" si="0"/>
        <v>2031</v>
      </c>
      <c r="V23" s="76">
        <f t="shared" ref="V23" si="3">U23+1</f>
        <v>2032</v>
      </c>
      <c r="W23" s="76">
        <f t="shared" ref="W23" si="4">V23+1</f>
        <v>2033</v>
      </c>
      <c r="X23" s="76">
        <f t="shared" si="0"/>
        <v>2034</v>
      </c>
      <c r="Y23" s="76">
        <f t="shared" si="0"/>
        <v>2035</v>
      </c>
    </row>
    <row r="24" spans="1:25" ht="14">
      <c r="B24" s="137" t="s">
        <v>244</v>
      </c>
      <c r="D24" s="103"/>
      <c r="E24" s="104">
        <f>Funda!I8</f>
        <v>20368562000</v>
      </c>
      <c r="F24" s="104">
        <f>Funda!J8</f>
        <v>21986598000</v>
      </c>
      <c r="G24" s="104">
        <f>Funda!K8</f>
        <v>23470967000</v>
      </c>
      <c r="H24" s="104">
        <f>Funda!L8</f>
        <v>25625043000</v>
      </c>
      <c r="I24" s="104">
        <f>Funda!M8</f>
        <v>27753973000</v>
      </c>
      <c r="J24" s="104">
        <f>Funda!N8</f>
        <v>33746839000</v>
      </c>
      <c r="K24" s="104">
        <f>Funda!O8</f>
        <v>34220449000</v>
      </c>
      <c r="L24" s="104">
        <f>Funda!P8</f>
        <v>37844863000</v>
      </c>
      <c r="M24" s="104">
        <f>Funda!Q8</f>
        <v>38691609000</v>
      </c>
      <c r="N24" s="104">
        <f>Funda!R8</f>
        <v>40612308000</v>
      </c>
      <c r="O24" s="85"/>
      <c r="P24" s="85"/>
      <c r="Q24" s="85"/>
      <c r="R24" s="85"/>
      <c r="S24" s="85"/>
    </row>
    <row r="25" spans="1:25" ht="14">
      <c r="B25" s="86" t="s">
        <v>284</v>
      </c>
      <c r="D25" s="103"/>
      <c r="E25" s="87"/>
      <c r="F25" s="87">
        <f>F24/E24-1</f>
        <v>7.9437910246192178E-2</v>
      </c>
      <c r="G25" s="87">
        <f>G24/F24-1</f>
        <v>6.7512445536139776E-2</v>
      </c>
      <c r="H25" s="87">
        <f t="shared" ref="H25:N25" si="5">H24/G24-1</f>
        <v>9.1776193115520099E-2</v>
      </c>
      <c r="I25" s="87">
        <f t="shared" si="5"/>
        <v>8.3080055709565004E-2</v>
      </c>
      <c r="J25" s="87">
        <f t="shared" si="5"/>
        <v>0.2159282204389259</v>
      </c>
      <c r="K25" s="87">
        <f t="shared" si="5"/>
        <v>1.4034203321976246E-2</v>
      </c>
      <c r="L25" s="87">
        <f t="shared" si="5"/>
        <v>0.10591368920963018</v>
      </c>
      <c r="M25" s="87">
        <f t="shared" si="5"/>
        <v>2.2374133049444467E-2</v>
      </c>
      <c r="N25" s="87">
        <f t="shared" si="5"/>
        <v>4.964122841208285E-2</v>
      </c>
      <c r="P25" s="88"/>
      <c r="Q25" s="88"/>
      <c r="R25" s="88"/>
      <c r="S25" s="88"/>
    </row>
    <row r="26" spans="1:25" ht="14">
      <c r="B26" s="89"/>
      <c r="D26" s="103"/>
      <c r="E26" s="103"/>
      <c r="F26" s="103"/>
      <c r="G26" s="103"/>
      <c r="H26" s="103"/>
      <c r="I26" s="103"/>
      <c r="J26" s="103"/>
      <c r="K26" s="103"/>
      <c r="L26" s="103"/>
      <c r="M26" s="103"/>
      <c r="N26" s="103"/>
    </row>
    <row r="27" spans="1:25" ht="14">
      <c r="B27" s="137" t="s">
        <v>4</v>
      </c>
      <c r="D27" s="104">
        <f>Funda!H13-Funda!H14</f>
        <v>1769093000</v>
      </c>
      <c r="E27" s="104">
        <f>Funda!I13-Funda!I14</f>
        <v>1946194000</v>
      </c>
      <c r="F27" s="104">
        <f>Funda!J13-Funda!J14</f>
        <v>2063449000</v>
      </c>
      <c r="G27" s="104">
        <f>Funda!K13-Funda!K14</f>
        <v>2004316000</v>
      </c>
      <c r="H27" s="104">
        <f>Funda!L13-Funda!L14</f>
        <v>2115287000</v>
      </c>
      <c r="I27" s="104">
        <f>Funda!M13-Funda!M14</f>
        <v>2302304000</v>
      </c>
      <c r="J27" s="104">
        <f>Funda!N13-Funda!N14</f>
        <v>3554765000</v>
      </c>
      <c r="K27" s="104">
        <f>Funda!O13-Funda!O14</f>
        <v>3220675000</v>
      </c>
      <c r="L27" s="104">
        <f>Funda!P13-Funda!P14</f>
        <v>3327887000</v>
      </c>
      <c r="M27" s="104">
        <f>Funda!Q13-Funda!Q14</f>
        <v>2446300000</v>
      </c>
      <c r="N27" s="104">
        <f>Funda!R13-Funda!R14</f>
        <v>1714074000</v>
      </c>
      <c r="O27" s="85"/>
      <c r="P27" s="85"/>
      <c r="Q27" s="85"/>
      <c r="R27" s="85"/>
      <c r="S27" s="85"/>
    </row>
    <row r="28" spans="1:25" ht="14">
      <c r="B28" s="86" t="s">
        <v>285</v>
      </c>
      <c r="D28" s="87"/>
      <c r="E28" s="88">
        <f>E27/E24</f>
        <v>9.5548915038773968E-2</v>
      </c>
      <c r="F28" s="88">
        <f>F27/F24</f>
        <v>9.3850308265062202E-2</v>
      </c>
      <c r="G28" s="88">
        <f>G27/G24</f>
        <v>8.5395544205741497E-2</v>
      </c>
      <c r="H28" s="88">
        <f t="shared" ref="H28:M28" si="6">H27/H24</f>
        <v>8.254764684687553E-2</v>
      </c>
      <c r="I28" s="88">
        <f t="shared" si="6"/>
        <v>8.295403328381129E-2</v>
      </c>
      <c r="J28" s="88">
        <f t="shared" si="6"/>
        <v>0.10533623608421518</v>
      </c>
      <c r="K28" s="88">
        <f t="shared" si="6"/>
        <v>9.4115509705907138E-2</v>
      </c>
      <c r="L28" s="88">
        <f t="shared" si="6"/>
        <v>8.7934972838982134E-2</v>
      </c>
      <c r="M28" s="88">
        <f t="shared" si="6"/>
        <v>6.3225594986241071E-2</v>
      </c>
      <c r="N28" s="88">
        <f>N27/N24</f>
        <v>4.22057766330345E-2</v>
      </c>
      <c r="O28" s="88"/>
      <c r="P28" s="88"/>
      <c r="Q28" s="88"/>
      <c r="R28" s="88"/>
      <c r="S28" s="88"/>
    </row>
    <row r="29" spans="1:25" ht="14">
      <c r="B29" s="90" t="s">
        <v>286</v>
      </c>
      <c r="D29" s="87"/>
      <c r="E29" s="88">
        <f t="shared" ref="E29:F29" si="7">E27/D27-1</f>
        <v>0.10010836061190687</v>
      </c>
      <c r="F29" s="88">
        <f t="shared" si="7"/>
        <v>6.0248361674118733E-2</v>
      </c>
      <c r="G29" s="88">
        <f>G27/F27-1</f>
        <v>-2.8657359595512188E-2</v>
      </c>
      <c r="H29" s="88">
        <f t="shared" ref="H29:M29" si="8">H27/G27-1</f>
        <v>5.5366020128562621E-2</v>
      </c>
      <c r="I29" s="88">
        <f t="shared" si="8"/>
        <v>8.8412116180924816E-2</v>
      </c>
      <c r="J29" s="88">
        <f t="shared" si="8"/>
        <v>0.54400331146538417</v>
      </c>
      <c r="K29" s="88">
        <f t="shared" si="8"/>
        <v>-9.398370919034027E-2</v>
      </c>
      <c r="L29" s="88">
        <f t="shared" si="8"/>
        <v>3.3288673958098869E-2</v>
      </c>
      <c r="M29" s="88">
        <f t="shared" si="8"/>
        <v>-0.26490893470842014</v>
      </c>
      <c r="N29" s="88">
        <f>N27/M27-1</f>
        <v>-0.29931978906920653</v>
      </c>
      <c r="O29" s="88"/>
      <c r="P29" s="88"/>
      <c r="Q29" s="88"/>
      <c r="R29" s="88"/>
      <c r="S29" s="88"/>
    </row>
    <row r="30" spans="1:25" ht="14">
      <c r="B30" s="90"/>
      <c r="D30" s="87"/>
      <c r="E30" s="87"/>
      <c r="F30" s="87"/>
      <c r="G30" s="87"/>
      <c r="H30" s="87"/>
      <c r="I30" s="87"/>
      <c r="J30" s="87"/>
      <c r="K30" s="87"/>
      <c r="L30" s="87"/>
      <c r="M30" s="87"/>
      <c r="N30" s="87"/>
    </row>
    <row r="31" spans="1:25" ht="14">
      <c r="B31" s="138" t="s">
        <v>279</v>
      </c>
      <c r="D31" s="104">
        <f>Funda!H16</f>
        <v>615516000</v>
      </c>
      <c r="E31" s="104">
        <f>Funda!I16</f>
        <v>687944000</v>
      </c>
      <c r="F31" s="104">
        <f>Funda!J16</f>
        <v>714495000</v>
      </c>
      <c r="G31" s="104">
        <f>Funda!K16</f>
        <v>368320000</v>
      </c>
      <c r="H31" s="104">
        <f>Funda!L16</f>
        <v>425944000</v>
      </c>
      <c r="I31" s="104">
        <f>Funda!M16</f>
        <v>489175000</v>
      </c>
      <c r="J31" s="104">
        <f>Funda!N16</f>
        <v>749330000</v>
      </c>
      <c r="K31" s="104">
        <f>Funda!O16</f>
        <v>663917000</v>
      </c>
      <c r="L31" s="104">
        <f>Funda!P16</f>
        <v>700625000</v>
      </c>
      <c r="M31" s="104">
        <f>Funda!Q16</f>
        <v>458245000</v>
      </c>
      <c r="N31" s="104">
        <f>Funda!R16</f>
        <v>314501000</v>
      </c>
      <c r="O31" s="85"/>
      <c r="P31" s="85"/>
      <c r="Q31" s="85"/>
      <c r="R31" s="85"/>
      <c r="S31" s="85"/>
    </row>
    <row r="32" spans="1:25" ht="14">
      <c r="B32" s="90" t="s">
        <v>287</v>
      </c>
      <c r="D32" s="87"/>
      <c r="E32" s="91">
        <f t="shared" ref="E32:F32" si="9">E31/D31-1</f>
        <v>0.11767037737443053</v>
      </c>
      <c r="F32" s="91">
        <f t="shared" si="9"/>
        <v>3.8594711197422971E-2</v>
      </c>
      <c r="G32" s="91">
        <f>G31/F31-1</f>
        <v>-0.48450304060910154</v>
      </c>
      <c r="H32" s="91">
        <f t="shared" ref="H32:N32" si="10">H31/G31-1</f>
        <v>0.15645091225021712</v>
      </c>
      <c r="I32" s="91">
        <f t="shared" si="10"/>
        <v>0.14844909189940458</v>
      </c>
      <c r="J32" s="91">
        <f t="shared" si="10"/>
        <v>0.53182398936985731</v>
      </c>
      <c r="K32" s="91">
        <f t="shared" si="10"/>
        <v>-0.11398582733908957</v>
      </c>
      <c r="L32" s="91">
        <f t="shared" si="10"/>
        <v>5.5290043785593657E-2</v>
      </c>
      <c r="M32" s="91">
        <f t="shared" si="10"/>
        <v>-0.34594826048171279</v>
      </c>
      <c r="N32" s="91">
        <f t="shared" si="10"/>
        <v>-0.31368372813669543</v>
      </c>
      <c r="O32" s="85"/>
      <c r="P32" s="85"/>
      <c r="Q32" s="85"/>
      <c r="R32" s="85"/>
      <c r="S32" s="85"/>
    </row>
    <row r="33" spans="2:25" ht="14">
      <c r="B33" s="86" t="s">
        <v>288</v>
      </c>
      <c r="D33" s="87" t="s">
        <v>0</v>
      </c>
      <c r="E33" s="88">
        <f t="shared" ref="E33:N33" si="11">E31/E27</f>
        <v>0.35348171867758299</v>
      </c>
      <c r="F33" s="88">
        <f t="shared" si="11"/>
        <v>0.34626249546269378</v>
      </c>
      <c r="G33" s="88">
        <f t="shared" si="11"/>
        <v>0.1837634384997176</v>
      </c>
      <c r="H33" s="88">
        <f t="shared" si="11"/>
        <v>0.20136463751727307</v>
      </c>
      <c r="I33" s="88">
        <f t="shared" si="11"/>
        <v>0.21247194115112514</v>
      </c>
      <c r="J33" s="88">
        <f t="shared" si="11"/>
        <v>0.21079593165792956</v>
      </c>
      <c r="K33" s="88">
        <f t="shared" si="11"/>
        <v>0.20614219068983985</v>
      </c>
      <c r="L33" s="88">
        <f t="shared" si="11"/>
        <v>0.21053148739725838</v>
      </c>
      <c r="M33" s="88">
        <f t="shared" si="11"/>
        <v>0.18732166946000081</v>
      </c>
      <c r="N33" s="88">
        <f t="shared" si="11"/>
        <v>0.18348157664138187</v>
      </c>
      <c r="O33" s="88"/>
      <c r="P33" s="88"/>
      <c r="Q33" s="88"/>
      <c r="R33" s="88"/>
      <c r="S33" s="88"/>
    </row>
    <row r="34" spans="2:25" ht="14">
      <c r="B34" s="86"/>
      <c r="D34" s="103"/>
      <c r="E34" s="105"/>
      <c r="F34" s="105"/>
      <c r="G34" s="105"/>
      <c r="H34" s="105"/>
      <c r="I34" s="105"/>
      <c r="J34" s="105"/>
      <c r="K34" s="105"/>
      <c r="L34" s="105"/>
      <c r="M34" s="105"/>
      <c r="N34" s="105"/>
      <c r="O34" s="88"/>
      <c r="P34" s="88"/>
      <c r="Q34" s="88"/>
      <c r="R34" s="88"/>
      <c r="S34" s="88"/>
    </row>
    <row r="35" spans="2:25">
      <c r="B35" s="138" t="s">
        <v>6</v>
      </c>
      <c r="D35" s="103"/>
      <c r="E35" s="103">
        <f>Funda!I20</f>
        <v>1165080000</v>
      </c>
      <c r="F35" s="103">
        <f>Funda!J20</f>
        <v>1251133000</v>
      </c>
      <c r="G35" s="103">
        <f>Funda!K20</f>
        <v>1538960000</v>
      </c>
      <c r="H35" s="103">
        <f>Funda!L20</f>
        <v>1589472000</v>
      </c>
      <c r="I35" s="103">
        <f>Funda!M20</f>
        <v>1712555000</v>
      </c>
      <c r="J35" s="103">
        <f>Funda!N20</f>
        <v>2655050000</v>
      </c>
      <c r="K35" s="103">
        <f>Funda!O20</f>
        <v>2399232000</v>
      </c>
      <c r="L35" s="103">
        <f>Funda!P20</f>
        <v>2415989000</v>
      </c>
      <c r="M35" s="103">
        <f>Funda!Q20</f>
        <v>1661274000</v>
      </c>
      <c r="N35" s="103">
        <f>Funda!R20</f>
        <v>1125253000</v>
      </c>
    </row>
    <row r="36" spans="2:25">
      <c r="B36" t="s">
        <v>285</v>
      </c>
      <c r="D36" s="87"/>
      <c r="E36" s="87"/>
      <c r="F36" s="87">
        <f>F35/F24</f>
        <v>5.6904346911695936E-2</v>
      </c>
      <c r="G36" s="87">
        <f t="shared" ref="G36:M36" si="12">G35/G24</f>
        <v>6.556866617383085E-2</v>
      </c>
      <c r="H36" s="87">
        <f t="shared" si="12"/>
        <v>6.202807152362632E-2</v>
      </c>
      <c r="I36" s="87">
        <f t="shared" si="12"/>
        <v>6.1704859336715503E-2</v>
      </c>
      <c r="J36" s="87">
        <f t="shared" si="12"/>
        <v>7.8675516838777104E-2</v>
      </c>
      <c r="K36" s="87">
        <f t="shared" si="12"/>
        <v>7.0111061371520872E-2</v>
      </c>
      <c r="L36" s="87">
        <f t="shared" si="12"/>
        <v>6.3839285136268034E-2</v>
      </c>
      <c r="M36" s="87">
        <f t="shared" si="12"/>
        <v>4.2936286262998266E-2</v>
      </c>
      <c r="N36" s="87">
        <f>N35/N24</f>
        <v>2.7707191622795731E-2</v>
      </c>
    </row>
    <row r="37" spans="2:25" ht="14">
      <c r="B37" s="93" t="s">
        <v>289</v>
      </c>
      <c r="C37" s="94"/>
      <c r="D37" s="94"/>
      <c r="E37" s="93">
        <f t="shared" ref="E37:X37" si="13">E23</f>
        <v>2015</v>
      </c>
      <c r="F37" s="93">
        <f t="shared" si="13"/>
        <v>2016</v>
      </c>
      <c r="G37" s="93">
        <f t="shared" si="13"/>
        <v>2017</v>
      </c>
      <c r="H37" s="93">
        <f t="shared" si="13"/>
        <v>2018</v>
      </c>
      <c r="I37" s="93">
        <f t="shared" si="13"/>
        <v>2019</v>
      </c>
      <c r="J37" s="93">
        <f t="shared" si="13"/>
        <v>2020</v>
      </c>
      <c r="K37" s="93">
        <f t="shared" si="13"/>
        <v>2021</v>
      </c>
      <c r="L37" s="93">
        <f t="shared" si="13"/>
        <v>2022</v>
      </c>
      <c r="M37" s="93">
        <f t="shared" si="13"/>
        <v>2023</v>
      </c>
      <c r="N37" s="93">
        <f t="shared" si="13"/>
        <v>2024</v>
      </c>
      <c r="O37" s="93">
        <f t="shared" si="13"/>
        <v>2025</v>
      </c>
      <c r="P37" s="93">
        <f t="shared" si="13"/>
        <v>2026</v>
      </c>
      <c r="Q37" s="93">
        <f t="shared" si="13"/>
        <v>2027</v>
      </c>
      <c r="R37" s="93">
        <f t="shared" si="13"/>
        <v>2028</v>
      </c>
      <c r="S37" s="93">
        <f t="shared" si="13"/>
        <v>2029</v>
      </c>
      <c r="T37" s="93">
        <f t="shared" si="13"/>
        <v>2030</v>
      </c>
      <c r="U37" s="93">
        <f t="shared" si="13"/>
        <v>2031</v>
      </c>
      <c r="V37" s="93">
        <f t="shared" si="13"/>
        <v>2032</v>
      </c>
      <c r="W37" s="93">
        <f t="shared" si="13"/>
        <v>2033</v>
      </c>
      <c r="X37" s="93">
        <f t="shared" si="13"/>
        <v>2034</v>
      </c>
      <c r="Y37" s="93">
        <f>Y23</f>
        <v>2035</v>
      </c>
    </row>
    <row r="38" spans="2:25" ht="14">
      <c r="B38" s="137" t="s">
        <v>248</v>
      </c>
      <c r="D38" s="106"/>
      <c r="E38" s="106">
        <f>Funda!I14</f>
        <v>352431000</v>
      </c>
      <c r="F38" s="106">
        <f>Funda!J14</f>
        <v>379931000</v>
      </c>
      <c r="G38" s="106">
        <f>Funda!K14</f>
        <v>404231000</v>
      </c>
      <c r="H38" s="106">
        <f>Funda!L14</f>
        <v>454134000</v>
      </c>
      <c r="I38" s="106">
        <f>Funda!M14</f>
        <v>504804000</v>
      </c>
      <c r="J38" s="106">
        <f>Funda!N14</f>
        <v>574237000</v>
      </c>
      <c r="K38" s="106">
        <f>Funda!O14</f>
        <v>641316000</v>
      </c>
      <c r="L38" s="106">
        <f>Funda!P14</f>
        <v>724877000</v>
      </c>
      <c r="M38" s="106">
        <f>Funda!Q14</f>
        <v>848793000</v>
      </c>
      <c r="N38" s="106">
        <f>Funda!R14</f>
        <v>971703000</v>
      </c>
      <c r="O38" s="92"/>
      <c r="P38" s="92"/>
    </row>
    <row r="39" spans="2:25" ht="14">
      <c r="B39" s="90" t="s">
        <v>286</v>
      </c>
      <c r="D39" s="107"/>
      <c r="E39" s="107" t="e">
        <f t="shared" ref="E39:F39" si="14">E38/D38-1</f>
        <v>#DIV/0!</v>
      </c>
      <c r="F39" s="107">
        <f t="shared" si="14"/>
        <v>7.8029458248564998E-2</v>
      </c>
      <c r="G39" s="107">
        <f>G38/F38-1</f>
        <v>6.3958982025683619E-2</v>
      </c>
      <c r="H39" s="107">
        <f t="shared" ref="H39:N39" si="15">H38/G38-1</f>
        <v>0.12345168975165199</v>
      </c>
      <c r="I39" s="107">
        <f t="shared" si="15"/>
        <v>0.11157499768790702</v>
      </c>
      <c r="J39" s="107">
        <f t="shared" si="15"/>
        <v>0.13754447270623849</v>
      </c>
      <c r="K39" s="107">
        <f t="shared" si="15"/>
        <v>0.11681413771665716</v>
      </c>
      <c r="L39" s="107">
        <f t="shared" si="15"/>
        <v>0.13029614105994547</v>
      </c>
      <c r="M39" s="107">
        <f t="shared" si="15"/>
        <v>0.17094762283808151</v>
      </c>
      <c r="N39" s="107">
        <f t="shared" si="15"/>
        <v>0.14480562398606023</v>
      </c>
      <c r="O39" s="92"/>
      <c r="P39" s="92"/>
    </row>
    <row r="40" spans="2:25" ht="14">
      <c r="B40" s="86" t="s">
        <v>285</v>
      </c>
      <c r="D40" s="106"/>
      <c r="E40" s="107">
        <f t="shared" ref="E40:N40" si="16">E38/E24</f>
        <v>1.7302694220632759E-2</v>
      </c>
      <c r="F40" s="107">
        <f t="shared" si="16"/>
        <v>1.7280117642574807E-2</v>
      </c>
      <c r="G40" s="107">
        <f t="shared" si="16"/>
        <v>1.7222596751126616E-2</v>
      </c>
      <c r="H40" s="107">
        <f t="shared" si="16"/>
        <v>1.7722272700186299E-2</v>
      </c>
      <c r="I40" s="107">
        <f t="shared" si="16"/>
        <v>1.8188531061841127E-2</v>
      </c>
      <c r="J40" s="107">
        <f t="shared" si="16"/>
        <v>1.7016023337770983E-2</v>
      </c>
      <c r="K40" s="107">
        <f t="shared" si="16"/>
        <v>1.8740724296165724E-2</v>
      </c>
      <c r="L40" s="107">
        <f t="shared" si="16"/>
        <v>1.9153907361218352E-2</v>
      </c>
      <c r="M40" s="107">
        <f t="shared" si="16"/>
        <v>2.1937392161695834E-2</v>
      </c>
      <c r="N40" s="107">
        <f t="shared" si="16"/>
        <v>2.3926318100414286E-2</v>
      </c>
    </row>
    <row r="41" spans="2:25" ht="14">
      <c r="B41" s="86"/>
      <c r="D41" s="106"/>
      <c r="E41" s="108"/>
      <c r="F41" s="108"/>
      <c r="G41" s="108"/>
      <c r="H41" s="108"/>
      <c r="I41" s="108"/>
      <c r="J41" s="108"/>
      <c r="K41" s="108"/>
      <c r="L41" s="108"/>
      <c r="M41" s="108"/>
      <c r="N41" s="106"/>
    </row>
    <row r="42" spans="2:25" ht="14">
      <c r="B42" s="90"/>
      <c r="D42" s="106"/>
      <c r="E42" s="106"/>
      <c r="F42" s="106"/>
      <c r="G42" s="106"/>
      <c r="H42" s="106"/>
      <c r="I42" s="106"/>
      <c r="J42" s="106"/>
      <c r="K42" s="106"/>
      <c r="L42" s="106"/>
      <c r="M42" s="106"/>
      <c r="N42" s="106"/>
    </row>
    <row r="43" spans="2:25" ht="14">
      <c r="B43" s="137" t="s">
        <v>281</v>
      </c>
      <c r="D43" s="106"/>
      <c r="E43" s="106" t="str">
        <f>Funda!I39</f>
        <v/>
      </c>
      <c r="F43" s="106">
        <f>Funda!J39</f>
        <v>560296000</v>
      </c>
      <c r="G43" s="106">
        <f>Funda!K39</f>
        <v>646456000</v>
      </c>
      <c r="H43" s="106">
        <f>Funda!L39</f>
        <v>734380000</v>
      </c>
      <c r="I43" s="106">
        <f>Funda!M39</f>
        <v>784843000</v>
      </c>
      <c r="J43" s="106">
        <f>Funda!N39</f>
        <v>1027963000</v>
      </c>
      <c r="K43" s="106">
        <f>Funda!O39</f>
        <v>1070460000</v>
      </c>
      <c r="L43" s="106">
        <f>Funda!P39</f>
        <v>1560582000</v>
      </c>
      <c r="M43" s="106">
        <f>Funda!Q39</f>
        <v>1700222000</v>
      </c>
      <c r="N43" s="106">
        <f>Funda!R39</f>
        <v>1309888000</v>
      </c>
    </row>
    <row r="44" spans="2:25" ht="14">
      <c r="B44" s="90" t="s">
        <v>287</v>
      </c>
      <c r="D44" s="107"/>
      <c r="E44" s="107" t="e">
        <f t="shared" ref="E44:F44" si="17">E43/D43-1</f>
        <v>#VALUE!</v>
      </c>
      <c r="F44" s="107" t="e">
        <f t="shared" si="17"/>
        <v>#VALUE!</v>
      </c>
      <c r="G44" s="107">
        <f>G43/F43-1</f>
        <v>0.15377586133043963</v>
      </c>
      <c r="H44" s="107">
        <f t="shared" ref="H44:N44" si="18">H43/G43-1</f>
        <v>0.13600925662380736</v>
      </c>
      <c r="I44" s="107">
        <f t="shared" si="18"/>
        <v>6.8715106620550692E-2</v>
      </c>
      <c r="J44" s="107">
        <f t="shared" si="18"/>
        <v>0.30976896016145905</v>
      </c>
      <c r="K44" s="107">
        <f t="shared" si="18"/>
        <v>4.1340982117060721E-2</v>
      </c>
      <c r="L44" s="107">
        <f t="shared" si="18"/>
        <v>0.45786110644022204</v>
      </c>
      <c r="M44" s="107">
        <f t="shared" si="18"/>
        <v>8.9479437799487638E-2</v>
      </c>
      <c r="N44" s="107">
        <f t="shared" si="18"/>
        <v>-0.22957825507492546</v>
      </c>
    </row>
    <row r="45" spans="2:25" ht="14">
      <c r="B45" s="86" t="s">
        <v>285</v>
      </c>
      <c r="D45" s="107"/>
      <c r="E45" s="107" t="e">
        <f t="shared" ref="E45:N45" si="19">E43/E24</f>
        <v>#VALUE!</v>
      </c>
      <c r="F45" s="107">
        <f t="shared" si="19"/>
        <v>2.548352409954464E-2</v>
      </c>
      <c r="G45" s="107">
        <f t="shared" si="19"/>
        <v>2.7542793613914585E-2</v>
      </c>
      <c r="H45" s="107">
        <f t="shared" si="19"/>
        <v>2.865868361664798E-2</v>
      </c>
      <c r="I45" s="107">
        <f t="shared" si="19"/>
        <v>2.8278581952933368E-2</v>
      </c>
      <c r="J45" s="107">
        <f t="shared" si="19"/>
        <v>3.0461015919150236E-2</v>
      </c>
      <c r="K45" s="107">
        <f t="shared" si="19"/>
        <v>3.1281296163004756E-2</v>
      </c>
      <c r="L45" s="107">
        <f t="shared" si="19"/>
        <v>4.1236296720112316E-2</v>
      </c>
      <c r="M45" s="107">
        <f t="shared" si="19"/>
        <v>4.3942912790212472E-2</v>
      </c>
      <c r="N45" s="107">
        <f t="shared" si="19"/>
        <v>3.2253473503648204E-2</v>
      </c>
    </row>
    <row r="46" spans="2:25" ht="14">
      <c r="B46" s="90"/>
      <c r="D46" s="106"/>
      <c r="E46" s="106"/>
      <c r="F46" s="106"/>
      <c r="G46" s="106"/>
      <c r="H46" s="106"/>
      <c r="I46" s="106"/>
      <c r="J46" s="106"/>
      <c r="K46" s="106"/>
      <c r="L46" s="106"/>
      <c r="M46" s="106"/>
      <c r="N46" s="106"/>
    </row>
    <row r="47" spans="2:25" ht="14">
      <c r="B47" s="137" t="s">
        <v>290</v>
      </c>
      <c r="D47" s="106">
        <f>Funda!H28-Funda!H33</f>
        <v>1544869000</v>
      </c>
      <c r="E47" s="106">
        <f>Funda!I28-Funda!I33</f>
        <v>1436814000</v>
      </c>
      <c r="F47" s="106">
        <f>Funda!J28-Funda!J33</f>
        <v>1054966000</v>
      </c>
      <c r="G47" s="106">
        <f>Funda!K28-Funda!K33</f>
        <v>1282974000</v>
      </c>
      <c r="H47" s="106">
        <f>Funda!L28-Funda!L33</f>
        <v>1647163000</v>
      </c>
      <c r="I47" s="106">
        <f>Funda!M28-Funda!M33</f>
        <v>634308000</v>
      </c>
      <c r="J47" s="106">
        <f>Funda!N28-Funda!N33</f>
        <v>1203436000</v>
      </c>
      <c r="K47" s="106">
        <f>Funda!O28-Funda!O33</f>
        <v>324486000</v>
      </c>
      <c r="L47" s="106">
        <f>Funda!P28-Funda!P33</f>
        <v>1693241000</v>
      </c>
      <c r="M47" s="106">
        <f>Funda!Q28-Funda!Q33</f>
        <v>1285023000</v>
      </c>
      <c r="N47" s="106">
        <f>Funda!R28-Funda!R33</f>
        <v>1295223000</v>
      </c>
    </row>
    <row r="48" spans="2:25" ht="14">
      <c r="B48" s="90" t="s">
        <v>287</v>
      </c>
      <c r="D48" s="107"/>
      <c r="E48" s="107">
        <f t="shared" ref="E48:F48" si="20">E47/D47-1</f>
        <v>-6.9944441891189535E-2</v>
      </c>
      <c r="F48" s="107">
        <f t="shared" si="20"/>
        <v>-0.26576021670167471</v>
      </c>
      <c r="G48" s="107">
        <f>G47/F47-1</f>
        <v>0.2161282922861969</v>
      </c>
      <c r="H48" s="107">
        <f t="shared" ref="H48:M48" si="21">H47/G47-1</f>
        <v>0.28386311803668662</v>
      </c>
      <c r="I48" s="107">
        <f t="shared" si="21"/>
        <v>-0.61490878559074003</v>
      </c>
      <c r="J48" s="107">
        <f t="shared" si="21"/>
        <v>0.89724234914268775</v>
      </c>
      <c r="K48" s="107">
        <f t="shared" si="21"/>
        <v>-0.73036704901631655</v>
      </c>
      <c r="L48" s="107">
        <f t="shared" si="21"/>
        <v>4.2182251314386443</v>
      </c>
      <c r="M48" s="107">
        <f t="shared" si="21"/>
        <v>-0.24108676792021932</v>
      </c>
      <c r="N48" s="107">
        <f>N47/M47-1</f>
        <v>7.9376011168672544E-3</v>
      </c>
    </row>
    <row r="49" spans="2:30" ht="14">
      <c r="B49" s="86" t="s">
        <v>285</v>
      </c>
      <c r="D49" s="106"/>
      <c r="E49" s="108"/>
      <c r="F49" s="107">
        <f t="shared" ref="F49:N49" si="22">F47/F24</f>
        <v>4.7982229902052149E-2</v>
      </c>
      <c r="G49" s="107">
        <f t="shared" si="22"/>
        <v>5.4662170501965257E-2</v>
      </c>
      <c r="H49" s="107">
        <f t="shared" si="22"/>
        <v>6.4279423843308287E-2</v>
      </c>
      <c r="I49" s="107">
        <f t="shared" si="22"/>
        <v>2.2854673815529043E-2</v>
      </c>
      <c r="J49" s="107">
        <f t="shared" si="22"/>
        <v>3.5660702917982928E-2</v>
      </c>
      <c r="K49" s="107">
        <f t="shared" si="22"/>
        <v>9.4822250871109265E-3</v>
      </c>
      <c r="L49" s="107">
        <f t="shared" si="22"/>
        <v>4.4741633758853878E-2</v>
      </c>
      <c r="M49" s="107">
        <f t="shared" si="22"/>
        <v>3.3211929749419312E-2</v>
      </c>
      <c r="N49" s="107">
        <f t="shared" si="22"/>
        <v>3.1892376074760392E-2</v>
      </c>
    </row>
    <row r="50" spans="2:30" ht="14">
      <c r="B50" s="86" t="s">
        <v>291</v>
      </c>
      <c r="D50" s="106"/>
      <c r="E50" s="109"/>
      <c r="F50" s="108"/>
      <c r="G50" s="108"/>
      <c r="H50" s="108"/>
      <c r="I50" s="108"/>
      <c r="J50" s="108"/>
      <c r="K50" s="108"/>
      <c r="L50" s="108"/>
      <c r="M50" s="108"/>
      <c r="N50" s="106"/>
    </row>
    <row r="51" spans="2:30">
      <c r="D51" s="106"/>
      <c r="E51" s="106"/>
      <c r="F51" s="106"/>
      <c r="G51" s="106"/>
      <c r="H51" s="106"/>
      <c r="I51" s="106"/>
      <c r="J51" s="106"/>
      <c r="K51" s="106"/>
      <c r="L51" s="106"/>
      <c r="M51" s="106"/>
      <c r="N51" s="106"/>
    </row>
    <row r="52" spans="2:30" ht="14">
      <c r="B52" s="93" t="s">
        <v>292</v>
      </c>
      <c r="C52" s="94"/>
      <c r="D52" s="94"/>
      <c r="E52" s="93">
        <f t="shared" ref="E52:X52" si="23">E37</f>
        <v>2015</v>
      </c>
      <c r="F52" s="93">
        <f t="shared" si="23"/>
        <v>2016</v>
      </c>
      <c r="G52" s="93">
        <f t="shared" si="23"/>
        <v>2017</v>
      </c>
      <c r="H52" s="93">
        <f t="shared" si="23"/>
        <v>2018</v>
      </c>
      <c r="I52" s="93">
        <f t="shared" si="23"/>
        <v>2019</v>
      </c>
      <c r="J52" s="93">
        <f t="shared" si="23"/>
        <v>2020</v>
      </c>
      <c r="K52" s="93">
        <f t="shared" si="23"/>
        <v>2021</v>
      </c>
      <c r="L52" s="93">
        <f t="shared" si="23"/>
        <v>2022</v>
      </c>
      <c r="M52" s="93">
        <f t="shared" si="23"/>
        <v>2023</v>
      </c>
      <c r="N52" s="93">
        <f t="shared" si="23"/>
        <v>2024</v>
      </c>
      <c r="O52" s="93">
        <f t="shared" si="23"/>
        <v>2025</v>
      </c>
      <c r="P52" s="93">
        <f t="shared" si="23"/>
        <v>2026</v>
      </c>
      <c r="Q52" s="93">
        <f t="shared" si="23"/>
        <v>2027</v>
      </c>
      <c r="R52" s="93">
        <f t="shared" si="23"/>
        <v>2028</v>
      </c>
      <c r="S52" s="93">
        <f t="shared" si="23"/>
        <v>2029</v>
      </c>
      <c r="T52" s="93">
        <f t="shared" si="23"/>
        <v>2030</v>
      </c>
      <c r="U52" s="93">
        <f t="shared" si="23"/>
        <v>2031</v>
      </c>
      <c r="V52" s="93">
        <f t="shared" si="23"/>
        <v>2032</v>
      </c>
      <c r="W52" s="93">
        <f t="shared" si="23"/>
        <v>2033</v>
      </c>
      <c r="X52" s="93">
        <f t="shared" si="23"/>
        <v>2034</v>
      </c>
      <c r="Y52" s="93">
        <f>Y37</f>
        <v>2035</v>
      </c>
    </row>
    <row r="53" spans="2:30" ht="14">
      <c r="B53" s="96" t="s">
        <v>244</v>
      </c>
      <c r="D53" s="106"/>
      <c r="E53" s="110"/>
      <c r="F53" s="111">
        <f t="shared" ref="F53:M53" si="24">F24</f>
        <v>21986598000</v>
      </c>
      <c r="G53" s="111">
        <f t="shared" si="24"/>
        <v>23470967000</v>
      </c>
      <c r="H53" s="111">
        <f t="shared" si="24"/>
        <v>25625043000</v>
      </c>
      <c r="I53" s="111">
        <f t="shared" si="24"/>
        <v>27753973000</v>
      </c>
      <c r="J53" s="111">
        <f t="shared" si="24"/>
        <v>33746839000</v>
      </c>
      <c r="K53" s="111">
        <f t="shared" si="24"/>
        <v>34220449000</v>
      </c>
      <c r="L53" s="111">
        <f t="shared" si="24"/>
        <v>37844863000</v>
      </c>
      <c r="M53" s="111">
        <f t="shared" si="24"/>
        <v>38691609000</v>
      </c>
      <c r="N53" s="111">
        <f>N24</f>
        <v>40612308000</v>
      </c>
      <c r="O53" s="112">
        <f ca="1">N53*(O54+1)</f>
        <v>47110277280</v>
      </c>
      <c r="P53" s="112">
        <f t="shared" ref="P53:Y53" ca="1" si="25">O53*(P54+1)</f>
        <v>54333853129.599998</v>
      </c>
      <c r="Q53" s="112">
        <f t="shared" ca="1" si="25"/>
        <v>62302818255.274666</v>
      </c>
      <c r="R53" s="112">
        <f t="shared" ca="1" si="25"/>
        <v>71025212811.013123</v>
      </c>
      <c r="S53" s="112">
        <f t="shared" ca="1" si="25"/>
        <v>80495241185.814865</v>
      </c>
      <c r="T53" s="112">
        <f t="shared" ca="1" si="25"/>
        <v>90691305069.351425</v>
      </c>
      <c r="U53" s="112">
        <f t="shared" ca="1" si="25"/>
        <v>101574261677.6736</v>
      </c>
      <c r="V53" s="112">
        <f t="shared" ca="1" si="25"/>
        <v>113086011334.47661</v>
      </c>
      <c r="W53" s="112">
        <f t="shared" ca="1" si="25"/>
        <v>125148519210.15411</v>
      </c>
      <c r="X53" s="112">
        <f t="shared" ca="1" si="25"/>
        <v>137663371131.16953</v>
      </c>
      <c r="Y53" s="112">
        <f t="shared" ca="1" si="25"/>
        <v>151429708244.2865</v>
      </c>
      <c r="Z53" s="97"/>
      <c r="AA53" s="97"/>
      <c r="AB53" s="97"/>
      <c r="AC53" s="97"/>
      <c r="AD53" s="97"/>
    </row>
    <row r="54" spans="2:30" ht="14">
      <c r="B54" s="95" t="s">
        <v>284</v>
      </c>
      <c r="D54" s="106"/>
      <c r="E54" s="108"/>
      <c r="F54" s="88"/>
      <c r="G54" s="88">
        <f>G53/F53-1</f>
        <v>6.7512445536139776E-2</v>
      </c>
      <c r="H54" s="88">
        <f t="shared" ref="H54:M54" si="26">H53/G53-1</f>
        <v>9.1776193115520099E-2</v>
      </c>
      <c r="I54" s="88">
        <f t="shared" si="26"/>
        <v>8.3080055709565004E-2</v>
      </c>
      <c r="J54" s="88">
        <f t="shared" si="26"/>
        <v>0.2159282204389259</v>
      </c>
      <c r="K54" s="88">
        <f t="shared" si="26"/>
        <v>1.4034203321976246E-2</v>
      </c>
      <c r="L54" s="88">
        <f t="shared" si="26"/>
        <v>0.10591368920963018</v>
      </c>
      <c r="M54" s="88">
        <f t="shared" si="26"/>
        <v>2.2374133049444467E-2</v>
      </c>
      <c r="N54" s="88">
        <f ca="1">OFFSET(O54,$E$10,0)</f>
        <v>0.16</v>
      </c>
      <c r="O54" s="88">
        <f ca="1">OFFSET(O54,$E$10,0)</f>
        <v>0.16</v>
      </c>
      <c r="P54" s="88">
        <f t="shared" ref="P54:Y54" ca="1" si="27">OFFSET(P54,$E$10,0)</f>
        <v>0.15333333333333335</v>
      </c>
      <c r="Q54" s="88">
        <f t="shared" ca="1" si="27"/>
        <v>0.14666666666666667</v>
      </c>
      <c r="R54" s="88">
        <f t="shared" ca="1" si="27"/>
        <v>0.14000000000000001</v>
      </c>
      <c r="S54" s="88">
        <f t="shared" ca="1" si="27"/>
        <v>0.13333333333333336</v>
      </c>
      <c r="T54" s="88">
        <f t="shared" ca="1" si="27"/>
        <v>0.12666666666666668</v>
      </c>
      <c r="U54" s="88">
        <f t="shared" ca="1" si="27"/>
        <v>0.12000000000000001</v>
      </c>
      <c r="V54" s="88">
        <f t="shared" ca="1" si="27"/>
        <v>0.11333333333333334</v>
      </c>
      <c r="W54" s="88">
        <f t="shared" ca="1" si="27"/>
        <v>0.10666666666666667</v>
      </c>
      <c r="X54" s="88">
        <f t="shared" ca="1" si="27"/>
        <v>0.1</v>
      </c>
      <c r="Y54" s="88">
        <f t="shared" ca="1" si="27"/>
        <v>0.1</v>
      </c>
    </row>
    <row r="55" spans="2:30" ht="14">
      <c r="B55" t="s">
        <v>275</v>
      </c>
      <c r="D55" s="106"/>
      <c r="E55" s="106"/>
      <c r="F55" s="87"/>
      <c r="G55" s="87"/>
      <c r="H55" s="87"/>
      <c r="I55" s="87"/>
      <c r="J55" s="87"/>
      <c r="K55" s="87"/>
      <c r="L55" s="87"/>
      <c r="M55" s="87"/>
      <c r="N55" s="87"/>
      <c r="O55" s="116">
        <f>I9</f>
        <v>0.1</v>
      </c>
      <c r="P55" s="116">
        <f>O55-(O56-P56)</f>
        <v>9.3333333333333351E-2</v>
      </c>
      <c r="Q55" s="116">
        <f t="shared" ref="Q55:X55" si="28">P55-(P56-Q56)</f>
        <v>8.666666666666667E-2</v>
      </c>
      <c r="R55" s="116">
        <f t="shared" si="28"/>
        <v>8.0000000000000016E-2</v>
      </c>
      <c r="S55" s="116">
        <f t="shared" si="28"/>
        <v>7.3333333333333361E-2</v>
      </c>
      <c r="T55" s="116">
        <f t="shared" si="28"/>
        <v>6.666666666666668E-2</v>
      </c>
      <c r="U55" s="116">
        <f t="shared" si="28"/>
        <v>6.0000000000000012E-2</v>
      </c>
      <c r="V55" s="116">
        <f t="shared" si="28"/>
        <v>5.3333333333333344E-2</v>
      </c>
      <c r="W55" s="116">
        <f t="shared" si="28"/>
        <v>4.6666666666666676E-2</v>
      </c>
      <c r="X55" s="116">
        <f t="shared" si="28"/>
        <v>4.0000000000000008E-2</v>
      </c>
      <c r="Y55" s="116">
        <f>I10</f>
        <v>0.05</v>
      </c>
    </row>
    <row r="56" spans="2:30" ht="14">
      <c r="B56" t="s">
        <v>276</v>
      </c>
      <c r="D56" s="106"/>
      <c r="E56" s="106"/>
      <c r="F56" s="87"/>
      <c r="G56" s="87"/>
      <c r="H56" s="87"/>
      <c r="I56" s="87"/>
      <c r="J56" s="87"/>
      <c r="K56" s="87"/>
      <c r="L56" s="87"/>
      <c r="M56" s="87"/>
      <c r="N56" s="87"/>
      <c r="O56" s="116">
        <f>M9</f>
        <v>0.16</v>
      </c>
      <c r="P56" s="116">
        <f t="shared" ref="P56:X56" si="29">O56-((O56-$Y$56)/($Y$52-P52))</f>
        <v>0.15333333333333335</v>
      </c>
      <c r="Q56" s="116">
        <f t="shared" si="29"/>
        <v>0.14666666666666667</v>
      </c>
      <c r="R56" s="116">
        <f t="shared" si="29"/>
        <v>0.14000000000000001</v>
      </c>
      <c r="S56" s="116">
        <f t="shared" si="29"/>
        <v>0.13333333333333336</v>
      </c>
      <c r="T56" s="116">
        <f t="shared" si="29"/>
        <v>0.12666666666666668</v>
      </c>
      <c r="U56" s="116">
        <f t="shared" si="29"/>
        <v>0.12000000000000001</v>
      </c>
      <c r="V56" s="116">
        <f t="shared" si="29"/>
        <v>0.11333333333333334</v>
      </c>
      <c r="W56" s="116">
        <f t="shared" si="29"/>
        <v>0.10666666666666667</v>
      </c>
      <c r="X56" s="116">
        <f t="shared" si="29"/>
        <v>0.1</v>
      </c>
      <c r="Y56" s="116">
        <f>M10</f>
        <v>0.1</v>
      </c>
    </row>
    <row r="57" spans="2:30" ht="14">
      <c r="B57" t="s">
        <v>277</v>
      </c>
      <c r="D57" s="106"/>
      <c r="E57" s="106"/>
      <c r="F57" s="87"/>
      <c r="G57" s="87"/>
      <c r="H57" s="87"/>
      <c r="I57" s="87"/>
      <c r="J57" s="87"/>
      <c r="K57" s="87"/>
      <c r="L57" s="87"/>
      <c r="M57" s="87"/>
      <c r="N57" s="87"/>
      <c r="O57" s="116">
        <f>Q9</f>
        <v>0</v>
      </c>
      <c r="P57" s="116">
        <f>O57-(O56-P56)</f>
        <v>-6.6666666666666541E-3</v>
      </c>
      <c r="Q57" s="116">
        <f t="shared" ref="Q57:W57" si="30">P57-(P56-Q56)</f>
        <v>-1.3333333333333336E-2</v>
      </c>
      <c r="R57" s="116">
        <f t="shared" si="30"/>
        <v>-1.999999999999999E-2</v>
      </c>
      <c r="S57" s="116">
        <f t="shared" si="30"/>
        <v>-2.6666666666666644E-2</v>
      </c>
      <c r="T57" s="116">
        <f t="shared" si="30"/>
        <v>-3.3333333333333326E-2</v>
      </c>
      <c r="U57" s="116">
        <f t="shared" si="30"/>
        <v>-3.9999999999999994E-2</v>
      </c>
      <c r="V57" s="116">
        <f t="shared" si="30"/>
        <v>-4.6666666666666662E-2</v>
      </c>
      <c r="W57" s="116">
        <f t="shared" si="30"/>
        <v>-5.333333333333333E-2</v>
      </c>
      <c r="X57" s="116">
        <f>W57-(W56-X56)</f>
        <v>-0.06</v>
      </c>
      <c r="Y57" s="116">
        <f>Q10</f>
        <v>0</v>
      </c>
    </row>
    <row r="58" spans="2:30">
      <c r="D58" s="106"/>
      <c r="E58" s="106"/>
      <c r="F58" s="106"/>
      <c r="G58" s="106"/>
      <c r="H58" s="106"/>
      <c r="I58" s="106"/>
      <c r="J58" s="106"/>
      <c r="K58" s="106"/>
      <c r="L58" s="106"/>
      <c r="M58" s="106"/>
      <c r="N58" s="106"/>
      <c r="O58" s="87"/>
      <c r="P58" s="87"/>
      <c r="Q58" s="87"/>
      <c r="R58" s="87"/>
      <c r="S58" s="87"/>
      <c r="T58" s="87"/>
      <c r="U58" s="87"/>
      <c r="V58" s="87"/>
      <c r="W58" s="87"/>
      <c r="X58" s="87"/>
      <c r="Y58" s="87"/>
    </row>
    <row r="59" spans="2:30" ht="14">
      <c r="B59" s="96" t="s">
        <v>4</v>
      </c>
      <c r="D59" s="106"/>
      <c r="E59" s="110"/>
      <c r="F59" s="111">
        <f t="shared" ref="F59:M59" si="31">F27</f>
        <v>2063449000</v>
      </c>
      <c r="G59" s="111">
        <f t="shared" si="31"/>
        <v>2004316000</v>
      </c>
      <c r="H59" s="111">
        <f t="shared" si="31"/>
        <v>2115287000</v>
      </c>
      <c r="I59" s="111">
        <f t="shared" si="31"/>
        <v>2302304000</v>
      </c>
      <c r="J59" s="111">
        <f t="shared" si="31"/>
        <v>3554765000</v>
      </c>
      <c r="K59" s="111">
        <f t="shared" si="31"/>
        <v>3220675000</v>
      </c>
      <c r="L59" s="111">
        <f t="shared" si="31"/>
        <v>3327887000</v>
      </c>
      <c r="M59" s="111">
        <f t="shared" si="31"/>
        <v>2446300000</v>
      </c>
      <c r="N59" s="111">
        <f>N27</f>
        <v>1714074000</v>
      </c>
      <c r="O59" s="112">
        <f ca="1">O60*(1+O53)</f>
        <v>17430802593.970001</v>
      </c>
      <c r="P59" s="112">
        <f ca="1">P60*P53</f>
        <v>20103525657.952</v>
      </c>
      <c r="Q59" s="112">
        <f t="shared" ref="Q59:Y59" ca="1" si="32">Q60*Q53</f>
        <v>23052042754.451626</v>
      </c>
      <c r="R59" s="112">
        <f t="shared" ca="1" si="32"/>
        <v>26279328740.074856</v>
      </c>
      <c r="S59" s="112">
        <f t="shared" ca="1" si="32"/>
        <v>29783239238.751499</v>
      </c>
      <c r="T59" s="112">
        <f t="shared" ca="1" si="32"/>
        <v>33555782875.660027</v>
      </c>
      <c r="U59" s="112">
        <f t="shared" ca="1" si="32"/>
        <v>37582476820.739235</v>
      </c>
      <c r="V59" s="112">
        <f t="shared" ca="1" si="32"/>
        <v>41841824193.756348</v>
      </c>
      <c r="W59" s="112">
        <f ca="1">W60*W53</f>
        <v>46304952107.757019</v>
      </c>
      <c r="X59" s="112">
        <f t="shared" ca="1" si="32"/>
        <v>50935447318.532722</v>
      </c>
      <c r="Y59" s="112">
        <f t="shared" ca="1" si="32"/>
        <v>56028992050.386002</v>
      </c>
    </row>
    <row r="60" spans="2:30" ht="14">
      <c r="B60" s="95" t="s">
        <v>284</v>
      </c>
      <c r="D60" s="106"/>
      <c r="E60" s="108"/>
      <c r="F60" s="88"/>
      <c r="G60" s="88"/>
      <c r="H60" s="88"/>
      <c r="I60" s="88"/>
      <c r="J60" s="88"/>
      <c r="K60" s="88"/>
      <c r="L60" s="88"/>
      <c r="M60" s="88"/>
      <c r="N60" s="88"/>
      <c r="O60" s="88">
        <f ca="1">OFFSET(O60,$E$11,0)</f>
        <v>0.37</v>
      </c>
      <c r="P60" s="88">
        <f t="shared" ref="P60:X60" ca="1" si="33">OFFSET(P60,$E$11,0)</f>
        <v>0.37</v>
      </c>
      <c r="Q60" s="88">
        <f ca="1">OFFSET(Q60,$E$11,0)</f>
        <v>0.37</v>
      </c>
      <c r="R60" s="88">
        <f t="shared" ca="1" si="33"/>
        <v>0.37</v>
      </c>
      <c r="S60" s="88">
        <f t="shared" ca="1" si="33"/>
        <v>0.37</v>
      </c>
      <c r="T60" s="88">
        <f t="shared" ca="1" si="33"/>
        <v>0.37</v>
      </c>
      <c r="U60" s="88">
        <f t="shared" ca="1" si="33"/>
        <v>0.37</v>
      </c>
      <c r="V60" s="88">
        <f t="shared" ca="1" si="33"/>
        <v>0.37</v>
      </c>
      <c r="W60" s="88">
        <f t="shared" ca="1" si="33"/>
        <v>0.37</v>
      </c>
      <c r="X60" s="88">
        <f t="shared" ca="1" si="33"/>
        <v>0.37</v>
      </c>
      <c r="Y60" s="88">
        <f ca="1">OFFSET(Y60,$E$11,0)</f>
        <v>0.37</v>
      </c>
    </row>
    <row r="61" spans="2:30" ht="14">
      <c r="B61" t="s">
        <v>275</v>
      </c>
      <c r="D61" s="106"/>
      <c r="E61" s="106"/>
      <c r="F61" s="87"/>
      <c r="G61" s="87"/>
      <c r="H61" s="87"/>
      <c r="I61" s="87"/>
      <c r="J61" s="87"/>
      <c r="K61" s="87"/>
      <c r="L61" s="87"/>
      <c r="M61" s="87"/>
      <c r="N61" s="87"/>
      <c r="O61" s="117">
        <f>I11</f>
        <v>0.2</v>
      </c>
      <c r="P61" s="117">
        <f t="shared" ref="P61:Y63" si="34">O61</f>
        <v>0.2</v>
      </c>
      <c r="Q61" s="117">
        <f t="shared" si="34"/>
        <v>0.2</v>
      </c>
      <c r="R61" s="117">
        <f t="shared" si="34"/>
        <v>0.2</v>
      </c>
      <c r="S61" s="117">
        <f t="shared" si="34"/>
        <v>0.2</v>
      </c>
      <c r="T61" s="117">
        <f t="shared" si="34"/>
        <v>0.2</v>
      </c>
      <c r="U61" s="117">
        <f t="shared" si="34"/>
        <v>0.2</v>
      </c>
      <c r="V61" s="117">
        <f t="shared" si="34"/>
        <v>0.2</v>
      </c>
      <c r="W61" s="117">
        <f t="shared" si="34"/>
        <v>0.2</v>
      </c>
      <c r="X61" s="117">
        <f t="shared" si="34"/>
        <v>0.2</v>
      </c>
      <c r="Y61" s="117">
        <f t="shared" si="34"/>
        <v>0.2</v>
      </c>
    </row>
    <row r="62" spans="2:30" ht="14">
      <c r="B62" t="s">
        <v>276</v>
      </c>
      <c r="D62" s="106"/>
      <c r="E62" s="106"/>
      <c r="F62" s="87"/>
      <c r="G62" s="87"/>
      <c r="H62" s="87"/>
      <c r="I62" s="87"/>
      <c r="J62" s="87"/>
      <c r="K62" s="87"/>
      <c r="L62" s="87"/>
      <c r="M62" s="87"/>
      <c r="N62" s="87"/>
      <c r="O62" s="117">
        <f>M11</f>
        <v>0.37</v>
      </c>
      <c r="P62" s="117">
        <f t="shared" si="34"/>
        <v>0.37</v>
      </c>
      <c r="Q62" s="117">
        <f t="shared" si="34"/>
        <v>0.37</v>
      </c>
      <c r="R62" s="117">
        <f t="shared" si="34"/>
        <v>0.37</v>
      </c>
      <c r="S62" s="117">
        <f t="shared" si="34"/>
        <v>0.37</v>
      </c>
      <c r="T62" s="117">
        <f t="shared" si="34"/>
        <v>0.37</v>
      </c>
      <c r="U62" s="117">
        <f t="shared" si="34"/>
        <v>0.37</v>
      </c>
      <c r="V62" s="117">
        <f t="shared" si="34"/>
        <v>0.37</v>
      </c>
      <c r="W62" s="117">
        <f t="shared" si="34"/>
        <v>0.37</v>
      </c>
      <c r="X62" s="117">
        <f t="shared" si="34"/>
        <v>0.37</v>
      </c>
      <c r="Y62" s="117">
        <f t="shared" si="34"/>
        <v>0.37</v>
      </c>
    </row>
    <row r="63" spans="2:30" ht="14">
      <c r="B63" t="s">
        <v>277</v>
      </c>
      <c r="D63" s="106"/>
      <c r="E63" s="106"/>
      <c r="F63" s="87"/>
      <c r="G63" s="87"/>
      <c r="H63" s="87"/>
      <c r="I63" s="87"/>
      <c r="J63" s="87"/>
      <c r="K63" s="87"/>
      <c r="L63" s="87"/>
      <c r="M63" s="87"/>
      <c r="N63" s="87"/>
      <c r="O63" s="117">
        <f>Q11</f>
        <v>0</v>
      </c>
      <c r="P63" s="117">
        <f t="shared" si="34"/>
        <v>0</v>
      </c>
      <c r="Q63" s="117">
        <f t="shared" si="34"/>
        <v>0</v>
      </c>
      <c r="R63" s="117">
        <f t="shared" si="34"/>
        <v>0</v>
      </c>
      <c r="S63" s="117">
        <f t="shared" si="34"/>
        <v>0</v>
      </c>
      <c r="T63" s="117">
        <f t="shared" si="34"/>
        <v>0</v>
      </c>
      <c r="U63" s="117">
        <f t="shared" si="34"/>
        <v>0</v>
      </c>
      <c r="V63" s="117">
        <f t="shared" si="34"/>
        <v>0</v>
      </c>
      <c r="W63" s="117">
        <f t="shared" si="34"/>
        <v>0</v>
      </c>
      <c r="X63" s="117">
        <f t="shared" si="34"/>
        <v>0</v>
      </c>
      <c r="Y63" s="117">
        <f t="shared" si="34"/>
        <v>0</v>
      </c>
    </row>
    <row r="64" spans="2:30">
      <c r="D64" s="106"/>
      <c r="E64" s="106"/>
      <c r="F64" s="87"/>
      <c r="G64" s="87"/>
      <c r="H64" s="87"/>
      <c r="I64" s="87"/>
      <c r="J64" s="87"/>
      <c r="K64" s="87"/>
      <c r="L64" s="87"/>
      <c r="M64" s="87"/>
      <c r="N64" s="87"/>
      <c r="O64" s="87"/>
      <c r="P64" s="87"/>
      <c r="Q64" s="87"/>
      <c r="R64" s="87"/>
      <c r="S64" s="87"/>
      <c r="T64" s="87"/>
      <c r="U64" s="87"/>
      <c r="V64" s="87"/>
      <c r="W64" s="87"/>
      <c r="X64" s="87"/>
      <c r="Y64" s="87"/>
    </row>
    <row r="65" spans="1:25" ht="14">
      <c r="B65" s="96" t="s">
        <v>250</v>
      </c>
      <c r="D65" s="106"/>
      <c r="E65" s="110"/>
      <c r="F65" s="111">
        <f>F31</f>
        <v>714495000</v>
      </c>
      <c r="G65" s="111">
        <f t="shared" ref="G65:M65" si="35">G31</f>
        <v>368320000</v>
      </c>
      <c r="H65" s="111">
        <f t="shared" si="35"/>
        <v>425944000</v>
      </c>
      <c r="I65" s="111">
        <f t="shared" si="35"/>
        <v>489175000</v>
      </c>
      <c r="J65" s="111">
        <f t="shared" si="35"/>
        <v>749330000</v>
      </c>
      <c r="K65" s="111">
        <f t="shared" si="35"/>
        <v>663917000</v>
      </c>
      <c r="L65" s="111">
        <f t="shared" si="35"/>
        <v>700625000</v>
      </c>
      <c r="M65" s="111">
        <f t="shared" si="35"/>
        <v>458245000</v>
      </c>
      <c r="N65" s="111">
        <f>N31</f>
        <v>314501000</v>
      </c>
      <c r="O65" s="112">
        <f t="shared" ref="O65:Y65" ca="1" si="36">O59*O66</f>
        <v>3486160518.7940006</v>
      </c>
      <c r="P65" s="112">
        <f ca="1">P59*P66</f>
        <v>4020705131.5904002</v>
      </c>
      <c r="Q65" s="112">
        <f ca="1">Q59*Q66</f>
        <v>4610408550.8903255</v>
      </c>
      <c r="R65" s="112">
        <f t="shared" ca="1" si="36"/>
        <v>5255865748.0149717</v>
      </c>
      <c r="S65" s="112">
        <f t="shared" ca="1" si="36"/>
        <v>5956647847.7503004</v>
      </c>
      <c r="T65" s="112">
        <f t="shared" ca="1" si="36"/>
        <v>6711156575.1320057</v>
      </c>
      <c r="U65" s="112">
        <f t="shared" ca="1" si="36"/>
        <v>7516495364.1478472</v>
      </c>
      <c r="V65" s="112">
        <f t="shared" ca="1" si="36"/>
        <v>8368364838.7512703</v>
      </c>
      <c r="W65" s="112">
        <f t="shared" ca="1" si="36"/>
        <v>9260990421.551405</v>
      </c>
      <c r="X65" s="112">
        <f t="shared" ca="1" si="36"/>
        <v>10187089463.706545</v>
      </c>
      <c r="Y65" s="112">
        <f t="shared" ca="1" si="36"/>
        <v>11205798410.077202</v>
      </c>
    </row>
    <row r="66" spans="1:25" ht="14">
      <c r="B66" s="95" t="s">
        <v>288</v>
      </c>
      <c r="D66" s="106"/>
      <c r="E66" s="108"/>
      <c r="F66" s="108"/>
      <c r="G66" s="108"/>
      <c r="H66" s="108"/>
      <c r="I66" s="108"/>
      <c r="J66" s="108"/>
      <c r="K66" s="108"/>
      <c r="L66" s="108"/>
      <c r="M66" s="108"/>
      <c r="N66" s="106"/>
      <c r="O66" s="88">
        <f ca="1">OFFSET(O66,$E$11,0)</f>
        <v>0.2</v>
      </c>
      <c r="P66" s="88">
        <f t="shared" ref="P66:Y66" ca="1" si="37">OFFSET(P66,$E$11,0)</f>
        <v>0.2</v>
      </c>
      <c r="Q66" s="88">
        <f t="shared" ca="1" si="37"/>
        <v>0.2</v>
      </c>
      <c r="R66" s="88">
        <f t="shared" ca="1" si="37"/>
        <v>0.2</v>
      </c>
      <c r="S66" s="88">
        <f t="shared" ca="1" si="37"/>
        <v>0.2</v>
      </c>
      <c r="T66" s="88">
        <f t="shared" ca="1" si="37"/>
        <v>0.2</v>
      </c>
      <c r="U66" s="88">
        <f t="shared" ca="1" si="37"/>
        <v>0.2</v>
      </c>
      <c r="V66" s="88">
        <f t="shared" ca="1" si="37"/>
        <v>0.2</v>
      </c>
      <c r="W66" s="88">
        <f t="shared" ca="1" si="37"/>
        <v>0.2</v>
      </c>
      <c r="X66" s="88">
        <f t="shared" ca="1" si="37"/>
        <v>0.2</v>
      </c>
      <c r="Y66" s="88">
        <f t="shared" ca="1" si="37"/>
        <v>0.2</v>
      </c>
    </row>
    <row r="67" spans="1:25" ht="14">
      <c r="B67" t="s">
        <v>275</v>
      </c>
      <c r="D67" s="106"/>
      <c r="E67" s="106"/>
      <c r="F67" s="106"/>
      <c r="G67" s="106"/>
      <c r="H67" s="106"/>
      <c r="I67" s="106"/>
      <c r="J67" s="106"/>
      <c r="K67" s="106"/>
      <c r="L67" s="107"/>
      <c r="M67" s="106"/>
      <c r="N67" s="106"/>
      <c r="O67" s="117">
        <f>I12</f>
        <v>0.15</v>
      </c>
      <c r="P67" s="117">
        <f t="shared" ref="P67:Y69" si="38">O67</f>
        <v>0.15</v>
      </c>
      <c r="Q67" s="117">
        <f t="shared" si="38"/>
        <v>0.15</v>
      </c>
      <c r="R67" s="117">
        <f t="shared" si="38"/>
        <v>0.15</v>
      </c>
      <c r="S67" s="117">
        <f t="shared" si="38"/>
        <v>0.15</v>
      </c>
      <c r="T67" s="117">
        <f t="shared" si="38"/>
        <v>0.15</v>
      </c>
      <c r="U67" s="117">
        <f t="shared" si="38"/>
        <v>0.15</v>
      </c>
      <c r="V67" s="117">
        <f t="shared" si="38"/>
        <v>0.15</v>
      </c>
      <c r="W67" s="117">
        <f t="shared" si="38"/>
        <v>0.15</v>
      </c>
      <c r="X67" s="117">
        <f t="shared" si="38"/>
        <v>0.15</v>
      </c>
      <c r="Y67" s="117">
        <f t="shared" si="38"/>
        <v>0.15</v>
      </c>
    </row>
    <row r="68" spans="1:25" ht="14">
      <c r="B68" t="s">
        <v>276</v>
      </c>
      <c r="D68" s="106"/>
      <c r="E68" s="106"/>
      <c r="F68" s="106"/>
      <c r="G68" s="106"/>
      <c r="H68" s="106"/>
      <c r="I68" s="106"/>
      <c r="J68" s="106"/>
      <c r="K68" s="106"/>
      <c r="L68" s="106"/>
      <c r="M68" s="106"/>
      <c r="N68" s="106"/>
      <c r="O68" s="117">
        <f>M12</f>
        <v>0.2</v>
      </c>
      <c r="P68" s="117">
        <f t="shared" si="38"/>
        <v>0.2</v>
      </c>
      <c r="Q68" s="117">
        <f t="shared" si="38"/>
        <v>0.2</v>
      </c>
      <c r="R68" s="117">
        <f t="shared" si="38"/>
        <v>0.2</v>
      </c>
      <c r="S68" s="117">
        <f t="shared" si="38"/>
        <v>0.2</v>
      </c>
      <c r="T68" s="117">
        <f t="shared" si="38"/>
        <v>0.2</v>
      </c>
      <c r="U68" s="117">
        <f t="shared" si="38"/>
        <v>0.2</v>
      </c>
      <c r="V68" s="117">
        <f t="shared" si="38"/>
        <v>0.2</v>
      </c>
      <c r="W68" s="117">
        <f t="shared" si="38"/>
        <v>0.2</v>
      </c>
      <c r="X68" s="117">
        <f t="shared" si="38"/>
        <v>0.2</v>
      </c>
      <c r="Y68" s="117">
        <f t="shared" si="38"/>
        <v>0.2</v>
      </c>
    </row>
    <row r="69" spans="1:25" ht="14">
      <c r="B69" t="s">
        <v>277</v>
      </c>
      <c r="D69" s="106"/>
      <c r="E69" s="106"/>
      <c r="F69" s="106"/>
      <c r="G69" s="106"/>
      <c r="H69" s="106"/>
      <c r="I69" s="106"/>
      <c r="J69" s="106"/>
      <c r="K69" s="106"/>
      <c r="L69" s="106"/>
      <c r="M69" s="106"/>
      <c r="N69" s="106"/>
      <c r="O69" s="117">
        <f>Q12</f>
        <v>0</v>
      </c>
      <c r="P69" s="117">
        <f t="shared" si="38"/>
        <v>0</v>
      </c>
      <c r="Q69" s="117">
        <f t="shared" si="38"/>
        <v>0</v>
      </c>
      <c r="R69" s="117">
        <f t="shared" si="38"/>
        <v>0</v>
      </c>
      <c r="S69" s="117">
        <f t="shared" si="38"/>
        <v>0</v>
      </c>
      <c r="T69" s="117">
        <f t="shared" si="38"/>
        <v>0</v>
      </c>
      <c r="U69" s="117">
        <f t="shared" si="38"/>
        <v>0</v>
      </c>
      <c r="V69" s="117">
        <f t="shared" si="38"/>
        <v>0</v>
      </c>
      <c r="W69" s="117">
        <f t="shared" si="38"/>
        <v>0</v>
      </c>
      <c r="X69" s="117">
        <f t="shared" si="38"/>
        <v>0</v>
      </c>
      <c r="Y69" s="117">
        <f t="shared" si="38"/>
        <v>0</v>
      </c>
    </row>
    <row r="70" spans="1:25">
      <c r="D70" s="106"/>
      <c r="E70" s="106"/>
      <c r="F70" s="106"/>
      <c r="G70" s="106"/>
      <c r="H70" s="106"/>
      <c r="I70" s="106"/>
      <c r="J70" s="106"/>
      <c r="K70" s="106"/>
      <c r="L70" s="106"/>
      <c r="M70" s="106"/>
      <c r="N70" s="106"/>
      <c r="O70" s="106"/>
      <c r="P70" s="106"/>
      <c r="Q70" s="106"/>
      <c r="R70" s="106"/>
      <c r="S70" s="106"/>
      <c r="T70" s="106"/>
      <c r="U70" s="106"/>
      <c r="V70" s="106"/>
      <c r="W70" s="106"/>
      <c r="X70" s="106"/>
      <c r="Y70" s="106"/>
    </row>
    <row r="71" spans="1:25" ht="14">
      <c r="B71" s="96" t="s">
        <v>293</v>
      </c>
      <c r="D71" s="106"/>
      <c r="E71" s="106"/>
      <c r="F71" s="111">
        <f>F59-F65</f>
        <v>1348954000</v>
      </c>
      <c r="G71" s="111">
        <f t="shared" ref="G71:Y71" si="39">G59-G65</f>
        <v>1635996000</v>
      </c>
      <c r="H71" s="111">
        <f t="shared" si="39"/>
        <v>1689343000</v>
      </c>
      <c r="I71" s="111">
        <f t="shared" si="39"/>
        <v>1813129000</v>
      </c>
      <c r="J71" s="111">
        <f t="shared" si="39"/>
        <v>2805435000</v>
      </c>
      <c r="K71" s="111">
        <f t="shared" si="39"/>
        <v>2556758000</v>
      </c>
      <c r="L71" s="111">
        <f t="shared" si="39"/>
        <v>2627262000</v>
      </c>
      <c r="M71" s="111">
        <f t="shared" si="39"/>
        <v>1988055000</v>
      </c>
      <c r="N71" s="111">
        <f>N59-N65</f>
        <v>1399573000</v>
      </c>
      <c r="O71" s="112">
        <f ca="1">O59-O65</f>
        <v>13944642075.176001</v>
      </c>
      <c r="P71" s="112">
        <f t="shared" ca="1" si="39"/>
        <v>16082820526.361599</v>
      </c>
      <c r="Q71" s="112">
        <f t="shared" ca="1" si="39"/>
        <v>18441634203.561302</v>
      </c>
      <c r="R71" s="112">
        <f t="shared" ca="1" si="39"/>
        <v>21023462992.059883</v>
      </c>
      <c r="S71" s="112">
        <f t="shared" ca="1" si="39"/>
        <v>23826591391.001198</v>
      </c>
      <c r="T71" s="112">
        <f t="shared" ca="1" si="39"/>
        <v>26844626300.528023</v>
      </c>
      <c r="U71" s="112">
        <f t="shared" ca="1" si="39"/>
        <v>30065981456.591389</v>
      </c>
      <c r="V71" s="112">
        <f t="shared" ca="1" si="39"/>
        <v>33473459355.005077</v>
      </c>
      <c r="W71" s="112">
        <f t="shared" ca="1" si="39"/>
        <v>37043961686.205612</v>
      </c>
      <c r="X71" s="112">
        <f t="shared" ca="1" si="39"/>
        <v>40748357854.82618</v>
      </c>
      <c r="Y71" s="112">
        <f t="shared" ca="1" si="39"/>
        <v>44823193640.3088</v>
      </c>
    </row>
    <row r="72" spans="1:25">
      <c r="D72" s="106"/>
      <c r="E72" s="106"/>
      <c r="F72" s="106"/>
      <c r="G72" s="106"/>
      <c r="H72" s="106"/>
      <c r="I72" s="106"/>
      <c r="J72" s="106"/>
      <c r="K72" s="106"/>
      <c r="L72" s="106"/>
      <c r="M72" s="106"/>
      <c r="N72" s="106"/>
      <c r="O72" s="106"/>
      <c r="P72" s="106"/>
      <c r="Q72" s="106"/>
      <c r="R72" s="106"/>
      <c r="S72" s="106"/>
      <c r="T72" s="106"/>
      <c r="U72" s="106"/>
      <c r="V72" s="106"/>
      <c r="W72" s="106"/>
      <c r="X72" s="106"/>
      <c r="Y72" s="106"/>
    </row>
    <row r="73" spans="1:25" ht="14">
      <c r="A73" s="70" t="s">
        <v>294</v>
      </c>
      <c r="B73" s="98" t="s">
        <v>248</v>
      </c>
      <c r="D73" s="106"/>
      <c r="E73" s="106"/>
      <c r="F73" s="106">
        <f>F38</f>
        <v>379931000</v>
      </c>
      <c r="G73" s="106">
        <f t="shared" ref="G73:M73" si="40">G38</f>
        <v>404231000</v>
      </c>
      <c r="H73" s="106">
        <f>H38</f>
        <v>454134000</v>
      </c>
      <c r="I73" s="106">
        <f t="shared" si="40"/>
        <v>504804000</v>
      </c>
      <c r="J73" s="106">
        <f t="shared" si="40"/>
        <v>574237000</v>
      </c>
      <c r="K73" s="106">
        <f t="shared" si="40"/>
        <v>641316000</v>
      </c>
      <c r="L73" s="106">
        <f t="shared" si="40"/>
        <v>724877000</v>
      </c>
      <c r="M73" s="106">
        <f t="shared" si="40"/>
        <v>848793000</v>
      </c>
      <c r="N73" s="106">
        <f>N38</f>
        <v>971703000</v>
      </c>
      <c r="O73" s="112">
        <f ca="1">N73*(1+O74)</f>
        <v>971703000</v>
      </c>
      <c r="P73" s="112">
        <f t="shared" ref="P73:X73" ca="1" si="41">O73*(1+P74)</f>
        <v>971703000</v>
      </c>
      <c r="Q73" s="112">
        <f t="shared" ca="1" si="41"/>
        <v>971703000</v>
      </c>
      <c r="R73" s="112">
        <f t="shared" ca="1" si="41"/>
        <v>971703000</v>
      </c>
      <c r="S73" s="112">
        <f t="shared" ca="1" si="41"/>
        <v>971703000</v>
      </c>
      <c r="T73" s="112">
        <f t="shared" ca="1" si="41"/>
        <v>971703000</v>
      </c>
      <c r="U73" s="112">
        <f t="shared" ca="1" si="41"/>
        <v>971703000</v>
      </c>
      <c r="V73" s="112">
        <f t="shared" ca="1" si="41"/>
        <v>971703000</v>
      </c>
      <c r="W73" s="112">
        <f t="shared" ca="1" si="41"/>
        <v>971703000</v>
      </c>
      <c r="X73" s="112">
        <f t="shared" ca="1" si="41"/>
        <v>971703000</v>
      </c>
      <c r="Y73" s="112">
        <f ca="1">X73*(1+Y74)</f>
        <v>971703000</v>
      </c>
    </row>
    <row r="74" spans="1:25" ht="14">
      <c r="B74" s="95" t="s">
        <v>284</v>
      </c>
      <c r="D74" s="106"/>
      <c r="E74" s="106"/>
      <c r="F74" s="106"/>
      <c r="G74" s="106"/>
      <c r="H74" s="106"/>
      <c r="I74" s="106"/>
      <c r="J74" s="106"/>
      <c r="K74" s="106"/>
      <c r="L74" s="106"/>
      <c r="M74" s="106"/>
      <c r="N74" s="108"/>
      <c r="O74" s="88">
        <f t="shared" ref="O74:Y74" ca="1" si="42">OFFSET(O74,$E$15,0)</f>
        <v>0</v>
      </c>
      <c r="P74" s="88">
        <f t="shared" ca="1" si="42"/>
        <v>0</v>
      </c>
      <c r="Q74" s="88">
        <f t="shared" ca="1" si="42"/>
        <v>0</v>
      </c>
      <c r="R74" s="88">
        <f t="shared" ca="1" si="42"/>
        <v>0</v>
      </c>
      <c r="S74" s="88">
        <f t="shared" ca="1" si="42"/>
        <v>0</v>
      </c>
      <c r="T74" s="88">
        <f t="shared" ca="1" si="42"/>
        <v>0</v>
      </c>
      <c r="U74" s="88">
        <f t="shared" ca="1" si="42"/>
        <v>0</v>
      </c>
      <c r="V74" s="88">
        <f t="shared" ca="1" si="42"/>
        <v>0</v>
      </c>
      <c r="W74" s="88">
        <f t="shared" ca="1" si="42"/>
        <v>0</v>
      </c>
      <c r="X74" s="88">
        <f t="shared" ca="1" si="42"/>
        <v>0</v>
      </c>
      <c r="Y74" s="88">
        <f t="shared" ca="1" si="42"/>
        <v>0</v>
      </c>
    </row>
    <row r="75" spans="1:25" ht="14">
      <c r="B75" t="s">
        <v>275</v>
      </c>
      <c r="D75" s="106"/>
      <c r="E75" s="106"/>
      <c r="F75" s="106"/>
      <c r="G75" s="106"/>
      <c r="H75" s="106"/>
      <c r="I75" s="106"/>
      <c r="J75" s="106"/>
      <c r="K75" s="106"/>
      <c r="L75" s="106"/>
      <c r="M75" s="106"/>
      <c r="N75" s="106"/>
      <c r="O75" s="116">
        <f>I15</f>
        <v>0.02</v>
      </c>
      <c r="P75" s="116">
        <f t="shared" ref="P75:Y77" si="43">O75</f>
        <v>0.02</v>
      </c>
      <c r="Q75" s="116">
        <f t="shared" si="43"/>
        <v>0.02</v>
      </c>
      <c r="R75" s="116">
        <f t="shared" si="43"/>
        <v>0.02</v>
      </c>
      <c r="S75" s="116">
        <f t="shared" si="43"/>
        <v>0.02</v>
      </c>
      <c r="T75" s="116">
        <f t="shared" si="43"/>
        <v>0.02</v>
      </c>
      <c r="U75" s="116">
        <f t="shared" si="43"/>
        <v>0.02</v>
      </c>
      <c r="V75" s="116">
        <f t="shared" si="43"/>
        <v>0.02</v>
      </c>
      <c r="W75" s="116">
        <f t="shared" si="43"/>
        <v>0.02</v>
      </c>
      <c r="X75" s="116">
        <f t="shared" si="43"/>
        <v>0.02</v>
      </c>
      <c r="Y75" s="116">
        <f t="shared" si="43"/>
        <v>0.02</v>
      </c>
    </row>
    <row r="76" spans="1:25" ht="14">
      <c r="B76" t="s">
        <v>276</v>
      </c>
      <c r="D76" s="106"/>
      <c r="E76" s="106"/>
      <c r="F76" s="106"/>
      <c r="G76" s="106"/>
      <c r="H76" s="106"/>
      <c r="I76" s="106"/>
      <c r="J76" s="106"/>
      <c r="K76" s="106"/>
      <c r="L76" s="106"/>
      <c r="M76" s="106"/>
      <c r="N76" s="106"/>
      <c r="O76" s="116">
        <f>M15</f>
        <v>0</v>
      </c>
      <c r="P76" s="116">
        <f t="shared" si="43"/>
        <v>0</v>
      </c>
      <c r="Q76" s="116">
        <f t="shared" si="43"/>
        <v>0</v>
      </c>
      <c r="R76" s="116">
        <f t="shared" si="43"/>
        <v>0</v>
      </c>
      <c r="S76" s="116">
        <f t="shared" si="43"/>
        <v>0</v>
      </c>
      <c r="T76" s="116">
        <f t="shared" si="43"/>
        <v>0</v>
      </c>
      <c r="U76" s="116">
        <f t="shared" si="43"/>
        <v>0</v>
      </c>
      <c r="V76" s="116">
        <f t="shared" si="43"/>
        <v>0</v>
      </c>
      <c r="W76" s="116">
        <f t="shared" si="43"/>
        <v>0</v>
      </c>
      <c r="X76" s="116">
        <f t="shared" si="43"/>
        <v>0</v>
      </c>
      <c r="Y76" s="116">
        <f t="shared" si="43"/>
        <v>0</v>
      </c>
    </row>
    <row r="77" spans="1:25" ht="14">
      <c r="B77" t="s">
        <v>277</v>
      </c>
      <c r="D77" s="106"/>
      <c r="E77" s="106"/>
      <c r="F77" s="106"/>
      <c r="G77" s="106"/>
      <c r="H77" s="106"/>
      <c r="I77" s="106"/>
      <c r="J77" s="106"/>
      <c r="K77" s="106"/>
      <c r="L77" s="106"/>
      <c r="M77" s="106"/>
      <c r="N77" s="106"/>
      <c r="O77" s="116">
        <f>Q15</f>
        <v>0</v>
      </c>
      <c r="P77" s="116">
        <f t="shared" si="43"/>
        <v>0</v>
      </c>
      <c r="Q77" s="116">
        <f t="shared" si="43"/>
        <v>0</v>
      </c>
      <c r="R77" s="116">
        <f t="shared" si="43"/>
        <v>0</v>
      </c>
      <c r="S77" s="116">
        <f t="shared" si="43"/>
        <v>0</v>
      </c>
      <c r="T77" s="116">
        <f t="shared" si="43"/>
        <v>0</v>
      </c>
      <c r="U77" s="116">
        <f t="shared" si="43"/>
        <v>0</v>
      </c>
      <c r="V77" s="116">
        <f t="shared" si="43"/>
        <v>0</v>
      </c>
      <c r="W77" s="116">
        <f t="shared" si="43"/>
        <v>0</v>
      </c>
      <c r="X77" s="116">
        <f t="shared" si="43"/>
        <v>0</v>
      </c>
      <c r="Y77" s="116">
        <f t="shared" si="43"/>
        <v>0</v>
      </c>
    </row>
    <row r="78" spans="1:25" ht="14">
      <c r="D78" s="106"/>
      <c r="E78" s="106"/>
      <c r="F78" s="106"/>
      <c r="G78" s="106"/>
      <c r="H78" s="106"/>
      <c r="I78" s="106"/>
      <c r="J78" s="106"/>
      <c r="K78" s="106"/>
      <c r="L78" s="106"/>
      <c r="M78" s="106"/>
      <c r="N78" s="113"/>
      <c r="O78" s="118"/>
      <c r="P78" s="118"/>
      <c r="Q78" s="118"/>
      <c r="R78" s="118"/>
      <c r="S78" s="118"/>
      <c r="T78" s="87"/>
      <c r="U78" s="87"/>
      <c r="V78" s="87"/>
      <c r="W78" s="87"/>
      <c r="X78" s="87"/>
      <c r="Y78" s="87"/>
    </row>
    <row r="79" spans="1:25">
      <c r="D79" s="106"/>
      <c r="E79" s="106"/>
      <c r="F79" s="106"/>
      <c r="G79" s="106"/>
      <c r="H79" s="106"/>
      <c r="I79" s="106"/>
      <c r="J79" s="106"/>
      <c r="K79" s="106"/>
      <c r="L79" s="106"/>
      <c r="M79" s="106"/>
      <c r="N79" s="106"/>
      <c r="O79" s="106"/>
      <c r="P79" s="106"/>
      <c r="Q79" s="106"/>
      <c r="R79" s="106"/>
      <c r="S79" s="106"/>
      <c r="T79" s="106"/>
      <c r="U79" s="106"/>
      <c r="V79" s="106"/>
      <c r="W79" s="106"/>
      <c r="X79" s="106"/>
      <c r="Y79" s="106"/>
    </row>
    <row r="80" spans="1:25" ht="14">
      <c r="A80" s="70" t="s">
        <v>295</v>
      </c>
      <c r="B80" s="98" t="s">
        <v>281</v>
      </c>
      <c r="D80" s="106"/>
      <c r="E80" s="106"/>
      <c r="F80" s="111">
        <f>F43</f>
        <v>560296000</v>
      </c>
      <c r="G80" s="111">
        <f t="shared" ref="G80:M80" si="44">G43</f>
        <v>646456000</v>
      </c>
      <c r="H80" s="111">
        <f t="shared" si="44"/>
        <v>734380000</v>
      </c>
      <c r="I80" s="111">
        <f t="shared" si="44"/>
        <v>784843000</v>
      </c>
      <c r="J80" s="111">
        <f t="shared" si="44"/>
        <v>1027963000</v>
      </c>
      <c r="K80" s="111">
        <f t="shared" si="44"/>
        <v>1070460000</v>
      </c>
      <c r="L80" s="111">
        <f t="shared" si="44"/>
        <v>1560582000</v>
      </c>
      <c r="M80" s="111">
        <f t="shared" si="44"/>
        <v>1700222000</v>
      </c>
      <c r="N80" s="114">
        <f>N43</f>
        <v>1309888000</v>
      </c>
      <c r="O80" s="115">
        <f ca="1">N80*(1+O81)</f>
        <v>1336085760</v>
      </c>
      <c r="P80" s="115">
        <f t="shared" ref="P80:Y80" ca="1" si="45">O80*(1+P81)</f>
        <v>1362807475.2</v>
      </c>
      <c r="Q80" s="115">
        <f t="shared" ca="1" si="45"/>
        <v>1390063624.704</v>
      </c>
      <c r="R80" s="115">
        <f t="shared" ca="1" si="45"/>
        <v>1417864897.1980801</v>
      </c>
      <c r="S80" s="115">
        <f t="shared" ca="1" si="45"/>
        <v>1446222195.1420417</v>
      </c>
      <c r="T80" s="115">
        <f t="shared" ca="1" si="45"/>
        <v>1475146639.0448825</v>
      </c>
      <c r="U80" s="115">
        <f t="shared" ca="1" si="45"/>
        <v>1504649571.8257802</v>
      </c>
      <c r="V80" s="115">
        <f t="shared" ca="1" si="45"/>
        <v>1534742563.2622957</v>
      </c>
      <c r="W80" s="115">
        <f t="shared" ca="1" si="45"/>
        <v>1565437414.5275416</v>
      </c>
      <c r="X80" s="115">
        <f t="shared" ca="1" si="45"/>
        <v>1596746162.8180926</v>
      </c>
      <c r="Y80" s="115">
        <f t="shared" ca="1" si="45"/>
        <v>1628681086.0744545</v>
      </c>
    </row>
    <row r="81" spans="1:25" ht="14">
      <c r="B81" s="95" t="s">
        <v>284</v>
      </c>
      <c r="D81" s="106"/>
      <c r="E81" s="106"/>
      <c r="F81" s="106"/>
      <c r="G81" s="106"/>
      <c r="H81" s="106"/>
      <c r="I81" s="106"/>
      <c r="J81" s="106"/>
      <c r="K81" s="106"/>
      <c r="L81" s="106"/>
      <c r="M81" s="106"/>
      <c r="N81" s="108"/>
      <c r="O81" s="88">
        <f t="shared" ref="O81:Y81" ca="1" si="46">OFFSET(O81,$E$16,0)</f>
        <v>0.02</v>
      </c>
      <c r="P81" s="88">
        <f t="shared" ca="1" si="46"/>
        <v>0.02</v>
      </c>
      <c r="Q81" s="88">
        <f t="shared" ca="1" si="46"/>
        <v>0.02</v>
      </c>
      <c r="R81" s="88">
        <f t="shared" ca="1" si="46"/>
        <v>0.02</v>
      </c>
      <c r="S81" s="88">
        <f t="shared" ca="1" si="46"/>
        <v>0.02</v>
      </c>
      <c r="T81" s="88">
        <f t="shared" ca="1" si="46"/>
        <v>0.02</v>
      </c>
      <c r="U81" s="88">
        <f t="shared" ca="1" si="46"/>
        <v>0.02</v>
      </c>
      <c r="V81" s="88">
        <f t="shared" ca="1" si="46"/>
        <v>0.02</v>
      </c>
      <c r="W81" s="88">
        <f t="shared" ca="1" si="46"/>
        <v>0.02</v>
      </c>
      <c r="X81" s="88">
        <f t="shared" ca="1" si="46"/>
        <v>0.02</v>
      </c>
      <c r="Y81" s="88">
        <f t="shared" ca="1" si="46"/>
        <v>0.02</v>
      </c>
    </row>
    <row r="82" spans="1:25" ht="14">
      <c r="B82" t="s">
        <v>275</v>
      </c>
      <c r="D82" s="106"/>
      <c r="E82" s="106"/>
      <c r="F82" s="106"/>
      <c r="G82" s="106"/>
      <c r="H82" s="106"/>
      <c r="I82" s="106"/>
      <c r="J82" s="106"/>
      <c r="K82" s="106"/>
      <c r="L82" s="106"/>
      <c r="M82" s="106"/>
      <c r="N82" s="106"/>
      <c r="O82" s="119">
        <f>I16</f>
        <v>0.02</v>
      </c>
      <c r="P82" s="119">
        <f t="shared" ref="P82:Y84" si="47">O82</f>
        <v>0.02</v>
      </c>
      <c r="Q82" s="119">
        <f t="shared" si="47"/>
        <v>0.02</v>
      </c>
      <c r="R82" s="119">
        <f t="shared" si="47"/>
        <v>0.02</v>
      </c>
      <c r="S82" s="119">
        <f t="shared" si="47"/>
        <v>0.02</v>
      </c>
      <c r="T82" s="119">
        <f t="shared" si="47"/>
        <v>0.02</v>
      </c>
      <c r="U82" s="119">
        <f t="shared" si="47"/>
        <v>0.02</v>
      </c>
      <c r="V82" s="119">
        <f t="shared" si="47"/>
        <v>0.02</v>
      </c>
      <c r="W82" s="119">
        <f t="shared" si="47"/>
        <v>0.02</v>
      </c>
      <c r="X82" s="119">
        <f t="shared" si="47"/>
        <v>0.02</v>
      </c>
      <c r="Y82" s="119">
        <f t="shared" si="47"/>
        <v>0.02</v>
      </c>
    </row>
    <row r="83" spans="1:25" ht="14">
      <c r="B83" t="s">
        <v>276</v>
      </c>
      <c r="D83" s="106"/>
      <c r="E83" s="106"/>
      <c r="F83" s="106"/>
      <c r="G83" s="106"/>
      <c r="H83" s="106"/>
      <c r="I83" s="106"/>
      <c r="J83" s="106"/>
      <c r="K83" s="106"/>
      <c r="L83" s="106"/>
      <c r="M83" s="106"/>
      <c r="N83" s="106"/>
      <c r="O83" s="116">
        <f>M16</f>
        <v>0.02</v>
      </c>
      <c r="P83" s="116">
        <f t="shared" si="47"/>
        <v>0.02</v>
      </c>
      <c r="Q83" s="116">
        <f t="shared" si="47"/>
        <v>0.02</v>
      </c>
      <c r="R83" s="116">
        <f t="shared" si="47"/>
        <v>0.02</v>
      </c>
      <c r="S83" s="116">
        <f t="shared" si="47"/>
        <v>0.02</v>
      </c>
      <c r="T83" s="116">
        <f t="shared" si="47"/>
        <v>0.02</v>
      </c>
      <c r="U83" s="116">
        <f t="shared" si="47"/>
        <v>0.02</v>
      </c>
      <c r="V83" s="116">
        <f t="shared" si="47"/>
        <v>0.02</v>
      </c>
      <c r="W83" s="116">
        <f t="shared" si="47"/>
        <v>0.02</v>
      </c>
      <c r="X83" s="116">
        <f t="shared" si="47"/>
        <v>0.02</v>
      </c>
      <c r="Y83" s="116">
        <f t="shared" si="47"/>
        <v>0.02</v>
      </c>
    </row>
    <row r="84" spans="1:25" ht="14">
      <c r="B84" t="s">
        <v>277</v>
      </c>
      <c r="D84" s="106"/>
      <c r="E84" s="106"/>
      <c r="F84" s="106"/>
      <c r="G84" s="106"/>
      <c r="H84" s="106"/>
      <c r="I84" s="106"/>
      <c r="J84" s="106"/>
      <c r="K84" s="106"/>
      <c r="L84" s="106"/>
      <c r="M84" s="106"/>
      <c r="N84" s="106"/>
      <c r="O84" s="116">
        <f>Q16</f>
        <v>0</v>
      </c>
      <c r="P84" s="116">
        <f t="shared" si="47"/>
        <v>0</v>
      </c>
      <c r="Q84" s="116">
        <f t="shared" si="47"/>
        <v>0</v>
      </c>
      <c r="R84" s="116">
        <f t="shared" si="47"/>
        <v>0</v>
      </c>
      <c r="S84" s="116">
        <f t="shared" si="47"/>
        <v>0</v>
      </c>
      <c r="T84" s="116">
        <f t="shared" si="47"/>
        <v>0</v>
      </c>
      <c r="U84" s="116">
        <f t="shared" si="47"/>
        <v>0</v>
      </c>
      <c r="V84" s="116">
        <f t="shared" si="47"/>
        <v>0</v>
      </c>
      <c r="W84" s="116">
        <f t="shared" si="47"/>
        <v>0</v>
      </c>
      <c r="X84" s="116">
        <f t="shared" si="47"/>
        <v>0</v>
      </c>
      <c r="Y84" s="116">
        <f t="shared" si="47"/>
        <v>0</v>
      </c>
    </row>
    <row r="85" spans="1:25">
      <c r="D85" s="106"/>
      <c r="E85" s="106"/>
      <c r="F85" s="106"/>
      <c r="G85" s="106"/>
      <c r="H85" s="106"/>
      <c r="I85" s="106"/>
      <c r="J85" s="106"/>
      <c r="K85" s="106"/>
      <c r="L85" s="106"/>
      <c r="M85" s="106"/>
      <c r="N85" s="106"/>
      <c r="O85" s="87"/>
      <c r="P85" s="87"/>
      <c r="Q85" s="87"/>
      <c r="R85" s="87"/>
      <c r="S85" s="87"/>
      <c r="T85" s="87"/>
      <c r="U85" s="87"/>
      <c r="V85" s="87"/>
      <c r="W85" s="87"/>
      <c r="X85" s="87"/>
      <c r="Y85" s="87"/>
    </row>
    <row r="86" spans="1:25">
      <c r="D86" s="106"/>
      <c r="E86" s="106"/>
      <c r="F86" s="106"/>
      <c r="G86" s="106"/>
      <c r="H86" s="106"/>
      <c r="I86" s="106"/>
      <c r="J86" s="106"/>
      <c r="K86" s="106"/>
      <c r="L86" s="106"/>
      <c r="M86" s="106"/>
      <c r="N86" s="106"/>
      <c r="O86" s="106"/>
      <c r="P86" s="106"/>
      <c r="Q86" s="106"/>
      <c r="R86" s="106"/>
      <c r="S86" s="106"/>
      <c r="T86" s="106"/>
      <c r="U86" s="106"/>
      <c r="V86" s="106"/>
      <c r="W86" s="106"/>
      <c r="X86" s="106"/>
      <c r="Y86" s="106"/>
    </row>
    <row r="87" spans="1:25">
      <c r="D87" s="106"/>
      <c r="E87" s="106"/>
      <c r="F87" s="106"/>
      <c r="G87" s="106"/>
      <c r="H87" s="106"/>
      <c r="I87" s="106"/>
      <c r="J87" s="106"/>
      <c r="K87" s="106"/>
      <c r="L87" s="106"/>
      <c r="M87" s="106"/>
      <c r="N87" s="106"/>
      <c r="O87" s="106"/>
      <c r="P87" s="106"/>
      <c r="Q87" s="106"/>
      <c r="R87" s="106"/>
      <c r="S87" s="106"/>
      <c r="T87" s="106"/>
      <c r="U87" s="106"/>
      <c r="V87" s="106"/>
      <c r="W87" s="106"/>
      <c r="X87" s="106"/>
      <c r="Y87" s="106"/>
    </row>
    <row r="88" spans="1:25" ht="14">
      <c r="A88" s="70" t="s">
        <v>295</v>
      </c>
      <c r="B88" s="98" t="s">
        <v>290</v>
      </c>
      <c r="D88" s="106"/>
      <c r="E88" s="106"/>
      <c r="F88" s="111">
        <f>F47</f>
        <v>1054966000</v>
      </c>
      <c r="G88" s="111">
        <f t="shared" ref="G88:M88" si="48">G47</f>
        <v>1282974000</v>
      </c>
      <c r="H88" s="111">
        <f t="shared" si="48"/>
        <v>1647163000</v>
      </c>
      <c r="I88" s="111">
        <f t="shared" si="48"/>
        <v>634308000</v>
      </c>
      <c r="J88" s="111">
        <f t="shared" si="48"/>
        <v>1203436000</v>
      </c>
      <c r="K88" s="111">
        <f t="shared" si="48"/>
        <v>324486000</v>
      </c>
      <c r="L88" s="111">
        <f t="shared" si="48"/>
        <v>1693241000</v>
      </c>
      <c r="M88" s="111">
        <f t="shared" si="48"/>
        <v>1285023000</v>
      </c>
      <c r="N88" s="111">
        <f>N47</f>
        <v>1295223000</v>
      </c>
      <c r="O88" s="112">
        <f t="shared" ref="O88:Y88" ca="1" si="49">N88*(1+O89)</f>
        <v>1334079690</v>
      </c>
      <c r="P88" s="112">
        <f t="shared" ca="1" si="49"/>
        <v>1374102080.7</v>
      </c>
      <c r="Q88" s="112">
        <f t="shared" ca="1" si="49"/>
        <v>1415325143.1210001</v>
      </c>
      <c r="R88" s="112">
        <f t="shared" ca="1" si="49"/>
        <v>1457784897.4146302</v>
      </c>
      <c r="S88" s="112">
        <f t="shared" ca="1" si="49"/>
        <v>1501518444.337069</v>
      </c>
      <c r="T88" s="112">
        <f t="shared" ca="1" si="49"/>
        <v>1546563997.6671813</v>
      </c>
      <c r="U88" s="112">
        <f t="shared" ca="1" si="49"/>
        <v>1592960917.5971968</v>
      </c>
      <c r="V88" s="112">
        <f t="shared" ca="1" si="49"/>
        <v>1640749745.1251128</v>
      </c>
      <c r="W88" s="112">
        <f t="shared" ca="1" si="49"/>
        <v>1689972237.4788661</v>
      </c>
      <c r="X88" s="112">
        <f t="shared" ca="1" si="49"/>
        <v>1740671404.6032321</v>
      </c>
      <c r="Y88" s="112">
        <f t="shared" ca="1" si="49"/>
        <v>1792891546.7413292</v>
      </c>
    </row>
    <row r="89" spans="1:25" ht="14">
      <c r="B89" s="95" t="s">
        <v>284</v>
      </c>
      <c r="D89" s="106"/>
      <c r="E89" s="106"/>
      <c r="F89" s="106"/>
      <c r="G89" s="106"/>
      <c r="H89" s="106"/>
      <c r="I89" s="106"/>
      <c r="J89" s="106"/>
      <c r="K89" s="106"/>
      <c r="L89" s="106"/>
      <c r="M89" s="106"/>
      <c r="N89" s="108"/>
      <c r="O89" s="88">
        <f t="shared" ref="O89:Y89" ca="1" si="50">OFFSET(O89,$E$17,0)</f>
        <v>0.03</v>
      </c>
      <c r="P89" s="88">
        <f t="shared" ca="1" si="50"/>
        <v>0.03</v>
      </c>
      <c r="Q89" s="88">
        <f t="shared" ca="1" si="50"/>
        <v>0.03</v>
      </c>
      <c r="R89" s="88">
        <f t="shared" ca="1" si="50"/>
        <v>0.03</v>
      </c>
      <c r="S89" s="88">
        <f t="shared" ca="1" si="50"/>
        <v>0.03</v>
      </c>
      <c r="T89" s="88">
        <f t="shared" ca="1" si="50"/>
        <v>0.03</v>
      </c>
      <c r="U89" s="88">
        <f t="shared" ca="1" si="50"/>
        <v>0.03</v>
      </c>
      <c r="V89" s="88">
        <f t="shared" ca="1" si="50"/>
        <v>0.03</v>
      </c>
      <c r="W89" s="88">
        <f t="shared" ca="1" si="50"/>
        <v>0.03</v>
      </c>
      <c r="X89" s="88">
        <f t="shared" ca="1" si="50"/>
        <v>0.03</v>
      </c>
      <c r="Y89" s="88">
        <f t="shared" ca="1" si="50"/>
        <v>0.03</v>
      </c>
    </row>
    <row r="90" spans="1:25" ht="14">
      <c r="B90" t="s">
        <v>275</v>
      </c>
      <c r="D90" s="106"/>
      <c r="E90" s="106"/>
      <c r="F90" s="106"/>
      <c r="G90" s="106"/>
      <c r="H90" s="106"/>
      <c r="I90" s="106"/>
      <c r="J90" s="106"/>
      <c r="K90" s="106"/>
      <c r="L90" s="106"/>
      <c r="M90" s="106"/>
      <c r="N90" s="106"/>
      <c r="O90" s="116">
        <f>I17</f>
        <v>0.02</v>
      </c>
      <c r="P90" s="116">
        <f t="shared" ref="P90:Y92" si="51">O90</f>
        <v>0.02</v>
      </c>
      <c r="Q90" s="116">
        <f t="shared" si="51"/>
        <v>0.02</v>
      </c>
      <c r="R90" s="116">
        <f t="shared" si="51"/>
        <v>0.02</v>
      </c>
      <c r="S90" s="116">
        <f t="shared" si="51"/>
        <v>0.02</v>
      </c>
      <c r="T90" s="116">
        <f t="shared" si="51"/>
        <v>0.02</v>
      </c>
      <c r="U90" s="116">
        <f t="shared" si="51"/>
        <v>0.02</v>
      </c>
      <c r="V90" s="116">
        <f t="shared" si="51"/>
        <v>0.02</v>
      </c>
      <c r="W90" s="116">
        <f t="shared" si="51"/>
        <v>0.02</v>
      </c>
      <c r="X90" s="116">
        <f t="shared" si="51"/>
        <v>0.02</v>
      </c>
      <c r="Y90" s="116">
        <f t="shared" si="51"/>
        <v>0.02</v>
      </c>
    </row>
    <row r="91" spans="1:25" ht="14">
      <c r="B91" t="s">
        <v>276</v>
      </c>
      <c r="D91" s="106"/>
      <c r="E91" s="106"/>
      <c r="F91" s="106"/>
      <c r="G91" s="106"/>
      <c r="H91" s="106"/>
      <c r="I91" s="106"/>
      <c r="J91" s="106"/>
      <c r="K91" s="106"/>
      <c r="L91" s="106"/>
      <c r="M91" s="106"/>
      <c r="N91" s="106"/>
      <c r="O91" s="116">
        <f>M17</f>
        <v>0.03</v>
      </c>
      <c r="P91" s="116">
        <f t="shared" si="51"/>
        <v>0.03</v>
      </c>
      <c r="Q91" s="116">
        <f t="shared" si="51"/>
        <v>0.03</v>
      </c>
      <c r="R91" s="116">
        <f t="shared" si="51"/>
        <v>0.03</v>
      </c>
      <c r="S91" s="116">
        <f t="shared" si="51"/>
        <v>0.03</v>
      </c>
      <c r="T91" s="116">
        <f t="shared" si="51"/>
        <v>0.03</v>
      </c>
      <c r="U91" s="116">
        <f t="shared" si="51"/>
        <v>0.03</v>
      </c>
      <c r="V91" s="116">
        <f t="shared" si="51"/>
        <v>0.03</v>
      </c>
      <c r="W91" s="116">
        <f t="shared" si="51"/>
        <v>0.03</v>
      </c>
      <c r="X91" s="116">
        <f t="shared" si="51"/>
        <v>0.03</v>
      </c>
      <c r="Y91" s="116">
        <f t="shared" si="51"/>
        <v>0.03</v>
      </c>
    </row>
    <row r="92" spans="1:25" ht="14">
      <c r="B92" t="s">
        <v>277</v>
      </c>
      <c r="D92" s="106"/>
      <c r="E92" s="122"/>
      <c r="F92" s="122"/>
      <c r="G92" s="122"/>
      <c r="H92" s="122"/>
      <c r="I92" s="122"/>
      <c r="J92" s="122"/>
      <c r="K92" s="122"/>
      <c r="L92" s="122"/>
      <c r="M92" s="122"/>
      <c r="N92" s="106"/>
      <c r="O92" s="116">
        <f>Q17</f>
        <v>0</v>
      </c>
      <c r="P92" s="116">
        <f t="shared" si="51"/>
        <v>0</v>
      </c>
      <c r="Q92" s="116">
        <f t="shared" si="51"/>
        <v>0</v>
      </c>
      <c r="R92" s="116">
        <f t="shared" si="51"/>
        <v>0</v>
      </c>
      <c r="S92" s="116">
        <f t="shared" si="51"/>
        <v>0</v>
      </c>
      <c r="T92" s="116">
        <f t="shared" si="51"/>
        <v>0</v>
      </c>
      <c r="U92" s="116">
        <f t="shared" si="51"/>
        <v>0</v>
      </c>
      <c r="V92" s="116">
        <f t="shared" si="51"/>
        <v>0</v>
      </c>
      <c r="W92" s="116">
        <f t="shared" si="51"/>
        <v>0</v>
      </c>
      <c r="X92" s="116">
        <f t="shared" si="51"/>
        <v>0</v>
      </c>
      <c r="Y92" s="116">
        <f t="shared" si="51"/>
        <v>0</v>
      </c>
    </row>
    <row r="93" spans="1:25">
      <c r="D93" s="106"/>
      <c r="E93" s="122"/>
      <c r="F93" s="122"/>
      <c r="G93" s="122"/>
      <c r="H93" s="122"/>
      <c r="I93" s="122"/>
      <c r="J93" s="122"/>
      <c r="K93" s="122"/>
      <c r="L93" s="122"/>
      <c r="M93" s="122"/>
      <c r="N93" s="106"/>
      <c r="O93" s="87"/>
      <c r="P93" s="87"/>
      <c r="Q93" s="87"/>
      <c r="R93" s="87"/>
      <c r="S93" s="87"/>
      <c r="T93" s="87"/>
      <c r="U93" s="87"/>
      <c r="V93" s="87"/>
      <c r="W93" s="87"/>
      <c r="X93" s="87"/>
      <c r="Y93" s="87"/>
    </row>
    <row r="94" spans="1:25">
      <c r="D94" s="106"/>
      <c r="E94" s="123"/>
      <c r="F94" s="123"/>
      <c r="G94" s="123"/>
      <c r="H94" s="123"/>
      <c r="I94" s="123"/>
      <c r="J94" s="123"/>
      <c r="K94" s="123"/>
      <c r="L94" s="123"/>
      <c r="M94" s="123"/>
      <c r="N94" s="106"/>
      <c r="O94" s="106"/>
      <c r="P94" s="106"/>
      <c r="Q94" s="106"/>
      <c r="R94" s="106"/>
      <c r="S94" s="106"/>
      <c r="T94" s="106"/>
      <c r="U94" s="106"/>
      <c r="V94" s="106"/>
      <c r="W94" s="106"/>
      <c r="X94" s="106"/>
      <c r="Y94" s="106"/>
    </row>
    <row r="95" spans="1:25" ht="14">
      <c r="B95" s="99" t="s">
        <v>296</v>
      </c>
      <c r="D95" s="106"/>
      <c r="E95" s="123"/>
      <c r="F95" s="124">
        <f>F71+F73-F80-F88</f>
        <v>113623000</v>
      </c>
      <c r="G95" s="124">
        <f t="shared" ref="G95:W95" si="52">G71+G73-G80-G88</f>
        <v>110797000</v>
      </c>
      <c r="H95" s="124">
        <f t="shared" si="52"/>
        <v>-238066000</v>
      </c>
      <c r="I95" s="124">
        <f t="shared" si="52"/>
        <v>898782000</v>
      </c>
      <c r="J95" s="124">
        <f t="shared" si="52"/>
        <v>1148273000</v>
      </c>
      <c r="K95" s="124">
        <f t="shared" si="52"/>
        <v>1803128000</v>
      </c>
      <c r="L95" s="124">
        <f t="shared" si="52"/>
        <v>98316000</v>
      </c>
      <c r="M95" s="124">
        <f t="shared" si="52"/>
        <v>-148397000</v>
      </c>
      <c r="N95" s="111">
        <f t="shared" si="52"/>
        <v>-233835000</v>
      </c>
      <c r="O95" s="112">
        <f t="shared" ca="1" si="52"/>
        <v>12246179625.176001</v>
      </c>
      <c r="P95" s="112">
        <f t="shared" ca="1" si="52"/>
        <v>14317613970.461597</v>
      </c>
      <c r="Q95" s="112">
        <f t="shared" ca="1" si="52"/>
        <v>16607948435.736303</v>
      </c>
      <c r="R95" s="112">
        <f t="shared" ca="1" si="52"/>
        <v>19119516197.44717</v>
      </c>
      <c r="S95" s="112">
        <f t="shared" ca="1" si="52"/>
        <v>21850553751.522087</v>
      </c>
      <c r="T95" s="112">
        <f t="shared" ca="1" si="52"/>
        <v>24794618663.815956</v>
      </c>
      <c r="U95" s="112">
        <f t="shared" ca="1" si="52"/>
        <v>27940073967.168411</v>
      </c>
      <c r="V95" s="112">
        <f t="shared" ca="1" si="52"/>
        <v>31269670046.617672</v>
      </c>
      <c r="W95" s="112">
        <f t="shared" ca="1" si="52"/>
        <v>34760255034.199203</v>
      </c>
      <c r="X95" s="112">
        <f ca="1">X71+X73-X80-X88</f>
        <v>38382643287.404854</v>
      </c>
      <c r="Y95" s="112">
        <f ca="1">Y71+Y73-Y80-Y88</f>
        <v>42373324007.493011</v>
      </c>
    </row>
    <row r="96" spans="1:25">
      <c r="B96" s="99" t="s">
        <v>297</v>
      </c>
      <c r="D96" s="106"/>
      <c r="E96" s="123"/>
      <c r="F96" s="123" t="s">
        <v>0</v>
      </c>
      <c r="G96" s="123"/>
      <c r="H96" s="123"/>
      <c r="I96" s="123"/>
      <c r="J96" s="123"/>
      <c r="K96" s="123"/>
      <c r="L96" s="123"/>
      <c r="M96" s="123"/>
      <c r="N96" s="106"/>
      <c r="O96" s="106">
        <f t="shared" ref="O96:Y96" ca="1" si="53">O95/(1+wacc)^N22</f>
        <v>12246179625.176001</v>
      </c>
      <c r="P96" s="106">
        <f t="shared" ca="1" si="53"/>
        <v>13635822829.011045</v>
      </c>
      <c r="Q96" s="106">
        <f t="shared" ca="1" si="53"/>
        <v>15063898807.924084</v>
      </c>
      <c r="R96" s="106">
        <f t="shared" ca="1" si="53"/>
        <v>16516156957.086422</v>
      </c>
      <c r="S96" s="106">
        <f t="shared" ca="1" si="53"/>
        <v>17976504646.95026</v>
      </c>
      <c r="T96" s="106">
        <f t="shared" ca="1" si="53"/>
        <v>19427232510.70702</v>
      </c>
      <c r="U96" s="106">
        <f t="shared" ca="1" si="53"/>
        <v>20849313377.467293</v>
      </c>
      <c r="V96" s="106">
        <f t="shared" ca="1" si="53"/>
        <v>22222770701.460262</v>
      </c>
      <c r="W96" s="106">
        <f t="shared" ca="1" si="53"/>
        <v>23527108841.301849</v>
      </c>
      <c r="X96" s="106">
        <f t="shared" ca="1" si="53"/>
        <v>24741794091.068356</v>
      </c>
      <c r="Y96" s="106">
        <f t="shared" ca="1" si="53"/>
        <v>26013545204.776802</v>
      </c>
    </row>
    <row r="97" spans="2:30">
      <c r="E97" s="123"/>
      <c r="F97" s="123"/>
      <c r="G97" s="123"/>
      <c r="H97" s="123"/>
      <c r="I97" s="123"/>
      <c r="J97" s="123"/>
      <c r="K97" s="123"/>
      <c r="L97" s="123"/>
      <c r="M97" s="123"/>
    </row>
    <row r="98" spans="2:30">
      <c r="B98" t="s">
        <v>298</v>
      </c>
      <c r="C98" t="s">
        <v>0</v>
      </c>
      <c r="E98" s="123"/>
      <c r="F98" s="123"/>
      <c r="G98" s="123"/>
      <c r="H98" s="123"/>
      <c r="I98" s="123"/>
      <c r="J98" s="123"/>
      <c r="K98" s="123"/>
      <c r="L98" s="123"/>
      <c r="M98" s="123"/>
      <c r="X98" s="106">
        <f ca="1">X95*(1+tgr)/(wacc-tgr)</f>
        <v>1305009871771.7651</v>
      </c>
      <c r="Y98" s="106">
        <f ca="1">Y95*(1+tgr)/(wacc-tgr)</f>
        <v>1440693016254.7625</v>
      </c>
    </row>
    <row r="99" spans="2:30">
      <c r="B99" t="s">
        <v>299</v>
      </c>
      <c r="X99" s="106">
        <f ca="1">X98/(1+wacc)^X22</f>
        <v>801162856282.2135</v>
      </c>
      <c r="Y99" s="106">
        <f ca="1">Y98/(1+wacc)^Y22</f>
        <v>842343368535.62976</v>
      </c>
    </row>
    <row r="100" spans="2:30">
      <c r="X100" s="106"/>
      <c r="Y100" s="106"/>
    </row>
    <row r="101" spans="2:30" ht="14">
      <c r="B101" s="72" t="s">
        <v>10</v>
      </c>
      <c r="C101" s="72"/>
      <c r="D101" s="72"/>
      <c r="E101" s="72"/>
      <c r="F101" s="72"/>
      <c r="G101" s="72"/>
      <c r="H101" s="72"/>
      <c r="I101" s="72"/>
      <c r="J101" s="72"/>
      <c r="K101" s="72"/>
      <c r="L101" s="72"/>
      <c r="M101" s="72"/>
      <c r="N101" s="72"/>
      <c r="O101" s="72"/>
      <c r="P101" s="72"/>
      <c r="Q101" s="72"/>
      <c r="R101" s="72"/>
      <c r="S101" s="100"/>
      <c r="T101" s="100"/>
      <c r="U101" s="100"/>
      <c r="V101" s="100"/>
      <c r="W101" s="100"/>
      <c r="X101" s="120">
        <f ca="1">SUM(O96:X96,X99)</f>
        <v>987369638670.36609</v>
      </c>
      <c r="Y101" s="120">
        <f ca="1">SUM(O96:Y96,Y99)</f>
        <v>1054563696128.5591</v>
      </c>
    </row>
    <row r="102" spans="2:30">
      <c r="B102" t="s">
        <v>300</v>
      </c>
      <c r="X102" s="106"/>
      <c r="Y102" s="106">
        <f>Funda!R27</f>
        <v>932576000</v>
      </c>
    </row>
    <row r="103" spans="2:30">
      <c r="B103" s="72" t="s">
        <v>301</v>
      </c>
      <c r="C103" s="72"/>
      <c r="D103" s="72"/>
      <c r="E103" s="72"/>
      <c r="F103" s="72"/>
      <c r="G103" s="72"/>
      <c r="H103" s="72"/>
      <c r="I103" s="72"/>
      <c r="J103" s="72"/>
      <c r="K103" s="72"/>
      <c r="L103" s="72"/>
      <c r="M103" s="72"/>
      <c r="N103" s="72"/>
      <c r="O103" s="72"/>
      <c r="P103" s="72"/>
      <c r="Q103" s="72"/>
      <c r="R103" s="72"/>
      <c r="S103" s="72"/>
      <c r="T103" s="72"/>
      <c r="U103" s="72"/>
      <c r="V103" s="72"/>
      <c r="W103" s="72"/>
      <c r="X103" s="121"/>
      <c r="Y103" s="121">
        <f>WACC!E17</f>
        <v>0</v>
      </c>
    </row>
    <row r="104" spans="2:30">
      <c r="B104" t="s">
        <v>302</v>
      </c>
      <c r="X104" s="106"/>
      <c r="Y104" s="106">
        <f ca="1">Y101+Y102-Y103</f>
        <v>1055496272128.5591</v>
      </c>
    </row>
    <row r="105" spans="2:30">
      <c r="B105" s="72" t="s">
        <v>303</v>
      </c>
      <c r="C105" s="72"/>
      <c r="D105" s="72"/>
      <c r="E105" s="72"/>
      <c r="F105" s="72"/>
      <c r="G105" s="72"/>
      <c r="H105" s="72"/>
      <c r="I105" s="72"/>
      <c r="J105" s="72"/>
      <c r="K105" s="72"/>
      <c r="L105" s="72"/>
      <c r="M105" s="72"/>
      <c r="N105" s="72"/>
      <c r="O105" s="72"/>
      <c r="P105" s="72"/>
      <c r="Q105" s="72"/>
      <c r="R105" s="72"/>
      <c r="S105" s="72"/>
      <c r="T105" s="72"/>
      <c r="U105" s="72"/>
      <c r="V105" s="72"/>
      <c r="W105" s="72"/>
      <c r="X105" s="121"/>
      <c r="Y105" s="121">
        <f>Funda!R6</f>
        <v>220027000</v>
      </c>
    </row>
    <row r="106" spans="2:30">
      <c r="B106" s="101" t="s">
        <v>304</v>
      </c>
      <c r="X106" s="106"/>
      <c r="Y106" s="64">
        <f ca="1">Y104/Y105</f>
        <v>4797.1215902073791</v>
      </c>
      <c r="AB106" s="92"/>
      <c r="AD106" s="92"/>
    </row>
    <row r="107" spans="2:30">
      <c r="X107" s="106"/>
      <c r="Y107" s="10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8B9F-1484-344B-A9C8-AB4B5554A2B3}">
  <sheetPr codeName="Sheet7"/>
  <dimension ref="B2:L36"/>
  <sheetViews>
    <sheetView showGridLines="0" workbookViewId="0">
      <selection activeCell="D27" sqref="D27"/>
    </sheetView>
  </sheetViews>
  <sheetFormatPr baseColWidth="10" defaultColWidth="8.83203125" defaultRowHeight="13"/>
  <cols>
    <col min="5" max="5" width="23.5" bestFit="1" customWidth="1"/>
    <col min="8" max="8" width="10.6640625" bestFit="1" customWidth="1"/>
  </cols>
  <sheetData>
    <row r="2" spans="2:11" ht="25">
      <c r="B2" s="126" t="s">
        <v>194</v>
      </c>
    </row>
    <row r="9" spans="2:11" ht="14">
      <c r="B9" s="93" t="s">
        <v>194</v>
      </c>
      <c r="C9" s="93"/>
      <c r="D9" s="93"/>
      <c r="E9" s="93"/>
      <c r="F9" s="93"/>
      <c r="G9" s="93"/>
      <c r="H9" s="93"/>
      <c r="I9" s="93"/>
    </row>
    <row r="10" spans="2:11">
      <c r="B10" t="s">
        <v>306</v>
      </c>
      <c r="E10" s="92">
        <f ca="1">Funda!B7</f>
        <v>23215247594</v>
      </c>
      <c r="H10" s="92"/>
      <c r="J10" s="92"/>
    </row>
    <row r="11" spans="2:11">
      <c r="B11" t="s">
        <v>307</v>
      </c>
      <c r="E11" s="63">
        <f ca="1">E10/E22</f>
        <v>1</v>
      </c>
    </row>
    <row r="12" spans="2:11">
      <c r="B12" t="s">
        <v>3</v>
      </c>
      <c r="E12" s="64">
        <f ca="1">Funda!B13</f>
        <v>0.30990000000000001</v>
      </c>
      <c r="G12" s="20" t="s">
        <v>316</v>
      </c>
      <c r="H12" s="131"/>
      <c r="K12" s="132"/>
    </row>
    <row r="13" spans="2:11">
      <c r="B13" t="s">
        <v>309</v>
      </c>
      <c r="E13" s="130">
        <v>0.05</v>
      </c>
      <c r="K13" s="133"/>
    </row>
    <row r="14" spans="2:11">
      <c r="B14" t="s">
        <v>310</v>
      </c>
      <c r="E14" s="129">
        <v>0.06</v>
      </c>
      <c r="K14" s="81"/>
    </row>
    <row r="15" spans="2:11">
      <c r="B15" t="s">
        <v>308</v>
      </c>
      <c r="E15" s="127">
        <f ca="1">E13+(E12*E14)</f>
        <v>6.8594000000000002E-2</v>
      </c>
      <c r="K15" s="133"/>
    </row>
    <row r="16" spans="2:11">
      <c r="K16" s="81"/>
    </row>
    <row r="17" spans="2:12">
      <c r="B17" t="s">
        <v>311</v>
      </c>
      <c r="E17">
        <f>Annual!AB26+Annual!Y26</f>
        <v>0</v>
      </c>
      <c r="K17" s="134"/>
      <c r="L17" s="87"/>
    </row>
    <row r="18" spans="2:12">
      <c r="B18" t="s">
        <v>312</v>
      </c>
      <c r="E18" s="128">
        <f ca="1">E17/E22</f>
        <v>0</v>
      </c>
      <c r="K18" s="134"/>
      <c r="L18" s="87"/>
    </row>
    <row r="19" spans="2:12">
      <c r="B19" t="s">
        <v>314</v>
      </c>
      <c r="E19" s="129">
        <v>0.2</v>
      </c>
      <c r="K19" s="133"/>
    </row>
    <row r="20" spans="2:12">
      <c r="B20" t="s">
        <v>313</v>
      </c>
      <c r="E20" s="129">
        <v>7.0000000000000007E-2</v>
      </c>
      <c r="K20" s="135"/>
    </row>
    <row r="22" spans="2:12">
      <c r="B22" s="20" t="s">
        <v>315</v>
      </c>
      <c r="E22" s="92">
        <f ca="1">E10+E17</f>
        <v>23215247594</v>
      </c>
    </row>
    <row r="23" spans="2:12">
      <c r="B23" s="20"/>
      <c r="E23" s="92"/>
    </row>
    <row r="24" spans="2:12">
      <c r="B24" s="356" t="s">
        <v>320</v>
      </c>
      <c r="C24" s="356"/>
      <c r="D24" s="356"/>
      <c r="E24" s="356"/>
    </row>
    <row r="25" spans="2:12">
      <c r="B25" s="20" t="s">
        <v>317</v>
      </c>
      <c r="E25" s="131">
        <v>0</v>
      </c>
    </row>
    <row r="26" spans="2:12">
      <c r="B26" s="20" t="s">
        <v>318</v>
      </c>
      <c r="E26" s="131">
        <v>0</v>
      </c>
    </row>
    <row r="27" spans="2:12">
      <c r="B27" s="20" t="s">
        <v>319</v>
      </c>
      <c r="E27" s="131">
        <v>0</v>
      </c>
    </row>
    <row r="28" spans="2:12">
      <c r="B28" s="20"/>
      <c r="E28" s="92"/>
    </row>
    <row r="30" spans="2:12">
      <c r="B30" s="136" t="s">
        <v>194</v>
      </c>
      <c r="E30" s="77">
        <f ca="1">(E15*E11)+(E20*E18)*(1-E19)+E25+E26+E27</f>
        <v>6.8594000000000002E-2</v>
      </c>
    </row>
    <row r="32" spans="2:12">
      <c r="E32" s="87"/>
    </row>
    <row r="36" spans="8:8">
      <c r="H36" s="92"/>
    </row>
  </sheetData>
  <mergeCells count="1">
    <mergeCell ref="B24:E2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17759-E326-C14A-B5A8-6640246E18F3}">
  <sheetPr codeName="Sheet5"/>
  <dimension ref="A1:T1004"/>
  <sheetViews>
    <sheetView showGridLines="0" topLeftCell="A21" zoomScale="110" zoomScaleNormal="110" workbookViewId="0">
      <selection activeCell="C9" sqref="C9"/>
    </sheetView>
  </sheetViews>
  <sheetFormatPr baseColWidth="10" defaultColWidth="12.6640625" defaultRowHeight="15.75" customHeight="1"/>
  <cols>
    <col min="3" max="3" width="32.6640625" customWidth="1"/>
    <col min="4" max="4" width="24.6640625" customWidth="1"/>
    <col min="5" max="6" width="8.33203125" customWidth="1"/>
    <col min="7" max="7" width="12.6640625" style="20"/>
  </cols>
  <sheetData>
    <row r="1" spans="1:20" ht="15.75" customHeight="1">
      <c r="A1" s="387"/>
      <c r="B1" s="387"/>
      <c r="C1" s="388"/>
      <c r="D1" s="140"/>
      <c r="E1" s="389" t="s">
        <v>346</v>
      </c>
      <c r="F1" s="390"/>
      <c r="G1" s="390"/>
      <c r="H1" s="390"/>
      <c r="I1" s="390"/>
      <c r="J1" s="390"/>
      <c r="K1" s="390"/>
      <c r="L1" s="390"/>
      <c r="M1" s="390"/>
      <c r="N1" s="390"/>
      <c r="O1" s="390"/>
      <c r="P1" s="140"/>
      <c r="Q1" s="140"/>
      <c r="R1" s="140"/>
      <c r="S1" s="140"/>
      <c r="T1" s="140"/>
    </row>
    <row r="2" spans="1:20" ht="15.75" customHeight="1">
      <c r="A2" s="367"/>
      <c r="B2" s="367"/>
      <c r="C2" s="392"/>
      <c r="D2" s="140"/>
      <c r="E2" s="390"/>
      <c r="F2" s="391"/>
      <c r="G2" s="391"/>
      <c r="H2" s="391"/>
      <c r="I2" s="391"/>
      <c r="J2" s="391"/>
      <c r="K2" s="391"/>
      <c r="L2" s="391"/>
      <c r="M2" s="391"/>
      <c r="N2" s="391"/>
      <c r="O2" s="390"/>
      <c r="P2" s="140"/>
      <c r="Q2" s="140"/>
      <c r="R2" s="140"/>
      <c r="S2" s="140"/>
      <c r="T2" s="140"/>
    </row>
    <row r="3" spans="1:20" ht="15.75" customHeight="1">
      <c r="A3" s="393" t="s">
        <v>347</v>
      </c>
      <c r="B3" s="390"/>
      <c r="C3" s="390"/>
      <c r="D3" s="199"/>
      <c r="E3" s="390"/>
      <c r="F3" s="390"/>
      <c r="G3" s="390"/>
      <c r="H3" s="390"/>
      <c r="I3" s="390"/>
      <c r="J3" s="390"/>
      <c r="K3" s="390"/>
      <c r="L3" s="390"/>
      <c r="M3" s="390"/>
      <c r="N3" s="390"/>
      <c r="O3" s="390"/>
      <c r="P3" s="140"/>
      <c r="Q3" s="140"/>
      <c r="R3" s="140"/>
      <c r="S3" s="140"/>
      <c r="T3" s="140"/>
    </row>
    <row r="4" spans="1:20" ht="15.75" customHeight="1">
      <c r="A4" s="394" t="s">
        <v>348</v>
      </c>
      <c r="B4" s="395"/>
      <c r="C4" s="206">
        <v>15000</v>
      </c>
      <c r="D4" s="199"/>
      <c r="E4" s="140"/>
      <c r="F4" s="140"/>
      <c r="G4" s="140"/>
      <c r="H4" s="140"/>
      <c r="I4" s="140"/>
      <c r="J4" s="140"/>
      <c r="K4" s="140"/>
      <c r="L4" s="396"/>
      <c r="M4" s="368"/>
      <c r="N4" s="397"/>
      <c r="O4" s="374"/>
      <c r="P4" s="374"/>
      <c r="Q4" s="374"/>
      <c r="R4" s="142"/>
      <c r="S4" s="142"/>
      <c r="T4" s="142"/>
    </row>
    <row r="5" spans="1:20" ht="16">
      <c r="A5" s="403"/>
      <c r="B5" s="404"/>
      <c r="C5" s="405"/>
      <c r="D5" s="198"/>
      <c r="E5" s="140"/>
      <c r="F5" s="406" t="s">
        <v>349</v>
      </c>
      <c r="G5" s="407"/>
      <c r="H5" s="407"/>
      <c r="I5" s="408">
        <f ca="1">SUM(C7,C4)</f>
        <v>605268.68500000006</v>
      </c>
      <c r="J5" s="409"/>
      <c r="K5" s="140"/>
      <c r="L5" s="367"/>
      <c r="M5" s="368"/>
      <c r="N5" s="402"/>
      <c r="O5" s="374"/>
      <c r="P5" s="374"/>
      <c r="Q5" s="374"/>
      <c r="R5" s="140"/>
      <c r="S5" s="140"/>
      <c r="T5" s="140"/>
    </row>
    <row r="6" spans="1:20" ht="16">
      <c r="A6" s="398" t="s">
        <v>350</v>
      </c>
      <c r="B6" s="390"/>
      <c r="C6" s="390"/>
      <c r="D6" s="199"/>
      <c r="E6" s="140"/>
      <c r="F6" s="399" t="s">
        <v>351</v>
      </c>
      <c r="G6" s="368"/>
      <c r="H6" s="368"/>
      <c r="I6" s="400">
        <f ca="1">I7/(I5-I7)</f>
        <v>0.36199074032403233</v>
      </c>
      <c r="J6" s="401"/>
      <c r="K6" s="140"/>
      <c r="L6" s="367"/>
      <c r="M6" s="368"/>
      <c r="N6" s="402"/>
      <c r="O6" s="374"/>
      <c r="P6" s="374"/>
      <c r="Q6" s="374"/>
      <c r="R6" s="144"/>
      <c r="S6" s="144"/>
      <c r="T6" s="144"/>
    </row>
    <row r="7" spans="1:20" ht="16">
      <c r="A7" s="410" t="s">
        <v>352</v>
      </c>
      <c r="B7" s="411"/>
      <c r="C7" s="205">
        <f ca="1">SUM(Stocks!H23:H120)</f>
        <v>590268.68500000006</v>
      </c>
      <c r="D7" s="199"/>
      <c r="E7" s="140"/>
      <c r="F7" s="412" t="s">
        <v>353</v>
      </c>
      <c r="G7" s="413"/>
      <c r="H7" s="413"/>
      <c r="I7" s="414">
        <f ca="1">SUM(Stocks!I23:I120)</f>
        <v>160868.685</v>
      </c>
      <c r="J7" s="415"/>
      <c r="K7" s="140"/>
      <c r="L7" s="367"/>
      <c r="M7" s="368"/>
      <c r="N7" s="143"/>
      <c r="O7" s="141"/>
      <c r="P7" s="141"/>
      <c r="Q7" s="141"/>
      <c r="R7" s="140"/>
      <c r="S7" s="140"/>
      <c r="T7" s="140"/>
    </row>
    <row r="8" spans="1:20" ht="15.75" customHeight="1">
      <c r="A8" s="381" t="s">
        <v>354</v>
      </c>
      <c r="B8" s="382"/>
      <c r="C8" s="202">
        <f ca="1">(SUM(Stocks!H23:H1019)-SUM(Stocks!G23:G1019))/SUM(Stocks!G23:G1019)</f>
        <v>0.37463596879366573</v>
      </c>
      <c r="D8" s="199"/>
      <c r="E8" s="140"/>
      <c r="F8" s="140"/>
      <c r="G8" s="140"/>
      <c r="H8" s="145"/>
      <c r="I8" s="145"/>
      <c r="J8" s="145"/>
      <c r="K8" s="140"/>
      <c r="L8" s="367"/>
      <c r="M8" s="368"/>
      <c r="N8" s="383" t="s">
        <v>355</v>
      </c>
      <c r="O8" s="383"/>
      <c r="P8" s="383"/>
      <c r="Q8" s="383"/>
      <c r="R8" s="140"/>
      <c r="S8" s="140"/>
      <c r="T8" s="140"/>
    </row>
    <row r="9" spans="1:20" ht="15.75" customHeight="1">
      <c r="A9" s="381" t="s">
        <v>356</v>
      </c>
      <c r="B9" s="382"/>
      <c r="C9" s="203">
        <f ca="1">SUM(Stocks!I23:I1019)</f>
        <v>160868.685</v>
      </c>
      <c r="D9" s="199"/>
      <c r="E9" s="140"/>
      <c r="F9" s="140"/>
      <c r="G9" s="140"/>
      <c r="H9" s="146"/>
      <c r="I9" s="140"/>
      <c r="J9" s="140"/>
      <c r="K9" s="140"/>
      <c r="L9" s="367"/>
      <c r="M9" s="368"/>
      <c r="N9" s="384"/>
      <c r="O9" s="360"/>
      <c r="P9" s="360"/>
      <c r="Q9" s="361"/>
      <c r="R9" s="140"/>
      <c r="S9" s="140"/>
      <c r="T9" s="140"/>
    </row>
    <row r="10" spans="1:20" ht="15.75" customHeight="1">
      <c r="A10" s="385" t="s">
        <v>3</v>
      </c>
      <c r="B10" s="386"/>
      <c r="C10" s="204">
        <f ca="1">SUMPRODUCT(Stocks!K23:K120,Stocks!L23:L120)</f>
        <v>0.76651904356572809</v>
      </c>
      <c r="D10" s="199"/>
      <c r="E10" s="140"/>
      <c r="F10" s="140"/>
      <c r="G10" s="140"/>
      <c r="H10" s="146"/>
      <c r="I10" s="140"/>
      <c r="J10" s="140"/>
      <c r="K10" s="140"/>
      <c r="L10" s="367"/>
      <c r="M10" s="368"/>
      <c r="N10" s="359"/>
      <c r="O10" s="360"/>
      <c r="P10" s="360"/>
      <c r="Q10" s="361"/>
      <c r="R10" s="140"/>
      <c r="S10" s="140"/>
      <c r="T10" s="140"/>
    </row>
    <row r="11" spans="1:20" ht="15.75" customHeight="1">
      <c r="A11" s="140"/>
      <c r="B11" s="140"/>
      <c r="C11" s="140"/>
      <c r="D11" s="140"/>
      <c r="E11" s="140"/>
      <c r="F11" s="140"/>
      <c r="G11" s="140"/>
      <c r="H11" s="146"/>
      <c r="I11" s="140"/>
      <c r="J11" s="140"/>
      <c r="K11" s="140"/>
      <c r="L11" s="367"/>
      <c r="M11" s="368"/>
      <c r="N11" s="359"/>
      <c r="O11" s="360"/>
      <c r="P11" s="360"/>
      <c r="Q11" s="361"/>
      <c r="R11" s="140"/>
      <c r="S11" s="140"/>
      <c r="T11" s="140"/>
    </row>
    <row r="12" spans="1:20" ht="15.75" customHeight="1">
      <c r="A12" s="373" t="s">
        <v>357</v>
      </c>
      <c r="B12" s="374"/>
      <c r="C12" s="374"/>
      <c r="D12" s="141"/>
      <c r="E12" s="140"/>
      <c r="F12" s="140"/>
      <c r="G12" s="140"/>
      <c r="H12" s="140"/>
      <c r="I12" s="140"/>
      <c r="J12" s="140"/>
      <c r="K12" s="140"/>
      <c r="L12" s="367"/>
      <c r="M12" s="368"/>
      <c r="N12" s="359"/>
      <c r="O12" s="360"/>
      <c r="P12" s="360"/>
      <c r="Q12" s="361"/>
      <c r="R12" s="140"/>
      <c r="S12" s="140"/>
      <c r="T12" s="140"/>
    </row>
    <row r="13" spans="1:20" ht="15.75" customHeight="1">
      <c r="A13" s="375"/>
      <c r="B13" s="376"/>
      <c r="C13" s="377"/>
      <c r="D13" s="200"/>
      <c r="E13" s="140"/>
      <c r="F13" s="140"/>
      <c r="G13" s="140"/>
      <c r="H13" s="140"/>
      <c r="I13" s="140"/>
      <c r="J13" s="140"/>
      <c r="K13" s="140"/>
      <c r="L13" s="367"/>
      <c r="M13" s="368"/>
      <c r="N13" s="359"/>
      <c r="O13" s="360"/>
      <c r="P13" s="360"/>
      <c r="Q13" s="361"/>
      <c r="R13" s="140"/>
      <c r="S13" s="140"/>
      <c r="T13" s="140"/>
    </row>
    <row r="14" spans="1:20" ht="15.75" customHeight="1">
      <c r="A14" s="375"/>
      <c r="B14" s="376"/>
      <c r="C14" s="377"/>
      <c r="D14" s="200"/>
      <c r="E14" s="140"/>
      <c r="F14" s="140"/>
      <c r="G14" s="140"/>
      <c r="H14" s="140"/>
      <c r="I14" s="140"/>
      <c r="J14" s="140"/>
      <c r="K14" s="140"/>
      <c r="L14" s="367"/>
      <c r="M14" s="368"/>
      <c r="N14" s="359"/>
      <c r="O14" s="360"/>
      <c r="P14" s="360"/>
      <c r="Q14" s="361"/>
      <c r="R14" s="140"/>
      <c r="S14" s="140"/>
      <c r="T14" s="140"/>
    </row>
    <row r="15" spans="1:20" ht="15.75" customHeight="1">
      <c r="A15" s="375"/>
      <c r="B15" s="376"/>
      <c r="C15" s="377"/>
      <c r="D15" s="200"/>
      <c r="E15" s="140"/>
      <c r="F15" s="140"/>
      <c r="G15" s="140"/>
      <c r="H15" s="140"/>
      <c r="I15" s="140"/>
      <c r="J15" s="140"/>
      <c r="K15" s="140"/>
      <c r="L15" s="367"/>
      <c r="M15" s="368"/>
      <c r="N15" s="359"/>
      <c r="O15" s="360"/>
      <c r="P15" s="360"/>
      <c r="Q15" s="361"/>
      <c r="R15" s="140"/>
      <c r="S15" s="140"/>
      <c r="T15" s="140"/>
    </row>
    <row r="16" spans="1:20" ht="15.75" customHeight="1">
      <c r="A16" s="378"/>
      <c r="B16" s="379"/>
      <c r="C16" s="380"/>
      <c r="D16" s="201"/>
      <c r="E16" s="140"/>
      <c r="F16" s="140"/>
      <c r="G16" s="140"/>
      <c r="H16" s="140"/>
      <c r="I16" s="147"/>
      <c r="J16" s="140"/>
      <c r="K16" s="140"/>
      <c r="L16" s="367"/>
      <c r="M16" s="368"/>
      <c r="N16" s="359"/>
      <c r="O16" s="360"/>
      <c r="P16" s="360"/>
      <c r="Q16" s="361"/>
      <c r="R16" s="140"/>
      <c r="S16" s="140"/>
      <c r="T16" s="140"/>
    </row>
    <row r="17" spans="1:20" ht="15.75" customHeight="1">
      <c r="A17" s="365"/>
      <c r="B17" s="366"/>
      <c r="C17" s="366"/>
      <c r="D17" s="141"/>
      <c r="E17" s="140"/>
      <c r="F17" s="140"/>
      <c r="G17" s="140"/>
      <c r="H17" s="140"/>
      <c r="I17" s="140"/>
      <c r="J17" s="140"/>
      <c r="K17" s="140"/>
      <c r="L17" s="367"/>
      <c r="M17" s="368"/>
      <c r="N17" s="359"/>
      <c r="O17" s="360"/>
      <c r="P17" s="360"/>
      <c r="Q17" s="361"/>
      <c r="R17" s="140"/>
      <c r="S17" s="140"/>
      <c r="T17" s="140"/>
    </row>
    <row r="18" spans="1:20" ht="15.75" customHeight="1">
      <c r="A18" s="370"/>
      <c r="B18" s="371"/>
      <c r="C18" s="372"/>
      <c r="D18" s="148"/>
      <c r="E18" s="140"/>
      <c r="F18" s="140"/>
      <c r="G18" s="140"/>
      <c r="H18" s="140"/>
      <c r="I18" s="140"/>
      <c r="J18" s="140"/>
      <c r="K18" s="140"/>
      <c r="L18" s="367"/>
      <c r="M18" s="368"/>
      <c r="N18" s="359"/>
      <c r="O18" s="360"/>
      <c r="P18" s="360"/>
      <c r="Q18" s="361"/>
      <c r="R18" s="140"/>
      <c r="S18" s="140"/>
      <c r="T18" s="140"/>
    </row>
    <row r="19" spans="1:20" ht="15.75" customHeight="1">
      <c r="A19" s="370"/>
      <c r="B19" s="371"/>
      <c r="C19" s="372"/>
      <c r="D19" s="148"/>
      <c r="E19" s="140"/>
      <c r="F19" s="140"/>
      <c r="G19" s="140"/>
      <c r="H19" s="140"/>
      <c r="I19" s="140"/>
      <c r="J19" s="140"/>
      <c r="K19" s="140"/>
      <c r="L19" s="367"/>
      <c r="M19" s="368"/>
      <c r="N19" s="359"/>
      <c r="O19" s="360"/>
      <c r="P19" s="360"/>
      <c r="Q19" s="361"/>
      <c r="R19" s="140"/>
      <c r="S19" s="140"/>
      <c r="T19" s="140"/>
    </row>
    <row r="20" spans="1:20" ht="15.75" customHeight="1">
      <c r="A20" s="370"/>
      <c r="B20" s="371"/>
      <c r="C20" s="372"/>
      <c r="D20" s="148"/>
      <c r="E20" s="140"/>
      <c r="F20" s="140"/>
      <c r="G20" s="140"/>
      <c r="H20" s="140"/>
      <c r="I20" s="140"/>
      <c r="J20" s="140"/>
      <c r="K20" s="140"/>
      <c r="L20" s="367"/>
      <c r="M20" s="368"/>
      <c r="N20" s="359"/>
      <c r="O20" s="360"/>
      <c r="P20" s="360"/>
      <c r="Q20" s="361"/>
      <c r="R20" s="140"/>
      <c r="S20" s="140"/>
      <c r="T20" s="140"/>
    </row>
    <row r="21" spans="1:20" ht="15.75" customHeight="1">
      <c r="A21" s="148"/>
      <c r="B21" s="141"/>
      <c r="C21" s="149"/>
      <c r="D21" s="149"/>
      <c r="E21" s="140"/>
      <c r="F21" s="140"/>
      <c r="G21" s="140"/>
      <c r="H21" s="140"/>
      <c r="I21" s="140"/>
      <c r="J21" s="140"/>
      <c r="K21" s="140"/>
      <c r="L21" s="140"/>
      <c r="N21" s="359"/>
      <c r="O21" s="360"/>
      <c r="P21" s="360"/>
      <c r="Q21" s="361"/>
      <c r="R21" s="140"/>
      <c r="S21" s="140"/>
      <c r="T21" s="140"/>
    </row>
    <row r="22" spans="1:20" ht="15.75" customHeight="1">
      <c r="A22" s="140"/>
      <c r="B22" s="140"/>
      <c r="C22" s="140"/>
      <c r="D22" s="140"/>
      <c r="E22" s="140"/>
      <c r="F22" s="140"/>
      <c r="G22" s="140"/>
      <c r="H22" s="140"/>
      <c r="I22" s="140"/>
      <c r="J22" s="140"/>
      <c r="K22" s="140"/>
      <c r="L22" s="140"/>
      <c r="M22" s="140"/>
      <c r="N22" s="359"/>
      <c r="O22" s="360"/>
      <c r="P22" s="360"/>
      <c r="Q22" s="361"/>
      <c r="R22" s="140"/>
      <c r="S22" s="140"/>
      <c r="T22" s="140"/>
    </row>
    <row r="23" spans="1:20" ht="20">
      <c r="A23" s="373" t="s">
        <v>377</v>
      </c>
      <c r="B23" s="374"/>
      <c r="C23" s="374"/>
      <c r="D23" s="141"/>
      <c r="E23" s="140"/>
      <c r="F23" s="369" t="s">
        <v>358</v>
      </c>
      <c r="G23" s="369"/>
      <c r="H23" s="369"/>
      <c r="I23" s="369"/>
      <c r="J23" s="369"/>
      <c r="K23" s="369"/>
      <c r="L23" s="369"/>
      <c r="M23" s="140"/>
      <c r="N23" s="359"/>
      <c r="O23" s="360"/>
      <c r="P23" s="360"/>
      <c r="Q23" s="361"/>
      <c r="R23" s="140"/>
      <c r="S23" s="140"/>
      <c r="T23" s="140"/>
    </row>
    <row r="24" spans="1:20" ht="29">
      <c r="A24" s="84" t="s">
        <v>813</v>
      </c>
      <c r="B24" s="84"/>
      <c r="C24" s="84"/>
      <c r="D24" s="140"/>
      <c r="E24" s="140"/>
      <c r="F24" s="150" t="s">
        <v>183</v>
      </c>
      <c r="G24" s="151" t="s">
        <v>334</v>
      </c>
      <c r="H24" s="362" t="s">
        <v>359</v>
      </c>
      <c r="I24" s="363"/>
      <c r="J24" s="362" t="s">
        <v>360</v>
      </c>
      <c r="K24" s="363"/>
      <c r="L24" s="207" t="s">
        <v>361</v>
      </c>
      <c r="M24" s="140"/>
      <c r="N24" s="359"/>
      <c r="O24" s="360"/>
      <c r="P24" s="360"/>
      <c r="Q24" s="361"/>
      <c r="R24" s="140"/>
      <c r="S24" s="140"/>
      <c r="T24" s="140"/>
    </row>
    <row r="25" spans="1:20" ht="15.75" customHeight="1">
      <c r="A25" s="367"/>
      <c r="B25" s="367"/>
      <c r="C25" s="367"/>
      <c r="D25" s="140"/>
      <c r="E25" s="140"/>
      <c r="F25" s="152" t="str" cm="1">
        <f t="array" aca="1" ref="F25:F118" ca="1">Stocks!C23:C116</f>
        <v>AAPL</v>
      </c>
      <c r="G25" s="208" cm="1">
        <f t="array" aca="1" ref="G25:G86" ca="1">Stocks!F23:F84</f>
        <v>213.90979999999999</v>
      </c>
      <c r="H25" s="357">
        <v>250</v>
      </c>
      <c r="I25" s="364"/>
      <c r="J25" s="357"/>
      <c r="K25" s="358"/>
      <c r="L25" s="154">
        <f ca="1">IFERROR(1-(G25/H25),"")</f>
        <v>0.14436080000000007</v>
      </c>
      <c r="M25" s="140"/>
      <c r="N25" s="359"/>
      <c r="O25" s="360"/>
      <c r="P25" s="360"/>
      <c r="Q25" s="361"/>
      <c r="R25" s="140"/>
      <c r="S25" s="140"/>
      <c r="T25" s="140"/>
    </row>
    <row r="26" spans="1:20" ht="15.75" customHeight="1">
      <c r="A26" s="367"/>
      <c r="B26" s="367"/>
      <c r="C26" s="367"/>
      <c r="D26" s="140"/>
      <c r="E26" s="140"/>
      <c r="F26" s="153" t="str">
        <f ca="1"/>
        <v>GOOG</v>
      </c>
      <c r="G26" s="209">
        <f ca="1"/>
        <v>193.04</v>
      </c>
      <c r="H26" s="357">
        <v>200</v>
      </c>
      <c r="I26" s="364"/>
      <c r="J26" s="357"/>
      <c r="K26" s="358"/>
      <c r="L26" s="154">
        <f t="shared" ref="L26:L89" ca="1" si="0">IFERROR(1-(G26/H26),"")</f>
        <v>3.4800000000000053E-2</v>
      </c>
      <c r="M26" s="140"/>
      <c r="N26" s="359"/>
      <c r="O26" s="360"/>
      <c r="P26" s="360"/>
      <c r="Q26" s="361"/>
      <c r="R26" s="140"/>
      <c r="S26" s="140"/>
      <c r="T26" s="140"/>
    </row>
    <row r="27" spans="1:20" ht="15.75" customHeight="1">
      <c r="A27" s="140"/>
      <c r="B27" s="140"/>
      <c r="C27" s="140"/>
      <c r="D27" s="140"/>
      <c r="E27" s="140"/>
      <c r="F27" s="153" t="str">
        <f ca="1"/>
        <v>SPY</v>
      </c>
      <c r="G27" s="209">
        <f ca="1"/>
        <v>636.62</v>
      </c>
      <c r="H27" s="357">
        <v>700</v>
      </c>
      <c r="I27" s="364"/>
      <c r="J27" s="357"/>
      <c r="K27" s="358"/>
      <c r="L27" s="154">
        <f t="shared" ca="1" si="0"/>
        <v>9.0542857142857147E-2</v>
      </c>
      <c r="M27" s="140"/>
      <c r="N27" s="359"/>
      <c r="O27" s="360"/>
      <c r="P27" s="360"/>
      <c r="Q27" s="361"/>
      <c r="R27" s="140"/>
      <c r="S27" s="140"/>
      <c r="T27" s="140"/>
    </row>
    <row r="28" spans="1:20" ht="15.75" customHeight="1">
      <c r="A28" s="140"/>
      <c r="B28" s="140"/>
      <c r="C28" s="140"/>
      <c r="D28" s="140"/>
      <c r="E28" s="140"/>
      <c r="F28" s="153" t="str">
        <f ca="1"/>
        <v>MSFT</v>
      </c>
      <c r="G28" s="209">
        <f ca="1"/>
        <v>511.59500000000003</v>
      </c>
      <c r="H28" s="357"/>
      <c r="I28" s="364"/>
      <c r="J28" s="357"/>
      <c r="K28" s="358"/>
      <c r="L28" s="154" t="str">
        <f t="shared" ca="1" si="0"/>
        <v/>
      </c>
      <c r="M28" s="140"/>
      <c r="N28" s="359"/>
      <c r="O28" s="360"/>
      <c r="P28" s="360"/>
      <c r="Q28" s="361"/>
      <c r="R28" s="140"/>
      <c r="S28" s="140"/>
      <c r="T28" s="140"/>
    </row>
    <row r="29" spans="1:20" ht="15.75" customHeight="1">
      <c r="A29" s="140"/>
      <c r="B29" s="140"/>
      <c r="C29" s="140"/>
      <c r="D29" s="140"/>
      <c r="E29" s="140"/>
      <c r="F29" s="153" t="str">
        <f ca="1"/>
        <v>JNJ</v>
      </c>
      <c r="G29" s="209">
        <f ca="1"/>
        <v>166.46</v>
      </c>
      <c r="H29" s="357"/>
      <c r="I29" s="364"/>
      <c r="J29" s="357"/>
      <c r="K29" s="358"/>
      <c r="L29" s="154" t="str">
        <f t="shared" ca="1" si="0"/>
        <v/>
      </c>
      <c r="M29" s="140"/>
      <c r="N29" s="359"/>
      <c r="O29" s="360"/>
      <c r="P29" s="360"/>
      <c r="Q29" s="361"/>
      <c r="R29" s="140"/>
      <c r="S29" s="140"/>
      <c r="T29" s="140"/>
    </row>
    <row r="30" spans="1:20" ht="15.75" customHeight="1">
      <c r="A30" s="140"/>
      <c r="B30" s="140"/>
      <c r="C30" s="140"/>
      <c r="D30" s="140"/>
      <c r="E30" s="140"/>
      <c r="F30" s="153" t="str">
        <f ca="1"/>
        <v>NVDA</v>
      </c>
      <c r="G30" s="209">
        <f ca="1"/>
        <v>175.56809999999999</v>
      </c>
      <c r="H30" s="357"/>
      <c r="I30" s="364"/>
      <c r="J30" s="357"/>
      <c r="K30" s="358"/>
      <c r="L30" s="154" t="str">
        <f t="shared" ca="1" si="0"/>
        <v/>
      </c>
      <c r="M30" s="140"/>
      <c r="N30" s="359"/>
      <c r="O30" s="360"/>
      <c r="P30" s="360"/>
      <c r="Q30" s="361"/>
      <c r="R30" s="140"/>
      <c r="S30" s="140"/>
      <c r="T30" s="140"/>
    </row>
    <row r="31" spans="1:20" ht="15.75" customHeight="1">
      <c r="A31" s="140"/>
      <c r="B31" s="140"/>
      <c r="C31" s="140"/>
      <c r="D31" s="140"/>
      <c r="E31" s="140"/>
      <c r="F31" s="153" t="str">
        <f ca="1"/>
        <v>UNH</v>
      </c>
      <c r="G31" s="209">
        <f ca="1"/>
        <v>281.24</v>
      </c>
      <c r="H31" s="357"/>
      <c r="I31" s="364"/>
      <c r="J31" s="357"/>
      <c r="K31" s="358"/>
      <c r="L31" s="154" t="str">
        <f t="shared" ca="1" si="0"/>
        <v/>
      </c>
      <c r="M31" s="140"/>
      <c r="N31" s="359"/>
      <c r="O31" s="360"/>
      <c r="P31" s="360"/>
      <c r="Q31" s="361"/>
      <c r="R31" s="140"/>
      <c r="S31" s="140"/>
      <c r="T31" s="140"/>
    </row>
    <row r="32" spans="1:20" ht="15.75" customHeight="1">
      <c r="A32" s="140"/>
      <c r="B32" s="140"/>
      <c r="C32" s="140"/>
      <c r="D32" s="140"/>
      <c r="E32" s="140"/>
      <c r="F32" s="153" t="str">
        <f ca="1"/>
        <v>JPM</v>
      </c>
      <c r="G32" s="209">
        <f ca="1"/>
        <v>297.73</v>
      </c>
      <c r="H32" s="357"/>
      <c r="I32" s="364"/>
      <c r="J32" s="357"/>
      <c r="K32" s="358"/>
      <c r="L32" s="154" t="str">
        <f t="shared" ca="1" si="0"/>
        <v/>
      </c>
      <c r="M32" s="140"/>
      <c r="N32" s="359"/>
      <c r="O32" s="360"/>
      <c r="P32" s="360"/>
      <c r="Q32" s="361"/>
      <c r="R32" s="140"/>
      <c r="S32" s="140"/>
      <c r="T32" s="140"/>
    </row>
    <row r="33" spans="1:20" ht="15.75" customHeight="1">
      <c r="A33" s="140"/>
      <c r="B33" s="140"/>
      <c r="C33" s="140"/>
      <c r="D33" s="140"/>
      <c r="E33" s="140"/>
      <c r="F33" s="153" t="str">
        <f ca="1"/>
        <v>XOM</v>
      </c>
      <c r="G33" s="209">
        <f ca="1"/>
        <v>111.55</v>
      </c>
      <c r="H33" s="357"/>
      <c r="I33" s="364"/>
      <c r="J33" s="357"/>
      <c r="K33" s="358"/>
      <c r="L33" s="154" t="str">
        <f t="shared" ca="1" si="0"/>
        <v/>
      </c>
      <c r="M33" s="140"/>
      <c r="N33" s="359"/>
      <c r="O33" s="360"/>
      <c r="P33" s="360"/>
      <c r="Q33" s="361"/>
      <c r="R33" s="140"/>
      <c r="S33" s="140"/>
      <c r="T33" s="140"/>
    </row>
    <row r="34" spans="1:20" ht="15.75" customHeight="1">
      <c r="A34" s="140"/>
      <c r="B34" s="140"/>
      <c r="C34" s="140"/>
      <c r="D34" s="140"/>
      <c r="E34" s="140"/>
      <c r="F34" s="153" t="str">
        <f ca="1"/>
        <v>SNAP</v>
      </c>
      <c r="G34" s="209">
        <f ca="1"/>
        <v>9.6301000000000005</v>
      </c>
      <c r="H34" s="357"/>
      <c r="I34" s="364"/>
      <c r="J34" s="357"/>
      <c r="K34" s="358"/>
      <c r="L34" s="154" t="str">
        <f t="shared" ca="1" si="0"/>
        <v/>
      </c>
      <c r="M34" s="140"/>
      <c r="N34" s="359"/>
      <c r="O34" s="360"/>
      <c r="P34" s="360"/>
      <c r="Q34" s="361"/>
      <c r="R34" s="140"/>
      <c r="S34" s="140"/>
      <c r="T34" s="140"/>
    </row>
    <row r="35" spans="1:20" ht="15.75" customHeight="1">
      <c r="A35" s="140"/>
      <c r="B35" s="140"/>
      <c r="C35" s="140"/>
      <c r="D35" s="140"/>
      <c r="E35" s="140"/>
      <c r="F35" s="153" t="str">
        <f ca="1"/>
        <v>META</v>
      </c>
      <c r="G35" s="209">
        <f ca="1"/>
        <v>714.98990000000003</v>
      </c>
      <c r="H35" s="357"/>
      <c r="I35" s="364"/>
      <c r="J35" s="357"/>
      <c r="K35" s="358"/>
      <c r="L35" s="154" t="str">
        <f t="shared" ca="1" si="0"/>
        <v/>
      </c>
      <c r="M35" s="140"/>
      <c r="N35" s="359"/>
      <c r="O35" s="360"/>
      <c r="P35" s="360"/>
      <c r="Q35" s="361"/>
      <c r="R35" s="140"/>
      <c r="S35" s="140"/>
      <c r="T35" s="140"/>
    </row>
    <row r="36" spans="1:20" ht="15.75" customHeight="1">
      <c r="A36" s="140"/>
      <c r="B36" s="140"/>
      <c r="C36" s="140"/>
      <c r="D36" s="140"/>
      <c r="E36" s="140"/>
      <c r="F36" s="153" t="str">
        <f ca="1"/>
        <v>DG</v>
      </c>
      <c r="G36" s="209">
        <f ca="1"/>
        <v>105.49</v>
      </c>
      <c r="H36" s="357"/>
      <c r="I36" s="364"/>
      <c r="J36" s="357"/>
      <c r="K36" s="358"/>
      <c r="L36" s="154" t="str">
        <f ca="1">IFERROR(1-(G36/H36),"")</f>
        <v/>
      </c>
      <c r="M36" s="140"/>
      <c r="N36" s="140"/>
      <c r="O36" s="140"/>
      <c r="P36" s="140"/>
      <c r="Q36" s="140"/>
      <c r="R36" s="140"/>
      <c r="S36" s="140"/>
      <c r="T36" s="140"/>
    </row>
    <row r="37" spans="1:20" ht="15.75" customHeight="1">
      <c r="A37" s="140"/>
      <c r="B37" s="140"/>
      <c r="C37" s="140"/>
      <c r="D37" s="140"/>
      <c r="E37" s="140"/>
      <c r="F37" s="153" t="str">
        <f ca="1"/>
        <v>GME</v>
      </c>
      <c r="G37" s="209">
        <f ca="1"/>
        <v>3.1</v>
      </c>
      <c r="H37" s="357"/>
      <c r="I37" s="364"/>
      <c r="J37" s="357"/>
      <c r="K37" s="358"/>
      <c r="L37" s="154" t="str">
        <f t="shared" ca="1" si="0"/>
        <v/>
      </c>
      <c r="M37" s="140"/>
      <c r="N37" s="140"/>
      <c r="O37" s="140"/>
      <c r="P37" s="140"/>
      <c r="Q37" s="140"/>
      <c r="R37" s="140"/>
      <c r="S37" s="140"/>
      <c r="T37" s="140"/>
    </row>
    <row r="38" spans="1:20" ht="15.75" customHeight="1">
      <c r="A38" s="140"/>
      <c r="B38" s="140"/>
      <c r="C38" s="140"/>
      <c r="D38" s="140"/>
      <c r="E38" s="140"/>
      <c r="F38" s="153" t="str">
        <f ca="1"/>
        <v/>
      </c>
      <c r="G38" s="153" t="str">
        <f ca="1"/>
        <v/>
      </c>
      <c r="H38" s="357"/>
      <c r="I38" s="364"/>
      <c r="J38" s="357"/>
      <c r="K38" s="358"/>
      <c r="L38" s="154" t="str">
        <f t="shared" ca="1" si="0"/>
        <v/>
      </c>
      <c r="M38" s="140"/>
      <c r="N38" s="140"/>
      <c r="O38" s="140"/>
      <c r="P38" s="140"/>
      <c r="Q38" s="140"/>
      <c r="R38" s="140"/>
      <c r="S38" s="140"/>
      <c r="T38" s="140"/>
    </row>
    <row r="39" spans="1:20" ht="15.75" customHeight="1">
      <c r="A39" s="140"/>
      <c r="B39" s="140"/>
      <c r="C39" s="140"/>
      <c r="D39" s="140"/>
      <c r="E39" s="140"/>
      <c r="F39" s="140" t="str">
        <f ca="1"/>
        <v/>
      </c>
      <c r="G39" s="140" t="str">
        <f ca="1"/>
        <v/>
      </c>
      <c r="H39" s="140"/>
      <c r="I39" s="140"/>
      <c r="J39" s="140"/>
      <c r="K39" s="140"/>
      <c r="L39" s="155" t="str">
        <f t="shared" ca="1" si="0"/>
        <v/>
      </c>
      <c r="M39" s="140"/>
      <c r="N39" s="140"/>
      <c r="O39" s="140"/>
      <c r="P39" s="140"/>
      <c r="Q39" s="140"/>
      <c r="R39" s="140"/>
      <c r="S39" s="140"/>
      <c r="T39" s="140"/>
    </row>
    <row r="40" spans="1:20" ht="15.75" customHeight="1">
      <c r="A40" s="140"/>
      <c r="B40" s="140"/>
      <c r="C40" s="140"/>
      <c r="D40" s="140"/>
      <c r="E40" s="140"/>
      <c r="F40" s="140" t="str">
        <f ca="1"/>
        <v/>
      </c>
      <c r="G40" s="140" t="str">
        <f ca="1"/>
        <v/>
      </c>
      <c r="H40" s="140"/>
      <c r="I40" s="140"/>
      <c r="J40" s="140"/>
      <c r="K40" s="140"/>
      <c r="L40" s="155" t="str">
        <f t="shared" ca="1" si="0"/>
        <v/>
      </c>
      <c r="M40" s="140"/>
      <c r="N40" s="140"/>
      <c r="O40" s="140"/>
      <c r="P40" s="140"/>
      <c r="Q40" s="140"/>
      <c r="R40" s="140"/>
      <c r="S40" s="140"/>
      <c r="T40" s="140"/>
    </row>
    <row r="41" spans="1:20" ht="15.75" customHeight="1">
      <c r="A41" s="140"/>
      <c r="B41" s="140"/>
      <c r="C41" s="140"/>
      <c r="D41" s="140"/>
      <c r="E41" s="140"/>
      <c r="F41" s="140" t="str">
        <f ca="1"/>
        <v/>
      </c>
      <c r="G41" s="140" t="str">
        <f ca="1"/>
        <v/>
      </c>
      <c r="H41" s="140"/>
      <c r="I41" s="140"/>
      <c r="J41" s="140"/>
      <c r="K41" s="140"/>
      <c r="L41" s="155" t="str">
        <f t="shared" ca="1" si="0"/>
        <v/>
      </c>
      <c r="M41" s="140"/>
      <c r="N41" s="140"/>
      <c r="O41" s="140"/>
      <c r="P41" s="140"/>
      <c r="Q41" s="140"/>
      <c r="R41" s="140"/>
      <c r="S41" s="140"/>
      <c r="T41" s="140"/>
    </row>
    <row r="42" spans="1:20" ht="15.75" customHeight="1">
      <c r="A42" s="140"/>
      <c r="B42" s="140"/>
      <c r="C42" s="140"/>
      <c r="D42" s="140"/>
      <c r="E42" s="140"/>
      <c r="F42" s="140" t="str">
        <f ca="1"/>
        <v/>
      </c>
      <c r="G42" s="140" t="str">
        <f ca="1"/>
        <v/>
      </c>
      <c r="H42" s="140"/>
      <c r="I42" s="140"/>
      <c r="J42" s="140"/>
      <c r="K42" s="140"/>
      <c r="L42" s="155" t="str">
        <f t="shared" ca="1" si="0"/>
        <v/>
      </c>
      <c r="M42" s="140"/>
      <c r="N42" s="140"/>
      <c r="O42" s="140"/>
      <c r="P42" s="140"/>
      <c r="Q42" s="140"/>
      <c r="R42" s="140"/>
      <c r="S42" s="140"/>
      <c r="T42" s="140"/>
    </row>
    <row r="43" spans="1:20" ht="15.75" customHeight="1">
      <c r="A43" s="140"/>
      <c r="B43" s="140"/>
      <c r="C43" s="140"/>
      <c r="D43" s="140"/>
      <c r="E43" s="140"/>
      <c r="F43" s="140" t="str">
        <f ca="1"/>
        <v/>
      </c>
      <c r="G43" s="140" t="str">
        <f ca="1"/>
        <v/>
      </c>
      <c r="H43" s="140"/>
      <c r="I43" s="140"/>
      <c r="J43" s="140"/>
      <c r="K43" s="140"/>
      <c r="L43" s="155" t="str">
        <f t="shared" ca="1" si="0"/>
        <v/>
      </c>
      <c r="M43" s="140"/>
      <c r="N43" s="140"/>
      <c r="O43" s="140"/>
      <c r="P43" s="140"/>
      <c r="Q43" s="140"/>
      <c r="R43" s="140"/>
      <c r="S43" s="140"/>
      <c r="T43" s="140"/>
    </row>
    <row r="44" spans="1:20" ht="15.75" customHeight="1">
      <c r="A44" s="140"/>
      <c r="B44" s="140"/>
      <c r="C44" s="140"/>
      <c r="D44" s="140"/>
      <c r="E44" s="140"/>
      <c r="F44" s="140" t="str">
        <f ca="1"/>
        <v/>
      </c>
      <c r="G44" s="140" t="str">
        <f ca="1"/>
        <v/>
      </c>
      <c r="H44" s="140"/>
      <c r="I44" s="140"/>
      <c r="J44" s="140"/>
      <c r="K44" s="140"/>
      <c r="L44" s="155" t="str">
        <f t="shared" ca="1" si="0"/>
        <v/>
      </c>
      <c r="M44" s="140"/>
      <c r="N44" s="140"/>
      <c r="O44" s="140"/>
      <c r="P44" s="140"/>
      <c r="Q44" s="140"/>
      <c r="R44" s="140"/>
      <c r="S44" s="140"/>
      <c r="T44" s="140"/>
    </row>
    <row r="45" spans="1:20" ht="15.75" customHeight="1">
      <c r="A45" s="140"/>
      <c r="B45" s="140"/>
      <c r="C45" s="140"/>
      <c r="D45" s="140"/>
      <c r="E45" s="140"/>
      <c r="F45" s="140" t="str">
        <f ca="1"/>
        <v/>
      </c>
      <c r="G45" s="140" t="str">
        <f ca="1"/>
        <v/>
      </c>
      <c r="H45" s="140"/>
      <c r="I45" s="140"/>
      <c r="J45" s="140"/>
      <c r="K45" s="140"/>
      <c r="L45" s="155" t="str">
        <f t="shared" ca="1" si="0"/>
        <v/>
      </c>
      <c r="M45" s="140"/>
      <c r="N45" s="140"/>
      <c r="O45" s="140"/>
      <c r="P45" s="140"/>
      <c r="Q45" s="140"/>
      <c r="R45" s="140"/>
      <c r="S45" s="140"/>
      <c r="T45" s="140"/>
    </row>
    <row r="46" spans="1:20" ht="15.75" customHeight="1">
      <c r="A46" s="140"/>
      <c r="B46" s="140"/>
      <c r="C46" s="140"/>
      <c r="D46" s="140"/>
      <c r="E46" s="140"/>
      <c r="F46" s="140" t="str">
        <f ca="1"/>
        <v/>
      </c>
      <c r="G46" s="140" t="str">
        <f ca="1"/>
        <v/>
      </c>
      <c r="H46" s="140"/>
      <c r="I46" s="140"/>
      <c r="J46" s="140"/>
      <c r="K46" s="140"/>
      <c r="L46" s="155" t="str">
        <f t="shared" ca="1" si="0"/>
        <v/>
      </c>
      <c r="M46" s="140"/>
      <c r="N46" s="140"/>
      <c r="O46" s="140"/>
      <c r="P46" s="140"/>
      <c r="Q46" s="140"/>
      <c r="R46" s="140"/>
      <c r="S46" s="140"/>
      <c r="T46" s="140"/>
    </row>
    <row r="47" spans="1:20" ht="15.75" customHeight="1">
      <c r="A47" s="140"/>
      <c r="B47" s="140"/>
      <c r="C47" s="140"/>
      <c r="D47" s="140"/>
      <c r="E47" s="140"/>
      <c r="F47" s="140" t="str">
        <f ca="1"/>
        <v/>
      </c>
      <c r="G47" s="140" t="str">
        <f ca="1"/>
        <v/>
      </c>
      <c r="H47" s="140"/>
      <c r="I47" s="140"/>
      <c r="J47" s="140"/>
      <c r="K47" s="140"/>
      <c r="L47" s="155" t="str">
        <f t="shared" ca="1" si="0"/>
        <v/>
      </c>
      <c r="M47" s="140"/>
      <c r="N47" s="140"/>
      <c r="O47" s="140"/>
      <c r="P47" s="140"/>
      <c r="Q47" s="140"/>
      <c r="R47" s="140"/>
      <c r="S47" s="140"/>
      <c r="T47" s="140"/>
    </row>
    <row r="48" spans="1:20" ht="15.75" customHeight="1">
      <c r="A48" s="140"/>
      <c r="B48" s="140"/>
      <c r="C48" s="140"/>
      <c r="D48" s="140"/>
      <c r="E48" s="140"/>
      <c r="F48" s="140" t="str">
        <f ca="1"/>
        <v/>
      </c>
      <c r="G48" s="140" t="str">
        <f ca="1"/>
        <v/>
      </c>
      <c r="H48" s="140"/>
      <c r="I48" s="140"/>
      <c r="J48" s="140"/>
      <c r="K48" s="140"/>
      <c r="L48" s="155" t="str">
        <f t="shared" ca="1" si="0"/>
        <v/>
      </c>
      <c r="M48" s="140"/>
      <c r="N48" s="140"/>
      <c r="O48" s="140"/>
      <c r="P48" s="140"/>
      <c r="Q48" s="140"/>
      <c r="R48" s="140"/>
      <c r="S48" s="140"/>
      <c r="T48" s="140"/>
    </row>
    <row r="49" spans="1:20" ht="15.75" customHeight="1">
      <c r="A49" s="301" t="s">
        <v>814</v>
      </c>
      <c r="B49" s="140"/>
      <c r="C49" s="140"/>
      <c r="D49" s="140"/>
      <c r="F49" s="140" t="str">
        <f ca="1"/>
        <v/>
      </c>
      <c r="G49" s="140" t="str">
        <f ca="1"/>
        <v/>
      </c>
      <c r="H49" s="140"/>
      <c r="I49" s="140"/>
      <c r="J49" s="140"/>
      <c r="K49" s="140"/>
      <c r="L49" s="155" t="str">
        <f t="shared" ca="1" si="0"/>
        <v/>
      </c>
      <c r="M49" s="140"/>
      <c r="N49" s="140"/>
      <c r="O49" s="140"/>
      <c r="P49" s="140"/>
      <c r="Q49" s="140"/>
      <c r="R49" s="140"/>
      <c r="S49" s="140"/>
      <c r="T49" s="140"/>
    </row>
    <row r="50" spans="1:20" ht="15.75" customHeight="1">
      <c r="A50" s="140"/>
      <c r="B50" s="140"/>
      <c r="C50" s="140"/>
      <c r="D50" s="140"/>
      <c r="E50" s="140"/>
      <c r="F50" s="140" t="str">
        <f ca="1"/>
        <v/>
      </c>
      <c r="G50" s="140" t="str">
        <f ca="1"/>
        <v/>
      </c>
      <c r="H50" s="140"/>
      <c r="I50" s="140"/>
      <c r="J50" s="140"/>
      <c r="K50" s="140"/>
      <c r="L50" s="155" t="str">
        <f t="shared" ca="1" si="0"/>
        <v/>
      </c>
      <c r="M50" s="140"/>
      <c r="N50" s="140"/>
      <c r="O50" s="140"/>
      <c r="P50" s="140"/>
      <c r="Q50" s="140"/>
      <c r="R50" s="140"/>
      <c r="S50" s="140"/>
      <c r="T50" s="140"/>
    </row>
    <row r="51" spans="1:20" ht="15.75" customHeight="1">
      <c r="A51" s="140"/>
      <c r="B51" s="140"/>
      <c r="C51" s="140"/>
      <c r="D51" s="140"/>
      <c r="E51" s="140"/>
      <c r="F51" s="140" t="str">
        <f ca="1"/>
        <v/>
      </c>
      <c r="G51" s="140" t="str">
        <f ca="1"/>
        <v/>
      </c>
      <c r="H51" s="140"/>
      <c r="I51" s="140"/>
      <c r="J51" s="140"/>
      <c r="K51" s="140"/>
      <c r="L51" s="155" t="str">
        <f t="shared" ca="1" si="0"/>
        <v/>
      </c>
      <c r="M51" s="140"/>
      <c r="N51" s="140"/>
      <c r="O51" s="140"/>
      <c r="P51" s="140"/>
      <c r="Q51" s="140"/>
      <c r="R51" s="140"/>
      <c r="S51" s="140"/>
      <c r="T51" s="140"/>
    </row>
    <row r="52" spans="1:20" ht="15.75" customHeight="1">
      <c r="A52" s="140"/>
      <c r="B52" s="140"/>
      <c r="C52" s="140"/>
      <c r="D52" s="140"/>
      <c r="E52" s="140"/>
      <c r="F52" s="140" t="str">
        <f ca="1"/>
        <v/>
      </c>
      <c r="G52" s="140" t="str">
        <f ca="1"/>
        <v/>
      </c>
      <c r="H52" s="140"/>
      <c r="I52" s="140"/>
      <c r="J52" s="140"/>
      <c r="K52" s="140"/>
      <c r="L52" s="155" t="str">
        <f t="shared" ca="1" si="0"/>
        <v/>
      </c>
      <c r="M52" s="140"/>
      <c r="N52" s="140"/>
      <c r="O52" s="140"/>
      <c r="P52" s="140"/>
      <c r="Q52" s="140"/>
      <c r="R52" s="140"/>
      <c r="S52" s="140"/>
      <c r="T52" s="140"/>
    </row>
    <row r="53" spans="1:20" ht="15.75" customHeight="1">
      <c r="A53" s="140"/>
      <c r="B53" s="140"/>
      <c r="C53" s="140"/>
      <c r="D53" s="140"/>
      <c r="E53" s="140"/>
      <c r="F53" s="140" t="str">
        <f ca="1"/>
        <v/>
      </c>
      <c r="G53" s="140" t="str">
        <f ca="1"/>
        <v/>
      </c>
      <c r="H53" s="140"/>
      <c r="I53" s="140"/>
      <c r="J53" s="140"/>
      <c r="K53" s="140"/>
      <c r="L53" s="155" t="str">
        <f t="shared" ca="1" si="0"/>
        <v/>
      </c>
      <c r="M53" s="140"/>
      <c r="N53" s="140"/>
      <c r="O53" s="140"/>
      <c r="P53" s="140"/>
      <c r="Q53" s="140"/>
      <c r="R53" s="140"/>
      <c r="S53" s="140"/>
      <c r="T53" s="140"/>
    </row>
    <row r="54" spans="1:20" ht="15.75" customHeight="1">
      <c r="A54" s="140"/>
      <c r="B54" s="140"/>
      <c r="C54" s="140"/>
      <c r="D54" s="140"/>
      <c r="E54" s="140"/>
      <c r="F54" s="140" t="str">
        <f ca="1"/>
        <v/>
      </c>
      <c r="G54" s="140" t="str">
        <f ca="1"/>
        <v/>
      </c>
      <c r="H54" s="140"/>
      <c r="I54" s="140"/>
      <c r="J54" s="140"/>
      <c r="K54" s="140"/>
      <c r="L54" s="155" t="str">
        <f t="shared" ca="1" si="0"/>
        <v/>
      </c>
      <c r="M54" s="140"/>
      <c r="N54" s="140"/>
      <c r="O54" s="140"/>
      <c r="P54" s="140"/>
      <c r="Q54" s="140"/>
      <c r="R54" s="140"/>
      <c r="S54" s="140"/>
      <c r="T54" s="140"/>
    </row>
    <row r="55" spans="1:20" ht="13">
      <c r="A55" s="140"/>
      <c r="B55" s="140"/>
      <c r="C55" s="140"/>
      <c r="D55" s="140"/>
      <c r="E55" s="140"/>
      <c r="F55" s="140" t="str">
        <f ca="1"/>
        <v/>
      </c>
      <c r="G55" s="140" t="str">
        <f ca="1"/>
        <v/>
      </c>
      <c r="H55" s="140"/>
      <c r="I55" s="140"/>
      <c r="J55" s="140"/>
      <c r="K55" s="140"/>
      <c r="L55" s="155" t="str">
        <f t="shared" ca="1" si="0"/>
        <v/>
      </c>
      <c r="M55" s="140"/>
      <c r="N55" s="140"/>
      <c r="O55" s="140"/>
      <c r="P55" s="140"/>
      <c r="Q55" s="140"/>
      <c r="R55" s="140"/>
      <c r="S55" s="140"/>
      <c r="T55" s="140"/>
    </row>
    <row r="56" spans="1:20" ht="13">
      <c r="A56" s="140"/>
      <c r="B56" s="140"/>
      <c r="C56" s="140"/>
      <c r="D56" s="140"/>
      <c r="E56" s="140"/>
      <c r="F56" s="140" t="str">
        <f ca="1"/>
        <v/>
      </c>
      <c r="G56" s="140" t="str">
        <f ca="1"/>
        <v/>
      </c>
      <c r="H56" s="140"/>
      <c r="I56" s="140"/>
      <c r="J56" s="140"/>
      <c r="K56" s="140"/>
      <c r="L56" s="155" t="str">
        <f t="shared" ca="1" si="0"/>
        <v/>
      </c>
      <c r="M56" s="140"/>
      <c r="N56" s="140"/>
      <c r="O56" s="140"/>
      <c r="P56" s="140"/>
      <c r="Q56" s="140"/>
      <c r="R56" s="140"/>
      <c r="S56" s="140"/>
      <c r="T56" s="140"/>
    </row>
    <row r="57" spans="1:20" ht="13">
      <c r="A57" s="140"/>
      <c r="B57" s="140"/>
      <c r="C57" s="140"/>
      <c r="D57" s="140"/>
      <c r="E57" s="140"/>
      <c r="F57" s="140" t="str">
        <f ca="1"/>
        <v/>
      </c>
      <c r="G57" s="140" t="str">
        <f ca="1"/>
        <v/>
      </c>
      <c r="H57" s="140"/>
      <c r="I57" s="140"/>
      <c r="J57" s="140"/>
      <c r="K57" s="140"/>
      <c r="L57" s="155" t="str">
        <f t="shared" ca="1" si="0"/>
        <v/>
      </c>
      <c r="M57" s="140"/>
      <c r="N57" s="140"/>
      <c r="O57" s="140"/>
      <c r="P57" s="140"/>
      <c r="Q57" s="140"/>
      <c r="R57" s="140"/>
      <c r="S57" s="140"/>
      <c r="T57" s="140"/>
    </row>
    <row r="58" spans="1:20" ht="13">
      <c r="A58" s="140"/>
      <c r="B58" s="140"/>
      <c r="C58" s="140"/>
      <c r="D58" s="140"/>
      <c r="E58" s="140"/>
      <c r="F58" s="140" t="str">
        <f ca="1"/>
        <v/>
      </c>
      <c r="G58" s="140" t="str">
        <f ca="1"/>
        <v/>
      </c>
      <c r="H58" s="140"/>
      <c r="I58" s="140"/>
      <c r="J58" s="140"/>
      <c r="K58" s="140"/>
      <c r="L58" s="155" t="str">
        <f t="shared" ca="1" si="0"/>
        <v/>
      </c>
      <c r="M58" s="140"/>
      <c r="N58" s="140"/>
      <c r="O58" s="140"/>
      <c r="P58" s="140"/>
      <c r="Q58" s="140"/>
      <c r="R58" s="140"/>
      <c r="S58" s="140"/>
      <c r="T58" s="140"/>
    </row>
    <row r="59" spans="1:20" ht="13">
      <c r="A59" s="140"/>
      <c r="B59" s="140"/>
      <c r="C59" s="140"/>
      <c r="D59" s="140"/>
      <c r="E59" s="140"/>
      <c r="F59" s="140" t="str">
        <f ca="1"/>
        <v/>
      </c>
      <c r="G59" s="140" t="str">
        <f ca="1"/>
        <v/>
      </c>
      <c r="H59" s="140"/>
      <c r="I59" s="140"/>
      <c r="J59" s="140"/>
      <c r="K59" s="140"/>
      <c r="L59" s="155" t="str">
        <f t="shared" ca="1" si="0"/>
        <v/>
      </c>
      <c r="M59" s="140"/>
      <c r="N59" s="140"/>
      <c r="O59" s="140"/>
      <c r="P59" s="140"/>
      <c r="Q59" s="140"/>
      <c r="R59" s="140"/>
      <c r="S59" s="140"/>
      <c r="T59" s="140"/>
    </row>
    <row r="60" spans="1:20" ht="13">
      <c r="A60" s="140"/>
      <c r="B60" s="140"/>
      <c r="C60" s="140"/>
      <c r="D60" s="140"/>
      <c r="E60" s="140"/>
      <c r="F60" s="140" t="str">
        <f ca="1"/>
        <v/>
      </c>
      <c r="G60" s="140" t="str">
        <f ca="1"/>
        <v/>
      </c>
      <c r="H60" s="140"/>
      <c r="I60" s="140"/>
      <c r="J60" s="140"/>
      <c r="K60" s="140"/>
      <c r="L60" s="155" t="str">
        <f t="shared" ca="1" si="0"/>
        <v/>
      </c>
      <c r="M60" s="140"/>
      <c r="N60" s="140"/>
      <c r="O60" s="140"/>
      <c r="P60" s="140"/>
      <c r="Q60" s="140"/>
      <c r="R60" s="140"/>
      <c r="S60" s="140"/>
      <c r="T60" s="140"/>
    </row>
    <row r="61" spans="1:20" ht="13">
      <c r="A61" s="140"/>
      <c r="B61" s="140"/>
      <c r="C61" s="140"/>
      <c r="D61" s="140"/>
      <c r="E61" s="140"/>
      <c r="F61" s="140" t="str">
        <f ca="1"/>
        <v/>
      </c>
      <c r="G61" s="140" t="str">
        <f ca="1"/>
        <v/>
      </c>
      <c r="H61" s="140"/>
      <c r="I61" s="140"/>
      <c r="J61" s="140"/>
      <c r="K61" s="140"/>
      <c r="L61" s="155" t="str">
        <f t="shared" ca="1" si="0"/>
        <v/>
      </c>
      <c r="M61" s="140"/>
      <c r="N61" s="140"/>
      <c r="O61" s="140"/>
      <c r="P61" s="140"/>
      <c r="Q61" s="140"/>
      <c r="R61" s="140"/>
      <c r="S61" s="140"/>
      <c r="T61" s="140"/>
    </row>
    <row r="62" spans="1:20" ht="13">
      <c r="A62" s="140"/>
      <c r="B62" s="140"/>
      <c r="C62" s="140"/>
      <c r="D62" s="140"/>
      <c r="E62" s="140"/>
      <c r="F62" s="140" t="str">
        <f ca="1"/>
        <v/>
      </c>
      <c r="G62" s="140" t="str">
        <f ca="1"/>
        <v/>
      </c>
      <c r="H62" s="140"/>
      <c r="I62" s="140"/>
      <c r="J62" s="140"/>
      <c r="K62" s="140"/>
      <c r="L62" s="155" t="str">
        <f t="shared" ca="1" si="0"/>
        <v/>
      </c>
      <c r="M62" s="140"/>
      <c r="N62" s="140"/>
      <c r="O62" s="140"/>
      <c r="P62" s="140"/>
      <c r="Q62" s="140"/>
      <c r="R62" s="140"/>
      <c r="S62" s="140"/>
      <c r="T62" s="140"/>
    </row>
    <row r="63" spans="1:20" ht="13">
      <c r="A63" s="140"/>
      <c r="B63" s="140"/>
      <c r="C63" s="140"/>
      <c r="D63" s="140"/>
      <c r="E63" s="140"/>
      <c r="F63" s="140" t="str">
        <f ca="1"/>
        <v/>
      </c>
      <c r="G63" s="140" t="str">
        <f ca="1"/>
        <v/>
      </c>
      <c r="H63" s="140"/>
      <c r="I63" s="140"/>
      <c r="J63" s="140"/>
      <c r="K63" s="140"/>
      <c r="L63" s="155" t="str">
        <f t="shared" ca="1" si="0"/>
        <v/>
      </c>
      <c r="M63" s="140"/>
      <c r="N63" s="140"/>
      <c r="O63" s="140"/>
      <c r="P63" s="140"/>
      <c r="Q63" s="140"/>
      <c r="R63" s="140"/>
      <c r="S63" s="140"/>
      <c r="T63" s="140"/>
    </row>
    <row r="64" spans="1:20" ht="13">
      <c r="A64" s="140"/>
      <c r="B64" s="140"/>
      <c r="C64" s="140"/>
      <c r="D64" s="140"/>
      <c r="E64" s="140"/>
      <c r="F64" s="140" t="str">
        <f ca="1"/>
        <v/>
      </c>
      <c r="G64" s="140" t="str">
        <f ca="1"/>
        <v/>
      </c>
      <c r="H64" s="140"/>
      <c r="I64" s="140"/>
      <c r="J64" s="140"/>
      <c r="K64" s="140"/>
      <c r="L64" s="155" t="str">
        <f t="shared" ca="1" si="0"/>
        <v/>
      </c>
      <c r="M64" s="140"/>
      <c r="N64" s="140"/>
      <c r="O64" s="140"/>
      <c r="P64" s="140"/>
      <c r="Q64" s="140"/>
      <c r="R64" s="140"/>
      <c r="S64" s="140"/>
      <c r="T64" s="140"/>
    </row>
    <row r="65" spans="1:20" ht="13">
      <c r="A65" s="140"/>
      <c r="B65" s="140"/>
      <c r="C65" s="140"/>
      <c r="D65" s="140"/>
      <c r="E65" s="140"/>
      <c r="F65" s="140" t="str">
        <f ca="1"/>
        <v/>
      </c>
      <c r="G65" s="140" t="str">
        <f ca="1"/>
        <v/>
      </c>
      <c r="H65" s="140"/>
      <c r="I65" s="140"/>
      <c r="J65" s="140"/>
      <c r="K65" s="140"/>
      <c r="L65" s="155" t="str">
        <f t="shared" ca="1" si="0"/>
        <v/>
      </c>
      <c r="M65" s="140"/>
      <c r="N65" s="140"/>
      <c r="O65" s="140"/>
      <c r="P65" s="140"/>
      <c r="Q65" s="140"/>
      <c r="R65" s="140"/>
      <c r="S65" s="140"/>
      <c r="T65" s="140"/>
    </row>
    <row r="66" spans="1:20" ht="13">
      <c r="A66" s="140"/>
      <c r="B66" s="140"/>
      <c r="C66" s="140"/>
      <c r="D66" s="140"/>
      <c r="E66" s="140"/>
      <c r="F66" s="140" t="str">
        <f ca="1"/>
        <v/>
      </c>
      <c r="G66" s="140" t="str">
        <f ca="1"/>
        <v/>
      </c>
      <c r="H66" s="140"/>
      <c r="I66" s="140"/>
      <c r="J66" s="140"/>
      <c r="K66" s="140"/>
      <c r="L66" s="155" t="str">
        <f t="shared" ca="1" si="0"/>
        <v/>
      </c>
      <c r="M66" s="140"/>
      <c r="N66" s="140"/>
      <c r="O66" s="140"/>
      <c r="P66" s="140"/>
      <c r="Q66" s="140"/>
      <c r="R66" s="140"/>
      <c r="S66" s="140"/>
      <c r="T66" s="140"/>
    </row>
    <row r="67" spans="1:20" ht="13">
      <c r="A67" s="140"/>
      <c r="B67" s="140"/>
      <c r="C67" s="140"/>
      <c r="D67" s="140"/>
      <c r="E67" s="140"/>
      <c r="F67" s="140" t="str">
        <f ca="1"/>
        <v/>
      </c>
      <c r="G67" s="140" t="str">
        <f ca="1"/>
        <v/>
      </c>
      <c r="H67" s="140"/>
      <c r="I67" s="140"/>
      <c r="J67" s="140"/>
      <c r="K67" s="140"/>
      <c r="L67" s="155" t="str">
        <f t="shared" ca="1" si="0"/>
        <v/>
      </c>
      <c r="M67" s="140"/>
      <c r="N67" s="140"/>
      <c r="O67" s="140"/>
      <c r="P67" s="140"/>
      <c r="Q67" s="140"/>
      <c r="R67" s="140"/>
      <c r="S67" s="140"/>
      <c r="T67" s="140"/>
    </row>
    <row r="68" spans="1:20" ht="13">
      <c r="A68" s="140"/>
      <c r="B68" s="140"/>
      <c r="C68" s="140"/>
      <c r="D68" s="140"/>
      <c r="E68" s="140"/>
      <c r="F68" s="140" t="str">
        <f ca="1"/>
        <v/>
      </c>
      <c r="G68" s="140" t="str">
        <f ca="1"/>
        <v/>
      </c>
      <c r="H68" s="140"/>
      <c r="I68" s="140"/>
      <c r="J68" s="140"/>
      <c r="K68" s="140"/>
      <c r="L68" s="155" t="str">
        <f t="shared" ca="1" si="0"/>
        <v/>
      </c>
      <c r="M68" s="140"/>
      <c r="N68" s="140"/>
      <c r="O68" s="140"/>
      <c r="P68" s="140"/>
      <c r="Q68" s="140"/>
      <c r="R68" s="140"/>
      <c r="S68" s="140"/>
      <c r="T68" s="140"/>
    </row>
    <row r="69" spans="1:20" ht="13">
      <c r="A69" s="140"/>
      <c r="B69" s="140"/>
      <c r="C69" s="140"/>
      <c r="D69" s="140"/>
      <c r="E69" s="140"/>
      <c r="F69" s="140" t="str">
        <f ca="1"/>
        <v/>
      </c>
      <c r="G69" s="140" t="str">
        <f ca="1"/>
        <v/>
      </c>
      <c r="H69" s="140"/>
      <c r="I69" s="140"/>
      <c r="J69" s="140"/>
      <c r="K69" s="140"/>
      <c r="L69" s="155" t="str">
        <f t="shared" ca="1" si="0"/>
        <v/>
      </c>
      <c r="M69" s="140"/>
      <c r="N69" s="140"/>
      <c r="O69" s="140"/>
      <c r="P69" s="140"/>
      <c r="Q69" s="140"/>
      <c r="R69" s="140"/>
      <c r="S69" s="140"/>
      <c r="T69" s="140"/>
    </row>
    <row r="70" spans="1:20" ht="13">
      <c r="A70" s="140"/>
      <c r="B70" s="140"/>
      <c r="C70" s="140"/>
      <c r="D70" s="140"/>
      <c r="E70" s="140"/>
      <c r="F70" s="140" t="str">
        <f ca="1"/>
        <v/>
      </c>
      <c r="G70" s="140" t="str">
        <f ca="1"/>
        <v/>
      </c>
      <c r="H70" s="140"/>
      <c r="I70" s="140"/>
      <c r="J70" s="140"/>
      <c r="K70" s="140"/>
      <c r="L70" s="155" t="str">
        <f t="shared" ca="1" si="0"/>
        <v/>
      </c>
      <c r="M70" s="140"/>
      <c r="N70" s="140"/>
      <c r="O70" s="140"/>
      <c r="P70" s="140"/>
      <c r="Q70" s="140"/>
      <c r="R70" s="140"/>
      <c r="S70" s="140"/>
      <c r="T70" s="140"/>
    </row>
    <row r="71" spans="1:20" ht="13">
      <c r="A71" s="140"/>
      <c r="B71" s="140"/>
      <c r="C71" s="140"/>
      <c r="D71" s="140"/>
      <c r="E71" s="140"/>
      <c r="F71" s="140" t="str">
        <f ca="1"/>
        <v/>
      </c>
      <c r="G71" s="140" t="str">
        <f ca="1"/>
        <v/>
      </c>
      <c r="H71" s="140"/>
      <c r="I71" s="140"/>
      <c r="J71" s="140"/>
      <c r="K71" s="140"/>
      <c r="L71" s="155" t="str">
        <f t="shared" ca="1" si="0"/>
        <v/>
      </c>
      <c r="M71" s="140"/>
      <c r="N71" s="140"/>
      <c r="O71" s="140"/>
      <c r="P71" s="140"/>
      <c r="Q71" s="140"/>
      <c r="R71" s="140"/>
      <c r="S71" s="140"/>
      <c r="T71" s="140"/>
    </row>
    <row r="72" spans="1:20" ht="13">
      <c r="A72" s="140"/>
      <c r="B72" s="140"/>
      <c r="C72" s="140"/>
      <c r="D72" s="140"/>
      <c r="E72" s="140"/>
      <c r="F72" s="140" t="str">
        <f ca="1"/>
        <v/>
      </c>
      <c r="G72" s="140" t="str">
        <f ca="1"/>
        <v/>
      </c>
      <c r="H72" s="140"/>
      <c r="I72" s="140"/>
      <c r="J72" s="140"/>
      <c r="K72" s="140"/>
      <c r="L72" s="155" t="str">
        <f t="shared" ca="1" si="0"/>
        <v/>
      </c>
      <c r="M72" s="140"/>
      <c r="N72" s="140"/>
      <c r="O72" s="140"/>
      <c r="P72" s="140"/>
      <c r="Q72" s="140"/>
      <c r="R72" s="140"/>
      <c r="S72" s="140"/>
      <c r="T72" s="140"/>
    </row>
    <row r="73" spans="1:20" ht="13">
      <c r="A73" s="140"/>
      <c r="B73" s="140"/>
      <c r="C73" s="140"/>
      <c r="D73" s="140"/>
      <c r="E73" s="140"/>
      <c r="F73" s="140" t="str">
        <f ca="1"/>
        <v/>
      </c>
      <c r="G73" s="140" t="str">
        <f ca="1"/>
        <v/>
      </c>
      <c r="H73" s="140"/>
      <c r="I73" s="140"/>
      <c r="J73" s="140"/>
      <c r="K73" s="140"/>
      <c r="L73" s="155" t="str">
        <f t="shared" ca="1" si="0"/>
        <v/>
      </c>
      <c r="M73" s="140"/>
      <c r="N73" s="140"/>
      <c r="O73" s="140"/>
      <c r="P73" s="140"/>
      <c r="Q73" s="140"/>
      <c r="R73" s="140"/>
      <c r="S73" s="140"/>
      <c r="T73" s="140"/>
    </row>
    <row r="74" spans="1:20" ht="13">
      <c r="A74" s="140"/>
      <c r="B74" s="140"/>
      <c r="C74" s="140"/>
      <c r="D74" s="140"/>
      <c r="E74" s="140"/>
      <c r="F74" s="140" t="str">
        <f ca="1"/>
        <v/>
      </c>
      <c r="G74" s="140" t="str">
        <f ca="1"/>
        <v/>
      </c>
      <c r="H74" s="140"/>
      <c r="I74" s="140"/>
      <c r="J74" s="140"/>
      <c r="K74" s="140"/>
      <c r="L74" s="155" t="str">
        <f t="shared" ca="1" si="0"/>
        <v/>
      </c>
      <c r="M74" s="140"/>
      <c r="N74" s="140"/>
      <c r="O74" s="140"/>
      <c r="P74" s="140"/>
      <c r="Q74" s="140"/>
      <c r="R74" s="140"/>
      <c r="S74" s="140"/>
      <c r="T74" s="140"/>
    </row>
    <row r="75" spans="1:20" ht="13">
      <c r="A75" s="140"/>
      <c r="B75" s="140"/>
      <c r="C75" s="140"/>
      <c r="D75" s="140"/>
      <c r="E75" s="140"/>
      <c r="F75" s="140" t="str">
        <f ca="1"/>
        <v/>
      </c>
      <c r="G75" s="140" t="str">
        <f ca="1"/>
        <v/>
      </c>
      <c r="H75" s="140"/>
      <c r="I75" s="140"/>
      <c r="J75" s="140"/>
      <c r="K75" s="140"/>
      <c r="L75" s="155" t="str">
        <f t="shared" ca="1" si="0"/>
        <v/>
      </c>
      <c r="M75" s="140"/>
      <c r="N75" s="140"/>
      <c r="O75" s="140"/>
      <c r="P75" s="140"/>
      <c r="Q75" s="140"/>
      <c r="R75" s="140"/>
      <c r="S75" s="140"/>
      <c r="T75" s="140"/>
    </row>
    <row r="76" spans="1:20" ht="13">
      <c r="A76" s="140"/>
      <c r="B76" s="140"/>
      <c r="C76" s="140"/>
      <c r="D76" s="140"/>
      <c r="E76" s="140"/>
      <c r="F76" s="140" t="str">
        <f ca="1"/>
        <v/>
      </c>
      <c r="G76" s="140" t="str">
        <f ca="1"/>
        <v/>
      </c>
      <c r="H76" s="140"/>
      <c r="I76" s="140"/>
      <c r="J76" s="140"/>
      <c r="K76" s="140"/>
      <c r="L76" s="155" t="str">
        <f t="shared" ca="1" si="0"/>
        <v/>
      </c>
      <c r="M76" s="140"/>
      <c r="N76" s="140"/>
      <c r="O76" s="140"/>
      <c r="P76" s="140"/>
      <c r="Q76" s="140"/>
      <c r="R76" s="140"/>
      <c r="S76" s="140"/>
      <c r="T76" s="140"/>
    </row>
    <row r="77" spans="1:20" ht="13">
      <c r="A77" s="140"/>
      <c r="B77" s="140"/>
      <c r="C77" s="140"/>
      <c r="D77" s="140"/>
      <c r="E77" s="140"/>
      <c r="F77" s="140" t="str">
        <f ca="1"/>
        <v/>
      </c>
      <c r="G77" s="140" t="str">
        <f ca="1"/>
        <v/>
      </c>
      <c r="H77" s="140"/>
      <c r="I77" s="140"/>
      <c r="J77" s="140"/>
      <c r="K77" s="140"/>
      <c r="L77" s="155" t="str">
        <f t="shared" ca="1" si="0"/>
        <v/>
      </c>
      <c r="M77" s="140"/>
      <c r="N77" s="140"/>
      <c r="O77" s="140"/>
      <c r="P77" s="140"/>
      <c r="Q77" s="140"/>
      <c r="R77" s="140"/>
      <c r="S77" s="140"/>
      <c r="T77" s="140"/>
    </row>
    <row r="78" spans="1:20" ht="13">
      <c r="A78" s="140"/>
      <c r="B78" s="140"/>
      <c r="C78" s="140"/>
      <c r="D78" s="140"/>
      <c r="E78" s="140"/>
      <c r="F78" s="140" t="str">
        <f ca="1"/>
        <v/>
      </c>
      <c r="G78" s="140" t="str">
        <f ca="1"/>
        <v/>
      </c>
      <c r="H78" s="140"/>
      <c r="I78" s="140"/>
      <c r="J78" s="140"/>
      <c r="K78" s="140"/>
      <c r="L78" s="155" t="str">
        <f t="shared" ca="1" si="0"/>
        <v/>
      </c>
      <c r="M78" s="140"/>
      <c r="N78" s="140"/>
      <c r="O78" s="140"/>
      <c r="P78" s="140"/>
      <c r="Q78" s="140"/>
      <c r="R78" s="140"/>
      <c r="S78" s="140"/>
      <c r="T78" s="140"/>
    </row>
    <row r="79" spans="1:20" ht="13">
      <c r="A79" s="140"/>
      <c r="B79" s="140"/>
      <c r="C79" s="140"/>
      <c r="D79" s="140"/>
      <c r="E79" s="140"/>
      <c r="F79" s="140" t="str">
        <f ca="1"/>
        <v/>
      </c>
      <c r="G79" s="140" t="str">
        <f ca="1"/>
        <v/>
      </c>
      <c r="H79" s="140"/>
      <c r="I79" s="140"/>
      <c r="J79" s="140"/>
      <c r="K79" s="140"/>
      <c r="L79" s="155" t="str">
        <f t="shared" ca="1" si="0"/>
        <v/>
      </c>
      <c r="M79" s="140"/>
      <c r="N79" s="140"/>
      <c r="O79" s="140"/>
      <c r="P79" s="140"/>
      <c r="Q79" s="140"/>
      <c r="R79" s="140"/>
      <c r="S79" s="140"/>
      <c r="T79" s="140"/>
    </row>
    <row r="80" spans="1:20" ht="13">
      <c r="A80" s="140"/>
      <c r="B80" s="140"/>
      <c r="C80" s="140"/>
      <c r="D80" s="140"/>
      <c r="E80" s="140"/>
      <c r="F80" s="140" t="str">
        <f ca="1"/>
        <v/>
      </c>
      <c r="G80" s="140" t="str">
        <f ca="1"/>
        <v/>
      </c>
      <c r="H80" s="140"/>
      <c r="I80" s="140"/>
      <c r="J80" s="140"/>
      <c r="K80" s="140"/>
      <c r="L80" s="155" t="str">
        <f t="shared" ca="1" si="0"/>
        <v/>
      </c>
      <c r="M80" s="140"/>
      <c r="N80" s="140"/>
      <c r="O80" s="140"/>
      <c r="P80" s="140"/>
      <c r="Q80" s="140"/>
      <c r="R80" s="140"/>
      <c r="S80" s="140"/>
      <c r="T80" s="140"/>
    </row>
    <row r="81" spans="1:20" ht="13">
      <c r="A81" s="140"/>
      <c r="B81" s="140"/>
      <c r="C81" s="140"/>
      <c r="D81" s="140"/>
      <c r="E81" s="140"/>
      <c r="F81" s="140" t="str">
        <f ca="1"/>
        <v/>
      </c>
      <c r="G81" s="140" t="str">
        <f ca="1"/>
        <v/>
      </c>
      <c r="H81" s="140"/>
      <c r="I81" s="140"/>
      <c r="J81" s="140"/>
      <c r="K81" s="140"/>
      <c r="L81" s="155" t="str">
        <f t="shared" ca="1" si="0"/>
        <v/>
      </c>
      <c r="M81" s="140"/>
      <c r="N81" s="140"/>
      <c r="O81" s="140"/>
      <c r="P81" s="140"/>
      <c r="Q81" s="140"/>
      <c r="R81" s="140"/>
      <c r="S81" s="140"/>
      <c r="T81" s="140"/>
    </row>
    <row r="82" spans="1:20" ht="13">
      <c r="A82" s="140"/>
      <c r="B82" s="140"/>
      <c r="C82" s="140"/>
      <c r="D82" s="140"/>
      <c r="E82" s="140"/>
      <c r="F82" s="140" t="str">
        <f ca="1"/>
        <v/>
      </c>
      <c r="G82" s="140" t="str">
        <f ca="1"/>
        <v/>
      </c>
      <c r="H82" s="140"/>
      <c r="I82" s="140"/>
      <c r="J82" s="140"/>
      <c r="K82" s="140"/>
      <c r="L82" s="155" t="str">
        <f t="shared" ca="1" si="0"/>
        <v/>
      </c>
      <c r="M82" s="140"/>
      <c r="N82" s="140"/>
      <c r="O82" s="140"/>
      <c r="P82" s="140"/>
      <c r="Q82" s="140"/>
      <c r="R82" s="140"/>
      <c r="S82" s="140"/>
      <c r="T82" s="140"/>
    </row>
    <row r="83" spans="1:20" ht="13">
      <c r="A83" s="140"/>
      <c r="B83" s="140"/>
      <c r="C83" s="140"/>
      <c r="D83" s="140"/>
      <c r="E83" s="140"/>
      <c r="F83" s="140" t="str">
        <f ca="1"/>
        <v/>
      </c>
      <c r="G83" s="140" t="str">
        <f ca="1"/>
        <v/>
      </c>
      <c r="H83" s="140"/>
      <c r="I83" s="140"/>
      <c r="J83" s="140"/>
      <c r="K83" s="140"/>
      <c r="L83" s="155" t="str">
        <f t="shared" ca="1" si="0"/>
        <v/>
      </c>
      <c r="M83" s="140"/>
      <c r="N83" s="140"/>
      <c r="O83" s="140"/>
      <c r="P83" s="140"/>
      <c r="Q83" s="140"/>
      <c r="R83" s="140"/>
      <c r="S83" s="140"/>
      <c r="T83" s="140"/>
    </row>
    <row r="84" spans="1:20" ht="13">
      <c r="A84" s="140"/>
      <c r="B84" s="140"/>
      <c r="C84" s="140"/>
      <c r="D84" s="140"/>
      <c r="E84" s="140"/>
      <c r="F84" s="140" t="str">
        <f ca="1"/>
        <v/>
      </c>
      <c r="G84" s="140" t="str">
        <f ca="1"/>
        <v/>
      </c>
      <c r="H84" s="140"/>
      <c r="I84" s="140"/>
      <c r="J84" s="140"/>
      <c r="K84" s="140"/>
      <c r="L84" s="155" t="str">
        <f t="shared" ca="1" si="0"/>
        <v/>
      </c>
      <c r="M84" s="140"/>
      <c r="N84" s="140"/>
      <c r="O84" s="140"/>
      <c r="P84" s="140"/>
      <c r="Q84" s="140"/>
      <c r="R84" s="140"/>
      <c r="S84" s="140"/>
      <c r="T84" s="140"/>
    </row>
    <row r="85" spans="1:20" ht="13">
      <c r="A85" s="140"/>
      <c r="B85" s="140"/>
      <c r="C85" s="140"/>
      <c r="D85" s="140"/>
      <c r="E85" s="140"/>
      <c r="F85" s="140" t="str">
        <f ca="1"/>
        <v/>
      </c>
      <c r="G85" s="140" t="str">
        <f ca="1"/>
        <v/>
      </c>
      <c r="H85" s="140"/>
      <c r="I85" s="140"/>
      <c r="J85" s="140"/>
      <c r="K85" s="140"/>
      <c r="L85" s="155" t="str">
        <f t="shared" ca="1" si="0"/>
        <v/>
      </c>
      <c r="M85" s="140"/>
      <c r="N85" s="140"/>
      <c r="O85" s="140"/>
      <c r="P85" s="140"/>
      <c r="Q85" s="140"/>
      <c r="R85" s="140"/>
      <c r="S85" s="140"/>
      <c r="T85" s="140"/>
    </row>
    <row r="86" spans="1:20" ht="13">
      <c r="A86" s="140"/>
      <c r="B86" s="140"/>
      <c r="C86" s="140"/>
      <c r="D86" s="140"/>
      <c r="E86" s="140"/>
      <c r="F86" s="140" t="str">
        <f ca="1"/>
        <v/>
      </c>
      <c r="G86" s="140" t="str">
        <f ca="1"/>
        <v/>
      </c>
      <c r="H86" s="140"/>
      <c r="I86" s="140"/>
      <c r="J86" s="140"/>
      <c r="K86" s="140"/>
      <c r="L86" s="155" t="str">
        <f t="shared" ca="1" si="0"/>
        <v/>
      </c>
      <c r="M86" s="140"/>
      <c r="N86" s="140"/>
      <c r="O86" s="140"/>
      <c r="P86" s="140"/>
      <c r="Q86" s="140"/>
      <c r="R86" s="140"/>
      <c r="S86" s="140"/>
      <c r="T86" s="140"/>
    </row>
    <row r="87" spans="1:20" ht="13">
      <c r="A87" s="140"/>
      <c r="B87" s="140"/>
      <c r="C87" s="140"/>
      <c r="D87" s="140"/>
      <c r="E87" s="140"/>
      <c r="F87" s="140" t="str">
        <f ca="1"/>
        <v/>
      </c>
      <c r="G87" s="140"/>
      <c r="H87" s="140"/>
      <c r="I87" s="140"/>
      <c r="J87" s="140"/>
      <c r="K87" s="140"/>
      <c r="L87" s="155" t="str">
        <f t="shared" si="0"/>
        <v/>
      </c>
      <c r="M87" s="140"/>
      <c r="N87" s="140"/>
      <c r="O87" s="140"/>
      <c r="P87" s="140"/>
      <c r="Q87" s="140"/>
      <c r="R87" s="140"/>
      <c r="S87" s="140"/>
      <c r="T87" s="140"/>
    </row>
    <row r="88" spans="1:20" ht="13">
      <c r="A88" s="140"/>
      <c r="B88" s="140"/>
      <c r="C88" s="140"/>
      <c r="D88" s="140"/>
      <c r="E88" s="140"/>
      <c r="F88" s="140" t="str">
        <f ca="1"/>
        <v/>
      </c>
      <c r="G88" s="140"/>
      <c r="H88" s="140"/>
      <c r="I88" s="140"/>
      <c r="J88" s="140"/>
      <c r="K88" s="140"/>
      <c r="L88" s="155" t="str">
        <f t="shared" si="0"/>
        <v/>
      </c>
      <c r="M88" s="140"/>
      <c r="N88" s="140"/>
      <c r="O88" s="140"/>
      <c r="P88" s="140"/>
      <c r="Q88" s="140"/>
      <c r="R88" s="140"/>
      <c r="S88" s="140"/>
      <c r="T88" s="140"/>
    </row>
    <row r="89" spans="1:20" ht="13">
      <c r="A89" s="140"/>
      <c r="B89" s="140"/>
      <c r="C89" s="140"/>
      <c r="D89" s="140"/>
      <c r="E89" s="140"/>
      <c r="F89" s="140" t="str">
        <f ca="1"/>
        <v/>
      </c>
      <c r="G89" s="140"/>
      <c r="H89" s="140"/>
      <c r="I89" s="140"/>
      <c r="J89" s="140"/>
      <c r="K89" s="140"/>
      <c r="L89" s="155" t="str">
        <f t="shared" si="0"/>
        <v/>
      </c>
      <c r="M89" s="140"/>
      <c r="N89" s="140"/>
      <c r="O89" s="140"/>
      <c r="P89" s="140"/>
      <c r="Q89" s="140"/>
      <c r="R89" s="140"/>
      <c r="S89" s="140"/>
      <c r="T89" s="140"/>
    </row>
    <row r="90" spans="1:20" ht="13">
      <c r="A90" s="140"/>
      <c r="B90" s="140"/>
      <c r="C90" s="140"/>
      <c r="D90" s="140"/>
      <c r="E90" s="140"/>
      <c r="F90" s="140" t="str">
        <f ca="1"/>
        <v/>
      </c>
      <c r="G90" s="140"/>
      <c r="H90" s="140"/>
      <c r="I90" s="140"/>
      <c r="J90" s="140"/>
      <c r="K90" s="140"/>
      <c r="L90" s="155" t="str">
        <f t="shared" ref="L90:L103" si="1">IFERROR(1-(G90/H90),"")</f>
        <v/>
      </c>
      <c r="M90" s="140"/>
      <c r="N90" s="140"/>
      <c r="O90" s="140"/>
      <c r="P90" s="140"/>
      <c r="Q90" s="140"/>
      <c r="R90" s="140"/>
      <c r="S90" s="140"/>
      <c r="T90" s="140"/>
    </row>
    <row r="91" spans="1:20" ht="13">
      <c r="A91" s="140"/>
      <c r="B91" s="140"/>
      <c r="C91" s="140"/>
      <c r="D91" s="140"/>
      <c r="E91" s="140"/>
      <c r="F91" s="140" t="str">
        <f ca="1"/>
        <v/>
      </c>
      <c r="G91" s="140"/>
      <c r="H91" s="140"/>
      <c r="I91" s="140"/>
      <c r="J91" s="140"/>
      <c r="K91" s="140"/>
      <c r="L91" s="155" t="str">
        <f t="shared" si="1"/>
        <v/>
      </c>
      <c r="M91" s="140"/>
      <c r="N91" s="140"/>
      <c r="O91" s="140"/>
      <c r="P91" s="140"/>
      <c r="Q91" s="140"/>
      <c r="R91" s="140"/>
      <c r="S91" s="140"/>
      <c r="T91" s="140"/>
    </row>
    <row r="92" spans="1:20" ht="13">
      <c r="A92" s="140"/>
      <c r="B92" s="140"/>
      <c r="C92" s="140"/>
      <c r="D92" s="140"/>
      <c r="E92" s="140"/>
      <c r="F92" s="140" t="str">
        <f ca="1"/>
        <v/>
      </c>
      <c r="G92" s="140"/>
      <c r="H92" s="140"/>
      <c r="I92" s="140"/>
      <c r="J92" s="140"/>
      <c r="K92" s="140"/>
      <c r="L92" s="155" t="str">
        <f t="shared" si="1"/>
        <v/>
      </c>
      <c r="M92" s="140"/>
      <c r="N92" s="140"/>
      <c r="O92" s="140"/>
      <c r="P92" s="140"/>
      <c r="Q92" s="140"/>
      <c r="R92" s="140"/>
      <c r="S92" s="140"/>
      <c r="T92" s="140"/>
    </row>
    <row r="93" spans="1:20" ht="13">
      <c r="A93" s="140"/>
      <c r="B93" s="140"/>
      <c r="C93" s="140"/>
      <c r="D93" s="140"/>
      <c r="E93" s="140"/>
      <c r="F93" s="140" t="str">
        <f ca="1"/>
        <v/>
      </c>
      <c r="G93" s="140"/>
      <c r="H93" s="140"/>
      <c r="I93" s="140"/>
      <c r="J93" s="140"/>
      <c r="K93" s="140"/>
      <c r="L93" s="155" t="str">
        <f t="shared" si="1"/>
        <v/>
      </c>
      <c r="M93" s="140"/>
      <c r="N93" s="140"/>
      <c r="O93" s="140"/>
      <c r="P93" s="140"/>
      <c r="Q93" s="140"/>
      <c r="R93" s="140"/>
      <c r="S93" s="140"/>
      <c r="T93" s="140"/>
    </row>
    <row r="94" spans="1:20" ht="13">
      <c r="A94" s="140"/>
      <c r="B94" s="140"/>
      <c r="C94" s="140"/>
      <c r="D94" s="140"/>
      <c r="E94" s="140"/>
      <c r="F94" s="140" t="str">
        <f ca="1"/>
        <v/>
      </c>
      <c r="G94" s="140"/>
      <c r="H94" s="140"/>
      <c r="I94" s="140"/>
      <c r="J94" s="140"/>
      <c r="K94" s="140"/>
      <c r="L94" s="155" t="str">
        <f t="shared" si="1"/>
        <v/>
      </c>
      <c r="M94" s="140"/>
      <c r="N94" s="140"/>
      <c r="O94" s="140"/>
      <c r="P94" s="140"/>
      <c r="Q94" s="140"/>
      <c r="R94" s="140"/>
      <c r="S94" s="140"/>
      <c r="T94" s="140"/>
    </row>
    <row r="95" spans="1:20" ht="13">
      <c r="A95" s="140"/>
      <c r="B95" s="140"/>
      <c r="C95" s="140"/>
      <c r="D95" s="140"/>
      <c r="E95" s="140"/>
      <c r="F95" s="140" t="str">
        <f ca="1"/>
        <v/>
      </c>
      <c r="G95" s="140"/>
      <c r="H95" s="140"/>
      <c r="I95" s="140"/>
      <c r="J95" s="140"/>
      <c r="K95" s="140"/>
      <c r="L95" s="155" t="str">
        <f t="shared" si="1"/>
        <v/>
      </c>
      <c r="M95" s="140"/>
      <c r="N95" s="140"/>
      <c r="O95" s="140"/>
      <c r="P95" s="140"/>
      <c r="Q95" s="140"/>
      <c r="R95" s="140"/>
      <c r="S95" s="140"/>
      <c r="T95" s="140"/>
    </row>
    <row r="96" spans="1:20" ht="13">
      <c r="A96" s="140"/>
      <c r="B96" s="140"/>
      <c r="C96" s="140"/>
      <c r="D96" s="140"/>
      <c r="E96" s="140"/>
      <c r="F96" s="140" t="str">
        <f ca="1"/>
        <v/>
      </c>
      <c r="G96" s="140"/>
      <c r="H96" s="140"/>
      <c r="I96" s="140"/>
      <c r="J96" s="140"/>
      <c r="K96" s="140"/>
      <c r="L96" s="155" t="str">
        <f t="shared" si="1"/>
        <v/>
      </c>
      <c r="M96" s="140"/>
      <c r="N96" s="140"/>
      <c r="O96" s="140"/>
      <c r="P96" s="140"/>
      <c r="Q96" s="140"/>
      <c r="R96" s="140"/>
      <c r="S96" s="140"/>
      <c r="T96" s="140"/>
    </row>
    <row r="97" spans="1:20" ht="13">
      <c r="A97" s="140"/>
      <c r="B97" s="140"/>
      <c r="C97" s="140"/>
      <c r="D97" s="140"/>
      <c r="E97" s="140"/>
      <c r="F97" s="140" t="str">
        <f ca="1"/>
        <v/>
      </c>
      <c r="G97" s="140"/>
      <c r="H97" s="140"/>
      <c r="I97" s="140"/>
      <c r="J97" s="140"/>
      <c r="K97" s="140"/>
      <c r="L97" s="155" t="str">
        <f t="shared" si="1"/>
        <v/>
      </c>
      <c r="M97" s="140"/>
      <c r="N97" s="140"/>
      <c r="O97" s="140"/>
      <c r="P97" s="140"/>
      <c r="Q97" s="140"/>
      <c r="R97" s="140"/>
      <c r="S97" s="140"/>
      <c r="T97" s="140"/>
    </row>
    <row r="98" spans="1:20" ht="13">
      <c r="A98" s="140"/>
      <c r="B98" s="140"/>
      <c r="C98" s="140"/>
      <c r="D98" s="140"/>
      <c r="E98" s="140"/>
      <c r="F98" s="140" t="str">
        <f ca="1"/>
        <v/>
      </c>
      <c r="G98" s="140"/>
      <c r="H98" s="140"/>
      <c r="I98" s="140"/>
      <c r="J98" s="140"/>
      <c r="K98" s="140"/>
      <c r="L98" s="155" t="str">
        <f t="shared" si="1"/>
        <v/>
      </c>
      <c r="M98" s="140"/>
      <c r="N98" s="140"/>
      <c r="O98" s="140"/>
      <c r="P98" s="140"/>
      <c r="Q98" s="140"/>
      <c r="R98" s="140"/>
      <c r="S98" s="140"/>
      <c r="T98" s="140"/>
    </row>
    <row r="99" spans="1:20" ht="13">
      <c r="A99" s="140"/>
      <c r="B99" s="140"/>
      <c r="C99" s="140"/>
      <c r="D99" s="140"/>
      <c r="E99" s="140"/>
      <c r="F99" s="140" t="str">
        <f ca="1"/>
        <v/>
      </c>
      <c r="G99" s="140"/>
      <c r="H99" s="140"/>
      <c r="I99" s="140"/>
      <c r="J99" s="140"/>
      <c r="K99" s="140"/>
      <c r="L99" s="155" t="str">
        <f t="shared" si="1"/>
        <v/>
      </c>
      <c r="M99" s="140"/>
      <c r="N99" s="140"/>
      <c r="O99" s="140"/>
      <c r="P99" s="140"/>
      <c r="Q99" s="140"/>
      <c r="R99" s="140"/>
      <c r="S99" s="140"/>
      <c r="T99" s="140"/>
    </row>
    <row r="100" spans="1:20" ht="13">
      <c r="A100" s="140"/>
      <c r="B100" s="140"/>
      <c r="C100" s="140"/>
      <c r="D100" s="140"/>
      <c r="E100" s="140"/>
      <c r="F100" s="140" t="str">
        <f ca="1"/>
        <v/>
      </c>
      <c r="G100" s="140"/>
      <c r="H100" s="140"/>
      <c r="I100" s="140"/>
      <c r="J100" s="140"/>
      <c r="K100" s="140"/>
      <c r="L100" s="155" t="str">
        <f t="shared" si="1"/>
        <v/>
      </c>
      <c r="M100" s="140"/>
      <c r="N100" s="140"/>
      <c r="O100" s="140"/>
      <c r="P100" s="140"/>
      <c r="Q100" s="140"/>
      <c r="R100" s="140"/>
      <c r="S100" s="140"/>
      <c r="T100" s="140"/>
    </row>
    <row r="101" spans="1:20" ht="13">
      <c r="A101" s="140"/>
      <c r="B101" s="140"/>
      <c r="C101" s="140"/>
      <c r="D101" s="140"/>
      <c r="E101" s="140"/>
      <c r="F101" s="140" t="str">
        <f ca="1"/>
        <v/>
      </c>
      <c r="G101" s="140"/>
      <c r="H101" s="140"/>
      <c r="I101" s="140"/>
      <c r="J101" s="140"/>
      <c r="K101" s="140"/>
      <c r="L101" s="155" t="str">
        <f t="shared" si="1"/>
        <v/>
      </c>
      <c r="M101" s="140"/>
      <c r="N101" s="140"/>
      <c r="O101" s="140"/>
      <c r="P101" s="140"/>
      <c r="Q101" s="140"/>
      <c r="R101" s="140"/>
      <c r="S101" s="140"/>
      <c r="T101" s="140"/>
    </row>
    <row r="102" spans="1:20" ht="13">
      <c r="A102" s="140"/>
      <c r="B102" s="140"/>
      <c r="C102" s="140"/>
      <c r="D102" s="140"/>
      <c r="E102" s="140"/>
      <c r="F102" s="140" t="str">
        <f ca="1"/>
        <v/>
      </c>
      <c r="G102" s="140"/>
      <c r="H102" s="140"/>
      <c r="I102" s="140"/>
      <c r="J102" s="140"/>
      <c r="K102" s="140"/>
      <c r="L102" s="155" t="str">
        <f t="shared" si="1"/>
        <v/>
      </c>
      <c r="M102" s="140"/>
      <c r="N102" s="140"/>
      <c r="O102" s="140"/>
      <c r="P102" s="140"/>
      <c r="Q102" s="140"/>
      <c r="R102" s="140"/>
      <c r="S102" s="140"/>
      <c r="T102" s="140"/>
    </row>
    <row r="103" spans="1:20" ht="13">
      <c r="A103" s="140"/>
      <c r="B103" s="140"/>
      <c r="C103" s="140"/>
      <c r="D103" s="140"/>
      <c r="E103" s="140"/>
      <c r="F103" s="140" t="str">
        <f ca="1"/>
        <v/>
      </c>
      <c r="G103" s="140"/>
      <c r="H103" s="140"/>
      <c r="I103" s="140"/>
      <c r="J103" s="140"/>
      <c r="K103" s="140"/>
      <c r="L103" s="155" t="str">
        <f t="shared" si="1"/>
        <v/>
      </c>
      <c r="M103" s="140"/>
      <c r="N103" s="140"/>
      <c r="O103" s="140"/>
      <c r="P103" s="140"/>
      <c r="Q103" s="140"/>
      <c r="R103" s="140"/>
      <c r="S103" s="140"/>
      <c r="T103" s="140"/>
    </row>
    <row r="104" spans="1:20" ht="13">
      <c r="A104" s="140"/>
      <c r="B104" s="140"/>
      <c r="C104" s="140"/>
      <c r="D104" s="140"/>
      <c r="E104" s="140"/>
      <c r="F104" s="140" t="str">
        <f ca="1"/>
        <v/>
      </c>
      <c r="G104" s="140"/>
      <c r="H104" s="140"/>
      <c r="I104" s="140"/>
      <c r="J104" s="140"/>
      <c r="K104" s="140"/>
      <c r="L104" s="140"/>
      <c r="M104" s="140"/>
      <c r="N104" s="140"/>
      <c r="O104" s="140"/>
      <c r="P104" s="140"/>
      <c r="Q104" s="140"/>
      <c r="R104" s="140"/>
      <c r="S104" s="140"/>
      <c r="T104" s="140"/>
    </row>
    <row r="105" spans="1:20" ht="13">
      <c r="A105" s="140"/>
      <c r="B105" s="140"/>
      <c r="C105" s="140"/>
      <c r="D105" s="140"/>
      <c r="E105" s="140"/>
      <c r="F105" s="140" t="str">
        <f ca="1"/>
        <v/>
      </c>
      <c r="G105" s="140"/>
      <c r="H105" s="140"/>
      <c r="I105" s="140"/>
      <c r="J105" s="140"/>
      <c r="K105" s="140"/>
      <c r="L105" s="140"/>
      <c r="M105" s="140"/>
      <c r="N105" s="140"/>
      <c r="O105" s="140"/>
      <c r="P105" s="140"/>
      <c r="Q105" s="140"/>
      <c r="R105" s="140"/>
      <c r="S105" s="140"/>
      <c r="T105" s="140"/>
    </row>
    <row r="106" spans="1:20" ht="13">
      <c r="A106" s="140"/>
      <c r="B106" s="140"/>
      <c r="C106" s="140"/>
      <c r="D106" s="140"/>
      <c r="E106" s="140"/>
      <c r="F106" s="140" t="str">
        <f ca="1"/>
        <v/>
      </c>
      <c r="G106" s="140"/>
      <c r="H106" s="140"/>
      <c r="I106" s="140"/>
      <c r="J106" s="140"/>
      <c r="K106" s="140"/>
      <c r="L106" s="140"/>
      <c r="M106" s="140"/>
      <c r="N106" s="140"/>
      <c r="O106" s="140"/>
      <c r="P106" s="140"/>
      <c r="Q106" s="140"/>
      <c r="R106" s="140"/>
      <c r="S106" s="140"/>
      <c r="T106" s="140"/>
    </row>
    <row r="107" spans="1:20" ht="13">
      <c r="A107" s="140"/>
      <c r="B107" s="140"/>
      <c r="C107" s="140"/>
      <c r="D107" s="140"/>
      <c r="E107" s="140"/>
      <c r="F107" s="140">
        <f ca="1"/>
        <v>0</v>
      </c>
      <c r="G107" s="140"/>
      <c r="H107" s="140"/>
      <c r="I107" s="140"/>
      <c r="J107" s="140"/>
      <c r="K107" s="140"/>
      <c r="L107" s="140"/>
      <c r="M107" s="140"/>
      <c r="N107" s="140"/>
      <c r="O107" s="140"/>
      <c r="P107" s="140"/>
      <c r="Q107" s="140"/>
      <c r="R107" s="140"/>
      <c r="S107" s="140"/>
      <c r="T107" s="140"/>
    </row>
    <row r="108" spans="1:20" ht="13">
      <c r="A108" s="140"/>
      <c r="B108" s="140"/>
      <c r="C108" s="140"/>
      <c r="D108" s="140"/>
      <c r="E108" s="140"/>
      <c r="F108" s="140">
        <f ca="1"/>
        <v>0</v>
      </c>
      <c r="G108" s="140"/>
      <c r="H108" s="140"/>
      <c r="I108" s="140"/>
      <c r="J108" s="140"/>
      <c r="K108" s="140"/>
      <c r="L108" s="140"/>
      <c r="M108" s="140"/>
      <c r="N108" s="140"/>
      <c r="O108" s="140"/>
      <c r="P108" s="140"/>
      <c r="Q108" s="140"/>
      <c r="R108" s="140"/>
      <c r="S108" s="140"/>
      <c r="T108" s="140"/>
    </row>
    <row r="109" spans="1:20" ht="13">
      <c r="A109" s="140"/>
      <c r="B109" s="140"/>
      <c r="C109" s="140"/>
      <c r="D109" s="140"/>
      <c r="E109" s="140"/>
      <c r="F109" s="140">
        <f ca="1"/>
        <v>0</v>
      </c>
      <c r="G109" s="140"/>
      <c r="H109" s="140"/>
      <c r="I109" s="140"/>
      <c r="J109" s="140"/>
      <c r="K109" s="140"/>
      <c r="L109" s="140"/>
      <c r="M109" s="140"/>
      <c r="N109" s="140"/>
      <c r="O109" s="140"/>
      <c r="P109" s="140"/>
      <c r="Q109" s="140"/>
      <c r="R109" s="140"/>
      <c r="S109" s="140"/>
      <c r="T109" s="140"/>
    </row>
    <row r="110" spans="1:20" ht="13">
      <c r="A110" s="140"/>
      <c r="B110" s="140"/>
      <c r="C110" s="140"/>
      <c r="D110" s="140"/>
      <c r="E110" s="140"/>
      <c r="F110" s="140">
        <f ca="1"/>
        <v>0</v>
      </c>
      <c r="G110" s="140"/>
      <c r="H110" s="140"/>
      <c r="I110" s="140"/>
      <c r="J110" s="140"/>
      <c r="K110" s="140"/>
      <c r="L110" s="140"/>
      <c r="M110" s="140"/>
      <c r="N110" s="140"/>
      <c r="O110" s="140"/>
      <c r="P110" s="140"/>
      <c r="Q110" s="140"/>
      <c r="R110" s="140"/>
      <c r="S110" s="140"/>
      <c r="T110" s="140"/>
    </row>
    <row r="111" spans="1:20" ht="13">
      <c r="A111" s="140"/>
      <c r="B111" s="140"/>
      <c r="C111" s="140"/>
      <c r="D111" s="140"/>
      <c r="E111" s="140"/>
      <c r="F111" s="140">
        <f ca="1"/>
        <v>0</v>
      </c>
      <c r="G111" s="140"/>
      <c r="H111" s="140"/>
      <c r="I111" s="140"/>
      <c r="J111" s="140"/>
      <c r="K111" s="140"/>
      <c r="L111" s="140"/>
      <c r="M111" s="140"/>
      <c r="N111" s="140"/>
      <c r="O111" s="140"/>
      <c r="P111" s="140"/>
      <c r="Q111" s="140"/>
      <c r="R111" s="140"/>
      <c r="S111" s="140"/>
      <c r="T111" s="140"/>
    </row>
    <row r="112" spans="1:20" ht="13">
      <c r="A112" s="140"/>
      <c r="B112" s="140"/>
      <c r="C112" s="140"/>
      <c r="D112" s="140"/>
      <c r="E112" s="140"/>
      <c r="F112" s="140">
        <f ca="1"/>
        <v>0</v>
      </c>
      <c r="G112" s="140"/>
      <c r="H112" s="140"/>
      <c r="I112" s="140"/>
      <c r="J112" s="140"/>
      <c r="K112" s="140"/>
      <c r="L112" s="140"/>
      <c r="M112" s="140"/>
      <c r="N112" s="140"/>
      <c r="O112" s="140"/>
      <c r="P112" s="140"/>
      <c r="Q112" s="140"/>
      <c r="R112" s="140"/>
      <c r="S112" s="140"/>
      <c r="T112" s="140"/>
    </row>
    <row r="113" spans="1:20" ht="13">
      <c r="A113" s="140"/>
      <c r="B113" s="140"/>
      <c r="C113" s="140"/>
      <c r="D113" s="140"/>
      <c r="E113" s="140"/>
      <c r="F113" s="140">
        <f ca="1"/>
        <v>0</v>
      </c>
      <c r="G113" s="140"/>
      <c r="H113" s="140"/>
      <c r="I113" s="140"/>
      <c r="J113" s="140"/>
      <c r="K113" s="140"/>
      <c r="L113" s="140"/>
      <c r="M113" s="140"/>
      <c r="N113" s="140"/>
      <c r="O113" s="140"/>
      <c r="P113" s="140"/>
      <c r="Q113" s="140"/>
      <c r="R113" s="140"/>
      <c r="S113" s="140"/>
      <c r="T113" s="140"/>
    </row>
    <row r="114" spans="1:20" ht="13">
      <c r="A114" s="140"/>
      <c r="B114" s="140"/>
      <c r="C114" s="140"/>
      <c r="D114" s="140"/>
      <c r="E114" s="140"/>
      <c r="F114" s="140">
        <f ca="1"/>
        <v>0</v>
      </c>
      <c r="G114" s="140"/>
      <c r="H114" s="140"/>
      <c r="I114" s="140"/>
      <c r="J114" s="140"/>
      <c r="K114" s="140"/>
      <c r="L114" s="140"/>
      <c r="M114" s="140"/>
      <c r="N114" s="140"/>
      <c r="O114" s="140"/>
      <c r="P114" s="140"/>
      <c r="Q114" s="140"/>
      <c r="R114" s="140"/>
      <c r="S114" s="140"/>
      <c r="T114" s="140"/>
    </row>
    <row r="115" spans="1:20" ht="13">
      <c r="A115" s="140"/>
      <c r="B115" s="140"/>
      <c r="C115" s="140"/>
      <c r="D115" s="140"/>
      <c r="E115" s="140"/>
      <c r="F115" s="140">
        <f ca="1"/>
        <v>0</v>
      </c>
      <c r="G115" s="140"/>
      <c r="H115" s="140"/>
      <c r="I115" s="140"/>
      <c r="J115" s="140"/>
      <c r="K115" s="140"/>
      <c r="L115" s="140"/>
      <c r="M115" s="140"/>
      <c r="N115" s="140"/>
      <c r="O115" s="140"/>
      <c r="P115" s="140"/>
      <c r="Q115" s="140"/>
      <c r="R115" s="140"/>
      <c r="S115" s="140"/>
      <c r="T115" s="140"/>
    </row>
    <row r="116" spans="1:20" ht="13">
      <c r="A116" s="140"/>
      <c r="B116" s="140"/>
      <c r="C116" s="140"/>
      <c r="D116" s="140"/>
      <c r="E116" s="140"/>
      <c r="F116" s="140">
        <f ca="1"/>
        <v>0</v>
      </c>
      <c r="G116" s="140"/>
      <c r="H116" s="140"/>
      <c r="I116" s="140"/>
      <c r="J116" s="140"/>
      <c r="K116" s="140"/>
      <c r="L116" s="140"/>
      <c r="M116" s="140"/>
      <c r="N116" s="140"/>
      <c r="O116" s="140"/>
      <c r="P116" s="140"/>
      <c r="Q116" s="140"/>
      <c r="R116" s="140"/>
      <c r="S116" s="140"/>
      <c r="T116" s="140"/>
    </row>
    <row r="117" spans="1:20" ht="13">
      <c r="A117" s="140"/>
      <c r="B117" s="140"/>
      <c r="C117" s="140"/>
      <c r="D117" s="140"/>
      <c r="E117" s="140"/>
      <c r="F117" s="140">
        <f ca="1"/>
        <v>0</v>
      </c>
      <c r="G117" s="140"/>
      <c r="H117" s="140"/>
      <c r="I117" s="140"/>
      <c r="J117" s="140"/>
      <c r="K117" s="140"/>
      <c r="L117" s="140"/>
      <c r="M117" s="140"/>
      <c r="N117" s="140"/>
      <c r="O117" s="140"/>
      <c r="P117" s="140"/>
      <c r="Q117" s="140"/>
      <c r="R117" s="140"/>
      <c r="S117" s="140"/>
      <c r="T117" s="140"/>
    </row>
    <row r="118" spans="1:20" ht="13">
      <c r="A118" s="140"/>
      <c r="B118" s="140"/>
      <c r="C118" s="140"/>
      <c r="D118" s="140"/>
      <c r="E118" s="140"/>
      <c r="F118" s="140">
        <f ca="1"/>
        <v>0</v>
      </c>
      <c r="G118" s="140"/>
      <c r="H118" s="140"/>
      <c r="I118" s="140"/>
      <c r="J118" s="140"/>
      <c r="K118" s="140"/>
      <c r="L118" s="140"/>
      <c r="M118" s="140"/>
      <c r="N118" s="140"/>
      <c r="O118" s="140"/>
      <c r="P118" s="140"/>
      <c r="Q118" s="140"/>
      <c r="R118" s="140"/>
      <c r="S118" s="140"/>
      <c r="T118" s="140"/>
    </row>
    <row r="119" spans="1:20" ht="13">
      <c r="A119" s="140"/>
      <c r="B119" s="140"/>
      <c r="C119" s="140"/>
      <c r="D119" s="140"/>
      <c r="E119" s="140"/>
      <c r="F119" s="140"/>
      <c r="G119" s="140"/>
      <c r="H119" s="140"/>
      <c r="I119" s="140"/>
      <c r="J119" s="140"/>
      <c r="K119" s="140"/>
      <c r="L119" s="140"/>
      <c r="M119" s="140"/>
      <c r="N119" s="140"/>
      <c r="O119" s="140"/>
      <c r="P119" s="140"/>
      <c r="Q119" s="140"/>
      <c r="R119" s="140"/>
      <c r="S119" s="140"/>
      <c r="T119" s="140"/>
    </row>
    <row r="120" spans="1:20" ht="13">
      <c r="A120" s="140"/>
      <c r="B120" s="140"/>
      <c r="C120" s="140"/>
      <c r="D120" s="140"/>
      <c r="E120" s="140"/>
      <c r="F120" s="140"/>
      <c r="G120" s="140"/>
      <c r="H120" s="140"/>
      <c r="I120" s="140"/>
      <c r="J120" s="140"/>
      <c r="K120" s="140"/>
      <c r="L120" s="140"/>
      <c r="M120" s="140"/>
      <c r="N120" s="140"/>
      <c r="O120" s="140"/>
      <c r="P120" s="140"/>
      <c r="Q120" s="140"/>
      <c r="R120" s="140"/>
      <c r="S120" s="140"/>
      <c r="T120" s="140"/>
    </row>
    <row r="121" spans="1:20" ht="13">
      <c r="A121" s="140"/>
      <c r="B121" s="140"/>
      <c r="C121" s="140"/>
      <c r="D121" s="140"/>
      <c r="E121" s="140"/>
      <c r="F121" s="140"/>
      <c r="G121" s="140"/>
      <c r="H121" s="140"/>
      <c r="I121" s="140"/>
      <c r="J121" s="140"/>
      <c r="K121" s="140"/>
      <c r="L121" s="140"/>
      <c r="M121" s="140"/>
      <c r="N121" s="140"/>
      <c r="O121" s="140"/>
      <c r="P121" s="140"/>
      <c r="Q121" s="140"/>
      <c r="R121" s="140"/>
      <c r="S121" s="140"/>
      <c r="T121" s="140"/>
    </row>
    <row r="122" spans="1:20" ht="13">
      <c r="A122" s="140"/>
      <c r="B122" s="140"/>
      <c r="C122" s="140"/>
      <c r="D122" s="140"/>
      <c r="E122" s="140"/>
      <c r="F122" s="140"/>
      <c r="G122" s="140"/>
      <c r="H122" s="140"/>
      <c r="I122" s="140"/>
      <c r="J122" s="140"/>
      <c r="K122" s="140"/>
      <c r="L122" s="140"/>
      <c r="M122" s="140"/>
      <c r="N122" s="140"/>
      <c r="O122" s="140"/>
      <c r="P122" s="140"/>
      <c r="Q122" s="140"/>
      <c r="R122" s="140"/>
      <c r="S122" s="140"/>
      <c r="T122" s="140"/>
    </row>
    <row r="123" spans="1:20" ht="13">
      <c r="A123" s="140"/>
      <c r="B123" s="140"/>
      <c r="C123" s="140"/>
      <c r="D123" s="140"/>
      <c r="E123" s="140"/>
      <c r="F123" s="140"/>
      <c r="G123" s="140"/>
      <c r="H123" s="140"/>
      <c r="I123" s="140"/>
      <c r="J123" s="140"/>
      <c r="K123" s="140"/>
      <c r="L123" s="140"/>
      <c r="M123" s="140"/>
      <c r="N123" s="140"/>
      <c r="O123" s="140"/>
      <c r="P123" s="140"/>
      <c r="Q123" s="140"/>
      <c r="R123" s="140"/>
      <c r="S123" s="140"/>
      <c r="T123" s="140"/>
    </row>
    <row r="124" spans="1:20" ht="13">
      <c r="A124" s="140"/>
      <c r="B124" s="140"/>
      <c r="C124" s="140"/>
      <c r="D124" s="140"/>
      <c r="E124" s="140"/>
      <c r="F124" s="140"/>
      <c r="G124" s="140"/>
      <c r="H124" s="140"/>
      <c r="I124" s="140"/>
      <c r="J124" s="140"/>
      <c r="K124" s="140"/>
      <c r="L124" s="140"/>
      <c r="M124" s="140"/>
      <c r="N124" s="140"/>
      <c r="O124" s="140"/>
      <c r="P124" s="140"/>
      <c r="Q124" s="140"/>
      <c r="R124" s="140"/>
      <c r="S124" s="140"/>
      <c r="T124" s="140"/>
    </row>
    <row r="125" spans="1:20" ht="13">
      <c r="A125" s="140"/>
      <c r="B125" s="140"/>
      <c r="C125" s="140"/>
      <c r="D125" s="140"/>
      <c r="E125" s="140"/>
      <c r="F125" s="140"/>
      <c r="G125" s="140"/>
      <c r="H125" s="140"/>
      <c r="I125" s="140"/>
      <c r="J125" s="140"/>
      <c r="K125" s="140"/>
      <c r="L125" s="140"/>
      <c r="M125" s="140"/>
      <c r="N125" s="140"/>
      <c r="O125" s="140"/>
      <c r="P125" s="140"/>
      <c r="Q125" s="140"/>
      <c r="R125" s="140"/>
      <c r="S125" s="140"/>
      <c r="T125" s="140"/>
    </row>
    <row r="126" spans="1:20" ht="13">
      <c r="A126" s="140"/>
      <c r="B126" s="140"/>
      <c r="C126" s="140"/>
      <c r="D126" s="140"/>
      <c r="E126" s="140"/>
      <c r="F126" s="140"/>
      <c r="G126" s="140"/>
      <c r="H126" s="140"/>
      <c r="I126" s="140"/>
      <c r="J126" s="140"/>
      <c r="K126" s="140"/>
      <c r="L126" s="140"/>
      <c r="M126" s="140"/>
      <c r="N126" s="140"/>
      <c r="O126" s="140"/>
      <c r="P126" s="140"/>
      <c r="Q126" s="140"/>
      <c r="R126" s="140"/>
      <c r="S126" s="140"/>
      <c r="T126" s="140"/>
    </row>
    <row r="127" spans="1:20" ht="13">
      <c r="A127" s="140"/>
      <c r="B127" s="140"/>
      <c r="C127" s="140"/>
      <c r="D127" s="140"/>
      <c r="E127" s="140"/>
      <c r="F127" s="140"/>
      <c r="G127" s="140"/>
      <c r="H127" s="140"/>
      <c r="I127" s="140"/>
      <c r="J127" s="140"/>
      <c r="K127" s="140"/>
      <c r="L127" s="140"/>
      <c r="M127" s="140"/>
      <c r="N127" s="140"/>
      <c r="O127" s="140"/>
      <c r="P127" s="140"/>
      <c r="Q127" s="140"/>
      <c r="R127" s="140"/>
      <c r="S127" s="140"/>
      <c r="T127" s="140"/>
    </row>
    <row r="128" spans="1:20" ht="13">
      <c r="A128" s="140"/>
      <c r="B128" s="140"/>
      <c r="C128" s="140"/>
      <c r="D128" s="140"/>
      <c r="E128" s="140"/>
      <c r="F128" s="140"/>
      <c r="G128" s="140"/>
      <c r="H128" s="140"/>
      <c r="I128" s="140"/>
      <c r="J128" s="140"/>
      <c r="K128" s="140"/>
      <c r="L128" s="140"/>
      <c r="M128" s="140"/>
      <c r="N128" s="140"/>
      <c r="O128" s="140"/>
      <c r="P128" s="140"/>
      <c r="Q128" s="140"/>
      <c r="R128" s="140"/>
      <c r="S128" s="140"/>
      <c r="T128" s="140"/>
    </row>
    <row r="129" spans="1:20" ht="13">
      <c r="A129" s="140"/>
      <c r="B129" s="140"/>
      <c r="C129" s="140"/>
      <c r="D129" s="140"/>
      <c r="E129" s="140"/>
      <c r="F129" s="140"/>
      <c r="G129" s="140"/>
      <c r="H129" s="140"/>
      <c r="I129" s="140"/>
      <c r="J129" s="140"/>
      <c r="K129" s="140"/>
      <c r="L129" s="140"/>
      <c r="M129" s="140"/>
      <c r="N129" s="140"/>
      <c r="O129" s="140"/>
      <c r="P129" s="140"/>
      <c r="Q129" s="140"/>
      <c r="R129" s="140"/>
      <c r="S129" s="140"/>
      <c r="T129" s="140"/>
    </row>
    <row r="130" spans="1:20" ht="13">
      <c r="A130" s="140"/>
      <c r="B130" s="140"/>
      <c r="C130" s="140"/>
      <c r="D130" s="140"/>
      <c r="E130" s="140"/>
      <c r="F130" s="140"/>
      <c r="G130" s="140"/>
      <c r="H130" s="140"/>
      <c r="I130" s="140"/>
      <c r="J130" s="140"/>
      <c r="K130" s="140"/>
      <c r="L130" s="140"/>
      <c r="M130" s="140"/>
      <c r="N130" s="140"/>
      <c r="O130" s="140"/>
      <c r="P130" s="140"/>
      <c r="Q130" s="140"/>
      <c r="R130" s="140"/>
      <c r="S130" s="140"/>
      <c r="T130" s="140"/>
    </row>
    <row r="131" spans="1:20" ht="13">
      <c r="A131" s="140"/>
      <c r="B131" s="140"/>
      <c r="C131" s="140"/>
      <c r="D131" s="140"/>
      <c r="E131" s="140"/>
      <c r="F131" s="140"/>
      <c r="G131" s="140"/>
      <c r="H131" s="140"/>
      <c r="I131" s="140"/>
      <c r="J131" s="140"/>
      <c r="K131" s="140"/>
      <c r="L131" s="140"/>
      <c r="M131" s="140"/>
      <c r="N131" s="140"/>
      <c r="O131" s="140"/>
      <c r="P131" s="140"/>
      <c r="Q131" s="140"/>
      <c r="R131" s="140"/>
      <c r="S131" s="140"/>
      <c r="T131" s="140"/>
    </row>
    <row r="132" spans="1:20" ht="13">
      <c r="A132" s="140"/>
      <c r="B132" s="140"/>
      <c r="C132" s="140"/>
      <c r="D132" s="140"/>
      <c r="E132" s="140"/>
      <c r="F132" s="140"/>
      <c r="G132" s="140"/>
      <c r="H132" s="140"/>
      <c r="I132" s="140"/>
      <c r="J132" s="140"/>
      <c r="K132" s="140"/>
      <c r="L132" s="140"/>
      <c r="M132" s="140"/>
      <c r="N132" s="140"/>
      <c r="O132" s="140"/>
      <c r="P132" s="140"/>
      <c r="Q132" s="140"/>
      <c r="R132" s="140"/>
      <c r="S132" s="140"/>
      <c r="T132" s="140"/>
    </row>
    <row r="133" spans="1:20" ht="13">
      <c r="A133" s="140"/>
      <c r="B133" s="140"/>
      <c r="C133" s="140"/>
      <c r="D133" s="140"/>
      <c r="E133" s="140"/>
      <c r="F133" s="140"/>
      <c r="G133" s="140"/>
      <c r="H133" s="140"/>
      <c r="I133" s="140"/>
      <c r="J133" s="140"/>
      <c r="K133" s="140"/>
      <c r="L133" s="140"/>
      <c r="M133" s="140"/>
      <c r="N133" s="140"/>
      <c r="O133" s="140"/>
      <c r="P133" s="140"/>
      <c r="Q133" s="140"/>
      <c r="R133" s="140"/>
      <c r="S133" s="140"/>
      <c r="T133" s="140"/>
    </row>
    <row r="134" spans="1:20" ht="13">
      <c r="A134" s="140"/>
      <c r="B134" s="140"/>
      <c r="C134" s="140"/>
      <c r="D134" s="140"/>
      <c r="E134" s="140"/>
      <c r="F134" s="140"/>
      <c r="G134" s="140"/>
      <c r="H134" s="140"/>
      <c r="I134" s="140"/>
      <c r="J134" s="140"/>
      <c r="K134" s="140"/>
      <c r="L134" s="140"/>
      <c r="M134" s="140"/>
      <c r="N134" s="140"/>
      <c r="O134" s="140"/>
      <c r="P134" s="140"/>
      <c r="Q134" s="140"/>
      <c r="R134" s="140"/>
      <c r="S134" s="140"/>
      <c r="T134" s="140"/>
    </row>
    <row r="135" spans="1:20" ht="13">
      <c r="A135" s="140"/>
      <c r="B135" s="140"/>
      <c r="C135" s="140"/>
      <c r="D135" s="140"/>
      <c r="E135" s="140"/>
      <c r="F135" s="140"/>
      <c r="G135" s="140"/>
      <c r="H135" s="140"/>
      <c r="I135" s="140"/>
      <c r="J135" s="140"/>
      <c r="K135" s="140"/>
      <c r="L135" s="140"/>
      <c r="M135" s="140"/>
      <c r="N135" s="140"/>
      <c r="O135" s="140"/>
      <c r="P135" s="140"/>
      <c r="Q135" s="140"/>
      <c r="R135" s="140"/>
      <c r="S135" s="140"/>
      <c r="T135" s="140"/>
    </row>
    <row r="136" spans="1:20" ht="13">
      <c r="A136" s="140"/>
      <c r="B136" s="140"/>
      <c r="C136" s="140"/>
      <c r="D136" s="140"/>
      <c r="E136" s="140"/>
      <c r="F136" s="140"/>
      <c r="G136" s="140"/>
      <c r="H136" s="140"/>
      <c r="I136" s="140"/>
      <c r="J136" s="140"/>
      <c r="K136" s="140"/>
      <c r="L136" s="140"/>
      <c r="M136" s="140"/>
      <c r="N136" s="140"/>
      <c r="O136" s="140"/>
      <c r="P136" s="140"/>
      <c r="Q136" s="140"/>
      <c r="R136" s="140"/>
      <c r="S136" s="140"/>
      <c r="T136" s="140"/>
    </row>
    <row r="137" spans="1:20" ht="13">
      <c r="A137" s="140"/>
      <c r="B137" s="140"/>
      <c r="C137" s="140"/>
      <c r="D137" s="140"/>
      <c r="E137" s="140"/>
      <c r="F137" s="140"/>
      <c r="G137" s="140"/>
      <c r="H137" s="140"/>
      <c r="I137" s="140"/>
      <c r="J137" s="140"/>
      <c r="K137" s="140"/>
      <c r="L137" s="140"/>
      <c r="M137" s="140"/>
      <c r="N137" s="140"/>
      <c r="O137" s="140"/>
      <c r="P137" s="140"/>
      <c r="Q137" s="140"/>
      <c r="R137" s="140"/>
      <c r="S137" s="140"/>
      <c r="T137" s="140"/>
    </row>
    <row r="138" spans="1:20" ht="13">
      <c r="A138" s="140"/>
      <c r="B138" s="140"/>
      <c r="C138" s="140"/>
      <c r="D138" s="140"/>
      <c r="E138" s="140"/>
      <c r="F138" s="140"/>
      <c r="G138" s="140"/>
      <c r="H138" s="140"/>
      <c r="I138" s="140"/>
      <c r="J138" s="140"/>
      <c r="K138" s="140"/>
      <c r="L138" s="140"/>
      <c r="M138" s="140"/>
      <c r="N138" s="140"/>
      <c r="O138" s="140"/>
      <c r="P138" s="140"/>
      <c r="Q138" s="140"/>
      <c r="R138" s="140"/>
      <c r="S138" s="140"/>
      <c r="T138" s="140"/>
    </row>
    <row r="139" spans="1:20" ht="13">
      <c r="A139" s="140"/>
      <c r="B139" s="140"/>
      <c r="C139" s="140"/>
      <c r="D139" s="140"/>
      <c r="E139" s="140"/>
      <c r="F139" s="140"/>
      <c r="G139" s="140"/>
      <c r="H139" s="140"/>
      <c r="I139" s="140"/>
      <c r="J139" s="140"/>
      <c r="K139" s="140"/>
      <c r="L139" s="140"/>
      <c r="M139" s="140"/>
      <c r="N139" s="140"/>
      <c r="O139" s="140"/>
      <c r="P139" s="140"/>
      <c r="Q139" s="140"/>
      <c r="R139" s="140"/>
      <c r="S139" s="140"/>
      <c r="T139" s="140"/>
    </row>
    <row r="140" spans="1:20" ht="13">
      <c r="A140" s="140"/>
      <c r="B140" s="140"/>
      <c r="C140" s="140"/>
      <c r="D140" s="140"/>
      <c r="E140" s="140"/>
      <c r="F140" s="140"/>
      <c r="G140" s="140"/>
      <c r="H140" s="140"/>
      <c r="I140" s="140"/>
      <c r="J140" s="140"/>
      <c r="K140" s="140"/>
      <c r="L140" s="140"/>
      <c r="M140" s="140"/>
      <c r="N140" s="140"/>
      <c r="O140" s="140"/>
      <c r="P140" s="140"/>
      <c r="Q140" s="140"/>
      <c r="R140" s="140"/>
      <c r="S140" s="140"/>
      <c r="T140" s="140"/>
    </row>
    <row r="141" spans="1:20" ht="13">
      <c r="A141" s="140"/>
      <c r="B141" s="140"/>
      <c r="C141" s="140"/>
      <c r="D141" s="140"/>
      <c r="E141" s="140"/>
      <c r="F141" s="140"/>
      <c r="G141" s="140"/>
      <c r="H141" s="140"/>
      <c r="I141" s="140"/>
      <c r="J141" s="140"/>
      <c r="K141" s="140"/>
      <c r="L141" s="140"/>
      <c r="M141" s="140"/>
      <c r="N141" s="140"/>
      <c r="O141" s="140"/>
      <c r="P141" s="140"/>
      <c r="Q141" s="140"/>
      <c r="R141" s="140"/>
      <c r="S141" s="140"/>
      <c r="T141" s="140"/>
    </row>
    <row r="142" spans="1:20" ht="13">
      <c r="A142" s="140"/>
      <c r="B142" s="140"/>
      <c r="C142" s="140"/>
      <c r="D142" s="140"/>
      <c r="E142" s="140"/>
      <c r="F142" s="140"/>
      <c r="G142" s="140"/>
      <c r="H142" s="140"/>
      <c r="I142" s="140"/>
      <c r="J142" s="140"/>
      <c r="K142" s="140"/>
      <c r="L142" s="140"/>
      <c r="M142" s="140"/>
      <c r="N142" s="140"/>
      <c r="O142" s="140"/>
      <c r="P142" s="140"/>
      <c r="Q142" s="140"/>
      <c r="R142" s="140"/>
      <c r="S142" s="140"/>
      <c r="T142" s="140"/>
    </row>
    <row r="143" spans="1:20" ht="13">
      <c r="A143" s="140"/>
      <c r="B143" s="140"/>
      <c r="C143" s="140"/>
      <c r="D143" s="140"/>
      <c r="E143" s="140"/>
      <c r="F143" s="140"/>
      <c r="G143" s="140"/>
      <c r="H143" s="140"/>
      <c r="I143" s="140"/>
      <c r="J143" s="140"/>
      <c r="K143" s="140"/>
      <c r="L143" s="140"/>
      <c r="M143" s="140"/>
      <c r="N143" s="140"/>
      <c r="O143" s="140"/>
      <c r="P143" s="140"/>
      <c r="Q143" s="140"/>
      <c r="R143" s="140"/>
      <c r="S143" s="140"/>
      <c r="T143" s="140"/>
    </row>
    <row r="144" spans="1:20" ht="13">
      <c r="A144" s="140"/>
      <c r="B144" s="140"/>
      <c r="C144" s="140"/>
      <c r="D144" s="140"/>
      <c r="E144" s="140"/>
      <c r="F144" s="140"/>
      <c r="G144" s="140"/>
      <c r="H144" s="140"/>
      <c r="I144" s="140"/>
      <c r="J144" s="140"/>
      <c r="K144" s="140"/>
      <c r="L144" s="140"/>
      <c r="M144" s="140"/>
      <c r="N144" s="140"/>
      <c r="O144" s="140"/>
      <c r="P144" s="140"/>
      <c r="Q144" s="140"/>
      <c r="R144" s="140"/>
      <c r="S144" s="140"/>
      <c r="T144" s="140"/>
    </row>
    <row r="145" spans="1:20" ht="13">
      <c r="A145" s="140"/>
      <c r="B145" s="140"/>
      <c r="C145" s="140"/>
      <c r="D145" s="140"/>
      <c r="E145" s="140"/>
      <c r="F145" s="140"/>
      <c r="G145" s="140"/>
      <c r="H145" s="140"/>
      <c r="I145" s="140"/>
      <c r="J145" s="140"/>
      <c r="K145" s="140"/>
      <c r="L145" s="140"/>
      <c r="M145" s="140"/>
      <c r="N145" s="140"/>
      <c r="O145" s="140"/>
      <c r="P145" s="140"/>
      <c r="Q145" s="140"/>
      <c r="R145" s="140"/>
      <c r="S145" s="140"/>
      <c r="T145" s="140"/>
    </row>
    <row r="146" spans="1:20" ht="13">
      <c r="A146" s="140"/>
      <c r="B146" s="140"/>
      <c r="C146" s="140"/>
      <c r="D146" s="140"/>
      <c r="E146" s="140"/>
      <c r="F146" s="140"/>
      <c r="G146" s="140"/>
      <c r="H146" s="140"/>
      <c r="I146" s="140"/>
      <c r="J146" s="140"/>
      <c r="K146" s="140"/>
      <c r="L146" s="140"/>
      <c r="M146" s="140"/>
      <c r="N146" s="140"/>
      <c r="O146" s="140"/>
      <c r="P146" s="140"/>
      <c r="Q146" s="140"/>
      <c r="R146" s="140"/>
      <c r="S146" s="140"/>
      <c r="T146" s="140"/>
    </row>
    <row r="147" spans="1:20" ht="13">
      <c r="A147" s="140"/>
      <c r="B147" s="140"/>
      <c r="C147" s="140"/>
      <c r="D147" s="140"/>
      <c r="E147" s="140"/>
      <c r="F147" s="140"/>
      <c r="G147" s="140"/>
      <c r="H147" s="140"/>
      <c r="I147" s="140"/>
      <c r="J147" s="140"/>
      <c r="K147" s="140"/>
      <c r="L147" s="140"/>
      <c r="M147" s="140"/>
      <c r="N147" s="140"/>
      <c r="O147" s="140"/>
      <c r="P147" s="140"/>
      <c r="Q147" s="140"/>
      <c r="R147" s="140"/>
      <c r="S147" s="140"/>
      <c r="T147" s="140"/>
    </row>
    <row r="148" spans="1:20" ht="13">
      <c r="A148" s="140"/>
      <c r="B148" s="140"/>
      <c r="C148" s="140"/>
      <c r="D148" s="140"/>
      <c r="E148" s="140"/>
      <c r="F148" s="140"/>
      <c r="G148" s="140"/>
      <c r="H148" s="140"/>
      <c r="I148" s="140"/>
      <c r="J148" s="140"/>
      <c r="K148" s="140"/>
      <c r="L148" s="140"/>
      <c r="M148" s="140"/>
      <c r="N148" s="140"/>
      <c r="O148" s="140"/>
      <c r="P148" s="140"/>
      <c r="Q148" s="140"/>
      <c r="R148" s="140"/>
      <c r="S148" s="140"/>
      <c r="T148" s="140"/>
    </row>
    <row r="149" spans="1:20" ht="13">
      <c r="A149" s="140"/>
      <c r="B149" s="140"/>
      <c r="C149" s="140"/>
      <c r="D149" s="140"/>
      <c r="E149" s="140"/>
      <c r="F149" s="140"/>
      <c r="G149" s="140"/>
      <c r="H149" s="140"/>
      <c r="I149" s="140"/>
      <c r="J149" s="140"/>
      <c r="K149" s="140"/>
      <c r="L149" s="140"/>
      <c r="M149" s="140"/>
      <c r="N149" s="140"/>
      <c r="O149" s="140"/>
      <c r="P149" s="140"/>
      <c r="Q149" s="140"/>
      <c r="R149" s="140"/>
      <c r="S149" s="140"/>
      <c r="T149" s="140"/>
    </row>
    <row r="150" spans="1:20" ht="13">
      <c r="A150" s="140"/>
      <c r="B150" s="140"/>
      <c r="C150" s="140"/>
      <c r="D150" s="140"/>
      <c r="E150" s="140"/>
      <c r="F150" s="140"/>
      <c r="G150" s="140"/>
      <c r="H150" s="140"/>
      <c r="I150" s="140"/>
      <c r="J150" s="140"/>
      <c r="K150" s="140"/>
      <c r="L150" s="140"/>
      <c r="M150" s="140"/>
      <c r="N150" s="140"/>
      <c r="O150" s="140"/>
      <c r="P150" s="140"/>
      <c r="Q150" s="140"/>
      <c r="R150" s="140"/>
      <c r="S150" s="140"/>
      <c r="T150" s="140"/>
    </row>
    <row r="151" spans="1:20" ht="13">
      <c r="A151" s="140"/>
      <c r="B151" s="140"/>
      <c r="C151" s="140"/>
      <c r="D151" s="140"/>
      <c r="E151" s="140"/>
      <c r="F151" s="140"/>
      <c r="G151" s="140"/>
      <c r="H151" s="140"/>
      <c r="I151" s="140"/>
      <c r="J151" s="140"/>
      <c r="K151" s="140"/>
      <c r="L151" s="140"/>
      <c r="M151" s="140"/>
      <c r="N151" s="140"/>
      <c r="O151" s="140"/>
      <c r="P151" s="140"/>
      <c r="Q151" s="140"/>
      <c r="R151" s="140"/>
      <c r="S151" s="140"/>
      <c r="T151" s="140"/>
    </row>
    <row r="152" spans="1:20" ht="13">
      <c r="A152" s="140"/>
      <c r="B152" s="140"/>
      <c r="C152" s="140"/>
      <c r="D152" s="140"/>
      <c r="E152" s="140"/>
      <c r="F152" s="140"/>
      <c r="G152" s="140"/>
      <c r="H152" s="140"/>
      <c r="I152" s="140"/>
      <c r="J152" s="140"/>
      <c r="K152" s="140"/>
      <c r="L152" s="140"/>
      <c r="M152" s="140"/>
      <c r="N152" s="140"/>
      <c r="O152" s="140"/>
      <c r="P152" s="140"/>
      <c r="Q152" s="140"/>
      <c r="R152" s="140"/>
      <c r="S152" s="140"/>
      <c r="T152" s="140"/>
    </row>
    <row r="153" spans="1:20" ht="13">
      <c r="A153" s="140"/>
      <c r="B153" s="140"/>
      <c r="C153" s="140"/>
      <c r="D153" s="140"/>
      <c r="E153" s="140"/>
      <c r="F153" s="140"/>
      <c r="G153" s="140"/>
      <c r="H153" s="140"/>
      <c r="I153" s="140"/>
      <c r="J153" s="140"/>
      <c r="K153" s="140"/>
      <c r="L153" s="140"/>
      <c r="M153" s="140"/>
      <c r="N153" s="140"/>
      <c r="O153" s="140"/>
      <c r="P153" s="140"/>
      <c r="Q153" s="140"/>
      <c r="R153" s="140"/>
      <c r="S153" s="140"/>
      <c r="T153" s="140"/>
    </row>
    <row r="154" spans="1:20" ht="13">
      <c r="A154" s="140"/>
      <c r="B154" s="140"/>
      <c r="C154" s="140"/>
      <c r="D154" s="140"/>
      <c r="E154" s="140"/>
      <c r="F154" s="140"/>
      <c r="G154" s="140"/>
      <c r="H154" s="140"/>
      <c r="I154" s="140"/>
      <c r="J154" s="140"/>
      <c r="K154" s="140"/>
      <c r="L154" s="140"/>
      <c r="M154" s="140"/>
      <c r="N154" s="140"/>
      <c r="O154" s="140"/>
      <c r="P154" s="140"/>
      <c r="Q154" s="140"/>
      <c r="R154" s="140"/>
      <c r="S154" s="140"/>
      <c r="T154" s="140"/>
    </row>
    <row r="155" spans="1:20" ht="13">
      <c r="A155" s="140"/>
      <c r="B155" s="140"/>
      <c r="C155" s="140"/>
      <c r="D155" s="140"/>
      <c r="E155" s="140"/>
      <c r="F155" s="140"/>
      <c r="G155" s="140"/>
      <c r="H155" s="140"/>
      <c r="I155" s="140"/>
      <c r="J155" s="140"/>
      <c r="K155" s="140"/>
      <c r="L155" s="140"/>
      <c r="M155" s="140"/>
      <c r="N155" s="140"/>
      <c r="O155" s="140"/>
      <c r="P155" s="140"/>
      <c r="Q155" s="140"/>
      <c r="R155" s="140"/>
      <c r="S155" s="140"/>
      <c r="T155" s="140"/>
    </row>
    <row r="156" spans="1:20" ht="13">
      <c r="A156" s="140"/>
      <c r="B156" s="140"/>
      <c r="C156" s="140"/>
      <c r="D156" s="140"/>
      <c r="E156" s="140"/>
      <c r="F156" s="140"/>
      <c r="G156" s="140"/>
      <c r="H156" s="140"/>
      <c r="I156" s="140"/>
      <c r="J156" s="140"/>
      <c r="K156" s="140"/>
      <c r="L156" s="140"/>
      <c r="M156" s="140"/>
      <c r="N156" s="140"/>
      <c r="O156" s="140"/>
      <c r="P156" s="140"/>
      <c r="Q156" s="140"/>
      <c r="R156" s="140"/>
      <c r="S156" s="140"/>
      <c r="T156" s="140"/>
    </row>
    <row r="157" spans="1:20" ht="13">
      <c r="A157" s="140"/>
      <c r="B157" s="140"/>
      <c r="C157" s="140"/>
      <c r="D157" s="140"/>
      <c r="E157" s="140"/>
      <c r="F157" s="140"/>
      <c r="G157" s="140"/>
      <c r="H157" s="140"/>
      <c r="I157" s="140"/>
      <c r="J157" s="140"/>
      <c r="K157" s="140"/>
      <c r="L157" s="140"/>
      <c r="M157" s="140"/>
      <c r="N157" s="140"/>
      <c r="O157" s="140"/>
      <c r="P157" s="140"/>
      <c r="Q157" s="140"/>
      <c r="R157" s="140"/>
      <c r="S157" s="140"/>
      <c r="T157" s="140"/>
    </row>
    <row r="158" spans="1:20" ht="13">
      <c r="A158" s="140"/>
      <c r="B158" s="140"/>
      <c r="C158" s="140"/>
      <c r="D158" s="140"/>
      <c r="E158" s="140"/>
      <c r="F158" s="140"/>
      <c r="G158" s="140"/>
      <c r="H158" s="140"/>
      <c r="I158" s="140"/>
      <c r="J158" s="140"/>
      <c r="K158" s="140"/>
      <c r="L158" s="140"/>
      <c r="M158" s="140"/>
      <c r="N158" s="140"/>
      <c r="O158" s="140"/>
      <c r="P158" s="140"/>
      <c r="Q158" s="140"/>
      <c r="R158" s="140"/>
      <c r="S158" s="140"/>
      <c r="T158" s="140"/>
    </row>
    <row r="159" spans="1:20" ht="13">
      <c r="A159" s="140"/>
      <c r="B159" s="140"/>
      <c r="C159" s="140"/>
      <c r="D159" s="140"/>
      <c r="E159" s="140"/>
      <c r="F159" s="140"/>
      <c r="G159" s="140"/>
      <c r="H159" s="140"/>
      <c r="I159" s="140"/>
      <c r="J159" s="140"/>
      <c r="K159" s="140"/>
      <c r="L159" s="140"/>
      <c r="M159" s="140"/>
      <c r="N159" s="140"/>
      <c r="O159" s="140"/>
      <c r="P159" s="140"/>
      <c r="Q159" s="140"/>
      <c r="R159" s="140"/>
      <c r="S159" s="140"/>
      <c r="T159" s="140"/>
    </row>
    <row r="160" spans="1:20" ht="13">
      <c r="A160" s="140"/>
      <c r="B160" s="140"/>
      <c r="C160" s="140"/>
      <c r="D160" s="140"/>
      <c r="E160" s="140"/>
      <c r="F160" s="140"/>
      <c r="G160" s="140"/>
      <c r="H160" s="140"/>
      <c r="I160" s="140"/>
      <c r="J160" s="140"/>
      <c r="K160" s="140"/>
      <c r="L160" s="140"/>
      <c r="M160" s="140"/>
      <c r="N160" s="140"/>
      <c r="O160" s="140"/>
      <c r="P160" s="140"/>
      <c r="Q160" s="140"/>
      <c r="R160" s="140"/>
      <c r="S160" s="140"/>
      <c r="T160" s="140"/>
    </row>
    <row r="161" spans="1:20" ht="13">
      <c r="A161" s="140"/>
      <c r="B161" s="140"/>
      <c r="C161" s="140"/>
      <c r="D161" s="140"/>
      <c r="E161" s="140"/>
      <c r="F161" s="140"/>
      <c r="G161" s="140"/>
      <c r="H161" s="140"/>
      <c r="I161" s="140"/>
      <c r="J161" s="140"/>
      <c r="K161" s="140"/>
      <c r="L161" s="140"/>
      <c r="M161" s="140"/>
      <c r="N161" s="140"/>
      <c r="O161" s="140"/>
      <c r="P161" s="140"/>
      <c r="Q161" s="140"/>
      <c r="R161" s="140"/>
      <c r="S161" s="140"/>
      <c r="T161" s="140"/>
    </row>
    <row r="162" spans="1:20" ht="13">
      <c r="A162" s="140"/>
      <c r="B162" s="140"/>
      <c r="C162" s="140"/>
      <c r="D162" s="140"/>
      <c r="E162" s="140"/>
      <c r="F162" s="140"/>
      <c r="G162" s="140"/>
      <c r="H162" s="140"/>
      <c r="I162" s="140"/>
      <c r="J162" s="140"/>
      <c r="K162" s="140"/>
      <c r="L162" s="140"/>
      <c r="M162" s="140"/>
      <c r="N162" s="140"/>
      <c r="O162" s="140"/>
      <c r="P162" s="140"/>
      <c r="Q162" s="140"/>
      <c r="R162" s="140"/>
      <c r="S162" s="140"/>
      <c r="T162" s="140"/>
    </row>
    <row r="163" spans="1:20" ht="13">
      <c r="A163" s="140"/>
      <c r="B163" s="140"/>
      <c r="C163" s="140"/>
      <c r="D163" s="140"/>
      <c r="E163" s="140"/>
      <c r="F163" s="140"/>
      <c r="G163" s="140"/>
      <c r="H163" s="140"/>
      <c r="I163" s="140"/>
      <c r="J163" s="140"/>
      <c r="K163" s="140"/>
      <c r="L163" s="140"/>
      <c r="M163" s="140"/>
      <c r="N163" s="140"/>
      <c r="O163" s="140"/>
      <c r="P163" s="140"/>
      <c r="Q163" s="140"/>
      <c r="R163" s="140"/>
      <c r="S163" s="140"/>
      <c r="T163" s="140"/>
    </row>
    <row r="164" spans="1:20" ht="13">
      <c r="A164" s="140"/>
      <c r="B164" s="140"/>
      <c r="C164" s="140"/>
      <c r="D164" s="140"/>
      <c r="E164" s="140"/>
      <c r="F164" s="140"/>
      <c r="G164" s="140"/>
      <c r="H164" s="140"/>
      <c r="I164" s="140"/>
      <c r="J164" s="140"/>
      <c r="K164" s="140"/>
      <c r="L164" s="140"/>
      <c r="M164" s="140"/>
      <c r="N164" s="140"/>
      <c r="O164" s="140"/>
      <c r="P164" s="140"/>
      <c r="Q164" s="140"/>
      <c r="R164" s="140"/>
      <c r="S164" s="140"/>
      <c r="T164" s="140"/>
    </row>
    <row r="165" spans="1:20" ht="13">
      <c r="A165" s="140"/>
      <c r="B165" s="140"/>
      <c r="C165" s="140"/>
      <c r="D165" s="140"/>
      <c r="E165" s="140"/>
      <c r="F165" s="140"/>
      <c r="G165" s="140"/>
      <c r="H165" s="140"/>
      <c r="I165" s="140"/>
      <c r="J165" s="140"/>
      <c r="K165" s="140"/>
      <c r="L165" s="140"/>
      <c r="M165" s="140"/>
      <c r="N165" s="140"/>
      <c r="O165" s="140"/>
      <c r="P165" s="140"/>
      <c r="Q165" s="140"/>
      <c r="R165" s="140"/>
      <c r="S165" s="140"/>
      <c r="T165" s="140"/>
    </row>
    <row r="166" spans="1:20" ht="13">
      <c r="A166" s="140"/>
      <c r="B166" s="140"/>
      <c r="C166" s="140"/>
      <c r="D166" s="140"/>
      <c r="E166" s="140"/>
      <c r="F166" s="140"/>
      <c r="G166" s="140"/>
      <c r="H166" s="140"/>
      <c r="I166" s="140"/>
      <c r="J166" s="140"/>
      <c r="K166" s="140"/>
      <c r="L166" s="140"/>
      <c r="M166" s="140"/>
      <c r="N166" s="140"/>
      <c r="O166" s="140"/>
      <c r="P166" s="140"/>
      <c r="Q166" s="140"/>
      <c r="R166" s="140"/>
      <c r="S166" s="140"/>
      <c r="T166" s="140"/>
    </row>
    <row r="167" spans="1:20" ht="13">
      <c r="A167" s="140"/>
      <c r="B167" s="140"/>
      <c r="C167" s="140"/>
      <c r="D167" s="140"/>
      <c r="E167" s="140"/>
      <c r="F167" s="140"/>
      <c r="G167" s="140"/>
      <c r="H167" s="140"/>
      <c r="I167" s="140"/>
      <c r="J167" s="140"/>
      <c r="K167" s="140"/>
      <c r="L167" s="140"/>
      <c r="M167" s="140"/>
      <c r="N167" s="140"/>
      <c r="O167" s="140"/>
      <c r="P167" s="140"/>
      <c r="Q167" s="140"/>
      <c r="R167" s="140"/>
      <c r="S167" s="140"/>
      <c r="T167" s="140"/>
    </row>
    <row r="168" spans="1:20" ht="13">
      <c r="A168" s="140"/>
      <c r="B168" s="140"/>
      <c r="C168" s="140"/>
      <c r="D168" s="140"/>
      <c r="E168" s="140"/>
      <c r="F168" s="140"/>
      <c r="G168" s="140"/>
      <c r="H168" s="140"/>
      <c r="I168" s="140"/>
      <c r="J168" s="140"/>
      <c r="K168" s="140"/>
      <c r="L168" s="140"/>
      <c r="M168" s="140"/>
      <c r="N168" s="140"/>
      <c r="O168" s="140"/>
      <c r="P168" s="140"/>
      <c r="Q168" s="140"/>
      <c r="R168" s="140"/>
      <c r="S168" s="140"/>
      <c r="T168" s="140"/>
    </row>
    <row r="169" spans="1:20" ht="13">
      <c r="A169" s="140"/>
      <c r="B169" s="140"/>
      <c r="C169" s="140"/>
      <c r="D169" s="140"/>
      <c r="E169" s="140"/>
      <c r="F169" s="140"/>
      <c r="G169" s="140"/>
      <c r="H169" s="140"/>
      <c r="I169" s="140"/>
      <c r="J169" s="140"/>
      <c r="K169" s="140"/>
      <c r="L169" s="140"/>
      <c r="M169" s="140"/>
      <c r="N169" s="140"/>
      <c r="O169" s="140"/>
      <c r="P169" s="140"/>
      <c r="Q169" s="140"/>
      <c r="R169" s="140"/>
      <c r="S169" s="140"/>
      <c r="T169" s="140"/>
    </row>
    <row r="170" spans="1:20" ht="13">
      <c r="A170" s="140"/>
      <c r="B170" s="140"/>
      <c r="C170" s="140"/>
      <c r="D170" s="140"/>
      <c r="E170" s="140"/>
      <c r="F170" s="140"/>
      <c r="G170" s="140"/>
      <c r="H170" s="140"/>
      <c r="I170" s="140"/>
      <c r="J170" s="140"/>
      <c r="K170" s="140"/>
      <c r="L170" s="140"/>
      <c r="M170" s="140"/>
      <c r="N170" s="140"/>
      <c r="O170" s="140"/>
      <c r="P170" s="140"/>
      <c r="Q170" s="140"/>
      <c r="R170" s="140"/>
      <c r="S170" s="140"/>
      <c r="T170" s="140"/>
    </row>
    <row r="171" spans="1:20" ht="13">
      <c r="A171" s="140"/>
      <c r="B171" s="140"/>
      <c r="C171" s="140"/>
      <c r="D171" s="140"/>
      <c r="E171" s="140"/>
      <c r="F171" s="140"/>
      <c r="G171" s="140"/>
      <c r="H171" s="140"/>
      <c r="I171" s="140"/>
      <c r="J171" s="140"/>
      <c r="K171" s="140"/>
      <c r="L171" s="140"/>
      <c r="M171" s="140"/>
      <c r="N171" s="140"/>
      <c r="O171" s="140"/>
      <c r="P171" s="140"/>
      <c r="Q171" s="140"/>
      <c r="R171" s="140"/>
      <c r="S171" s="140"/>
      <c r="T171" s="140"/>
    </row>
    <row r="172" spans="1:20" ht="13">
      <c r="A172" s="140"/>
      <c r="B172" s="140"/>
      <c r="C172" s="140"/>
      <c r="D172" s="140"/>
      <c r="E172" s="140"/>
      <c r="F172" s="140"/>
      <c r="G172" s="140"/>
      <c r="H172" s="140"/>
      <c r="I172" s="140"/>
      <c r="J172" s="140"/>
      <c r="K172" s="140"/>
      <c r="L172" s="140"/>
      <c r="M172" s="140"/>
      <c r="N172" s="140"/>
      <c r="O172" s="140"/>
      <c r="P172" s="140"/>
      <c r="Q172" s="140"/>
      <c r="R172" s="140"/>
      <c r="S172" s="140"/>
      <c r="T172" s="140"/>
    </row>
    <row r="173" spans="1:20" ht="13">
      <c r="A173" s="140"/>
      <c r="B173" s="140"/>
      <c r="C173" s="140"/>
      <c r="D173" s="140"/>
      <c r="E173" s="140"/>
      <c r="F173" s="140"/>
      <c r="G173" s="140"/>
      <c r="H173" s="140"/>
      <c r="I173" s="140"/>
      <c r="J173" s="140"/>
      <c r="K173" s="140"/>
      <c r="L173" s="140"/>
      <c r="M173" s="140"/>
      <c r="N173" s="140"/>
      <c r="O173" s="140"/>
      <c r="P173" s="140"/>
      <c r="Q173" s="140"/>
      <c r="R173" s="140"/>
      <c r="S173" s="140"/>
      <c r="T173" s="140"/>
    </row>
    <row r="174" spans="1:20" ht="13">
      <c r="A174" s="140"/>
      <c r="B174" s="140"/>
      <c r="C174" s="140"/>
      <c r="D174" s="140"/>
      <c r="E174" s="140"/>
      <c r="F174" s="140"/>
      <c r="G174" s="140"/>
      <c r="H174" s="140"/>
      <c r="I174" s="140"/>
      <c r="J174" s="140"/>
      <c r="K174" s="140"/>
      <c r="L174" s="140"/>
      <c r="M174" s="140"/>
      <c r="N174" s="140"/>
      <c r="O174" s="140"/>
      <c r="P174" s="140"/>
      <c r="Q174" s="140"/>
      <c r="R174" s="140"/>
      <c r="S174" s="140"/>
      <c r="T174" s="140"/>
    </row>
    <row r="175" spans="1:20" ht="13">
      <c r="A175" s="140"/>
      <c r="B175" s="140"/>
      <c r="C175" s="140"/>
      <c r="D175" s="140"/>
      <c r="E175" s="140"/>
      <c r="F175" s="140"/>
      <c r="G175" s="140"/>
      <c r="H175" s="140"/>
      <c r="I175" s="140"/>
      <c r="J175" s="140"/>
      <c r="K175" s="140"/>
      <c r="L175" s="140"/>
      <c r="M175" s="140"/>
      <c r="N175" s="140"/>
      <c r="O175" s="140"/>
      <c r="P175" s="140"/>
      <c r="Q175" s="140"/>
      <c r="R175" s="140"/>
      <c r="S175" s="140"/>
      <c r="T175" s="140"/>
    </row>
    <row r="176" spans="1:20" ht="13">
      <c r="A176" s="140"/>
      <c r="B176" s="140"/>
      <c r="C176" s="140"/>
      <c r="D176" s="140"/>
      <c r="E176" s="140"/>
      <c r="F176" s="140"/>
      <c r="G176" s="140"/>
      <c r="H176" s="140"/>
      <c r="I176" s="140"/>
      <c r="J176" s="140"/>
      <c r="K176" s="140"/>
      <c r="L176" s="140"/>
      <c r="M176" s="140"/>
      <c r="N176" s="140"/>
      <c r="O176" s="140"/>
      <c r="P176" s="140"/>
      <c r="Q176" s="140"/>
      <c r="R176" s="140"/>
      <c r="S176" s="140"/>
      <c r="T176" s="140"/>
    </row>
    <row r="177" spans="1:20" ht="13">
      <c r="A177" s="140"/>
      <c r="B177" s="140"/>
      <c r="C177" s="140"/>
      <c r="D177" s="140"/>
      <c r="E177" s="140"/>
      <c r="F177" s="140"/>
      <c r="G177" s="140"/>
      <c r="H177" s="140"/>
      <c r="I177" s="140"/>
      <c r="J177" s="140"/>
      <c r="K177" s="140"/>
      <c r="L177" s="140"/>
      <c r="M177" s="140"/>
      <c r="N177" s="140"/>
      <c r="O177" s="140"/>
      <c r="P177" s="140"/>
      <c r="Q177" s="140"/>
      <c r="R177" s="140"/>
      <c r="S177" s="140"/>
      <c r="T177" s="140"/>
    </row>
    <row r="178" spans="1:20" ht="13">
      <c r="A178" s="140"/>
      <c r="B178" s="140"/>
      <c r="C178" s="140"/>
      <c r="D178" s="140"/>
      <c r="E178" s="140"/>
      <c r="F178" s="140"/>
      <c r="G178" s="140"/>
      <c r="H178" s="140"/>
      <c r="I178" s="140"/>
      <c r="J178" s="140"/>
      <c r="K178" s="140"/>
      <c r="L178" s="140"/>
      <c r="M178" s="140"/>
      <c r="N178" s="140"/>
      <c r="O178" s="140"/>
      <c r="P178" s="140"/>
      <c r="Q178" s="140"/>
      <c r="R178" s="140"/>
      <c r="S178" s="140"/>
      <c r="T178" s="140"/>
    </row>
    <row r="179" spans="1:20" ht="13">
      <c r="A179" s="140"/>
      <c r="B179" s="140"/>
      <c r="C179" s="140"/>
      <c r="D179" s="140"/>
      <c r="E179" s="140"/>
      <c r="F179" s="140"/>
      <c r="G179" s="140"/>
      <c r="H179" s="140"/>
      <c r="I179" s="140"/>
      <c r="J179" s="140"/>
      <c r="K179" s="140"/>
      <c r="L179" s="140"/>
      <c r="M179" s="140"/>
      <c r="N179" s="140"/>
      <c r="O179" s="140"/>
      <c r="P179" s="140"/>
      <c r="Q179" s="140"/>
      <c r="R179" s="140"/>
      <c r="S179" s="140"/>
      <c r="T179" s="140"/>
    </row>
    <row r="180" spans="1:20" ht="13">
      <c r="A180" s="140"/>
      <c r="B180" s="140"/>
      <c r="C180" s="140"/>
      <c r="D180" s="140"/>
      <c r="E180" s="140"/>
      <c r="F180" s="140"/>
      <c r="G180" s="140"/>
      <c r="H180" s="140"/>
      <c r="I180" s="140"/>
      <c r="J180" s="140"/>
      <c r="K180" s="140"/>
      <c r="L180" s="140"/>
      <c r="M180" s="140"/>
      <c r="N180" s="140"/>
      <c r="O180" s="140"/>
      <c r="P180" s="140"/>
      <c r="Q180" s="140"/>
      <c r="R180" s="140"/>
      <c r="S180" s="140"/>
      <c r="T180" s="140"/>
    </row>
    <row r="181" spans="1:20" ht="13">
      <c r="A181" s="140"/>
      <c r="B181" s="140"/>
      <c r="C181" s="140"/>
      <c r="D181" s="140"/>
      <c r="E181" s="140"/>
      <c r="F181" s="140"/>
      <c r="G181" s="140"/>
      <c r="H181" s="140"/>
      <c r="I181" s="140"/>
      <c r="J181" s="140"/>
      <c r="K181" s="140"/>
      <c r="L181" s="140"/>
      <c r="M181" s="140"/>
      <c r="N181" s="140"/>
      <c r="O181" s="140"/>
      <c r="P181" s="140"/>
      <c r="Q181" s="140"/>
      <c r="R181" s="140"/>
      <c r="S181" s="140"/>
      <c r="T181" s="140"/>
    </row>
    <row r="182" spans="1:20" ht="13">
      <c r="A182" s="140"/>
      <c r="B182" s="140"/>
      <c r="C182" s="140"/>
      <c r="D182" s="140"/>
      <c r="E182" s="140"/>
      <c r="F182" s="140"/>
      <c r="G182" s="140"/>
      <c r="H182" s="140"/>
      <c r="I182" s="140"/>
      <c r="J182" s="140"/>
      <c r="K182" s="140"/>
      <c r="L182" s="140"/>
      <c r="M182" s="140"/>
      <c r="N182" s="140"/>
      <c r="O182" s="140"/>
      <c r="P182" s="140"/>
      <c r="Q182" s="140"/>
      <c r="R182" s="140"/>
      <c r="S182" s="140"/>
      <c r="T182" s="140"/>
    </row>
    <row r="183" spans="1:20" ht="13">
      <c r="A183" s="140"/>
      <c r="B183" s="140"/>
      <c r="C183" s="140"/>
      <c r="D183" s="140"/>
      <c r="E183" s="140"/>
      <c r="F183" s="140"/>
      <c r="G183" s="140"/>
      <c r="H183" s="140"/>
      <c r="I183" s="140"/>
      <c r="J183" s="140"/>
      <c r="K183" s="140"/>
      <c r="L183" s="140"/>
      <c r="M183" s="140"/>
      <c r="N183" s="140"/>
      <c r="O183" s="140"/>
      <c r="P183" s="140"/>
      <c r="Q183" s="140"/>
      <c r="R183" s="140"/>
      <c r="S183" s="140"/>
      <c r="T183" s="140"/>
    </row>
    <row r="184" spans="1:20" ht="13">
      <c r="A184" s="140"/>
      <c r="B184" s="140"/>
      <c r="C184" s="140"/>
      <c r="D184" s="140"/>
      <c r="E184" s="140"/>
      <c r="F184" s="140"/>
      <c r="G184" s="140"/>
      <c r="H184" s="140"/>
      <c r="I184" s="140"/>
      <c r="J184" s="140"/>
      <c r="K184" s="140"/>
      <c r="L184" s="140"/>
      <c r="M184" s="140"/>
      <c r="N184" s="140"/>
      <c r="O184" s="140"/>
      <c r="P184" s="140"/>
      <c r="Q184" s="140"/>
      <c r="R184" s="140"/>
      <c r="S184" s="140"/>
      <c r="T184" s="140"/>
    </row>
    <row r="185" spans="1:20" ht="13">
      <c r="A185" s="140"/>
      <c r="B185" s="140"/>
      <c r="C185" s="140"/>
      <c r="D185" s="140"/>
      <c r="E185" s="140"/>
      <c r="F185" s="140"/>
      <c r="G185" s="140"/>
      <c r="H185" s="140"/>
      <c r="I185" s="140"/>
      <c r="J185" s="140"/>
      <c r="K185" s="140"/>
      <c r="L185" s="140"/>
      <c r="M185" s="140"/>
      <c r="N185" s="140"/>
      <c r="O185" s="140"/>
      <c r="P185" s="140"/>
      <c r="Q185" s="140"/>
      <c r="R185" s="140"/>
      <c r="S185" s="140"/>
      <c r="T185" s="140"/>
    </row>
    <row r="186" spans="1:20" ht="13">
      <c r="A186" s="140"/>
      <c r="B186" s="140"/>
      <c r="C186" s="140"/>
      <c r="D186" s="140"/>
      <c r="E186" s="140"/>
      <c r="F186" s="140"/>
      <c r="G186" s="140"/>
      <c r="H186" s="140"/>
      <c r="I186" s="140"/>
      <c r="J186" s="140"/>
      <c r="K186" s="140"/>
      <c r="L186" s="140"/>
      <c r="M186" s="140"/>
      <c r="N186" s="140"/>
      <c r="O186" s="140"/>
      <c r="P186" s="140"/>
      <c r="Q186" s="140"/>
      <c r="R186" s="140"/>
      <c r="S186" s="140"/>
      <c r="T186" s="140"/>
    </row>
    <row r="187" spans="1:20" ht="13">
      <c r="A187" s="140"/>
      <c r="B187" s="140"/>
      <c r="C187" s="140"/>
      <c r="D187" s="140"/>
      <c r="E187" s="140"/>
      <c r="F187" s="140"/>
      <c r="G187" s="140"/>
      <c r="H187" s="140"/>
      <c r="I187" s="140"/>
      <c r="J187" s="140"/>
      <c r="K187" s="140"/>
      <c r="L187" s="140"/>
      <c r="M187" s="140"/>
      <c r="N187" s="140"/>
      <c r="O187" s="140"/>
      <c r="P187" s="140"/>
      <c r="Q187" s="140"/>
      <c r="R187" s="140"/>
      <c r="S187" s="140"/>
      <c r="T187" s="140"/>
    </row>
    <row r="188" spans="1:20" ht="13">
      <c r="A188" s="140"/>
      <c r="B188" s="140"/>
      <c r="C188" s="140"/>
      <c r="D188" s="140"/>
      <c r="E188" s="140"/>
      <c r="F188" s="140"/>
      <c r="G188" s="140"/>
      <c r="H188" s="140"/>
      <c r="I188" s="140"/>
      <c r="J188" s="140"/>
      <c r="K188" s="140"/>
      <c r="L188" s="140"/>
      <c r="M188" s="140"/>
      <c r="N188" s="140"/>
      <c r="O188" s="140"/>
      <c r="P188" s="140"/>
      <c r="Q188" s="140"/>
      <c r="R188" s="140"/>
      <c r="S188" s="140"/>
      <c r="T188" s="140"/>
    </row>
    <row r="189" spans="1:20" ht="13">
      <c r="A189" s="140"/>
      <c r="B189" s="140"/>
      <c r="C189" s="140"/>
      <c r="D189" s="140"/>
      <c r="E189" s="140"/>
      <c r="F189" s="140"/>
      <c r="G189" s="140"/>
      <c r="H189" s="140"/>
      <c r="I189" s="140"/>
      <c r="J189" s="140"/>
      <c r="K189" s="140"/>
      <c r="L189" s="140"/>
      <c r="M189" s="140"/>
      <c r="N189" s="140"/>
      <c r="O189" s="140"/>
      <c r="P189" s="140"/>
      <c r="Q189" s="140"/>
      <c r="R189" s="140"/>
      <c r="S189" s="140"/>
      <c r="T189" s="140"/>
    </row>
    <row r="190" spans="1:20" ht="13">
      <c r="A190" s="140"/>
      <c r="B190" s="140"/>
      <c r="C190" s="140"/>
      <c r="D190" s="140"/>
      <c r="E190" s="140"/>
      <c r="F190" s="140"/>
      <c r="G190" s="140"/>
      <c r="H190" s="140"/>
      <c r="I190" s="140"/>
      <c r="J190" s="140"/>
      <c r="K190" s="140"/>
      <c r="L190" s="140"/>
      <c r="M190" s="140"/>
      <c r="N190" s="140"/>
      <c r="O190" s="140"/>
      <c r="P190" s="140"/>
      <c r="Q190" s="140"/>
      <c r="R190" s="140"/>
      <c r="S190" s="140"/>
      <c r="T190" s="140"/>
    </row>
    <row r="191" spans="1:20" ht="13">
      <c r="A191" s="140"/>
      <c r="B191" s="140"/>
      <c r="C191" s="140"/>
      <c r="D191" s="140"/>
      <c r="E191" s="140"/>
      <c r="F191" s="140"/>
      <c r="G191" s="140"/>
      <c r="H191" s="140"/>
      <c r="I191" s="140"/>
      <c r="J191" s="140"/>
      <c r="K191" s="140"/>
      <c r="L191" s="140"/>
      <c r="M191" s="140"/>
      <c r="N191" s="140"/>
      <c r="O191" s="140"/>
      <c r="P191" s="140"/>
      <c r="Q191" s="140"/>
      <c r="R191" s="140"/>
      <c r="S191" s="140"/>
      <c r="T191" s="140"/>
    </row>
    <row r="192" spans="1:20" ht="13">
      <c r="A192" s="140"/>
      <c r="B192" s="140"/>
      <c r="C192" s="140"/>
      <c r="D192" s="140"/>
      <c r="E192" s="140"/>
      <c r="F192" s="140"/>
      <c r="G192" s="140"/>
      <c r="H192" s="140"/>
      <c r="I192" s="140"/>
      <c r="J192" s="140"/>
      <c r="K192" s="140"/>
      <c r="L192" s="140"/>
      <c r="M192" s="140"/>
      <c r="N192" s="140"/>
      <c r="O192" s="140"/>
      <c r="P192" s="140"/>
      <c r="Q192" s="140"/>
      <c r="R192" s="140"/>
      <c r="S192" s="140"/>
      <c r="T192" s="140"/>
    </row>
    <row r="193" spans="1:20" ht="13">
      <c r="A193" s="140"/>
      <c r="B193" s="140"/>
      <c r="C193" s="140"/>
      <c r="D193" s="140"/>
      <c r="E193" s="140"/>
      <c r="F193" s="140"/>
      <c r="G193" s="140"/>
      <c r="H193" s="140"/>
      <c r="I193" s="140"/>
      <c r="J193" s="140"/>
      <c r="K193" s="140"/>
      <c r="L193" s="140"/>
      <c r="M193" s="140"/>
      <c r="N193" s="140"/>
      <c r="O193" s="140"/>
      <c r="P193" s="140"/>
      <c r="Q193" s="140"/>
      <c r="R193" s="140"/>
      <c r="S193" s="140"/>
      <c r="T193" s="140"/>
    </row>
    <row r="194" spans="1:20" ht="13">
      <c r="A194" s="140"/>
      <c r="B194" s="140"/>
      <c r="C194" s="140"/>
      <c r="D194" s="140"/>
      <c r="E194" s="140"/>
      <c r="F194" s="140"/>
      <c r="G194" s="140"/>
      <c r="H194" s="140"/>
      <c r="I194" s="140"/>
      <c r="J194" s="140"/>
      <c r="K194" s="140"/>
      <c r="L194" s="140"/>
      <c r="M194" s="140"/>
      <c r="N194" s="140"/>
      <c r="O194" s="140"/>
      <c r="P194" s="140"/>
      <c r="Q194" s="140"/>
      <c r="R194" s="140"/>
      <c r="S194" s="140"/>
      <c r="T194" s="140"/>
    </row>
    <row r="195" spans="1:20" ht="13">
      <c r="A195" s="140"/>
      <c r="B195" s="140"/>
      <c r="C195" s="140"/>
      <c r="D195" s="140"/>
      <c r="E195" s="140"/>
      <c r="F195" s="140"/>
      <c r="G195" s="140"/>
      <c r="H195" s="140"/>
      <c r="I195" s="140"/>
      <c r="J195" s="140"/>
      <c r="K195" s="140"/>
      <c r="L195" s="140"/>
      <c r="M195" s="140"/>
      <c r="N195" s="140"/>
      <c r="O195" s="140"/>
      <c r="P195" s="140"/>
      <c r="Q195" s="140"/>
      <c r="R195" s="140"/>
      <c r="S195" s="140"/>
      <c r="T195" s="140"/>
    </row>
    <row r="196" spans="1:20" ht="13">
      <c r="A196" s="140"/>
      <c r="B196" s="140"/>
      <c r="C196" s="140"/>
      <c r="D196" s="140"/>
      <c r="E196" s="140"/>
      <c r="F196" s="140"/>
      <c r="G196" s="140"/>
      <c r="H196" s="140"/>
      <c r="I196" s="140"/>
      <c r="J196" s="140"/>
      <c r="K196" s="140"/>
      <c r="L196" s="140"/>
      <c r="M196" s="140"/>
      <c r="N196" s="140"/>
      <c r="O196" s="140"/>
      <c r="P196" s="140"/>
      <c r="Q196" s="140"/>
      <c r="R196" s="140"/>
      <c r="S196" s="140"/>
      <c r="T196" s="140"/>
    </row>
    <row r="197" spans="1:20" ht="13">
      <c r="A197" s="140"/>
      <c r="B197" s="140"/>
      <c r="C197" s="140"/>
      <c r="D197" s="140"/>
      <c r="E197" s="140"/>
      <c r="F197" s="140"/>
      <c r="G197" s="140"/>
      <c r="H197" s="140"/>
      <c r="I197" s="140"/>
      <c r="J197" s="140"/>
      <c r="K197" s="140"/>
      <c r="L197" s="140"/>
      <c r="M197" s="140"/>
      <c r="N197" s="140"/>
      <c r="O197" s="140"/>
      <c r="P197" s="140"/>
      <c r="Q197" s="140"/>
      <c r="R197" s="140"/>
      <c r="S197" s="140"/>
      <c r="T197" s="140"/>
    </row>
    <row r="198" spans="1:20" ht="13">
      <c r="A198" s="140"/>
      <c r="B198" s="140"/>
      <c r="C198" s="140"/>
      <c r="D198" s="140"/>
      <c r="E198" s="140"/>
      <c r="F198" s="140"/>
      <c r="G198" s="140"/>
      <c r="H198" s="140"/>
      <c r="I198" s="140"/>
      <c r="J198" s="140"/>
      <c r="K198" s="140"/>
      <c r="L198" s="140"/>
      <c r="M198" s="140"/>
      <c r="N198" s="140"/>
      <c r="O198" s="140"/>
      <c r="P198" s="140"/>
      <c r="Q198" s="140"/>
      <c r="R198" s="140"/>
      <c r="S198" s="140"/>
      <c r="T198" s="140"/>
    </row>
    <row r="199" spans="1:20" ht="13">
      <c r="A199" s="140"/>
      <c r="B199" s="140"/>
      <c r="C199" s="140"/>
      <c r="D199" s="140"/>
      <c r="E199" s="140"/>
      <c r="F199" s="140"/>
      <c r="G199" s="140"/>
      <c r="H199" s="140"/>
      <c r="I199" s="140"/>
      <c r="J199" s="140"/>
      <c r="K199" s="140"/>
      <c r="L199" s="140"/>
      <c r="M199" s="140"/>
      <c r="N199" s="140"/>
      <c r="O199" s="140"/>
      <c r="P199" s="140"/>
      <c r="Q199" s="140"/>
      <c r="R199" s="140"/>
      <c r="S199" s="140"/>
      <c r="T199" s="140"/>
    </row>
    <row r="200" spans="1:20" ht="13">
      <c r="A200" s="140"/>
      <c r="B200" s="140"/>
      <c r="C200" s="140"/>
      <c r="D200" s="140"/>
      <c r="E200" s="140"/>
      <c r="F200" s="140"/>
      <c r="G200" s="140"/>
      <c r="H200" s="140"/>
      <c r="I200" s="140"/>
      <c r="J200" s="140"/>
      <c r="K200" s="140"/>
      <c r="L200" s="140"/>
      <c r="M200" s="140"/>
      <c r="N200" s="140"/>
      <c r="O200" s="140"/>
      <c r="P200" s="140"/>
      <c r="Q200" s="140"/>
      <c r="R200" s="140"/>
      <c r="S200" s="140"/>
      <c r="T200" s="140"/>
    </row>
    <row r="201" spans="1:20" ht="13">
      <c r="A201" s="140"/>
      <c r="B201" s="140"/>
      <c r="C201" s="140"/>
      <c r="D201" s="140"/>
      <c r="E201" s="140"/>
      <c r="F201" s="140"/>
      <c r="G201" s="140"/>
      <c r="H201" s="140"/>
      <c r="I201" s="140"/>
      <c r="J201" s="140"/>
      <c r="K201" s="140"/>
      <c r="L201" s="140"/>
      <c r="M201" s="140"/>
      <c r="N201" s="140"/>
      <c r="O201" s="140"/>
      <c r="P201" s="140"/>
      <c r="Q201" s="140"/>
      <c r="R201" s="140"/>
      <c r="S201" s="140"/>
      <c r="T201" s="140"/>
    </row>
    <row r="202" spans="1:20" ht="13">
      <c r="A202" s="140"/>
      <c r="B202" s="140"/>
      <c r="C202" s="140"/>
      <c r="D202" s="140"/>
      <c r="E202" s="140"/>
      <c r="F202" s="140"/>
      <c r="G202" s="140"/>
      <c r="H202" s="140"/>
      <c r="I202" s="140"/>
      <c r="J202" s="140"/>
      <c r="K202" s="140"/>
      <c r="L202" s="140"/>
      <c r="M202" s="140"/>
      <c r="N202" s="140"/>
      <c r="O202" s="140"/>
      <c r="P202" s="140"/>
      <c r="Q202" s="140"/>
      <c r="R202" s="140"/>
      <c r="S202" s="140"/>
      <c r="T202" s="140"/>
    </row>
    <row r="203" spans="1:20" ht="13">
      <c r="A203" s="140"/>
      <c r="B203" s="140"/>
      <c r="C203" s="140"/>
      <c r="D203" s="140"/>
      <c r="E203" s="140"/>
      <c r="F203" s="140"/>
      <c r="G203" s="140"/>
      <c r="H203" s="140"/>
      <c r="I203" s="140"/>
      <c r="J203" s="140"/>
      <c r="K203" s="140"/>
      <c r="L203" s="140"/>
      <c r="M203" s="140"/>
      <c r="N203" s="140"/>
      <c r="O203" s="140"/>
      <c r="P203" s="140"/>
      <c r="Q203" s="140"/>
      <c r="R203" s="140"/>
      <c r="S203" s="140"/>
      <c r="T203" s="140"/>
    </row>
    <row r="204" spans="1:20" ht="13">
      <c r="A204" s="140"/>
      <c r="B204" s="140"/>
      <c r="C204" s="140"/>
      <c r="D204" s="140"/>
      <c r="E204" s="140"/>
      <c r="F204" s="140"/>
      <c r="G204" s="140"/>
      <c r="H204" s="140"/>
      <c r="I204" s="140"/>
      <c r="J204" s="140"/>
      <c r="K204" s="140"/>
      <c r="L204" s="140"/>
      <c r="M204" s="140"/>
      <c r="N204" s="140"/>
      <c r="O204" s="140"/>
      <c r="P204" s="140"/>
      <c r="Q204" s="140"/>
      <c r="R204" s="140"/>
      <c r="S204" s="140"/>
      <c r="T204" s="140"/>
    </row>
    <row r="205" spans="1:20" ht="13">
      <c r="A205" s="140"/>
      <c r="B205" s="140"/>
      <c r="C205" s="140"/>
      <c r="D205" s="140"/>
      <c r="E205" s="140"/>
      <c r="F205" s="140"/>
      <c r="G205" s="140"/>
      <c r="H205" s="140"/>
      <c r="I205" s="140"/>
      <c r="J205" s="140"/>
      <c r="K205" s="140"/>
      <c r="L205" s="140"/>
      <c r="M205" s="140"/>
      <c r="N205" s="140"/>
      <c r="O205" s="140"/>
      <c r="P205" s="140"/>
      <c r="Q205" s="140"/>
      <c r="R205" s="140"/>
      <c r="S205" s="140"/>
      <c r="T205" s="140"/>
    </row>
    <row r="206" spans="1:20" ht="13">
      <c r="A206" s="140"/>
      <c r="B206" s="140"/>
      <c r="C206" s="140"/>
      <c r="D206" s="140"/>
      <c r="E206" s="140"/>
      <c r="F206" s="140"/>
      <c r="G206" s="140"/>
      <c r="H206" s="140"/>
      <c r="I206" s="140"/>
      <c r="J206" s="140"/>
      <c r="K206" s="140"/>
      <c r="L206" s="140"/>
      <c r="M206" s="140"/>
      <c r="N206" s="140"/>
      <c r="O206" s="140"/>
      <c r="P206" s="140"/>
      <c r="Q206" s="140"/>
      <c r="R206" s="140"/>
      <c r="S206" s="140"/>
      <c r="T206" s="140"/>
    </row>
    <row r="207" spans="1:20" ht="13">
      <c r="A207" s="140"/>
      <c r="B207" s="140"/>
      <c r="C207" s="140"/>
      <c r="D207" s="140"/>
      <c r="E207" s="140"/>
      <c r="F207" s="140"/>
      <c r="G207" s="140"/>
      <c r="H207" s="140"/>
      <c r="I207" s="140"/>
      <c r="J207" s="140"/>
      <c r="K207" s="140"/>
      <c r="L207" s="140"/>
      <c r="M207" s="140"/>
      <c r="N207" s="140"/>
      <c r="O207" s="140"/>
      <c r="P207" s="140"/>
      <c r="Q207" s="140"/>
      <c r="R207" s="140"/>
      <c r="S207" s="140"/>
      <c r="T207" s="140"/>
    </row>
    <row r="208" spans="1:20" ht="13">
      <c r="A208" s="140"/>
      <c r="B208" s="140"/>
      <c r="C208" s="140"/>
      <c r="D208" s="140"/>
      <c r="E208" s="140"/>
      <c r="F208" s="140"/>
      <c r="G208" s="140"/>
      <c r="H208" s="140"/>
      <c r="I208" s="140"/>
      <c r="J208" s="140"/>
      <c r="K208" s="140"/>
      <c r="L208" s="140"/>
      <c r="M208" s="140"/>
      <c r="N208" s="140"/>
      <c r="O208" s="140"/>
      <c r="P208" s="140"/>
      <c r="Q208" s="140"/>
      <c r="R208" s="140"/>
      <c r="S208" s="140"/>
      <c r="T208" s="140"/>
    </row>
    <row r="209" spans="1:20" ht="13">
      <c r="A209" s="140"/>
      <c r="B209" s="140"/>
      <c r="C209" s="140"/>
      <c r="D209" s="140"/>
      <c r="E209" s="140"/>
      <c r="F209" s="140"/>
      <c r="G209" s="140"/>
      <c r="H209" s="140"/>
      <c r="I209" s="140"/>
      <c r="J209" s="140"/>
      <c r="K209" s="140"/>
      <c r="L209" s="140"/>
      <c r="M209" s="140"/>
      <c r="N209" s="140"/>
      <c r="O209" s="140"/>
      <c r="P209" s="140"/>
      <c r="Q209" s="140"/>
      <c r="R209" s="140"/>
      <c r="S209" s="140"/>
      <c r="T209" s="140"/>
    </row>
    <row r="210" spans="1:20" ht="13">
      <c r="A210" s="140"/>
      <c r="B210" s="140"/>
      <c r="C210" s="140"/>
      <c r="D210" s="140"/>
      <c r="E210" s="140"/>
      <c r="F210" s="140"/>
      <c r="G210" s="140"/>
      <c r="H210" s="140"/>
      <c r="I210" s="140"/>
      <c r="J210" s="140"/>
      <c r="K210" s="140"/>
      <c r="L210" s="140"/>
      <c r="M210" s="140"/>
      <c r="N210" s="140"/>
      <c r="O210" s="140"/>
      <c r="P210" s="140"/>
      <c r="Q210" s="140"/>
      <c r="R210" s="140"/>
      <c r="S210" s="140"/>
      <c r="T210" s="140"/>
    </row>
    <row r="211" spans="1:20" ht="13">
      <c r="A211" s="140"/>
      <c r="B211" s="140"/>
      <c r="C211" s="140"/>
      <c r="D211" s="140"/>
      <c r="E211" s="140"/>
      <c r="F211" s="140"/>
      <c r="G211" s="140"/>
      <c r="H211" s="140"/>
      <c r="I211" s="140"/>
      <c r="J211" s="140"/>
      <c r="K211" s="140"/>
      <c r="L211" s="140"/>
      <c r="M211" s="140"/>
      <c r="N211" s="140"/>
      <c r="O211" s="140"/>
      <c r="P211" s="140"/>
      <c r="Q211" s="140"/>
      <c r="R211" s="140"/>
      <c r="S211" s="140"/>
      <c r="T211" s="140"/>
    </row>
    <row r="212" spans="1:20" ht="13">
      <c r="A212" s="140"/>
      <c r="B212" s="140"/>
      <c r="C212" s="140"/>
      <c r="D212" s="140"/>
      <c r="E212" s="140"/>
      <c r="F212" s="140"/>
      <c r="G212" s="140"/>
      <c r="H212" s="140"/>
      <c r="I212" s="140"/>
      <c r="J212" s="140"/>
      <c r="K212" s="140"/>
      <c r="L212" s="140"/>
      <c r="M212" s="140"/>
      <c r="N212" s="140"/>
      <c r="O212" s="140"/>
      <c r="P212" s="140"/>
      <c r="Q212" s="140"/>
      <c r="R212" s="140"/>
      <c r="S212" s="140"/>
      <c r="T212" s="140"/>
    </row>
    <row r="213" spans="1:20" ht="13">
      <c r="A213" s="140"/>
      <c r="B213" s="140"/>
      <c r="C213" s="140"/>
      <c r="D213" s="140"/>
      <c r="E213" s="140"/>
      <c r="F213" s="140"/>
      <c r="G213" s="140"/>
      <c r="H213" s="140"/>
      <c r="I213" s="140"/>
      <c r="J213" s="140"/>
      <c r="K213" s="140"/>
      <c r="L213" s="140"/>
      <c r="M213" s="140"/>
      <c r="N213" s="140"/>
      <c r="O213" s="140"/>
      <c r="P213" s="140"/>
      <c r="Q213" s="140"/>
      <c r="R213" s="140"/>
      <c r="S213" s="140"/>
      <c r="T213" s="140"/>
    </row>
    <row r="214" spans="1:20" ht="13">
      <c r="A214" s="140"/>
      <c r="B214" s="140"/>
      <c r="C214" s="140"/>
      <c r="D214" s="140"/>
      <c r="E214" s="140"/>
      <c r="F214" s="140"/>
      <c r="G214" s="140"/>
      <c r="H214" s="140"/>
      <c r="I214" s="140"/>
      <c r="J214" s="140"/>
      <c r="K214" s="140"/>
      <c r="L214" s="140"/>
      <c r="M214" s="140"/>
      <c r="N214" s="140"/>
      <c r="O214" s="140"/>
      <c r="P214" s="140"/>
      <c r="Q214" s="140"/>
      <c r="R214" s="140"/>
      <c r="S214" s="140"/>
      <c r="T214" s="140"/>
    </row>
    <row r="215" spans="1:20" ht="13">
      <c r="A215" s="140"/>
      <c r="B215" s="140"/>
      <c r="C215" s="140"/>
      <c r="D215" s="140"/>
      <c r="E215" s="140"/>
      <c r="F215" s="140"/>
      <c r="G215" s="140"/>
      <c r="H215" s="140"/>
      <c r="I215" s="140"/>
      <c r="J215" s="140"/>
      <c r="K215" s="140"/>
      <c r="L215" s="140"/>
      <c r="M215" s="140"/>
      <c r="N215" s="140"/>
      <c r="O215" s="140"/>
      <c r="P215" s="140"/>
      <c r="Q215" s="140"/>
      <c r="R215" s="140"/>
      <c r="S215" s="140"/>
      <c r="T215" s="140"/>
    </row>
    <row r="216" spans="1:20" ht="13">
      <c r="A216" s="140"/>
      <c r="B216" s="140"/>
      <c r="C216" s="140"/>
      <c r="D216" s="140"/>
      <c r="E216" s="140"/>
      <c r="F216" s="140"/>
      <c r="G216" s="140"/>
      <c r="H216" s="140"/>
      <c r="I216" s="140"/>
      <c r="J216" s="140"/>
      <c r="K216" s="140"/>
      <c r="L216" s="140"/>
      <c r="M216" s="140"/>
      <c r="N216" s="140"/>
      <c r="O216" s="140"/>
      <c r="P216" s="140"/>
      <c r="Q216" s="140"/>
      <c r="R216" s="140"/>
      <c r="S216" s="140"/>
      <c r="T216" s="140"/>
    </row>
    <row r="217" spans="1:20" ht="13">
      <c r="A217" s="140"/>
      <c r="B217" s="140"/>
      <c r="C217" s="140"/>
      <c r="D217" s="140"/>
      <c r="E217" s="140"/>
      <c r="F217" s="140"/>
      <c r="G217" s="140"/>
      <c r="H217" s="140"/>
      <c r="I217" s="140"/>
      <c r="J217" s="140"/>
      <c r="K217" s="140"/>
      <c r="L217" s="140"/>
      <c r="M217" s="140"/>
      <c r="N217" s="140"/>
      <c r="O217" s="140"/>
      <c r="P217" s="140"/>
      <c r="Q217" s="140"/>
      <c r="R217" s="140"/>
      <c r="S217" s="140"/>
      <c r="T217" s="140"/>
    </row>
    <row r="218" spans="1:20" ht="13">
      <c r="A218" s="140"/>
      <c r="B218" s="140"/>
      <c r="C218" s="140"/>
      <c r="D218" s="140"/>
      <c r="E218" s="140"/>
      <c r="F218" s="140"/>
      <c r="G218" s="140"/>
      <c r="H218" s="140"/>
      <c r="I218" s="140"/>
      <c r="J218" s="140"/>
      <c r="K218" s="140"/>
      <c r="L218" s="140"/>
      <c r="M218" s="140"/>
      <c r="N218" s="140"/>
      <c r="O218" s="140"/>
      <c r="P218" s="140"/>
      <c r="Q218" s="140"/>
      <c r="R218" s="140"/>
      <c r="S218" s="140"/>
      <c r="T218" s="140"/>
    </row>
    <row r="219" spans="1:20" ht="13">
      <c r="A219" s="140"/>
      <c r="B219" s="140"/>
      <c r="C219" s="140"/>
      <c r="D219" s="140"/>
      <c r="E219" s="140"/>
      <c r="F219" s="140"/>
      <c r="G219" s="140"/>
      <c r="H219" s="140"/>
      <c r="I219" s="140"/>
      <c r="J219" s="140"/>
      <c r="K219" s="140"/>
      <c r="L219" s="140"/>
      <c r="M219" s="140"/>
      <c r="N219" s="140"/>
      <c r="O219" s="140"/>
      <c r="P219" s="140"/>
      <c r="Q219" s="140"/>
      <c r="R219" s="140"/>
      <c r="S219" s="140"/>
      <c r="T219" s="140"/>
    </row>
    <row r="220" spans="1:20" ht="13">
      <c r="A220" s="140"/>
      <c r="B220" s="140"/>
      <c r="C220" s="140"/>
      <c r="D220" s="140"/>
      <c r="E220" s="140"/>
      <c r="F220" s="140"/>
      <c r="G220" s="140"/>
      <c r="H220" s="140"/>
      <c r="I220" s="140"/>
      <c r="J220" s="140"/>
      <c r="K220" s="140"/>
      <c r="L220" s="140"/>
      <c r="M220" s="140"/>
      <c r="N220" s="140"/>
      <c r="O220" s="140"/>
      <c r="P220" s="140"/>
      <c r="Q220" s="140"/>
      <c r="R220" s="140"/>
      <c r="S220" s="140"/>
      <c r="T220" s="140"/>
    </row>
    <row r="221" spans="1:20" ht="13">
      <c r="A221" s="140"/>
      <c r="B221" s="140"/>
      <c r="C221" s="140"/>
      <c r="D221" s="140"/>
      <c r="E221" s="140"/>
      <c r="F221" s="140"/>
      <c r="G221" s="140"/>
      <c r="H221" s="140"/>
      <c r="I221" s="140"/>
      <c r="J221" s="140"/>
      <c r="K221" s="140"/>
      <c r="L221" s="140"/>
      <c r="M221" s="140"/>
      <c r="N221" s="140"/>
      <c r="O221" s="140"/>
      <c r="P221" s="140"/>
      <c r="Q221" s="140"/>
      <c r="R221" s="140"/>
      <c r="S221" s="140"/>
      <c r="T221" s="140"/>
    </row>
    <row r="222" spans="1:20" ht="13">
      <c r="A222" s="140"/>
      <c r="B222" s="140"/>
      <c r="C222" s="140"/>
      <c r="D222" s="140"/>
      <c r="E222" s="140"/>
      <c r="F222" s="140"/>
      <c r="G222" s="140"/>
      <c r="H222" s="140"/>
      <c r="I222" s="140"/>
      <c r="J222" s="140"/>
      <c r="K222" s="140"/>
      <c r="L222" s="140"/>
      <c r="M222" s="140"/>
      <c r="N222" s="140"/>
      <c r="O222" s="140"/>
      <c r="P222" s="140"/>
      <c r="Q222" s="140"/>
      <c r="R222" s="140"/>
      <c r="S222" s="140"/>
      <c r="T222" s="140"/>
    </row>
    <row r="223" spans="1:20" ht="13">
      <c r="A223" s="140"/>
      <c r="B223" s="140"/>
      <c r="C223" s="140"/>
      <c r="D223" s="140"/>
      <c r="E223" s="140"/>
      <c r="F223" s="140"/>
      <c r="G223" s="140"/>
      <c r="H223" s="140"/>
      <c r="I223" s="140"/>
      <c r="J223" s="140"/>
      <c r="K223" s="140"/>
      <c r="L223" s="140"/>
      <c r="M223" s="140"/>
      <c r="N223" s="140"/>
      <c r="O223" s="140"/>
      <c r="P223" s="140"/>
      <c r="Q223" s="140"/>
      <c r="R223" s="140"/>
      <c r="S223" s="140"/>
      <c r="T223" s="140"/>
    </row>
    <row r="224" spans="1:20" ht="13">
      <c r="A224" s="140"/>
      <c r="B224" s="140"/>
      <c r="C224" s="140"/>
      <c r="D224" s="140"/>
      <c r="E224" s="140"/>
      <c r="F224" s="140"/>
      <c r="G224" s="140"/>
      <c r="H224" s="140"/>
      <c r="I224" s="140"/>
      <c r="J224" s="140"/>
      <c r="K224" s="140"/>
      <c r="L224" s="140"/>
      <c r="M224" s="140"/>
      <c r="N224" s="140"/>
      <c r="O224" s="140"/>
      <c r="P224" s="140"/>
      <c r="Q224" s="140"/>
      <c r="R224" s="140"/>
      <c r="S224" s="140"/>
      <c r="T224" s="140"/>
    </row>
    <row r="225" spans="1:20" ht="13">
      <c r="A225" s="140"/>
      <c r="B225" s="140"/>
      <c r="C225" s="140"/>
      <c r="D225" s="140"/>
      <c r="E225" s="140"/>
      <c r="F225" s="140"/>
      <c r="G225" s="140"/>
      <c r="H225" s="140"/>
      <c r="I225" s="140"/>
      <c r="J225" s="140"/>
      <c r="K225" s="140"/>
      <c r="L225" s="140"/>
      <c r="M225" s="140"/>
      <c r="N225" s="140"/>
      <c r="O225" s="140"/>
      <c r="P225" s="140"/>
      <c r="Q225" s="140"/>
      <c r="R225" s="140"/>
      <c r="S225" s="140"/>
      <c r="T225" s="140"/>
    </row>
    <row r="226" spans="1:20" ht="13">
      <c r="A226" s="140"/>
      <c r="B226" s="140"/>
      <c r="C226" s="140"/>
      <c r="D226" s="140"/>
      <c r="E226" s="140"/>
      <c r="F226" s="140"/>
      <c r="G226" s="140"/>
      <c r="H226" s="140"/>
      <c r="I226" s="140"/>
      <c r="J226" s="140"/>
      <c r="K226" s="140"/>
      <c r="L226" s="140"/>
      <c r="M226" s="140"/>
      <c r="N226" s="140"/>
      <c r="O226" s="140"/>
      <c r="P226" s="140"/>
      <c r="Q226" s="140"/>
      <c r="R226" s="140"/>
      <c r="S226" s="140"/>
      <c r="T226" s="140"/>
    </row>
    <row r="227" spans="1:20" ht="13">
      <c r="A227" s="140"/>
      <c r="B227" s="140"/>
      <c r="C227" s="140"/>
      <c r="D227" s="140"/>
      <c r="E227" s="140"/>
      <c r="F227" s="140"/>
      <c r="G227" s="140"/>
      <c r="H227" s="140"/>
      <c r="I227" s="140"/>
      <c r="J227" s="140"/>
      <c r="K227" s="140"/>
      <c r="L227" s="140"/>
      <c r="M227" s="140"/>
      <c r="N227" s="140"/>
      <c r="O227" s="140"/>
      <c r="P227" s="140"/>
      <c r="Q227" s="140"/>
      <c r="R227" s="140"/>
      <c r="S227" s="140"/>
      <c r="T227" s="140"/>
    </row>
    <row r="228" spans="1:20" ht="13">
      <c r="A228" s="140"/>
      <c r="B228" s="140"/>
      <c r="C228" s="140"/>
      <c r="D228" s="140"/>
      <c r="E228" s="140"/>
      <c r="F228" s="140"/>
      <c r="G228" s="140"/>
      <c r="H228" s="140"/>
      <c r="I228" s="140"/>
      <c r="J228" s="140"/>
      <c r="K228" s="140"/>
      <c r="L228" s="140"/>
      <c r="M228" s="140"/>
      <c r="N228" s="140"/>
      <c r="O228" s="140"/>
      <c r="P228" s="140"/>
      <c r="Q228" s="140"/>
      <c r="R228" s="140"/>
      <c r="S228" s="140"/>
      <c r="T228" s="140"/>
    </row>
    <row r="229" spans="1:20" ht="13">
      <c r="A229" s="140"/>
      <c r="B229" s="140"/>
      <c r="C229" s="140"/>
      <c r="D229" s="140"/>
      <c r="E229" s="140"/>
      <c r="F229" s="140"/>
      <c r="G229" s="140"/>
      <c r="H229" s="140"/>
      <c r="I229" s="140"/>
      <c r="J229" s="140"/>
      <c r="K229" s="140"/>
      <c r="L229" s="140"/>
      <c r="M229" s="140"/>
      <c r="N229" s="140"/>
      <c r="O229" s="140"/>
      <c r="P229" s="140"/>
      <c r="Q229" s="140"/>
      <c r="R229" s="140"/>
      <c r="S229" s="140"/>
      <c r="T229" s="140"/>
    </row>
    <row r="230" spans="1:20" ht="13">
      <c r="A230" s="140"/>
      <c r="B230" s="140"/>
      <c r="C230" s="140"/>
      <c r="D230" s="140"/>
      <c r="E230" s="140"/>
      <c r="F230" s="140"/>
      <c r="G230" s="140"/>
      <c r="H230" s="140"/>
      <c r="I230" s="140"/>
      <c r="J230" s="140"/>
      <c r="K230" s="140"/>
      <c r="L230" s="140"/>
      <c r="M230" s="140"/>
      <c r="N230" s="140"/>
      <c r="O230" s="140"/>
      <c r="P230" s="140"/>
      <c r="Q230" s="140"/>
      <c r="R230" s="140"/>
      <c r="S230" s="140"/>
      <c r="T230" s="140"/>
    </row>
    <row r="231" spans="1:20" ht="13">
      <c r="A231" s="140"/>
      <c r="B231" s="140"/>
      <c r="C231" s="140"/>
      <c r="D231" s="140"/>
      <c r="E231" s="140"/>
      <c r="F231" s="140"/>
      <c r="G231" s="140"/>
      <c r="H231" s="140"/>
      <c r="I231" s="140"/>
      <c r="J231" s="140"/>
      <c r="K231" s="140"/>
      <c r="L231" s="140"/>
      <c r="M231" s="140"/>
      <c r="N231" s="140"/>
      <c r="O231" s="140"/>
      <c r="P231" s="140"/>
      <c r="Q231" s="140"/>
      <c r="R231" s="140"/>
      <c r="S231" s="140"/>
      <c r="T231" s="140"/>
    </row>
    <row r="232" spans="1:20" ht="13">
      <c r="A232" s="140"/>
      <c r="B232" s="140"/>
      <c r="C232" s="140"/>
      <c r="D232" s="140"/>
      <c r="E232" s="140"/>
      <c r="F232" s="140"/>
      <c r="G232" s="140"/>
      <c r="H232" s="140"/>
      <c r="I232" s="140"/>
      <c r="J232" s="140"/>
      <c r="K232" s="140"/>
      <c r="L232" s="140"/>
      <c r="M232" s="140"/>
      <c r="N232" s="140"/>
      <c r="O232" s="140"/>
      <c r="P232" s="140"/>
      <c r="Q232" s="140"/>
      <c r="R232" s="140"/>
      <c r="S232" s="140"/>
      <c r="T232" s="140"/>
    </row>
    <row r="233" spans="1:20" ht="13">
      <c r="A233" s="140"/>
      <c r="B233" s="140"/>
      <c r="C233" s="140"/>
      <c r="D233" s="140"/>
      <c r="E233" s="140"/>
      <c r="F233" s="140"/>
      <c r="G233" s="140"/>
      <c r="H233" s="140"/>
      <c r="I233" s="140"/>
      <c r="J233" s="140"/>
      <c r="K233" s="140"/>
      <c r="L233" s="140"/>
      <c r="M233" s="140"/>
      <c r="N233" s="140"/>
      <c r="O233" s="140"/>
      <c r="P233" s="140"/>
      <c r="Q233" s="140"/>
      <c r="R233" s="140"/>
      <c r="S233" s="140"/>
      <c r="T233" s="140"/>
    </row>
    <row r="234" spans="1:20" ht="13">
      <c r="A234" s="140"/>
      <c r="B234" s="140"/>
      <c r="C234" s="140"/>
      <c r="D234" s="140"/>
      <c r="E234" s="140"/>
      <c r="F234" s="140"/>
      <c r="G234" s="140"/>
      <c r="H234" s="140"/>
      <c r="I234" s="140"/>
      <c r="J234" s="140"/>
      <c r="K234" s="140"/>
      <c r="L234" s="140"/>
      <c r="M234" s="140"/>
      <c r="N234" s="140"/>
      <c r="O234" s="140"/>
      <c r="P234" s="140"/>
      <c r="Q234" s="140"/>
      <c r="R234" s="140"/>
      <c r="S234" s="140"/>
      <c r="T234" s="140"/>
    </row>
    <row r="235" spans="1:20" ht="13">
      <c r="A235" s="140"/>
      <c r="B235" s="140"/>
      <c r="C235" s="140"/>
      <c r="D235" s="140"/>
      <c r="E235" s="140"/>
      <c r="F235" s="140"/>
      <c r="G235" s="140"/>
      <c r="H235" s="140"/>
      <c r="I235" s="140"/>
      <c r="J235" s="140"/>
      <c r="K235" s="140"/>
      <c r="L235" s="140"/>
      <c r="M235" s="140"/>
      <c r="N235" s="140"/>
      <c r="O235" s="140"/>
      <c r="P235" s="140"/>
      <c r="Q235" s="140"/>
      <c r="R235" s="140"/>
      <c r="S235" s="140"/>
      <c r="T235" s="140"/>
    </row>
    <row r="236" spans="1:20" ht="13">
      <c r="A236" s="140"/>
      <c r="B236" s="140"/>
      <c r="C236" s="140"/>
      <c r="D236" s="140"/>
      <c r="E236" s="140"/>
      <c r="F236" s="140"/>
      <c r="G236" s="140"/>
      <c r="H236" s="140"/>
      <c r="I236" s="140"/>
      <c r="J236" s="140"/>
      <c r="K236" s="140"/>
      <c r="L236" s="140"/>
      <c r="M236" s="140"/>
      <c r="N236" s="140"/>
      <c r="O236" s="140"/>
      <c r="P236" s="140"/>
      <c r="Q236" s="140"/>
      <c r="R236" s="140"/>
      <c r="S236" s="140"/>
      <c r="T236" s="140"/>
    </row>
    <row r="237" spans="1:20" ht="13">
      <c r="A237" s="140"/>
      <c r="B237" s="140"/>
      <c r="C237" s="140"/>
      <c r="D237" s="140"/>
      <c r="E237" s="140"/>
      <c r="F237" s="140"/>
      <c r="G237" s="140"/>
      <c r="H237" s="140"/>
      <c r="I237" s="140"/>
      <c r="J237" s="140"/>
      <c r="K237" s="140"/>
      <c r="L237" s="140"/>
      <c r="M237" s="140"/>
      <c r="N237" s="140"/>
      <c r="O237" s="140"/>
      <c r="P237" s="140"/>
      <c r="Q237" s="140"/>
      <c r="R237" s="140"/>
      <c r="S237" s="140"/>
      <c r="T237" s="140"/>
    </row>
    <row r="238" spans="1:20" ht="13">
      <c r="A238" s="140"/>
      <c r="B238" s="140"/>
      <c r="C238" s="140"/>
      <c r="D238" s="140"/>
      <c r="E238" s="140"/>
      <c r="F238" s="140"/>
      <c r="G238" s="140"/>
      <c r="H238" s="140"/>
      <c r="I238" s="140"/>
      <c r="J238" s="140"/>
      <c r="K238" s="140"/>
      <c r="L238" s="140"/>
      <c r="M238" s="140"/>
      <c r="N238" s="140"/>
      <c r="O238" s="140"/>
      <c r="P238" s="140"/>
      <c r="Q238" s="140"/>
      <c r="R238" s="140"/>
      <c r="S238" s="140"/>
      <c r="T238" s="140"/>
    </row>
    <row r="239" spans="1:20" ht="13">
      <c r="A239" s="140"/>
      <c r="B239" s="140"/>
      <c r="C239" s="140"/>
      <c r="D239" s="140"/>
      <c r="E239" s="140"/>
      <c r="F239" s="140"/>
      <c r="G239" s="140"/>
      <c r="H239" s="140"/>
      <c r="I239" s="140"/>
      <c r="J239" s="140"/>
      <c r="K239" s="140"/>
      <c r="L239" s="140"/>
      <c r="M239" s="140"/>
      <c r="N239" s="140"/>
      <c r="O239" s="140"/>
      <c r="P239" s="140"/>
      <c r="Q239" s="140"/>
      <c r="R239" s="140"/>
      <c r="S239" s="140"/>
      <c r="T239" s="140"/>
    </row>
    <row r="240" spans="1:20" ht="13">
      <c r="A240" s="140"/>
      <c r="B240" s="140"/>
      <c r="C240" s="140"/>
      <c r="D240" s="140"/>
      <c r="E240" s="140"/>
      <c r="F240" s="140"/>
      <c r="G240" s="140"/>
      <c r="H240" s="140"/>
      <c r="I240" s="140"/>
      <c r="J240" s="140"/>
      <c r="K240" s="140"/>
      <c r="L240" s="140"/>
      <c r="M240" s="140"/>
      <c r="N240" s="140"/>
      <c r="O240" s="140"/>
      <c r="P240" s="140"/>
      <c r="Q240" s="140"/>
      <c r="R240" s="140"/>
      <c r="S240" s="140"/>
      <c r="T240" s="140"/>
    </row>
    <row r="241" spans="1:20" ht="13">
      <c r="A241" s="140"/>
      <c r="B241" s="140"/>
      <c r="C241" s="140"/>
      <c r="D241" s="140"/>
      <c r="E241" s="140"/>
      <c r="F241" s="140"/>
      <c r="G241" s="140"/>
      <c r="H241" s="140"/>
      <c r="I241" s="140"/>
      <c r="J241" s="140"/>
      <c r="K241" s="140"/>
      <c r="L241" s="140"/>
      <c r="M241" s="140"/>
      <c r="N241" s="140"/>
      <c r="O241" s="140"/>
      <c r="P241" s="140"/>
      <c r="Q241" s="140"/>
      <c r="R241" s="140"/>
      <c r="S241" s="140"/>
      <c r="T241" s="140"/>
    </row>
    <row r="242" spans="1:20" ht="13">
      <c r="A242" s="140"/>
      <c r="B242" s="140"/>
      <c r="C242" s="140"/>
      <c r="D242" s="140"/>
      <c r="E242" s="140"/>
      <c r="F242" s="140"/>
      <c r="G242" s="140"/>
      <c r="H242" s="140"/>
      <c r="I242" s="140"/>
      <c r="J242" s="140"/>
      <c r="K242" s="140"/>
      <c r="L242" s="140"/>
      <c r="M242" s="140"/>
      <c r="N242" s="140"/>
      <c r="O242" s="140"/>
      <c r="P242" s="140"/>
      <c r="Q242" s="140"/>
      <c r="R242" s="140"/>
      <c r="S242" s="140"/>
      <c r="T242" s="140"/>
    </row>
    <row r="243" spans="1:20" ht="13">
      <c r="A243" s="140"/>
      <c r="B243" s="140"/>
      <c r="C243" s="140"/>
      <c r="D243" s="140"/>
      <c r="E243" s="140"/>
      <c r="F243" s="140"/>
      <c r="G243" s="140"/>
      <c r="H243" s="140"/>
      <c r="I243" s="140"/>
      <c r="J243" s="140"/>
      <c r="K243" s="140"/>
      <c r="L243" s="140"/>
      <c r="M243" s="140"/>
      <c r="N243" s="140"/>
      <c r="O243" s="140"/>
      <c r="P243" s="140"/>
      <c r="Q243" s="140"/>
      <c r="R243" s="140"/>
      <c r="S243" s="140"/>
      <c r="T243" s="140"/>
    </row>
    <row r="244" spans="1:20" ht="13">
      <c r="A244" s="140"/>
      <c r="B244" s="140"/>
      <c r="C244" s="140"/>
      <c r="D244" s="140"/>
      <c r="E244" s="140"/>
      <c r="F244" s="140"/>
      <c r="G244" s="140"/>
      <c r="H244" s="140"/>
      <c r="I244" s="140"/>
      <c r="J244" s="140"/>
      <c r="K244" s="140"/>
      <c r="L244" s="140"/>
      <c r="M244" s="140"/>
      <c r="N244" s="140"/>
      <c r="O244" s="140"/>
      <c r="P244" s="140"/>
      <c r="Q244" s="140"/>
      <c r="R244" s="140"/>
      <c r="S244" s="140"/>
      <c r="T244" s="140"/>
    </row>
    <row r="245" spans="1:20" ht="13">
      <c r="A245" s="140"/>
      <c r="B245" s="140"/>
      <c r="C245" s="140"/>
      <c r="D245" s="140"/>
      <c r="E245" s="140"/>
      <c r="F245" s="140"/>
      <c r="G245" s="140"/>
      <c r="H245" s="140"/>
      <c r="I245" s="140"/>
      <c r="J245" s="140"/>
      <c r="K245" s="140"/>
      <c r="L245" s="140"/>
      <c r="M245" s="140"/>
      <c r="N245" s="140"/>
      <c r="O245" s="140"/>
      <c r="P245" s="140"/>
      <c r="Q245" s="140"/>
      <c r="R245" s="140"/>
      <c r="S245" s="140"/>
      <c r="T245" s="140"/>
    </row>
    <row r="246" spans="1:20" ht="13">
      <c r="A246" s="140"/>
      <c r="B246" s="140"/>
      <c r="C246" s="140"/>
      <c r="D246" s="140"/>
      <c r="E246" s="140"/>
      <c r="F246" s="140"/>
      <c r="G246" s="140"/>
      <c r="H246" s="140"/>
      <c r="I246" s="140"/>
      <c r="J246" s="140"/>
      <c r="K246" s="140"/>
      <c r="L246" s="140"/>
      <c r="M246" s="140"/>
      <c r="N246" s="140"/>
      <c r="O246" s="140"/>
      <c r="P246" s="140"/>
      <c r="Q246" s="140"/>
      <c r="R246" s="140"/>
      <c r="S246" s="140"/>
      <c r="T246" s="140"/>
    </row>
    <row r="247" spans="1:20" ht="13">
      <c r="A247" s="140"/>
      <c r="B247" s="140"/>
      <c r="C247" s="140"/>
      <c r="D247" s="140"/>
      <c r="E247" s="140"/>
      <c r="F247" s="140"/>
      <c r="G247" s="140"/>
      <c r="H247" s="140"/>
      <c r="I247" s="140"/>
      <c r="J247" s="140"/>
      <c r="K247" s="140"/>
      <c r="L247" s="140"/>
      <c r="M247" s="140"/>
      <c r="N247" s="140"/>
      <c r="O247" s="140"/>
      <c r="P247" s="140"/>
      <c r="Q247" s="140"/>
      <c r="R247" s="140"/>
      <c r="S247" s="140"/>
      <c r="T247" s="140"/>
    </row>
    <row r="248" spans="1:20" ht="13">
      <c r="A248" s="140"/>
      <c r="B248" s="140"/>
      <c r="C248" s="140"/>
      <c r="D248" s="140"/>
      <c r="E248" s="140"/>
      <c r="F248" s="140"/>
      <c r="G248" s="140"/>
      <c r="H248" s="140"/>
      <c r="I248" s="140"/>
      <c r="J248" s="140"/>
      <c r="K248" s="140"/>
      <c r="L248" s="140"/>
      <c r="M248" s="140"/>
      <c r="N248" s="140"/>
      <c r="O248" s="140"/>
      <c r="P248" s="140"/>
      <c r="Q248" s="140"/>
      <c r="R248" s="140"/>
      <c r="S248" s="140"/>
      <c r="T248" s="140"/>
    </row>
    <row r="249" spans="1:20" ht="13">
      <c r="A249" s="140"/>
      <c r="B249" s="140"/>
      <c r="C249" s="140"/>
      <c r="D249" s="140"/>
      <c r="E249" s="140"/>
      <c r="F249" s="140"/>
      <c r="G249" s="140"/>
      <c r="H249" s="140"/>
      <c r="I249" s="140"/>
      <c r="J249" s="140"/>
      <c r="K249" s="140"/>
      <c r="L249" s="140"/>
      <c r="M249" s="140"/>
      <c r="N249" s="140"/>
      <c r="O249" s="140"/>
      <c r="P249" s="140"/>
      <c r="Q249" s="140"/>
      <c r="R249" s="140"/>
      <c r="S249" s="140"/>
      <c r="T249" s="140"/>
    </row>
    <row r="250" spans="1:20" ht="13">
      <c r="A250" s="140"/>
      <c r="B250" s="140"/>
      <c r="C250" s="140"/>
      <c r="D250" s="140"/>
      <c r="E250" s="140"/>
      <c r="F250" s="140"/>
      <c r="G250" s="140"/>
      <c r="H250" s="140"/>
      <c r="I250" s="140"/>
      <c r="J250" s="140"/>
      <c r="K250" s="140"/>
      <c r="L250" s="140"/>
      <c r="M250" s="140"/>
      <c r="N250" s="140"/>
      <c r="O250" s="140"/>
      <c r="P250" s="140"/>
      <c r="Q250" s="140"/>
      <c r="R250" s="140"/>
      <c r="S250" s="140"/>
      <c r="T250" s="140"/>
    </row>
    <row r="251" spans="1:20" ht="13">
      <c r="A251" s="140"/>
      <c r="B251" s="140"/>
      <c r="C251" s="140"/>
      <c r="D251" s="140"/>
      <c r="E251" s="140"/>
      <c r="F251" s="140"/>
      <c r="G251" s="140"/>
      <c r="H251" s="140"/>
      <c r="I251" s="140"/>
      <c r="J251" s="140"/>
      <c r="K251" s="140"/>
      <c r="L251" s="140"/>
      <c r="M251" s="140"/>
      <c r="N251" s="140"/>
      <c r="O251" s="140"/>
      <c r="P251" s="140"/>
      <c r="Q251" s="140"/>
      <c r="R251" s="140"/>
      <c r="S251" s="140"/>
      <c r="T251" s="140"/>
    </row>
    <row r="252" spans="1:20" ht="13">
      <c r="A252" s="140"/>
      <c r="B252" s="140"/>
      <c r="C252" s="140"/>
      <c r="D252" s="140"/>
      <c r="E252" s="140"/>
      <c r="F252" s="140"/>
      <c r="G252" s="140"/>
      <c r="H252" s="140"/>
      <c r="I252" s="140"/>
      <c r="J252" s="140"/>
      <c r="K252" s="140"/>
      <c r="L252" s="140"/>
      <c r="M252" s="140"/>
      <c r="N252" s="140"/>
      <c r="O252" s="140"/>
      <c r="P252" s="140"/>
      <c r="Q252" s="140"/>
      <c r="R252" s="140"/>
      <c r="S252" s="140"/>
      <c r="T252" s="140"/>
    </row>
    <row r="253" spans="1:20" ht="13">
      <c r="A253" s="140"/>
      <c r="B253" s="140"/>
      <c r="C253" s="140"/>
      <c r="D253" s="140"/>
      <c r="E253" s="140"/>
      <c r="F253" s="140"/>
      <c r="G253" s="140"/>
      <c r="H253" s="140"/>
      <c r="I253" s="140"/>
      <c r="J253" s="140"/>
      <c r="K253" s="140"/>
      <c r="L253" s="140"/>
      <c r="M253" s="140"/>
      <c r="N253" s="140"/>
      <c r="O253" s="140"/>
      <c r="P253" s="140"/>
      <c r="Q253" s="140"/>
      <c r="R253" s="140"/>
      <c r="S253" s="140"/>
      <c r="T253" s="140"/>
    </row>
    <row r="254" spans="1:20" ht="13">
      <c r="A254" s="140"/>
      <c r="B254" s="140"/>
      <c r="C254" s="140"/>
      <c r="D254" s="140"/>
      <c r="E254" s="140"/>
      <c r="F254" s="140"/>
      <c r="G254" s="140"/>
      <c r="H254" s="140"/>
      <c r="I254" s="140"/>
      <c r="J254" s="140"/>
      <c r="K254" s="140"/>
      <c r="L254" s="140"/>
      <c r="M254" s="140"/>
      <c r="N254" s="140"/>
      <c r="O254" s="140"/>
      <c r="P254" s="140"/>
      <c r="Q254" s="140"/>
      <c r="R254" s="140"/>
      <c r="S254" s="140"/>
      <c r="T254" s="140"/>
    </row>
    <row r="255" spans="1:20" ht="13">
      <c r="A255" s="140"/>
      <c r="B255" s="140"/>
      <c r="C255" s="140"/>
      <c r="D255" s="140"/>
      <c r="E255" s="140"/>
      <c r="F255" s="140"/>
      <c r="G255" s="140"/>
      <c r="H255" s="140"/>
      <c r="I255" s="140"/>
      <c r="J255" s="140"/>
      <c r="K255" s="140"/>
      <c r="L255" s="140"/>
      <c r="M255" s="140"/>
      <c r="N255" s="140"/>
      <c r="O255" s="140"/>
      <c r="P255" s="140"/>
      <c r="Q255" s="140"/>
      <c r="R255" s="140"/>
      <c r="S255" s="140"/>
      <c r="T255" s="140"/>
    </row>
    <row r="256" spans="1:20" ht="13">
      <c r="A256" s="140"/>
      <c r="B256" s="140"/>
      <c r="C256" s="140"/>
      <c r="D256" s="140"/>
      <c r="E256" s="140"/>
      <c r="F256" s="140"/>
      <c r="G256" s="140"/>
      <c r="H256" s="140"/>
      <c r="I256" s="140"/>
      <c r="J256" s="140"/>
      <c r="K256" s="140"/>
      <c r="L256" s="140"/>
      <c r="M256" s="140"/>
      <c r="N256" s="140"/>
      <c r="O256" s="140"/>
      <c r="P256" s="140"/>
      <c r="Q256" s="140"/>
      <c r="R256" s="140"/>
      <c r="S256" s="140"/>
      <c r="T256" s="140"/>
    </row>
    <row r="257" spans="1:20" ht="13">
      <c r="A257" s="140"/>
      <c r="B257" s="140"/>
      <c r="C257" s="140"/>
      <c r="D257" s="140"/>
      <c r="E257" s="140"/>
      <c r="F257" s="140"/>
      <c r="G257" s="140"/>
      <c r="H257" s="140"/>
      <c r="I257" s="140"/>
      <c r="J257" s="140"/>
      <c r="K257" s="140"/>
      <c r="L257" s="140"/>
      <c r="M257" s="140"/>
      <c r="N257" s="140"/>
      <c r="O257" s="140"/>
      <c r="P257" s="140"/>
      <c r="Q257" s="140"/>
      <c r="R257" s="140"/>
      <c r="S257" s="140"/>
      <c r="T257" s="140"/>
    </row>
    <row r="258" spans="1:20" ht="13">
      <c r="A258" s="140"/>
      <c r="B258" s="140"/>
      <c r="C258" s="140"/>
      <c r="D258" s="140"/>
      <c r="E258" s="140"/>
      <c r="F258" s="140"/>
      <c r="G258" s="140"/>
      <c r="H258" s="140"/>
      <c r="I258" s="140"/>
      <c r="J258" s="140"/>
      <c r="K258" s="140"/>
      <c r="L258" s="140"/>
      <c r="M258" s="140"/>
      <c r="N258" s="140"/>
      <c r="O258" s="140"/>
      <c r="P258" s="140"/>
      <c r="Q258" s="140"/>
      <c r="R258" s="140"/>
      <c r="S258" s="140"/>
      <c r="T258" s="140"/>
    </row>
    <row r="259" spans="1:20" ht="13">
      <c r="A259" s="140"/>
      <c r="B259" s="140"/>
      <c r="C259" s="140"/>
      <c r="D259" s="140"/>
      <c r="E259" s="140"/>
      <c r="F259" s="140"/>
      <c r="G259" s="140"/>
      <c r="H259" s="140"/>
      <c r="I259" s="140"/>
      <c r="J259" s="140"/>
      <c r="K259" s="140"/>
      <c r="L259" s="140"/>
      <c r="M259" s="140"/>
      <c r="N259" s="140"/>
      <c r="O259" s="140"/>
      <c r="P259" s="140"/>
      <c r="Q259" s="140"/>
      <c r="R259" s="140"/>
      <c r="S259" s="140"/>
      <c r="T259" s="140"/>
    </row>
    <row r="260" spans="1:20" ht="13">
      <c r="A260" s="140"/>
      <c r="B260" s="140"/>
      <c r="C260" s="140"/>
      <c r="D260" s="140"/>
      <c r="E260" s="140"/>
      <c r="F260" s="140"/>
      <c r="G260" s="140"/>
      <c r="H260" s="140"/>
      <c r="I260" s="140"/>
      <c r="J260" s="140"/>
      <c r="K260" s="140"/>
      <c r="L260" s="140"/>
      <c r="M260" s="140"/>
      <c r="N260" s="140"/>
      <c r="O260" s="140"/>
      <c r="P260" s="140"/>
      <c r="Q260" s="140"/>
      <c r="R260" s="140"/>
      <c r="S260" s="140"/>
      <c r="T260" s="140"/>
    </row>
    <row r="261" spans="1:20" ht="13">
      <c r="A261" s="140"/>
      <c r="B261" s="140"/>
      <c r="C261" s="140"/>
      <c r="D261" s="140"/>
      <c r="E261" s="140"/>
      <c r="F261" s="140"/>
      <c r="G261" s="140"/>
      <c r="H261" s="140"/>
      <c r="I261" s="140"/>
      <c r="J261" s="140"/>
      <c r="K261" s="140"/>
      <c r="L261" s="140"/>
      <c r="M261" s="140"/>
      <c r="N261" s="140"/>
      <c r="O261" s="140"/>
      <c r="P261" s="140"/>
      <c r="Q261" s="140"/>
      <c r="R261" s="140"/>
      <c r="S261" s="140"/>
      <c r="T261" s="140"/>
    </row>
    <row r="262" spans="1:20" ht="13">
      <c r="A262" s="140"/>
      <c r="B262" s="140"/>
      <c r="C262" s="140"/>
      <c r="D262" s="140"/>
      <c r="E262" s="140"/>
      <c r="F262" s="140"/>
      <c r="G262" s="140"/>
      <c r="H262" s="140"/>
      <c r="I262" s="140"/>
      <c r="J262" s="140"/>
      <c r="K262" s="140"/>
      <c r="L262" s="140"/>
      <c r="M262" s="140"/>
      <c r="N262" s="140"/>
      <c r="O262" s="140"/>
      <c r="P262" s="140"/>
      <c r="Q262" s="140"/>
      <c r="R262" s="140"/>
      <c r="S262" s="140"/>
      <c r="T262" s="140"/>
    </row>
    <row r="263" spans="1:20" ht="13">
      <c r="A263" s="140"/>
      <c r="B263" s="140"/>
      <c r="C263" s="140"/>
      <c r="D263" s="140"/>
      <c r="E263" s="140"/>
      <c r="F263" s="140"/>
      <c r="G263" s="140"/>
      <c r="H263" s="140"/>
      <c r="I263" s="140"/>
      <c r="J263" s="140"/>
      <c r="K263" s="140"/>
      <c r="L263" s="140"/>
      <c r="M263" s="140"/>
      <c r="N263" s="140"/>
      <c r="O263" s="140"/>
      <c r="P263" s="140"/>
      <c r="Q263" s="140"/>
      <c r="R263" s="140"/>
      <c r="S263" s="140"/>
      <c r="T263" s="140"/>
    </row>
    <row r="264" spans="1:20" ht="13">
      <c r="A264" s="140"/>
      <c r="B264" s="140"/>
      <c r="C264" s="140"/>
      <c r="D264" s="140"/>
      <c r="E264" s="140"/>
      <c r="F264" s="140"/>
      <c r="G264" s="140"/>
      <c r="H264" s="140"/>
      <c r="I264" s="140"/>
      <c r="J264" s="140"/>
      <c r="K264" s="140"/>
      <c r="L264" s="140"/>
      <c r="M264" s="140"/>
      <c r="N264" s="140"/>
      <c r="O264" s="140"/>
      <c r="P264" s="140"/>
      <c r="Q264" s="140"/>
      <c r="R264" s="140"/>
      <c r="S264" s="140"/>
      <c r="T264" s="140"/>
    </row>
    <row r="265" spans="1:20" ht="13">
      <c r="A265" s="140"/>
      <c r="B265" s="140"/>
      <c r="C265" s="140"/>
      <c r="D265" s="140"/>
      <c r="E265" s="140"/>
      <c r="F265" s="140"/>
      <c r="G265" s="140"/>
      <c r="H265" s="140"/>
      <c r="I265" s="140"/>
      <c r="J265" s="140"/>
      <c r="K265" s="140"/>
      <c r="L265" s="140"/>
      <c r="M265" s="140"/>
      <c r="N265" s="140"/>
      <c r="O265" s="140"/>
      <c r="P265" s="140"/>
      <c r="Q265" s="140"/>
      <c r="R265" s="140"/>
      <c r="S265" s="140"/>
      <c r="T265" s="140"/>
    </row>
    <row r="266" spans="1:20" ht="13">
      <c r="A266" s="140"/>
      <c r="B266" s="140"/>
      <c r="C266" s="140"/>
      <c r="D266" s="140"/>
      <c r="E266" s="140"/>
      <c r="F266" s="140"/>
      <c r="G266" s="140"/>
      <c r="H266" s="140"/>
      <c r="I266" s="140"/>
      <c r="J266" s="140"/>
      <c r="K266" s="140"/>
      <c r="L266" s="140"/>
      <c r="M266" s="140"/>
      <c r="N266" s="140"/>
      <c r="O266" s="140"/>
      <c r="P266" s="140"/>
      <c r="Q266" s="140"/>
      <c r="R266" s="140"/>
      <c r="S266" s="140"/>
      <c r="T266" s="140"/>
    </row>
    <row r="267" spans="1:20" ht="13">
      <c r="A267" s="140"/>
      <c r="B267" s="140"/>
      <c r="C267" s="140"/>
      <c r="D267" s="140"/>
      <c r="E267" s="140"/>
      <c r="F267" s="140"/>
      <c r="G267" s="140"/>
      <c r="H267" s="140"/>
      <c r="I267" s="140"/>
      <c r="J267" s="140"/>
      <c r="K267" s="140"/>
      <c r="L267" s="140"/>
      <c r="M267" s="140"/>
      <c r="N267" s="140"/>
      <c r="O267" s="140"/>
      <c r="P267" s="140"/>
      <c r="Q267" s="140"/>
      <c r="R267" s="140"/>
      <c r="S267" s="140"/>
      <c r="T267" s="140"/>
    </row>
    <row r="268" spans="1:20" ht="13">
      <c r="A268" s="140"/>
      <c r="B268" s="140"/>
      <c r="C268" s="140"/>
      <c r="D268" s="140"/>
      <c r="E268" s="140"/>
      <c r="F268" s="140"/>
      <c r="G268" s="140"/>
      <c r="H268" s="140"/>
      <c r="I268" s="140"/>
      <c r="J268" s="140"/>
      <c r="K268" s="140"/>
      <c r="L268" s="140"/>
      <c r="M268" s="140"/>
      <c r="N268" s="140"/>
      <c r="O268" s="140"/>
      <c r="P268" s="140"/>
      <c r="Q268" s="140"/>
      <c r="R268" s="140"/>
      <c r="S268" s="140"/>
      <c r="T268" s="140"/>
    </row>
    <row r="269" spans="1:20" ht="13">
      <c r="A269" s="140"/>
      <c r="B269" s="140"/>
      <c r="C269" s="140"/>
      <c r="D269" s="140"/>
      <c r="E269" s="140"/>
      <c r="F269" s="140"/>
      <c r="G269" s="140"/>
      <c r="H269" s="140"/>
      <c r="I269" s="140"/>
      <c r="J269" s="140"/>
      <c r="K269" s="140"/>
      <c r="L269" s="140"/>
      <c r="M269" s="140"/>
      <c r="N269" s="140"/>
      <c r="O269" s="140"/>
      <c r="P269" s="140"/>
      <c r="Q269" s="140"/>
      <c r="R269" s="140"/>
      <c r="S269" s="140"/>
      <c r="T269" s="140"/>
    </row>
    <row r="270" spans="1:20" ht="13">
      <c r="A270" s="140"/>
      <c r="B270" s="140"/>
      <c r="C270" s="140"/>
      <c r="D270" s="140"/>
      <c r="E270" s="140"/>
      <c r="F270" s="140"/>
      <c r="G270" s="140"/>
      <c r="H270" s="140"/>
      <c r="I270" s="140"/>
      <c r="J270" s="140"/>
      <c r="K270" s="140"/>
      <c r="L270" s="140"/>
      <c r="M270" s="140"/>
      <c r="N270" s="140"/>
      <c r="O270" s="140"/>
      <c r="P270" s="140"/>
      <c r="Q270" s="140"/>
      <c r="R270" s="140"/>
      <c r="S270" s="140"/>
      <c r="T270" s="140"/>
    </row>
    <row r="271" spans="1:20" ht="13">
      <c r="A271" s="140"/>
      <c r="B271" s="140"/>
      <c r="C271" s="140"/>
      <c r="D271" s="140"/>
      <c r="E271" s="140"/>
      <c r="F271" s="140"/>
      <c r="G271" s="140"/>
      <c r="H271" s="140"/>
      <c r="I271" s="140"/>
      <c r="J271" s="140"/>
      <c r="K271" s="140"/>
      <c r="L271" s="140"/>
      <c r="M271" s="140"/>
      <c r="N271" s="140"/>
      <c r="O271" s="140"/>
      <c r="P271" s="140"/>
      <c r="Q271" s="140"/>
      <c r="R271" s="140"/>
      <c r="S271" s="140"/>
      <c r="T271" s="140"/>
    </row>
    <row r="272" spans="1:20" ht="13">
      <c r="A272" s="140"/>
      <c r="B272" s="140"/>
      <c r="C272" s="140"/>
      <c r="D272" s="140"/>
      <c r="E272" s="140"/>
      <c r="F272" s="140"/>
      <c r="G272" s="140"/>
      <c r="H272" s="140"/>
      <c r="I272" s="140"/>
      <c r="J272" s="140"/>
      <c r="K272" s="140"/>
      <c r="L272" s="140"/>
      <c r="M272" s="140"/>
      <c r="N272" s="140"/>
      <c r="O272" s="140"/>
      <c r="P272" s="140"/>
      <c r="Q272" s="140"/>
      <c r="R272" s="140"/>
      <c r="S272" s="140"/>
      <c r="T272" s="140"/>
    </row>
    <row r="273" spans="1:20" ht="13">
      <c r="A273" s="140"/>
      <c r="B273" s="140"/>
      <c r="C273" s="140"/>
      <c r="D273" s="140"/>
      <c r="E273" s="140"/>
      <c r="F273" s="140"/>
      <c r="G273" s="140"/>
      <c r="H273" s="140"/>
      <c r="I273" s="140"/>
      <c r="J273" s="140"/>
      <c r="K273" s="140"/>
      <c r="L273" s="140"/>
      <c r="M273" s="140"/>
      <c r="N273" s="140"/>
      <c r="O273" s="140"/>
      <c r="P273" s="140"/>
      <c r="Q273" s="140"/>
      <c r="R273" s="140"/>
      <c r="S273" s="140"/>
      <c r="T273" s="140"/>
    </row>
    <row r="274" spans="1:20" ht="13">
      <c r="A274" s="140"/>
      <c r="B274" s="140"/>
      <c r="C274" s="140"/>
      <c r="D274" s="140"/>
      <c r="E274" s="140"/>
      <c r="F274" s="140"/>
      <c r="G274" s="140"/>
      <c r="H274" s="140"/>
      <c r="I274" s="140"/>
      <c r="J274" s="140"/>
      <c r="K274" s="140"/>
      <c r="L274" s="140"/>
      <c r="M274" s="140"/>
      <c r="N274" s="140"/>
      <c r="O274" s="140"/>
      <c r="P274" s="140"/>
      <c r="Q274" s="140"/>
      <c r="R274" s="140"/>
      <c r="S274" s="140"/>
      <c r="T274" s="140"/>
    </row>
    <row r="275" spans="1:20" ht="13">
      <c r="A275" s="140"/>
      <c r="B275" s="140"/>
      <c r="C275" s="140"/>
      <c r="D275" s="140"/>
      <c r="E275" s="140"/>
      <c r="F275" s="140"/>
      <c r="G275" s="140"/>
      <c r="H275" s="140"/>
      <c r="I275" s="140"/>
      <c r="J275" s="140"/>
      <c r="K275" s="140"/>
      <c r="L275" s="140"/>
      <c r="M275" s="140"/>
      <c r="N275" s="140"/>
      <c r="O275" s="140"/>
      <c r="P275" s="140"/>
      <c r="Q275" s="140"/>
      <c r="R275" s="140"/>
      <c r="S275" s="140"/>
      <c r="T275" s="140"/>
    </row>
    <row r="276" spans="1:20" ht="13">
      <c r="A276" s="140"/>
      <c r="B276" s="140"/>
      <c r="C276" s="140"/>
      <c r="D276" s="140"/>
      <c r="E276" s="140"/>
      <c r="F276" s="140"/>
      <c r="G276" s="140"/>
      <c r="H276" s="140"/>
      <c r="I276" s="140"/>
      <c r="J276" s="140"/>
      <c r="K276" s="140"/>
      <c r="L276" s="140"/>
      <c r="M276" s="140"/>
      <c r="N276" s="140"/>
      <c r="O276" s="140"/>
      <c r="P276" s="140"/>
      <c r="Q276" s="140"/>
      <c r="R276" s="140"/>
      <c r="S276" s="140"/>
      <c r="T276" s="140"/>
    </row>
    <row r="277" spans="1:20" ht="13">
      <c r="A277" s="140"/>
      <c r="B277" s="140"/>
      <c r="C277" s="140"/>
      <c r="D277" s="140"/>
      <c r="E277" s="140"/>
      <c r="F277" s="140"/>
      <c r="G277" s="140"/>
      <c r="H277" s="140"/>
      <c r="I277" s="140"/>
      <c r="J277" s="140"/>
      <c r="K277" s="140"/>
      <c r="L277" s="140"/>
      <c r="M277" s="140"/>
      <c r="N277" s="140"/>
      <c r="O277" s="140"/>
      <c r="P277" s="140"/>
      <c r="Q277" s="140"/>
      <c r="R277" s="140"/>
      <c r="S277" s="140"/>
      <c r="T277" s="140"/>
    </row>
    <row r="278" spans="1:20" ht="13">
      <c r="A278" s="140"/>
      <c r="B278" s="140"/>
      <c r="C278" s="140"/>
      <c r="D278" s="140"/>
      <c r="E278" s="140"/>
      <c r="F278" s="140"/>
      <c r="G278" s="140"/>
      <c r="H278" s="140"/>
      <c r="I278" s="140"/>
      <c r="J278" s="140"/>
      <c r="K278" s="140"/>
      <c r="L278" s="140"/>
      <c r="M278" s="140"/>
      <c r="N278" s="140"/>
      <c r="O278" s="140"/>
      <c r="P278" s="140"/>
      <c r="Q278" s="140"/>
      <c r="R278" s="140"/>
      <c r="S278" s="140"/>
      <c r="T278" s="140"/>
    </row>
    <row r="279" spans="1:20" ht="13">
      <c r="A279" s="140"/>
      <c r="B279" s="140"/>
      <c r="C279" s="140"/>
      <c r="D279" s="140"/>
      <c r="E279" s="140"/>
      <c r="F279" s="140"/>
      <c r="G279" s="140"/>
      <c r="H279" s="140"/>
      <c r="I279" s="140"/>
      <c r="J279" s="140"/>
      <c r="K279" s="140"/>
      <c r="L279" s="140"/>
      <c r="M279" s="140"/>
      <c r="N279" s="140"/>
      <c r="O279" s="140"/>
      <c r="P279" s="140"/>
      <c r="Q279" s="140"/>
      <c r="R279" s="140"/>
      <c r="S279" s="140"/>
      <c r="T279" s="140"/>
    </row>
    <row r="280" spans="1:20" ht="13">
      <c r="A280" s="140"/>
      <c r="B280" s="140"/>
      <c r="C280" s="140"/>
      <c r="D280" s="140"/>
      <c r="E280" s="140"/>
      <c r="F280" s="140"/>
      <c r="G280" s="140"/>
      <c r="H280" s="140"/>
      <c r="I280" s="140"/>
      <c r="J280" s="140"/>
      <c r="K280" s="140"/>
      <c r="L280" s="140"/>
      <c r="M280" s="140"/>
      <c r="N280" s="140"/>
      <c r="O280" s="140"/>
      <c r="P280" s="140"/>
      <c r="Q280" s="140"/>
      <c r="R280" s="140"/>
      <c r="S280" s="140"/>
      <c r="T280" s="140"/>
    </row>
    <row r="281" spans="1:20" ht="13">
      <c r="A281" s="140"/>
      <c r="B281" s="140"/>
      <c r="C281" s="140"/>
      <c r="D281" s="140"/>
      <c r="E281" s="140"/>
      <c r="F281" s="140"/>
      <c r="G281" s="140"/>
      <c r="H281" s="140"/>
      <c r="I281" s="140"/>
      <c r="J281" s="140"/>
      <c r="K281" s="140"/>
      <c r="L281" s="140"/>
      <c r="M281" s="140"/>
      <c r="N281" s="140"/>
      <c r="O281" s="140"/>
      <c r="P281" s="140"/>
      <c r="Q281" s="140"/>
      <c r="R281" s="140"/>
      <c r="S281" s="140"/>
      <c r="T281" s="140"/>
    </row>
    <row r="282" spans="1:20" ht="13">
      <c r="A282" s="140"/>
      <c r="B282" s="140"/>
      <c r="C282" s="140"/>
      <c r="D282" s="140"/>
      <c r="E282" s="140"/>
      <c r="F282" s="140"/>
      <c r="G282" s="140"/>
      <c r="H282" s="140"/>
      <c r="I282" s="140"/>
      <c r="J282" s="140"/>
      <c r="K282" s="140"/>
      <c r="L282" s="140"/>
      <c r="M282" s="140"/>
      <c r="N282" s="140"/>
      <c r="O282" s="140"/>
      <c r="P282" s="140"/>
      <c r="Q282" s="140"/>
      <c r="R282" s="140"/>
      <c r="S282" s="140"/>
      <c r="T282" s="140"/>
    </row>
    <row r="283" spans="1:20" ht="13">
      <c r="A283" s="140"/>
      <c r="B283" s="140"/>
      <c r="C283" s="140"/>
      <c r="D283" s="140"/>
      <c r="E283" s="140"/>
      <c r="F283" s="140"/>
      <c r="G283" s="140"/>
      <c r="H283" s="140"/>
      <c r="I283" s="140"/>
      <c r="J283" s="140"/>
      <c r="K283" s="140"/>
      <c r="L283" s="140"/>
      <c r="M283" s="140"/>
      <c r="N283" s="140"/>
      <c r="O283" s="140"/>
      <c r="P283" s="140"/>
      <c r="Q283" s="140"/>
      <c r="R283" s="140"/>
      <c r="S283" s="140"/>
      <c r="T283" s="140"/>
    </row>
    <row r="284" spans="1:20" ht="13">
      <c r="A284" s="140"/>
      <c r="B284" s="140"/>
      <c r="C284" s="140"/>
      <c r="D284" s="140"/>
      <c r="E284" s="140"/>
      <c r="F284" s="140"/>
      <c r="G284" s="140"/>
      <c r="H284" s="140"/>
      <c r="I284" s="140"/>
      <c r="J284" s="140"/>
      <c r="K284" s="140"/>
      <c r="L284" s="140"/>
      <c r="M284" s="140"/>
      <c r="N284" s="140"/>
      <c r="O284" s="140"/>
      <c r="P284" s="140"/>
      <c r="Q284" s="140"/>
      <c r="R284" s="140"/>
      <c r="S284" s="140"/>
      <c r="T284" s="140"/>
    </row>
    <row r="285" spans="1:20" ht="13">
      <c r="A285" s="140"/>
      <c r="B285" s="140"/>
      <c r="C285" s="140"/>
      <c r="D285" s="140"/>
      <c r="E285" s="140"/>
      <c r="F285" s="140"/>
      <c r="G285" s="140"/>
      <c r="H285" s="140"/>
      <c r="I285" s="140"/>
      <c r="J285" s="140"/>
      <c r="K285" s="140"/>
      <c r="L285" s="140"/>
      <c r="M285" s="140"/>
      <c r="N285" s="140"/>
      <c r="O285" s="140"/>
      <c r="P285" s="140"/>
      <c r="Q285" s="140"/>
      <c r="R285" s="140"/>
      <c r="S285" s="140"/>
      <c r="T285" s="140"/>
    </row>
    <row r="286" spans="1:20" ht="13">
      <c r="A286" s="140"/>
      <c r="B286" s="140"/>
      <c r="C286" s="140"/>
      <c r="D286" s="140"/>
      <c r="E286" s="140"/>
      <c r="F286" s="140"/>
      <c r="G286" s="140"/>
      <c r="H286" s="140"/>
      <c r="I286" s="140"/>
      <c r="J286" s="140"/>
      <c r="K286" s="140"/>
      <c r="L286" s="140"/>
      <c r="M286" s="140"/>
      <c r="N286" s="140"/>
      <c r="O286" s="140"/>
      <c r="P286" s="140"/>
      <c r="Q286" s="140"/>
      <c r="R286" s="140"/>
      <c r="S286" s="140"/>
      <c r="T286" s="140"/>
    </row>
    <row r="287" spans="1:20" ht="13">
      <c r="A287" s="140"/>
      <c r="B287" s="140"/>
      <c r="C287" s="140"/>
      <c r="D287" s="140"/>
      <c r="E287" s="140"/>
      <c r="F287" s="140"/>
      <c r="G287" s="140"/>
      <c r="H287" s="140"/>
      <c r="I287" s="140"/>
      <c r="J287" s="140"/>
      <c r="K287" s="140"/>
      <c r="L287" s="140"/>
      <c r="M287" s="140"/>
      <c r="N287" s="140"/>
      <c r="O287" s="140"/>
      <c r="P287" s="140"/>
      <c r="Q287" s="140"/>
      <c r="R287" s="140"/>
      <c r="S287" s="140"/>
      <c r="T287" s="140"/>
    </row>
    <row r="288" spans="1:20" ht="13">
      <c r="A288" s="140"/>
      <c r="B288" s="140"/>
      <c r="C288" s="140"/>
      <c r="D288" s="140"/>
      <c r="E288" s="140"/>
      <c r="F288" s="140"/>
      <c r="G288" s="140"/>
      <c r="H288" s="140"/>
      <c r="I288" s="140"/>
      <c r="J288" s="140"/>
      <c r="K288" s="140"/>
      <c r="L288" s="140"/>
      <c r="M288" s="140"/>
      <c r="N288" s="140"/>
      <c r="O288" s="140"/>
      <c r="P288" s="140"/>
      <c r="Q288" s="140"/>
      <c r="R288" s="140"/>
      <c r="S288" s="140"/>
      <c r="T288" s="140"/>
    </row>
    <row r="289" spans="1:20" ht="13">
      <c r="A289" s="140"/>
      <c r="B289" s="140"/>
      <c r="C289" s="140"/>
      <c r="D289" s="140"/>
      <c r="E289" s="140"/>
      <c r="F289" s="140"/>
      <c r="G289" s="140"/>
      <c r="H289" s="140"/>
      <c r="I289" s="140"/>
      <c r="J289" s="140"/>
      <c r="K289" s="140"/>
      <c r="L289" s="140"/>
      <c r="M289" s="140"/>
      <c r="N289" s="140"/>
      <c r="O289" s="140"/>
      <c r="P289" s="140"/>
      <c r="Q289" s="140"/>
      <c r="R289" s="140"/>
      <c r="S289" s="140"/>
      <c r="T289" s="140"/>
    </row>
    <row r="290" spans="1:20" ht="13">
      <c r="A290" s="140"/>
      <c r="B290" s="140"/>
      <c r="C290" s="140"/>
      <c r="D290" s="140"/>
      <c r="E290" s="140"/>
      <c r="F290" s="140"/>
      <c r="G290" s="140"/>
      <c r="H290" s="140"/>
      <c r="I290" s="140"/>
      <c r="J290" s="140"/>
      <c r="K290" s="140"/>
      <c r="L290" s="140"/>
      <c r="M290" s="140"/>
      <c r="N290" s="140"/>
      <c r="O290" s="140"/>
      <c r="P290" s="140"/>
      <c r="Q290" s="140"/>
      <c r="R290" s="140"/>
      <c r="S290" s="140"/>
      <c r="T290" s="140"/>
    </row>
    <row r="291" spans="1:20" ht="13">
      <c r="A291" s="140"/>
      <c r="B291" s="140"/>
      <c r="C291" s="140"/>
      <c r="D291" s="140"/>
      <c r="E291" s="140"/>
      <c r="F291" s="140"/>
      <c r="G291" s="140"/>
      <c r="H291" s="140"/>
      <c r="I291" s="140"/>
      <c r="J291" s="140"/>
      <c r="K291" s="140"/>
      <c r="L291" s="140"/>
      <c r="M291" s="140"/>
      <c r="N291" s="140"/>
      <c r="O291" s="140"/>
      <c r="P291" s="140"/>
      <c r="Q291" s="140"/>
      <c r="R291" s="140"/>
      <c r="S291" s="140"/>
      <c r="T291" s="140"/>
    </row>
    <row r="292" spans="1:20" ht="13">
      <c r="A292" s="140"/>
      <c r="B292" s="140"/>
      <c r="C292" s="140"/>
      <c r="D292" s="140"/>
      <c r="E292" s="140"/>
      <c r="F292" s="140"/>
      <c r="G292" s="140"/>
      <c r="H292" s="140"/>
      <c r="I292" s="140"/>
      <c r="J292" s="140"/>
      <c r="K292" s="140"/>
      <c r="L292" s="140"/>
      <c r="M292" s="140"/>
      <c r="N292" s="140"/>
      <c r="O292" s="140"/>
      <c r="P292" s="140"/>
      <c r="Q292" s="140"/>
      <c r="R292" s="140"/>
      <c r="S292" s="140"/>
      <c r="T292" s="140"/>
    </row>
    <row r="293" spans="1:20" ht="13">
      <c r="A293" s="140"/>
      <c r="B293" s="140"/>
      <c r="C293" s="140"/>
      <c r="D293" s="140"/>
      <c r="E293" s="140"/>
      <c r="F293" s="140"/>
      <c r="G293" s="140"/>
      <c r="H293" s="140"/>
      <c r="I293" s="140"/>
      <c r="J293" s="140"/>
      <c r="K293" s="140"/>
      <c r="L293" s="140"/>
      <c r="M293" s="140"/>
      <c r="N293" s="140"/>
      <c r="O293" s="140"/>
      <c r="P293" s="140"/>
      <c r="Q293" s="140"/>
      <c r="R293" s="140"/>
      <c r="S293" s="140"/>
      <c r="T293" s="140"/>
    </row>
    <row r="294" spans="1:20" ht="13">
      <c r="A294" s="140"/>
      <c r="B294" s="140"/>
      <c r="C294" s="140"/>
      <c r="D294" s="140"/>
      <c r="E294" s="140"/>
      <c r="F294" s="140"/>
      <c r="G294" s="140"/>
      <c r="H294" s="140"/>
      <c r="I294" s="140"/>
      <c r="J294" s="140"/>
      <c r="K294" s="140"/>
      <c r="L294" s="140"/>
      <c r="M294" s="140"/>
      <c r="N294" s="140"/>
      <c r="O294" s="140"/>
      <c r="P294" s="140"/>
      <c r="Q294" s="140"/>
      <c r="R294" s="140"/>
      <c r="S294" s="140"/>
      <c r="T294" s="140"/>
    </row>
    <row r="295" spans="1:20" ht="13">
      <c r="A295" s="140"/>
      <c r="B295" s="140"/>
      <c r="C295" s="140"/>
      <c r="D295" s="140"/>
      <c r="E295" s="140"/>
      <c r="F295" s="140"/>
      <c r="G295" s="140"/>
      <c r="H295" s="140"/>
      <c r="I295" s="140"/>
      <c r="J295" s="140"/>
      <c r="K295" s="140"/>
      <c r="L295" s="140"/>
      <c r="M295" s="140"/>
      <c r="N295" s="140"/>
      <c r="O295" s="140"/>
      <c r="P295" s="140"/>
      <c r="Q295" s="140"/>
      <c r="R295" s="140"/>
      <c r="S295" s="140"/>
      <c r="T295" s="140"/>
    </row>
    <row r="296" spans="1:20" ht="13">
      <c r="A296" s="140"/>
      <c r="B296" s="140"/>
      <c r="C296" s="140"/>
      <c r="D296" s="140"/>
      <c r="E296" s="140"/>
      <c r="F296" s="140"/>
      <c r="G296" s="140"/>
      <c r="H296" s="140"/>
      <c r="I296" s="140"/>
      <c r="J296" s="140"/>
      <c r="K296" s="140"/>
      <c r="L296" s="140"/>
      <c r="M296" s="140"/>
      <c r="N296" s="140"/>
      <c r="O296" s="140"/>
      <c r="P296" s="140"/>
      <c r="Q296" s="140"/>
      <c r="R296" s="140"/>
      <c r="S296" s="140"/>
      <c r="T296" s="140"/>
    </row>
    <row r="297" spans="1:20" ht="13">
      <c r="A297" s="140"/>
      <c r="B297" s="140"/>
      <c r="C297" s="140"/>
      <c r="D297" s="140"/>
      <c r="E297" s="140"/>
      <c r="F297" s="140"/>
      <c r="G297" s="140"/>
      <c r="H297" s="140"/>
      <c r="I297" s="140"/>
      <c r="J297" s="140"/>
      <c r="K297" s="140"/>
      <c r="L297" s="140"/>
      <c r="M297" s="140"/>
      <c r="N297" s="140"/>
      <c r="O297" s="140"/>
      <c r="P297" s="140"/>
      <c r="Q297" s="140"/>
      <c r="R297" s="140"/>
      <c r="S297" s="140"/>
      <c r="T297" s="140"/>
    </row>
    <row r="298" spans="1:20" ht="13">
      <c r="A298" s="140"/>
      <c r="B298" s="140"/>
      <c r="C298" s="140"/>
      <c r="D298" s="140"/>
      <c r="E298" s="140"/>
      <c r="F298" s="140"/>
      <c r="G298" s="140"/>
      <c r="H298" s="140"/>
      <c r="I298" s="140"/>
      <c r="J298" s="140"/>
      <c r="K298" s="140"/>
      <c r="L298" s="140"/>
      <c r="M298" s="140"/>
      <c r="N298" s="140"/>
      <c r="O298" s="140"/>
      <c r="P298" s="140"/>
      <c r="Q298" s="140"/>
      <c r="R298" s="140"/>
      <c r="S298" s="140"/>
      <c r="T298" s="140"/>
    </row>
    <row r="299" spans="1:20" ht="13">
      <c r="A299" s="140"/>
      <c r="B299" s="140"/>
      <c r="C299" s="140"/>
      <c r="D299" s="140"/>
      <c r="E299" s="140"/>
      <c r="F299" s="140"/>
      <c r="G299" s="140"/>
      <c r="H299" s="140"/>
      <c r="I299" s="140"/>
      <c r="J299" s="140"/>
      <c r="K299" s="140"/>
      <c r="L299" s="140"/>
      <c r="M299" s="140"/>
      <c r="N299" s="140"/>
      <c r="O299" s="140"/>
      <c r="P299" s="140"/>
      <c r="Q299" s="140"/>
      <c r="R299" s="140"/>
      <c r="S299" s="140"/>
      <c r="T299" s="140"/>
    </row>
    <row r="300" spans="1:20" ht="13">
      <c r="A300" s="140"/>
      <c r="B300" s="140"/>
      <c r="C300" s="140"/>
      <c r="D300" s="140"/>
      <c r="E300" s="140"/>
      <c r="F300" s="140"/>
      <c r="G300" s="140"/>
      <c r="H300" s="140"/>
      <c r="I300" s="140"/>
      <c r="J300" s="140"/>
      <c r="K300" s="140"/>
      <c r="L300" s="140"/>
      <c r="M300" s="140"/>
      <c r="N300" s="140"/>
      <c r="O300" s="140"/>
      <c r="P300" s="140"/>
      <c r="Q300" s="140"/>
      <c r="R300" s="140"/>
      <c r="S300" s="140"/>
      <c r="T300" s="140"/>
    </row>
    <row r="301" spans="1:20" ht="13">
      <c r="A301" s="140"/>
      <c r="B301" s="140"/>
      <c r="C301" s="140"/>
      <c r="D301" s="140"/>
      <c r="E301" s="140"/>
      <c r="F301" s="140"/>
      <c r="G301" s="140"/>
      <c r="H301" s="140"/>
      <c r="I301" s="140"/>
      <c r="J301" s="140"/>
      <c r="K301" s="140"/>
      <c r="L301" s="140"/>
      <c r="M301" s="140"/>
      <c r="N301" s="140"/>
      <c r="O301" s="140"/>
      <c r="P301" s="140"/>
      <c r="Q301" s="140"/>
      <c r="R301" s="140"/>
      <c r="S301" s="140"/>
      <c r="T301" s="140"/>
    </row>
    <row r="302" spans="1:20" ht="13">
      <c r="A302" s="140"/>
      <c r="B302" s="140"/>
      <c r="C302" s="140"/>
      <c r="D302" s="140"/>
      <c r="E302" s="140"/>
      <c r="F302" s="140"/>
      <c r="G302" s="140"/>
      <c r="H302" s="140"/>
      <c r="I302" s="140"/>
      <c r="J302" s="140"/>
      <c r="K302" s="140"/>
      <c r="L302" s="140"/>
      <c r="M302" s="140"/>
      <c r="N302" s="140"/>
      <c r="O302" s="140"/>
      <c r="P302" s="140"/>
      <c r="Q302" s="140"/>
      <c r="R302" s="140"/>
      <c r="S302" s="140"/>
      <c r="T302" s="140"/>
    </row>
    <row r="303" spans="1:20" ht="13">
      <c r="A303" s="140"/>
      <c r="B303" s="140"/>
      <c r="C303" s="140"/>
      <c r="D303" s="140"/>
      <c r="E303" s="140"/>
      <c r="F303" s="140"/>
      <c r="G303" s="140"/>
      <c r="H303" s="140"/>
      <c r="I303" s="140"/>
      <c r="J303" s="140"/>
      <c r="K303" s="140"/>
      <c r="L303" s="140"/>
      <c r="M303" s="140"/>
      <c r="N303" s="140"/>
      <c r="O303" s="140"/>
      <c r="P303" s="140"/>
      <c r="Q303" s="140"/>
      <c r="R303" s="140"/>
      <c r="S303" s="140"/>
      <c r="T303" s="140"/>
    </row>
    <row r="304" spans="1:20" ht="13">
      <c r="A304" s="140"/>
      <c r="B304" s="140"/>
      <c r="C304" s="140"/>
      <c r="D304" s="140"/>
      <c r="E304" s="140"/>
      <c r="F304" s="140"/>
      <c r="G304" s="140"/>
      <c r="H304" s="140"/>
      <c r="I304" s="140"/>
      <c r="J304" s="140"/>
      <c r="K304" s="140"/>
      <c r="L304" s="140"/>
      <c r="M304" s="140"/>
      <c r="N304" s="140"/>
      <c r="O304" s="140"/>
      <c r="P304" s="140"/>
      <c r="Q304" s="140"/>
      <c r="R304" s="140"/>
      <c r="S304" s="140"/>
      <c r="T304" s="140"/>
    </row>
    <row r="305" spans="1:20" ht="13">
      <c r="A305" s="140"/>
      <c r="B305" s="140"/>
      <c r="C305" s="140"/>
      <c r="D305" s="140"/>
      <c r="E305" s="140"/>
      <c r="F305" s="140"/>
      <c r="G305" s="140"/>
      <c r="H305" s="140"/>
      <c r="I305" s="140"/>
      <c r="J305" s="140"/>
      <c r="K305" s="140"/>
      <c r="L305" s="140"/>
      <c r="M305" s="140"/>
      <c r="N305" s="140"/>
      <c r="O305" s="140"/>
      <c r="P305" s="140"/>
      <c r="Q305" s="140"/>
      <c r="R305" s="140"/>
      <c r="S305" s="140"/>
      <c r="T305" s="140"/>
    </row>
    <row r="306" spans="1:20" ht="13">
      <c r="A306" s="140"/>
      <c r="B306" s="140"/>
      <c r="C306" s="140"/>
      <c r="D306" s="140"/>
      <c r="E306" s="140"/>
      <c r="F306" s="140"/>
      <c r="G306" s="140"/>
      <c r="H306" s="140"/>
      <c r="I306" s="140"/>
      <c r="J306" s="140"/>
      <c r="K306" s="140"/>
      <c r="L306" s="140"/>
      <c r="M306" s="140"/>
      <c r="N306" s="140"/>
      <c r="O306" s="140"/>
      <c r="P306" s="140"/>
      <c r="Q306" s="140"/>
      <c r="R306" s="140"/>
      <c r="S306" s="140"/>
      <c r="T306" s="140"/>
    </row>
    <row r="307" spans="1:20" ht="13">
      <c r="A307" s="140"/>
      <c r="B307" s="140"/>
      <c r="C307" s="140"/>
      <c r="D307" s="140"/>
      <c r="E307" s="140"/>
      <c r="F307" s="140"/>
      <c r="G307" s="140"/>
      <c r="H307" s="140"/>
      <c r="I307" s="140"/>
      <c r="J307" s="140"/>
      <c r="K307" s="140"/>
      <c r="L307" s="140"/>
      <c r="M307" s="140"/>
      <c r="N307" s="140"/>
      <c r="O307" s="140"/>
      <c r="P307" s="140"/>
      <c r="Q307" s="140"/>
      <c r="R307" s="140"/>
      <c r="S307" s="140"/>
      <c r="T307" s="140"/>
    </row>
    <row r="308" spans="1:20" ht="13">
      <c r="A308" s="140"/>
      <c r="B308" s="140"/>
      <c r="C308" s="140"/>
      <c r="D308" s="140"/>
      <c r="E308" s="140"/>
      <c r="F308" s="140"/>
      <c r="G308" s="140"/>
      <c r="H308" s="140"/>
      <c r="I308" s="140"/>
      <c r="J308" s="140"/>
      <c r="K308" s="140"/>
      <c r="L308" s="140"/>
      <c r="M308" s="140"/>
      <c r="N308" s="140"/>
      <c r="O308" s="140"/>
      <c r="P308" s="140"/>
      <c r="Q308" s="140"/>
      <c r="R308" s="140"/>
      <c r="S308" s="140"/>
      <c r="T308" s="140"/>
    </row>
    <row r="309" spans="1:20" ht="13">
      <c r="A309" s="140"/>
      <c r="B309" s="140"/>
      <c r="C309" s="140"/>
      <c r="D309" s="140"/>
      <c r="E309" s="140"/>
      <c r="F309" s="140"/>
      <c r="G309" s="140"/>
      <c r="H309" s="140"/>
      <c r="I309" s="140"/>
      <c r="J309" s="140"/>
      <c r="K309" s="140"/>
      <c r="L309" s="140"/>
      <c r="M309" s="140"/>
      <c r="N309" s="140"/>
      <c r="O309" s="140"/>
      <c r="P309" s="140"/>
      <c r="Q309" s="140"/>
      <c r="R309" s="140"/>
      <c r="S309" s="140"/>
      <c r="T309" s="140"/>
    </row>
    <row r="310" spans="1:20" ht="13">
      <c r="A310" s="140"/>
      <c r="B310" s="140"/>
      <c r="C310" s="140"/>
      <c r="D310" s="140"/>
      <c r="E310" s="140"/>
      <c r="F310" s="140"/>
      <c r="G310" s="140"/>
      <c r="H310" s="140"/>
      <c r="I310" s="140"/>
      <c r="J310" s="140"/>
      <c r="K310" s="140"/>
      <c r="L310" s="140"/>
      <c r="M310" s="140"/>
      <c r="N310" s="140"/>
      <c r="O310" s="140"/>
      <c r="P310" s="140"/>
      <c r="Q310" s="140"/>
      <c r="R310" s="140"/>
      <c r="S310" s="140"/>
      <c r="T310" s="140"/>
    </row>
    <row r="311" spans="1:20" ht="13">
      <c r="A311" s="140"/>
      <c r="B311" s="140"/>
      <c r="C311" s="140"/>
      <c r="D311" s="140"/>
      <c r="E311" s="140"/>
      <c r="F311" s="140"/>
      <c r="G311" s="140"/>
      <c r="H311" s="140"/>
      <c r="I311" s="140"/>
      <c r="J311" s="140"/>
      <c r="K311" s="140"/>
      <c r="L311" s="140"/>
      <c r="M311" s="140"/>
      <c r="N311" s="140"/>
      <c r="O311" s="140"/>
      <c r="P311" s="140"/>
      <c r="Q311" s="140"/>
      <c r="R311" s="140"/>
      <c r="S311" s="140"/>
      <c r="T311" s="140"/>
    </row>
    <row r="312" spans="1:20" ht="13">
      <c r="A312" s="140"/>
      <c r="B312" s="140"/>
      <c r="C312" s="140"/>
      <c r="D312" s="140"/>
      <c r="E312" s="140"/>
      <c r="F312" s="140"/>
      <c r="G312" s="140"/>
      <c r="H312" s="140"/>
      <c r="I312" s="140"/>
      <c r="J312" s="140"/>
      <c r="K312" s="140"/>
      <c r="L312" s="140"/>
      <c r="M312" s="140"/>
      <c r="N312" s="140"/>
      <c r="O312" s="140"/>
      <c r="P312" s="140"/>
      <c r="Q312" s="140"/>
      <c r="R312" s="140"/>
      <c r="S312" s="140"/>
      <c r="T312" s="140"/>
    </row>
    <row r="313" spans="1:20" ht="13">
      <c r="A313" s="140"/>
      <c r="B313" s="140"/>
      <c r="C313" s="140"/>
      <c r="D313" s="140"/>
      <c r="E313" s="140"/>
      <c r="F313" s="140"/>
      <c r="G313" s="140"/>
      <c r="H313" s="140"/>
      <c r="I313" s="140"/>
      <c r="J313" s="140"/>
      <c r="K313" s="140"/>
      <c r="L313" s="140"/>
      <c r="M313" s="140"/>
      <c r="N313" s="140"/>
      <c r="O313" s="140"/>
      <c r="P313" s="140"/>
      <c r="Q313" s="140"/>
      <c r="R313" s="140"/>
      <c r="S313" s="140"/>
      <c r="T313" s="140"/>
    </row>
    <row r="314" spans="1:20" ht="13">
      <c r="A314" s="140"/>
      <c r="B314" s="140"/>
      <c r="C314" s="140"/>
      <c r="D314" s="140"/>
      <c r="E314" s="140"/>
      <c r="F314" s="140"/>
      <c r="G314" s="140"/>
      <c r="H314" s="140"/>
      <c r="I314" s="140"/>
      <c r="J314" s="140"/>
      <c r="K314" s="140"/>
      <c r="L314" s="140"/>
      <c r="M314" s="140"/>
      <c r="N314" s="140"/>
      <c r="O314" s="140"/>
      <c r="P314" s="140"/>
      <c r="Q314" s="140"/>
      <c r="R314" s="140"/>
      <c r="S314" s="140"/>
      <c r="T314" s="140"/>
    </row>
    <row r="315" spans="1:20" ht="13">
      <c r="A315" s="140"/>
      <c r="B315" s="140"/>
      <c r="C315" s="140"/>
      <c r="D315" s="140"/>
      <c r="E315" s="140"/>
      <c r="F315" s="140"/>
      <c r="G315" s="140"/>
      <c r="H315" s="140"/>
      <c r="I315" s="140"/>
      <c r="J315" s="140"/>
      <c r="K315" s="140"/>
      <c r="L315" s="140"/>
      <c r="M315" s="140"/>
      <c r="N315" s="140"/>
      <c r="O315" s="140"/>
      <c r="P315" s="140"/>
      <c r="Q315" s="140"/>
      <c r="R315" s="140"/>
      <c r="S315" s="140"/>
      <c r="T315" s="140"/>
    </row>
    <row r="316" spans="1:20" ht="13">
      <c r="A316" s="140"/>
      <c r="B316" s="140"/>
      <c r="C316" s="140"/>
      <c r="D316" s="140"/>
      <c r="E316" s="140"/>
      <c r="F316" s="140"/>
      <c r="G316" s="140"/>
      <c r="H316" s="140"/>
      <c r="I316" s="140"/>
      <c r="J316" s="140"/>
      <c r="K316" s="140"/>
      <c r="L316" s="140"/>
      <c r="M316" s="140"/>
      <c r="N316" s="140"/>
      <c r="O316" s="140"/>
      <c r="P316" s="140"/>
      <c r="Q316" s="140"/>
      <c r="R316" s="140"/>
      <c r="S316" s="140"/>
      <c r="T316" s="140"/>
    </row>
    <row r="317" spans="1:20" ht="13">
      <c r="A317" s="140"/>
      <c r="B317" s="140"/>
      <c r="C317" s="140"/>
      <c r="D317" s="140"/>
      <c r="E317" s="140"/>
      <c r="F317" s="140"/>
      <c r="G317" s="140"/>
      <c r="H317" s="140"/>
      <c r="I317" s="140"/>
      <c r="J317" s="140"/>
      <c r="K317" s="140"/>
      <c r="L317" s="140"/>
      <c r="M317" s="140"/>
      <c r="N317" s="140"/>
      <c r="O317" s="140"/>
      <c r="P317" s="140"/>
      <c r="Q317" s="140"/>
      <c r="R317" s="140"/>
      <c r="S317" s="140"/>
      <c r="T317" s="140"/>
    </row>
    <row r="318" spans="1:20" ht="13">
      <c r="A318" s="140"/>
      <c r="B318" s="140"/>
      <c r="C318" s="140"/>
      <c r="D318" s="140"/>
      <c r="E318" s="140"/>
      <c r="F318" s="140"/>
      <c r="G318" s="140"/>
      <c r="H318" s="140"/>
      <c r="I318" s="140"/>
      <c r="J318" s="140"/>
      <c r="K318" s="140"/>
      <c r="L318" s="140"/>
      <c r="M318" s="140"/>
      <c r="N318" s="140"/>
      <c r="O318" s="140"/>
      <c r="P318" s="140"/>
      <c r="Q318" s="140"/>
      <c r="R318" s="140"/>
      <c r="S318" s="140"/>
      <c r="T318" s="140"/>
    </row>
    <row r="319" spans="1:20" ht="13">
      <c r="A319" s="140"/>
      <c r="B319" s="140"/>
      <c r="C319" s="140"/>
      <c r="D319" s="140"/>
      <c r="E319" s="140"/>
      <c r="F319" s="140"/>
      <c r="G319" s="140"/>
      <c r="H319" s="140"/>
      <c r="I319" s="140"/>
      <c r="J319" s="140"/>
      <c r="K319" s="140"/>
      <c r="L319" s="140"/>
      <c r="M319" s="140"/>
      <c r="N319" s="140"/>
      <c r="O319" s="140"/>
      <c r="P319" s="140"/>
      <c r="Q319" s="140"/>
      <c r="R319" s="140"/>
      <c r="S319" s="140"/>
      <c r="T319" s="140"/>
    </row>
    <row r="320" spans="1:20" ht="13">
      <c r="A320" s="140"/>
      <c r="B320" s="140"/>
      <c r="C320" s="140"/>
      <c r="D320" s="140"/>
      <c r="E320" s="140"/>
      <c r="F320" s="140"/>
      <c r="G320" s="140"/>
      <c r="H320" s="140"/>
      <c r="I320" s="140"/>
      <c r="J320" s="140"/>
      <c r="K320" s="140"/>
      <c r="L320" s="140"/>
      <c r="M320" s="140"/>
      <c r="N320" s="140"/>
      <c r="O320" s="140"/>
      <c r="P320" s="140"/>
      <c r="Q320" s="140"/>
      <c r="R320" s="140"/>
      <c r="S320" s="140"/>
      <c r="T320" s="140"/>
    </row>
    <row r="321" spans="1:20" ht="13">
      <c r="A321" s="140"/>
      <c r="B321" s="140"/>
      <c r="C321" s="140"/>
      <c r="D321" s="140"/>
      <c r="E321" s="140"/>
      <c r="F321" s="140"/>
      <c r="G321" s="140"/>
      <c r="H321" s="140"/>
      <c r="I321" s="140"/>
      <c r="J321" s="140"/>
      <c r="K321" s="140"/>
      <c r="L321" s="140"/>
      <c r="M321" s="140"/>
      <c r="N321" s="140"/>
      <c r="O321" s="140"/>
      <c r="P321" s="140"/>
      <c r="Q321" s="140"/>
      <c r="R321" s="140"/>
      <c r="S321" s="140"/>
      <c r="T321" s="140"/>
    </row>
    <row r="322" spans="1:20" ht="13">
      <c r="A322" s="140"/>
      <c r="B322" s="140"/>
      <c r="C322" s="140"/>
      <c r="D322" s="140"/>
      <c r="E322" s="140"/>
      <c r="F322" s="140"/>
      <c r="G322" s="140"/>
      <c r="H322" s="140"/>
      <c r="I322" s="140"/>
      <c r="J322" s="140"/>
      <c r="K322" s="140"/>
      <c r="L322" s="140"/>
      <c r="M322" s="140"/>
      <c r="N322" s="140"/>
      <c r="O322" s="140"/>
      <c r="P322" s="140"/>
      <c r="Q322" s="140"/>
      <c r="R322" s="140"/>
      <c r="S322" s="140"/>
      <c r="T322" s="140"/>
    </row>
    <row r="323" spans="1:20" ht="13">
      <c r="A323" s="140"/>
      <c r="B323" s="140"/>
      <c r="C323" s="140"/>
      <c r="D323" s="140"/>
      <c r="E323" s="140"/>
      <c r="F323" s="140"/>
      <c r="G323" s="140"/>
      <c r="H323" s="140"/>
      <c r="I323" s="140"/>
      <c r="J323" s="140"/>
      <c r="K323" s="140"/>
      <c r="L323" s="140"/>
      <c r="M323" s="140"/>
      <c r="N323" s="140"/>
      <c r="O323" s="140"/>
      <c r="P323" s="140"/>
      <c r="Q323" s="140"/>
      <c r="R323" s="140"/>
      <c r="S323" s="140"/>
      <c r="T323" s="140"/>
    </row>
    <row r="324" spans="1:20" ht="13">
      <c r="A324" s="140"/>
      <c r="B324" s="140"/>
      <c r="C324" s="140"/>
      <c r="D324" s="140"/>
      <c r="E324" s="140"/>
      <c r="F324" s="140"/>
      <c r="G324" s="140"/>
      <c r="H324" s="140"/>
      <c r="I324" s="140"/>
      <c r="J324" s="140"/>
      <c r="K324" s="140"/>
      <c r="L324" s="140"/>
      <c r="M324" s="140"/>
      <c r="N324" s="140"/>
      <c r="O324" s="140"/>
      <c r="P324" s="140"/>
      <c r="Q324" s="140"/>
      <c r="R324" s="140"/>
      <c r="S324" s="140"/>
      <c r="T324" s="140"/>
    </row>
    <row r="325" spans="1:20" ht="13">
      <c r="A325" s="140"/>
      <c r="B325" s="140"/>
      <c r="C325" s="140"/>
      <c r="D325" s="140"/>
      <c r="E325" s="140"/>
      <c r="F325" s="140"/>
      <c r="G325" s="140"/>
      <c r="H325" s="140"/>
      <c r="I325" s="140"/>
      <c r="J325" s="140"/>
      <c r="K325" s="140"/>
      <c r="L325" s="140"/>
      <c r="M325" s="140"/>
      <c r="N325" s="140"/>
      <c r="O325" s="140"/>
      <c r="P325" s="140"/>
      <c r="Q325" s="140"/>
      <c r="R325" s="140"/>
      <c r="S325" s="140"/>
      <c r="T325" s="140"/>
    </row>
    <row r="326" spans="1:20" ht="13">
      <c r="A326" s="140"/>
      <c r="B326" s="140"/>
      <c r="C326" s="140"/>
      <c r="D326" s="140"/>
      <c r="E326" s="140"/>
      <c r="F326" s="140"/>
      <c r="G326" s="140"/>
      <c r="H326" s="140"/>
      <c r="I326" s="140"/>
      <c r="J326" s="140"/>
      <c r="K326" s="140"/>
      <c r="L326" s="140"/>
      <c r="M326" s="140"/>
      <c r="N326" s="140"/>
      <c r="O326" s="140"/>
      <c r="P326" s="140"/>
      <c r="Q326" s="140"/>
      <c r="R326" s="140"/>
      <c r="S326" s="140"/>
      <c r="T326" s="140"/>
    </row>
    <row r="327" spans="1:20" ht="13">
      <c r="A327" s="140"/>
      <c r="B327" s="140"/>
      <c r="C327" s="140"/>
      <c r="D327" s="140"/>
      <c r="E327" s="140"/>
      <c r="F327" s="140"/>
      <c r="G327" s="140"/>
      <c r="H327" s="140"/>
      <c r="I327" s="140"/>
      <c r="J327" s="140"/>
      <c r="K327" s="140"/>
      <c r="L327" s="140"/>
      <c r="M327" s="140"/>
      <c r="N327" s="140"/>
      <c r="O327" s="140"/>
      <c r="P327" s="140"/>
      <c r="Q327" s="140"/>
      <c r="R327" s="140"/>
      <c r="S327" s="140"/>
      <c r="T327" s="140"/>
    </row>
    <row r="328" spans="1:20" ht="13">
      <c r="A328" s="140"/>
      <c r="B328" s="140"/>
      <c r="C328" s="140"/>
      <c r="D328" s="140"/>
      <c r="E328" s="140"/>
      <c r="F328" s="140"/>
      <c r="G328" s="140"/>
      <c r="H328" s="140"/>
      <c r="I328" s="140"/>
      <c r="J328" s="140"/>
      <c r="K328" s="140"/>
      <c r="L328" s="140"/>
      <c r="M328" s="140"/>
      <c r="N328" s="140"/>
      <c r="O328" s="140"/>
      <c r="P328" s="140"/>
      <c r="Q328" s="140"/>
      <c r="R328" s="140"/>
      <c r="S328" s="140"/>
      <c r="T328" s="140"/>
    </row>
    <row r="329" spans="1:20" ht="13">
      <c r="A329" s="140"/>
      <c r="B329" s="140"/>
      <c r="C329" s="140"/>
      <c r="D329" s="140"/>
      <c r="E329" s="140"/>
      <c r="F329" s="140"/>
      <c r="G329" s="140"/>
      <c r="H329" s="140"/>
      <c r="I329" s="140"/>
      <c r="J329" s="140"/>
      <c r="K329" s="140"/>
      <c r="L329" s="140"/>
      <c r="M329" s="140"/>
      <c r="N329" s="140"/>
      <c r="O329" s="140"/>
      <c r="P329" s="140"/>
      <c r="Q329" s="140"/>
      <c r="R329" s="140"/>
      <c r="S329" s="140"/>
      <c r="T329" s="140"/>
    </row>
    <row r="330" spans="1:20" ht="13">
      <c r="A330" s="140"/>
      <c r="B330" s="140"/>
      <c r="C330" s="140"/>
      <c r="D330" s="140"/>
      <c r="E330" s="140"/>
      <c r="F330" s="140"/>
      <c r="G330" s="140"/>
      <c r="H330" s="140"/>
      <c r="I330" s="140"/>
      <c r="J330" s="140"/>
      <c r="K330" s="140"/>
      <c r="L330" s="140"/>
      <c r="M330" s="140"/>
      <c r="N330" s="140"/>
      <c r="O330" s="140"/>
      <c r="P330" s="140"/>
      <c r="Q330" s="140"/>
      <c r="R330" s="140"/>
      <c r="S330" s="140"/>
      <c r="T330" s="140"/>
    </row>
    <row r="331" spans="1:20" ht="13">
      <c r="A331" s="140"/>
      <c r="B331" s="140"/>
      <c r="C331" s="140"/>
      <c r="D331" s="140"/>
      <c r="E331" s="140"/>
      <c r="F331" s="140"/>
      <c r="G331" s="140"/>
      <c r="H331" s="140"/>
      <c r="I331" s="140"/>
      <c r="J331" s="140"/>
      <c r="K331" s="140"/>
      <c r="L331" s="140"/>
      <c r="M331" s="140"/>
      <c r="N331" s="140"/>
      <c r="O331" s="140"/>
      <c r="P331" s="140"/>
      <c r="Q331" s="140"/>
      <c r="R331" s="140"/>
      <c r="S331" s="140"/>
      <c r="T331" s="140"/>
    </row>
    <row r="332" spans="1:20" ht="13">
      <c r="A332" s="140"/>
      <c r="B332" s="140"/>
      <c r="C332" s="140"/>
      <c r="D332" s="140"/>
      <c r="E332" s="140"/>
      <c r="F332" s="140"/>
      <c r="G332" s="140"/>
      <c r="H332" s="140"/>
      <c r="I332" s="140"/>
      <c r="J332" s="140"/>
      <c r="K332" s="140"/>
      <c r="L332" s="140"/>
      <c r="M332" s="140"/>
      <c r="N332" s="140"/>
      <c r="O332" s="140"/>
      <c r="P332" s="140"/>
      <c r="Q332" s="140"/>
      <c r="R332" s="140"/>
      <c r="S332" s="140"/>
      <c r="T332" s="140"/>
    </row>
    <row r="333" spans="1:20" ht="13">
      <c r="A333" s="140"/>
      <c r="B333" s="140"/>
      <c r="C333" s="140"/>
      <c r="D333" s="140"/>
      <c r="E333" s="140"/>
      <c r="F333" s="140"/>
      <c r="G333" s="140"/>
      <c r="H333" s="140"/>
      <c r="I333" s="140"/>
      <c r="J333" s="140"/>
      <c r="K333" s="140"/>
      <c r="L333" s="140"/>
      <c r="M333" s="140"/>
      <c r="N333" s="140"/>
      <c r="O333" s="140"/>
      <c r="P333" s="140"/>
      <c r="Q333" s="140"/>
      <c r="R333" s="140"/>
      <c r="S333" s="140"/>
      <c r="T333" s="140"/>
    </row>
    <row r="334" spans="1:20" ht="13">
      <c r="A334" s="140"/>
      <c r="B334" s="140"/>
      <c r="C334" s="140"/>
      <c r="D334" s="140"/>
      <c r="E334" s="140"/>
      <c r="F334" s="140"/>
      <c r="G334" s="140"/>
      <c r="H334" s="140"/>
      <c r="I334" s="140"/>
      <c r="J334" s="140"/>
      <c r="K334" s="140"/>
      <c r="L334" s="140"/>
      <c r="M334" s="140"/>
      <c r="N334" s="140"/>
      <c r="O334" s="140"/>
      <c r="P334" s="140"/>
      <c r="Q334" s="140"/>
      <c r="R334" s="140"/>
      <c r="S334" s="140"/>
      <c r="T334" s="140"/>
    </row>
    <row r="335" spans="1:20" ht="13">
      <c r="A335" s="140"/>
      <c r="B335" s="140"/>
      <c r="C335" s="140"/>
      <c r="D335" s="140"/>
      <c r="E335" s="140"/>
      <c r="F335" s="140"/>
      <c r="G335" s="140"/>
      <c r="H335" s="140"/>
      <c r="I335" s="140"/>
      <c r="J335" s="140"/>
      <c r="K335" s="140"/>
      <c r="L335" s="140"/>
      <c r="M335" s="140"/>
      <c r="N335" s="140"/>
      <c r="O335" s="140"/>
      <c r="P335" s="140"/>
      <c r="Q335" s="140"/>
      <c r="R335" s="140"/>
      <c r="S335" s="140"/>
      <c r="T335" s="140"/>
    </row>
    <row r="336" spans="1:20" ht="13">
      <c r="A336" s="140"/>
      <c r="B336" s="140"/>
      <c r="C336" s="140"/>
      <c r="D336" s="140"/>
      <c r="E336" s="140"/>
      <c r="F336" s="140"/>
      <c r="G336" s="140"/>
      <c r="H336" s="140"/>
      <c r="I336" s="140"/>
      <c r="J336" s="140"/>
      <c r="K336" s="140"/>
      <c r="L336" s="140"/>
      <c r="M336" s="140"/>
      <c r="N336" s="140"/>
      <c r="O336" s="140"/>
      <c r="P336" s="140"/>
      <c r="Q336" s="140"/>
      <c r="R336" s="140"/>
      <c r="S336" s="140"/>
      <c r="T336" s="140"/>
    </row>
    <row r="337" spans="1:20" ht="13">
      <c r="A337" s="140"/>
      <c r="B337" s="140"/>
      <c r="C337" s="140"/>
      <c r="D337" s="140"/>
      <c r="E337" s="140"/>
      <c r="F337" s="140"/>
      <c r="G337" s="140"/>
      <c r="H337" s="140"/>
      <c r="I337" s="140"/>
      <c r="J337" s="140"/>
      <c r="K337" s="140"/>
      <c r="L337" s="140"/>
      <c r="M337" s="140"/>
      <c r="N337" s="140"/>
      <c r="O337" s="140"/>
      <c r="P337" s="140"/>
      <c r="Q337" s="140"/>
      <c r="R337" s="140"/>
      <c r="S337" s="140"/>
      <c r="T337" s="140"/>
    </row>
    <row r="338" spans="1:20" ht="13">
      <c r="A338" s="140"/>
      <c r="B338" s="140"/>
      <c r="C338" s="140"/>
      <c r="D338" s="140"/>
      <c r="E338" s="140"/>
      <c r="F338" s="140"/>
      <c r="G338" s="140"/>
      <c r="H338" s="140"/>
      <c r="I338" s="140"/>
      <c r="J338" s="140"/>
      <c r="K338" s="140"/>
      <c r="L338" s="140"/>
      <c r="M338" s="140"/>
      <c r="N338" s="140"/>
      <c r="O338" s="140"/>
      <c r="P338" s="140"/>
      <c r="Q338" s="140"/>
      <c r="R338" s="140"/>
      <c r="S338" s="140"/>
      <c r="T338" s="140"/>
    </row>
    <row r="339" spans="1:20" ht="13">
      <c r="A339" s="140"/>
      <c r="B339" s="140"/>
      <c r="C339" s="140"/>
      <c r="D339" s="140"/>
      <c r="E339" s="140"/>
      <c r="F339" s="140"/>
      <c r="G339" s="140"/>
      <c r="H339" s="140"/>
      <c r="I339" s="140"/>
      <c r="J339" s="140"/>
      <c r="K339" s="140"/>
      <c r="L339" s="140"/>
      <c r="M339" s="140"/>
      <c r="N339" s="140"/>
      <c r="O339" s="140"/>
      <c r="P339" s="140"/>
      <c r="Q339" s="140"/>
      <c r="R339" s="140"/>
      <c r="S339" s="140"/>
      <c r="T339" s="140"/>
    </row>
    <row r="340" spans="1:20" ht="13">
      <c r="A340" s="140"/>
      <c r="B340" s="140"/>
      <c r="C340" s="140"/>
      <c r="D340" s="140"/>
      <c r="E340" s="140"/>
      <c r="F340" s="140"/>
      <c r="G340" s="140"/>
      <c r="H340" s="140"/>
      <c r="I340" s="140"/>
      <c r="J340" s="140"/>
      <c r="K340" s="140"/>
      <c r="L340" s="140"/>
      <c r="M340" s="140"/>
      <c r="N340" s="140"/>
      <c r="O340" s="140"/>
      <c r="P340" s="140"/>
      <c r="Q340" s="140"/>
      <c r="R340" s="140"/>
      <c r="S340" s="140"/>
      <c r="T340" s="140"/>
    </row>
    <row r="341" spans="1:20" ht="13">
      <c r="A341" s="140"/>
      <c r="B341" s="140"/>
      <c r="C341" s="140"/>
      <c r="D341" s="140"/>
      <c r="E341" s="140"/>
      <c r="F341" s="140"/>
      <c r="G341" s="140"/>
      <c r="H341" s="140"/>
      <c r="I341" s="140"/>
      <c r="J341" s="140"/>
      <c r="K341" s="140"/>
      <c r="L341" s="140"/>
      <c r="M341" s="140"/>
      <c r="N341" s="140"/>
      <c r="O341" s="140"/>
      <c r="P341" s="140"/>
      <c r="Q341" s="140"/>
      <c r="R341" s="140"/>
      <c r="S341" s="140"/>
      <c r="T341" s="140"/>
    </row>
    <row r="342" spans="1:20" ht="13">
      <c r="A342" s="140"/>
      <c r="B342" s="140"/>
      <c r="C342" s="140"/>
      <c r="D342" s="140"/>
      <c r="E342" s="140"/>
      <c r="F342" s="140"/>
      <c r="G342" s="140"/>
      <c r="H342" s="140"/>
      <c r="I342" s="140"/>
      <c r="J342" s="140"/>
      <c r="K342" s="140"/>
      <c r="L342" s="140"/>
      <c r="M342" s="140"/>
      <c r="N342" s="140"/>
      <c r="O342" s="140"/>
      <c r="P342" s="140"/>
      <c r="Q342" s="140"/>
      <c r="R342" s="140"/>
      <c r="S342" s="140"/>
      <c r="T342" s="140"/>
    </row>
    <row r="343" spans="1:20" ht="13">
      <c r="A343" s="140"/>
      <c r="B343" s="140"/>
      <c r="C343" s="140"/>
      <c r="D343" s="140"/>
      <c r="E343" s="140"/>
      <c r="F343" s="140"/>
      <c r="G343" s="140"/>
      <c r="H343" s="140"/>
      <c r="I343" s="140"/>
      <c r="J343" s="140"/>
      <c r="K343" s="140"/>
      <c r="L343" s="140"/>
      <c r="M343" s="140"/>
      <c r="N343" s="140"/>
      <c r="O343" s="140"/>
      <c r="P343" s="140"/>
      <c r="Q343" s="140"/>
      <c r="R343" s="140"/>
      <c r="S343" s="140"/>
      <c r="T343" s="140"/>
    </row>
    <row r="344" spans="1:20" ht="13">
      <c r="A344" s="140"/>
      <c r="B344" s="140"/>
      <c r="C344" s="140"/>
      <c r="D344" s="140"/>
      <c r="E344" s="140"/>
      <c r="F344" s="140"/>
      <c r="G344" s="140"/>
      <c r="H344" s="140"/>
      <c r="I344" s="140"/>
      <c r="J344" s="140"/>
      <c r="K344" s="140"/>
      <c r="L344" s="140"/>
      <c r="M344" s="140"/>
      <c r="N344" s="140"/>
      <c r="O344" s="140"/>
      <c r="P344" s="140"/>
      <c r="Q344" s="140"/>
      <c r="R344" s="140"/>
      <c r="S344" s="140"/>
      <c r="T344" s="140"/>
    </row>
    <row r="345" spans="1:20" ht="13">
      <c r="A345" s="140"/>
      <c r="B345" s="140"/>
      <c r="C345" s="140"/>
      <c r="D345" s="140"/>
      <c r="E345" s="140"/>
      <c r="F345" s="140"/>
      <c r="G345" s="140"/>
      <c r="H345" s="140"/>
      <c r="I345" s="140"/>
      <c r="J345" s="140"/>
      <c r="K345" s="140"/>
      <c r="L345" s="140"/>
      <c r="M345" s="140"/>
      <c r="N345" s="140"/>
      <c r="O345" s="140"/>
      <c r="P345" s="140"/>
      <c r="Q345" s="140"/>
      <c r="R345" s="140"/>
      <c r="S345" s="140"/>
      <c r="T345" s="140"/>
    </row>
    <row r="346" spans="1:20" ht="13">
      <c r="A346" s="140"/>
      <c r="B346" s="140"/>
      <c r="C346" s="140"/>
      <c r="D346" s="140"/>
      <c r="E346" s="140"/>
      <c r="F346" s="140"/>
      <c r="G346" s="140"/>
      <c r="H346" s="140"/>
      <c r="I346" s="140"/>
      <c r="J346" s="140"/>
      <c r="K346" s="140"/>
      <c r="L346" s="140"/>
      <c r="M346" s="140"/>
      <c r="N346" s="140"/>
      <c r="O346" s="140"/>
      <c r="P346" s="140"/>
      <c r="Q346" s="140"/>
      <c r="R346" s="140"/>
      <c r="S346" s="140"/>
      <c r="T346" s="140"/>
    </row>
    <row r="347" spans="1:20" ht="13">
      <c r="A347" s="140"/>
      <c r="B347" s="140"/>
      <c r="C347" s="140"/>
      <c r="D347" s="140"/>
      <c r="E347" s="140"/>
      <c r="F347" s="140"/>
      <c r="G347" s="140"/>
      <c r="H347" s="140"/>
      <c r="I347" s="140"/>
      <c r="J347" s="140"/>
      <c r="K347" s="140"/>
      <c r="L347" s="140"/>
      <c r="M347" s="140"/>
      <c r="N347" s="140"/>
      <c r="O347" s="140"/>
      <c r="P347" s="140"/>
      <c r="Q347" s="140"/>
      <c r="R347" s="140"/>
      <c r="S347" s="140"/>
      <c r="T347" s="140"/>
    </row>
    <row r="348" spans="1:20" ht="13">
      <c r="A348" s="140"/>
      <c r="B348" s="140"/>
      <c r="C348" s="140"/>
      <c r="D348" s="140"/>
      <c r="E348" s="140"/>
      <c r="F348" s="140"/>
      <c r="G348" s="140"/>
      <c r="H348" s="140"/>
      <c r="I348" s="140"/>
      <c r="J348" s="140"/>
      <c r="K348" s="140"/>
      <c r="L348" s="140"/>
      <c r="M348" s="140"/>
      <c r="N348" s="140"/>
      <c r="O348" s="140"/>
      <c r="P348" s="140"/>
      <c r="Q348" s="140"/>
      <c r="R348" s="140"/>
      <c r="S348" s="140"/>
      <c r="T348" s="140"/>
    </row>
    <row r="349" spans="1:20" ht="13">
      <c r="A349" s="140"/>
      <c r="B349" s="140"/>
      <c r="C349" s="140"/>
      <c r="D349" s="140"/>
      <c r="E349" s="140"/>
      <c r="F349" s="140"/>
      <c r="G349" s="140"/>
      <c r="H349" s="140"/>
      <c r="I349" s="140"/>
      <c r="J349" s="140"/>
      <c r="K349" s="140"/>
      <c r="L349" s="140"/>
      <c r="M349" s="140"/>
      <c r="N349" s="140"/>
      <c r="O349" s="140"/>
      <c r="P349" s="140"/>
      <c r="Q349" s="140"/>
      <c r="R349" s="140"/>
      <c r="S349" s="140"/>
      <c r="T349" s="140"/>
    </row>
    <row r="350" spans="1:20" ht="13">
      <c r="A350" s="140"/>
      <c r="B350" s="140"/>
      <c r="C350" s="140"/>
      <c r="D350" s="140"/>
      <c r="E350" s="140"/>
      <c r="F350" s="140"/>
      <c r="G350" s="140"/>
      <c r="H350" s="140"/>
      <c r="I350" s="140"/>
      <c r="J350" s="140"/>
      <c r="K350" s="140"/>
      <c r="L350" s="140"/>
      <c r="M350" s="140"/>
      <c r="N350" s="140"/>
      <c r="O350" s="140"/>
      <c r="P350" s="140"/>
      <c r="Q350" s="140"/>
      <c r="R350" s="140"/>
      <c r="S350" s="140"/>
      <c r="T350" s="140"/>
    </row>
    <row r="351" spans="1:20" ht="13">
      <c r="A351" s="140"/>
      <c r="B351" s="140"/>
      <c r="C351" s="140"/>
      <c r="D351" s="140"/>
      <c r="E351" s="140"/>
      <c r="F351" s="140"/>
      <c r="G351" s="140"/>
      <c r="H351" s="140"/>
      <c r="I351" s="140"/>
      <c r="J351" s="140"/>
      <c r="K351" s="140"/>
      <c r="L351" s="140"/>
      <c r="M351" s="140"/>
      <c r="N351" s="140"/>
      <c r="O351" s="140"/>
      <c r="P351" s="140"/>
      <c r="Q351" s="140"/>
      <c r="R351" s="140"/>
      <c r="S351" s="140"/>
      <c r="T351" s="140"/>
    </row>
    <row r="352" spans="1:20" ht="13">
      <c r="A352" s="140"/>
      <c r="B352" s="140"/>
      <c r="C352" s="140"/>
      <c r="D352" s="140"/>
      <c r="E352" s="140"/>
      <c r="F352" s="140"/>
      <c r="G352" s="140"/>
      <c r="H352" s="140"/>
      <c r="I352" s="140"/>
      <c r="J352" s="140"/>
      <c r="K352" s="140"/>
      <c r="L352" s="140"/>
      <c r="M352" s="140"/>
      <c r="N352" s="140"/>
      <c r="O352" s="140"/>
      <c r="P352" s="140"/>
      <c r="Q352" s="140"/>
      <c r="R352" s="140"/>
      <c r="S352" s="140"/>
      <c r="T352" s="140"/>
    </row>
    <row r="353" spans="1:20" ht="13">
      <c r="A353" s="140"/>
      <c r="B353" s="140"/>
      <c r="C353" s="140"/>
      <c r="D353" s="140"/>
      <c r="E353" s="140"/>
      <c r="F353" s="140"/>
      <c r="G353" s="140"/>
      <c r="H353" s="140"/>
      <c r="I353" s="140"/>
      <c r="J353" s="140"/>
      <c r="K353" s="140"/>
      <c r="L353" s="140"/>
      <c r="M353" s="140"/>
      <c r="N353" s="140"/>
      <c r="O353" s="140"/>
      <c r="P353" s="140"/>
      <c r="Q353" s="140"/>
      <c r="R353" s="140"/>
      <c r="S353" s="140"/>
      <c r="T353" s="140"/>
    </row>
    <row r="354" spans="1:20" ht="13">
      <c r="A354" s="140"/>
      <c r="B354" s="140"/>
      <c r="C354" s="140"/>
      <c r="D354" s="140"/>
      <c r="E354" s="140"/>
      <c r="F354" s="140"/>
      <c r="G354" s="140"/>
      <c r="H354" s="140"/>
      <c r="I354" s="140"/>
      <c r="J354" s="140"/>
      <c r="K354" s="140"/>
      <c r="L354" s="140"/>
      <c r="M354" s="140"/>
      <c r="N354" s="140"/>
      <c r="O354" s="140"/>
      <c r="P354" s="140"/>
      <c r="Q354" s="140"/>
      <c r="R354" s="140"/>
      <c r="S354" s="140"/>
      <c r="T354" s="140"/>
    </row>
    <row r="355" spans="1:20" ht="13">
      <c r="A355" s="140"/>
      <c r="B355" s="140"/>
      <c r="C355" s="140"/>
      <c r="D355" s="140"/>
      <c r="E355" s="140"/>
      <c r="F355" s="140"/>
      <c r="G355" s="140"/>
      <c r="H355" s="140"/>
      <c r="I355" s="140"/>
      <c r="J355" s="140"/>
      <c r="K355" s="140"/>
      <c r="L355" s="140"/>
      <c r="M355" s="140"/>
      <c r="N355" s="140"/>
      <c r="O355" s="140"/>
      <c r="P355" s="140"/>
      <c r="Q355" s="140"/>
      <c r="R355" s="140"/>
      <c r="S355" s="140"/>
      <c r="T355" s="140"/>
    </row>
    <row r="356" spans="1:20" ht="13">
      <c r="A356" s="140"/>
      <c r="B356" s="140"/>
      <c r="C356" s="140"/>
      <c r="D356" s="140"/>
      <c r="E356" s="140"/>
      <c r="F356" s="140"/>
      <c r="G356" s="140"/>
      <c r="H356" s="140"/>
      <c r="I356" s="140"/>
      <c r="J356" s="140"/>
      <c r="K356" s="140"/>
      <c r="L356" s="140"/>
      <c r="M356" s="140"/>
      <c r="N356" s="140"/>
      <c r="O356" s="140"/>
      <c r="P356" s="140"/>
      <c r="Q356" s="140"/>
      <c r="R356" s="140"/>
      <c r="S356" s="140"/>
      <c r="T356" s="140"/>
    </row>
    <row r="357" spans="1:20" ht="13">
      <c r="A357" s="140"/>
      <c r="B357" s="140"/>
      <c r="C357" s="140"/>
      <c r="D357" s="140"/>
      <c r="E357" s="140"/>
      <c r="F357" s="140"/>
      <c r="G357" s="140"/>
      <c r="H357" s="140"/>
      <c r="I357" s="140"/>
      <c r="J357" s="140"/>
      <c r="K357" s="140"/>
      <c r="L357" s="140"/>
      <c r="M357" s="140"/>
      <c r="N357" s="140"/>
      <c r="O357" s="140"/>
      <c r="P357" s="140"/>
      <c r="Q357" s="140"/>
      <c r="R357" s="140"/>
      <c r="S357" s="140"/>
      <c r="T357" s="140"/>
    </row>
    <row r="358" spans="1:20" ht="13">
      <c r="A358" s="140"/>
      <c r="B358" s="140"/>
      <c r="C358" s="140"/>
      <c r="D358" s="140"/>
      <c r="E358" s="140"/>
      <c r="F358" s="140"/>
      <c r="G358" s="140"/>
      <c r="H358" s="140"/>
      <c r="I358" s="140"/>
      <c r="J358" s="140"/>
      <c r="K358" s="140"/>
      <c r="L358" s="140"/>
      <c r="M358" s="140"/>
      <c r="N358" s="140"/>
      <c r="O358" s="140"/>
      <c r="P358" s="140"/>
      <c r="Q358" s="140"/>
      <c r="R358" s="140"/>
      <c r="S358" s="140"/>
      <c r="T358" s="140"/>
    </row>
    <row r="359" spans="1:20" ht="13">
      <c r="A359" s="140"/>
      <c r="B359" s="140"/>
      <c r="C359" s="140"/>
      <c r="D359" s="140"/>
      <c r="E359" s="140"/>
      <c r="F359" s="140"/>
      <c r="G359" s="140"/>
      <c r="H359" s="140"/>
      <c r="I359" s="140"/>
      <c r="J359" s="140"/>
      <c r="K359" s="140"/>
      <c r="L359" s="140"/>
      <c r="M359" s="140"/>
      <c r="N359" s="140"/>
      <c r="O359" s="140"/>
      <c r="P359" s="140"/>
      <c r="Q359" s="140"/>
      <c r="R359" s="140"/>
      <c r="S359" s="140"/>
      <c r="T359" s="140"/>
    </row>
    <row r="360" spans="1:20" ht="13">
      <c r="A360" s="140"/>
      <c r="B360" s="140"/>
      <c r="C360" s="140"/>
      <c r="D360" s="140"/>
      <c r="E360" s="140"/>
      <c r="F360" s="140"/>
      <c r="G360" s="140"/>
      <c r="H360" s="140"/>
      <c r="I360" s="140"/>
      <c r="J360" s="140"/>
      <c r="K360" s="140"/>
      <c r="L360" s="140"/>
      <c r="M360" s="140"/>
      <c r="N360" s="140"/>
      <c r="O360" s="140"/>
      <c r="P360" s="140"/>
      <c r="Q360" s="140"/>
      <c r="R360" s="140"/>
      <c r="S360" s="140"/>
      <c r="T360" s="140"/>
    </row>
    <row r="361" spans="1:20" ht="13">
      <c r="A361" s="140"/>
      <c r="B361" s="140"/>
      <c r="C361" s="140"/>
      <c r="D361" s="140"/>
      <c r="E361" s="140"/>
      <c r="F361" s="140"/>
      <c r="G361" s="140"/>
      <c r="H361" s="140"/>
      <c r="I361" s="140"/>
      <c r="J361" s="140"/>
      <c r="K361" s="140"/>
      <c r="L361" s="140"/>
      <c r="M361" s="140"/>
      <c r="N361" s="140"/>
      <c r="O361" s="140"/>
      <c r="P361" s="140"/>
      <c r="Q361" s="140"/>
      <c r="R361" s="140"/>
      <c r="S361" s="140"/>
      <c r="T361" s="140"/>
    </row>
    <row r="362" spans="1:20" ht="13">
      <c r="A362" s="140"/>
      <c r="B362" s="140"/>
      <c r="C362" s="140"/>
      <c r="D362" s="140"/>
      <c r="E362" s="140"/>
      <c r="F362" s="140"/>
      <c r="G362" s="140"/>
      <c r="H362" s="140"/>
      <c r="I362" s="140"/>
      <c r="J362" s="140"/>
      <c r="K362" s="140"/>
      <c r="L362" s="140"/>
      <c r="M362" s="140"/>
      <c r="N362" s="140"/>
      <c r="O362" s="140"/>
      <c r="P362" s="140"/>
      <c r="Q362" s="140"/>
      <c r="R362" s="140"/>
      <c r="S362" s="140"/>
      <c r="T362" s="140"/>
    </row>
    <row r="363" spans="1:20" ht="13">
      <c r="A363" s="140"/>
      <c r="B363" s="140"/>
      <c r="C363" s="140"/>
      <c r="D363" s="140"/>
      <c r="E363" s="140"/>
      <c r="F363" s="140"/>
      <c r="G363" s="140"/>
      <c r="H363" s="140"/>
      <c r="I363" s="140"/>
      <c r="J363" s="140"/>
      <c r="K363" s="140"/>
      <c r="L363" s="140"/>
      <c r="M363" s="140"/>
      <c r="N363" s="140"/>
      <c r="O363" s="140"/>
      <c r="P363" s="140"/>
      <c r="Q363" s="140"/>
      <c r="R363" s="140"/>
      <c r="S363" s="140"/>
      <c r="T363" s="140"/>
    </row>
    <row r="364" spans="1:20" ht="13">
      <c r="A364" s="140"/>
      <c r="B364" s="140"/>
      <c r="C364" s="140"/>
      <c r="D364" s="140"/>
      <c r="E364" s="140"/>
      <c r="F364" s="140"/>
      <c r="G364" s="140"/>
      <c r="H364" s="140"/>
      <c r="I364" s="140"/>
      <c r="J364" s="140"/>
      <c r="K364" s="140"/>
      <c r="L364" s="140"/>
      <c r="M364" s="140"/>
      <c r="N364" s="140"/>
      <c r="O364" s="140"/>
      <c r="P364" s="140"/>
      <c r="Q364" s="140"/>
      <c r="R364" s="140"/>
      <c r="S364" s="140"/>
      <c r="T364" s="140"/>
    </row>
    <row r="365" spans="1:20" ht="13">
      <c r="A365" s="140"/>
      <c r="B365" s="140"/>
      <c r="C365" s="140"/>
      <c r="D365" s="140"/>
      <c r="E365" s="140"/>
      <c r="F365" s="140"/>
      <c r="G365" s="140"/>
      <c r="H365" s="140"/>
      <c r="I365" s="140"/>
      <c r="J365" s="140"/>
      <c r="K365" s="140"/>
      <c r="L365" s="140"/>
      <c r="M365" s="140"/>
      <c r="N365" s="140"/>
      <c r="O365" s="140"/>
      <c r="P365" s="140"/>
      <c r="Q365" s="140"/>
      <c r="R365" s="140"/>
      <c r="S365" s="140"/>
      <c r="T365" s="140"/>
    </row>
    <row r="366" spans="1:20" ht="13">
      <c r="A366" s="140"/>
      <c r="B366" s="140"/>
      <c r="C366" s="140"/>
      <c r="D366" s="140"/>
      <c r="E366" s="140"/>
      <c r="F366" s="140"/>
      <c r="G366" s="140"/>
      <c r="H366" s="140"/>
      <c r="I366" s="140"/>
      <c r="J366" s="140"/>
      <c r="K366" s="140"/>
      <c r="L366" s="140"/>
      <c r="M366" s="140"/>
      <c r="N366" s="140"/>
      <c r="O366" s="140"/>
      <c r="P366" s="140"/>
      <c r="Q366" s="140"/>
      <c r="R366" s="140"/>
      <c r="S366" s="140"/>
      <c r="T366" s="140"/>
    </row>
    <row r="367" spans="1:20" ht="13">
      <c r="A367" s="140"/>
      <c r="B367" s="140"/>
      <c r="C367" s="140"/>
      <c r="D367" s="140"/>
      <c r="E367" s="140"/>
      <c r="F367" s="140"/>
      <c r="G367" s="140"/>
      <c r="H367" s="140"/>
      <c r="I367" s="140"/>
      <c r="J367" s="140"/>
      <c r="K367" s="140"/>
      <c r="L367" s="140"/>
      <c r="M367" s="140"/>
      <c r="N367" s="140"/>
      <c r="O367" s="140"/>
      <c r="P367" s="140"/>
      <c r="Q367" s="140"/>
      <c r="R367" s="140"/>
      <c r="S367" s="140"/>
      <c r="T367" s="140"/>
    </row>
    <row r="368" spans="1:20" ht="13">
      <c r="A368" s="140"/>
      <c r="B368" s="140"/>
      <c r="C368" s="140"/>
      <c r="D368" s="140"/>
      <c r="E368" s="140"/>
      <c r="F368" s="140"/>
      <c r="G368" s="140"/>
      <c r="H368" s="140"/>
      <c r="I368" s="140"/>
      <c r="J368" s="140"/>
      <c r="K368" s="140"/>
      <c r="L368" s="140"/>
      <c r="M368" s="140"/>
      <c r="N368" s="140"/>
      <c r="O368" s="140"/>
      <c r="P368" s="140"/>
      <c r="Q368" s="140"/>
      <c r="R368" s="140"/>
      <c r="S368" s="140"/>
      <c r="T368" s="140"/>
    </row>
    <row r="369" spans="1:20" ht="13">
      <c r="A369" s="140"/>
      <c r="B369" s="140"/>
      <c r="C369" s="140"/>
      <c r="D369" s="140"/>
      <c r="E369" s="140"/>
      <c r="F369" s="140"/>
      <c r="G369" s="140"/>
      <c r="H369" s="140"/>
      <c r="I369" s="140"/>
      <c r="J369" s="140"/>
      <c r="K369" s="140"/>
      <c r="L369" s="140"/>
      <c r="M369" s="140"/>
      <c r="N369" s="140"/>
      <c r="O369" s="140"/>
      <c r="P369" s="140"/>
      <c r="Q369" s="140"/>
      <c r="R369" s="140"/>
      <c r="S369" s="140"/>
      <c r="T369" s="140"/>
    </row>
    <row r="370" spans="1:20" ht="13">
      <c r="A370" s="140"/>
      <c r="B370" s="140"/>
      <c r="C370" s="140"/>
      <c r="D370" s="140"/>
      <c r="E370" s="140"/>
      <c r="F370" s="140"/>
      <c r="G370" s="140"/>
      <c r="H370" s="140"/>
      <c r="I370" s="140"/>
      <c r="J370" s="140"/>
      <c r="K370" s="140"/>
      <c r="L370" s="140"/>
      <c r="M370" s="140"/>
      <c r="N370" s="140"/>
      <c r="O370" s="140"/>
      <c r="P370" s="140"/>
      <c r="Q370" s="140"/>
      <c r="R370" s="140"/>
      <c r="S370" s="140"/>
      <c r="T370" s="140"/>
    </row>
    <row r="371" spans="1:20" ht="13">
      <c r="A371" s="140"/>
      <c r="B371" s="140"/>
      <c r="C371" s="140"/>
      <c r="D371" s="140"/>
      <c r="E371" s="140"/>
      <c r="F371" s="140"/>
      <c r="G371" s="140"/>
      <c r="H371" s="140"/>
      <c r="I371" s="140"/>
      <c r="J371" s="140"/>
      <c r="K371" s="140"/>
      <c r="L371" s="140"/>
      <c r="M371" s="140"/>
      <c r="N371" s="140"/>
      <c r="O371" s="140"/>
      <c r="P371" s="140"/>
      <c r="Q371" s="140"/>
      <c r="R371" s="140"/>
      <c r="S371" s="140"/>
      <c r="T371" s="140"/>
    </row>
    <row r="372" spans="1:20" ht="13">
      <c r="A372" s="140"/>
      <c r="B372" s="140"/>
      <c r="C372" s="140"/>
      <c r="D372" s="140"/>
      <c r="E372" s="140"/>
      <c r="F372" s="140"/>
      <c r="G372" s="140"/>
      <c r="H372" s="140"/>
      <c r="I372" s="140"/>
      <c r="J372" s="140"/>
      <c r="K372" s="140"/>
      <c r="L372" s="140"/>
      <c r="M372" s="140"/>
      <c r="N372" s="140"/>
      <c r="O372" s="140"/>
      <c r="P372" s="140"/>
      <c r="Q372" s="140"/>
      <c r="R372" s="140"/>
      <c r="S372" s="140"/>
      <c r="T372" s="140"/>
    </row>
    <row r="373" spans="1:20" ht="13">
      <c r="A373" s="140"/>
      <c r="B373" s="140"/>
      <c r="C373" s="140"/>
      <c r="D373" s="140"/>
      <c r="E373" s="140"/>
      <c r="F373" s="140"/>
      <c r="G373" s="140"/>
      <c r="H373" s="140"/>
      <c r="I373" s="140"/>
      <c r="J373" s="140"/>
      <c r="K373" s="140"/>
      <c r="L373" s="140"/>
      <c r="M373" s="140"/>
      <c r="N373" s="140"/>
      <c r="O373" s="140"/>
      <c r="P373" s="140"/>
      <c r="Q373" s="140"/>
      <c r="R373" s="140"/>
      <c r="S373" s="140"/>
      <c r="T373" s="140"/>
    </row>
    <row r="374" spans="1:20" ht="13">
      <c r="A374" s="140"/>
      <c r="B374" s="140"/>
      <c r="C374" s="140"/>
      <c r="D374" s="140"/>
      <c r="E374" s="140"/>
      <c r="F374" s="140"/>
      <c r="G374" s="140"/>
      <c r="H374" s="140"/>
      <c r="I374" s="140"/>
      <c r="J374" s="140"/>
      <c r="K374" s="140"/>
      <c r="L374" s="140"/>
      <c r="M374" s="140"/>
      <c r="N374" s="140"/>
      <c r="O374" s="140"/>
      <c r="P374" s="140"/>
      <c r="Q374" s="140"/>
      <c r="R374" s="140"/>
      <c r="S374" s="140"/>
      <c r="T374" s="140"/>
    </row>
    <row r="375" spans="1:20" ht="13">
      <c r="A375" s="140"/>
      <c r="B375" s="140"/>
      <c r="C375" s="140"/>
      <c r="D375" s="140"/>
      <c r="E375" s="140"/>
      <c r="F375" s="140"/>
      <c r="G375" s="140"/>
      <c r="H375" s="140"/>
      <c r="I375" s="140"/>
      <c r="J375" s="140"/>
      <c r="K375" s="140"/>
      <c r="L375" s="140"/>
      <c r="M375" s="140"/>
      <c r="N375" s="140"/>
      <c r="O375" s="140"/>
      <c r="P375" s="140"/>
      <c r="Q375" s="140"/>
      <c r="R375" s="140"/>
      <c r="S375" s="140"/>
      <c r="T375" s="140"/>
    </row>
    <row r="376" spans="1:20" ht="13">
      <c r="A376" s="140"/>
      <c r="B376" s="140"/>
      <c r="C376" s="140"/>
      <c r="D376" s="140"/>
      <c r="E376" s="140"/>
      <c r="F376" s="140"/>
      <c r="G376" s="140"/>
      <c r="H376" s="140"/>
      <c r="I376" s="140"/>
      <c r="J376" s="140"/>
      <c r="K376" s="140"/>
      <c r="L376" s="140"/>
      <c r="M376" s="140"/>
      <c r="N376" s="140"/>
      <c r="O376" s="140"/>
      <c r="P376" s="140"/>
      <c r="Q376" s="140"/>
      <c r="R376" s="140"/>
      <c r="S376" s="140"/>
      <c r="T376" s="140"/>
    </row>
    <row r="377" spans="1:20" ht="13">
      <c r="A377" s="140"/>
      <c r="B377" s="140"/>
      <c r="C377" s="140"/>
      <c r="D377" s="140"/>
      <c r="E377" s="140"/>
      <c r="F377" s="140"/>
      <c r="G377" s="140"/>
      <c r="H377" s="140"/>
      <c r="I377" s="140"/>
      <c r="J377" s="140"/>
      <c r="K377" s="140"/>
      <c r="L377" s="140"/>
      <c r="M377" s="140"/>
      <c r="N377" s="140"/>
      <c r="O377" s="140"/>
      <c r="P377" s="140"/>
      <c r="Q377" s="140"/>
      <c r="R377" s="140"/>
      <c r="S377" s="140"/>
      <c r="T377" s="140"/>
    </row>
    <row r="378" spans="1:20" ht="13">
      <c r="A378" s="140"/>
      <c r="B378" s="140"/>
      <c r="C378" s="140"/>
      <c r="D378" s="140"/>
      <c r="E378" s="140"/>
      <c r="F378" s="140"/>
      <c r="G378" s="140"/>
      <c r="H378" s="140"/>
      <c r="I378" s="140"/>
      <c r="J378" s="140"/>
      <c r="K378" s="140"/>
      <c r="L378" s="140"/>
      <c r="M378" s="140"/>
      <c r="N378" s="140"/>
      <c r="O378" s="140"/>
      <c r="P378" s="140"/>
      <c r="Q378" s="140"/>
      <c r="R378" s="140"/>
      <c r="S378" s="140"/>
      <c r="T378" s="140"/>
    </row>
    <row r="379" spans="1:20" ht="13">
      <c r="A379" s="140"/>
      <c r="B379" s="140"/>
      <c r="C379" s="140"/>
      <c r="D379" s="140"/>
      <c r="E379" s="140"/>
      <c r="F379" s="140"/>
      <c r="G379" s="140"/>
      <c r="H379" s="140"/>
      <c r="I379" s="140"/>
      <c r="J379" s="140"/>
      <c r="K379" s="140"/>
      <c r="L379" s="140"/>
      <c r="M379" s="140"/>
      <c r="N379" s="140"/>
      <c r="O379" s="140"/>
      <c r="P379" s="140"/>
      <c r="Q379" s="140"/>
      <c r="R379" s="140"/>
      <c r="S379" s="140"/>
      <c r="T379" s="140"/>
    </row>
    <row r="380" spans="1:20" ht="13">
      <c r="A380" s="140"/>
      <c r="B380" s="140"/>
      <c r="C380" s="140"/>
      <c r="D380" s="140"/>
      <c r="E380" s="140"/>
      <c r="F380" s="140"/>
      <c r="G380" s="140"/>
      <c r="H380" s="140"/>
      <c r="I380" s="140"/>
      <c r="J380" s="140"/>
      <c r="K380" s="140"/>
      <c r="L380" s="140"/>
      <c r="M380" s="140"/>
      <c r="N380" s="140"/>
      <c r="O380" s="140"/>
      <c r="P380" s="140"/>
      <c r="Q380" s="140"/>
      <c r="R380" s="140"/>
      <c r="S380" s="140"/>
      <c r="T380" s="140"/>
    </row>
    <row r="381" spans="1:20" ht="13">
      <c r="A381" s="140"/>
      <c r="B381" s="140"/>
      <c r="C381" s="140"/>
      <c r="D381" s="140"/>
      <c r="E381" s="140"/>
      <c r="F381" s="140"/>
      <c r="G381" s="140"/>
      <c r="H381" s="140"/>
      <c r="I381" s="140"/>
      <c r="J381" s="140"/>
      <c r="K381" s="140"/>
      <c r="L381" s="140"/>
      <c r="M381" s="140"/>
      <c r="N381" s="140"/>
      <c r="O381" s="140"/>
      <c r="P381" s="140"/>
      <c r="Q381" s="140"/>
      <c r="R381" s="140"/>
      <c r="S381" s="140"/>
      <c r="T381" s="140"/>
    </row>
    <row r="382" spans="1:20" ht="13">
      <c r="A382" s="140"/>
      <c r="B382" s="140"/>
      <c r="C382" s="140"/>
      <c r="D382" s="140"/>
      <c r="E382" s="140"/>
      <c r="F382" s="140"/>
      <c r="G382" s="140"/>
      <c r="H382" s="140"/>
      <c r="I382" s="140"/>
      <c r="J382" s="140"/>
      <c r="K382" s="140"/>
      <c r="L382" s="140"/>
      <c r="M382" s="140"/>
      <c r="N382" s="140"/>
      <c r="O382" s="140"/>
      <c r="P382" s="140"/>
      <c r="Q382" s="140"/>
      <c r="R382" s="140"/>
      <c r="S382" s="140"/>
      <c r="T382" s="140"/>
    </row>
    <row r="383" spans="1:20" ht="13">
      <c r="A383" s="140"/>
      <c r="B383" s="140"/>
      <c r="C383" s="140"/>
      <c r="D383" s="140"/>
      <c r="E383" s="140"/>
      <c r="F383" s="140"/>
      <c r="G383" s="140"/>
      <c r="H383" s="140"/>
      <c r="I383" s="140"/>
      <c r="J383" s="140"/>
      <c r="K383" s="140"/>
      <c r="L383" s="140"/>
      <c r="M383" s="140"/>
      <c r="N383" s="140"/>
      <c r="O383" s="140"/>
      <c r="P383" s="140"/>
      <c r="Q383" s="140"/>
      <c r="R383" s="140"/>
      <c r="S383" s="140"/>
      <c r="T383" s="140"/>
    </row>
    <row r="384" spans="1:20" ht="13">
      <c r="A384" s="140"/>
      <c r="B384" s="140"/>
      <c r="C384" s="140"/>
      <c r="D384" s="140"/>
      <c r="E384" s="140"/>
      <c r="F384" s="140"/>
      <c r="G384" s="140"/>
      <c r="H384" s="140"/>
      <c r="I384" s="140"/>
      <c r="J384" s="140"/>
      <c r="K384" s="140"/>
      <c r="L384" s="140"/>
      <c r="M384" s="140"/>
      <c r="N384" s="140"/>
      <c r="O384" s="140"/>
      <c r="P384" s="140"/>
      <c r="Q384" s="140"/>
      <c r="R384" s="140"/>
      <c r="S384" s="140"/>
      <c r="T384" s="140"/>
    </row>
    <row r="385" spans="1:20" ht="13">
      <c r="A385" s="140"/>
      <c r="B385" s="140"/>
      <c r="C385" s="140"/>
      <c r="D385" s="140"/>
      <c r="E385" s="140"/>
      <c r="F385" s="140"/>
      <c r="G385" s="140"/>
      <c r="H385" s="140"/>
      <c r="I385" s="140"/>
      <c r="J385" s="140"/>
      <c r="K385" s="140"/>
      <c r="L385" s="140"/>
      <c r="M385" s="140"/>
      <c r="N385" s="140"/>
      <c r="O385" s="140"/>
      <c r="P385" s="140"/>
      <c r="Q385" s="140"/>
      <c r="R385" s="140"/>
      <c r="S385" s="140"/>
      <c r="T385" s="140"/>
    </row>
    <row r="386" spans="1:20" ht="13">
      <c r="A386" s="140"/>
      <c r="B386" s="140"/>
      <c r="C386" s="140"/>
      <c r="D386" s="140"/>
      <c r="E386" s="140"/>
      <c r="F386" s="140"/>
      <c r="G386" s="140"/>
      <c r="H386" s="140"/>
      <c r="I386" s="140"/>
      <c r="J386" s="140"/>
      <c r="K386" s="140"/>
      <c r="L386" s="140"/>
      <c r="M386" s="140"/>
      <c r="N386" s="140"/>
      <c r="O386" s="140"/>
      <c r="P386" s="140"/>
      <c r="Q386" s="140"/>
      <c r="R386" s="140"/>
      <c r="S386" s="140"/>
      <c r="T386" s="140"/>
    </row>
    <row r="387" spans="1:20" ht="13">
      <c r="A387" s="140"/>
      <c r="B387" s="140"/>
      <c r="C387" s="140"/>
      <c r="D387" s="140"/>
      <c r="E387" s="140"/>
      <c r="F387" s="140"/>
      <c r="G387" s="140"/>
      <c r="H387" s="140"/>
      <c r="I387" s="140"/>
      <c r="J387" s="140"/>
      <c r="K387" s="140"/>
      <c r="L387" s="140"/>
      <c r="M387" s="140"/>
      <c r="N387" s="140"/>
      <c r="O387" s="140"/>
      <c r="P387" s="140"/>
      <c r="Q387" s="140"/>
      <c r="R387" s="140"/>
      <c r="S387" s="140"/>
      <c r="T387" s="140"/>
    </row>
    <row r="388" spans="1:20" ht="13">
      <c r="A388" s="140"/>
      <c r="B388" s="140"/>
      <c r="C388" s="140"/>
      <c r="D388" s="140"/>
      <c r="E388" s="140"/>
      <c r="F388" s="140"/>
      <c r="G388" s="140"/>
      <c r="H388" s="140"/>
      <c r="I388" s="140"/>
      <c r="J388" s="140"/>
      <c r="K388" s="140"/>
      <c r="L388" s="140"/>
      <c r="M388" s="140"/>
      <c r="N388" s="140"/>
      <c r="O388" s="140"/>
      <c r="P388" s="140"/>
      <c r="Q388" s="140"/>
      <c r="R388" s="140"/>
      <c r="S388" s="140"/>
      <c r="T388" s="140"/>
    </row>
    <row r="389" spans="1:20" ht="13">
      <c r="A389" s="140"/>
      <c r="B389" s="140"/>
      <c r="C389" s="140"/>
      <c r="D389" s="140"/>
      <c r="E389" s="140"/>
      <c r="F389" s="140"/>
      <c r="G389" s="140"/>
      <c r="H389" s="140"/>
      <c r="I389" s="140"/>
      <c r="J389" s="140"/>
      <c r="K389" s="140"/>
      <c r="L389" s="140"/>
      <c r="M389" s="140"/>
      <c r="N389" s="140"/>
      <c r="O389" s="140"/>
      <c r="P389" s="140"/>
      <c r="Q389" s="140"/>
      <c r="R389" s="140"/>
      <c r="S389" s="140"/>
      <c r="T389" s="140"/>
    </row>
    <row r="390" spans="1:20" ht="13">
      <c r="A390" s="140"/>
      <c r="B390" s="140"/>
      <c r="C390" s="140"/>
      <c r="D390" s="140"/>
      <c r="E390" s="140"/>
      <c r="F390" s="140"/>
      <c r="G390" s="140"/>
      <c r="H390" s="140"/>
      <c r="I390" s="140"/>
      <c r="J390" s="140"/>
      <c r="K390" s="140"/>
      <c r="L390" s="140"/>
      <c r="M390" s="140"/>
      <c r="N390" s="140"/>
      <c r="O390" s="140"/>
      <c r="P390" s="140"/>
      <c r="Q390" s="140"/>
      <c r="R390" s="140"/>
      <c r="S390" s="140"/>
      <c r="T390" s="140"/>
    </row>
    <row r="391" spans="1:20" ht="13">
      <c r="A391" s="140"/>
      <c r="B391" s="140"/>
      <c r="C391" s="140"/>
      <c r="D391" s="140"/>
      <c r="E391" s="140"/>
      <c r="F391" s="140"/>
      <c r="G391" s="140"/>
      <c r="H391" s="140"/>
      <c r="I391" s="140"/>
      <c r="J391" s="140"/>
      <c r="K391" s="140"/>
      <c r="L391" s="140"/>
      <c r="M391" s="140"/>
      <c r="N391" s="140"/>
      <c r="O391" s="140"/>
      <c r="P391" s="140"/>
      <c r="Q391" s="140"/>
      <c r="R391" s="140"/>
      <c r="S391" s="140"/>
      <c r="T391" s="140"/>
    </row>
    <row r="392" spans="1:20" ht="13">
      <c r="A392" s="140"/>
      <c r="B392" s="140"/>
      <c r="C392" s="140"/>
      <c r="D392" s="140"/>
      <c r="E392" s="140"/>
      <c r="F392" s="140"/>
      <c r="G392" s="140"/>
      <c r="H392" s="140"/>
      <c r="I392" s="140"/>
      <c r="J392" s="140"/>
      <c r="K392" s="140"/>
      <c r="L392" s="140"/>
      <c r="M392" s="140"/>
      <c r="N392" s="140"/>
      <c r="O392" s="140"/>
      <c r="P392" s="140"/>
      <c r="Q392" s="140"/>
      <c r="R392" s="140"/>
      <c r="S392" s="140"/>
      <c r="T392" s="140"/>
    </row>
    <row r="393" spans="1:20" ht="13">
      <c r="A393" s="140"/>
      <c r="B393" s="140"/>
      <c r="C393" s="140"/>
      <c r="D393" s="140"/>
      <c r="E393" s="140"/>
      <c r="F393" s="140"/>
      <c r="G393" s="140"/>
      <c r="H393" s="140"/>
      <c r="I393" s="140"/>
      <c r="J393" s="140"/>
      <c r="K393" s="140"/>
      <c r="L393" s="140"/>
      <c r="M393" s="140"/>
      <c r="N393" s="140"/>
      <c r="O393" s="140"/>
      <c r="P393" s="140"/>
      <c r="Q393" s="140"/>
      <c r="R393" s="140"/>
      <c r="S393" s="140"/>
      <c r="T393" s="140"/>
    </row>
    <row r="394" spans="1:20" ht="13">
      <c r="A394" s="140"/>
      <c r="B394" s="140"/>
      <c r="C394" s="140"/>
      <c r="D394" s="140"/>
      <c r="E394" s="140"/>
      <c r="F394" s="140"/>
      <c r="G394" s="140"/>
      <c r="H394" s="140"/>
      <c r="I394" s="140"/>
      <c r="J394" s="140"/>
      <c r="K394" s="140"/>
      <c r="L394" s="140"/>
      <c r="M394" s="140"/>
      <c r="N394" s="140"/>
      <c r="O394" s="140"/>
      <c r="P394" s="140"/>
      <c r="Q394" s="140"/>
      <c r="R394" s="140"/>
      <c r="S394" s="140"/>
      <c r="T394" s="140"/>
    </row>
    <row r="395" spans="1:20" ht="13">
      <c r="A395" s="140"/>
      <c r="B395" s="140"/>
      <c r="C395" s="140"/>
      <c r="D395" s="140"/>
      <c r="E395" s="140"/>
      <c r="F395" s="140"/>
      <c r="G395" s="140"/>
      <c r="H395" s="140"/>
      <c r="I395" s="140"/>
      <c r="J395" s="140"/>
      <c r="K395" s="140"/>
      <c r="L395" s="140"/>
      <c r="M395" s="140"/>
      <c r="N395" s="140"/>
      <c r="O395" s="140"/>
      <c r="P395" s="140"/>
      <c r="Q395" s="140"/>
      <c r="R395" s="140"/>
      <c r="S395" s="140"/>
      <c r="T395" s="140"/>
    </row>
    <row r="396" spans="1:20" ht="13">
      <c r="A396" s="140"/>
      <c r="B396" s="140"/>
      <c r="C396" s="140"/>
      <c r="D396" s="140"/>
      <c r="E396" s="140"/>
      <c r="F396" s="140"/>
      <c r="G396" s="140"/>
      <c r="H396" s="140"/>
      <c r="I396" s="140"/>
      <c r="J396" s="140"/>
      <c r="K396" s="140"/>
      <c r="L396" s="140"/>
      <c r="M396" s="140"/>
      <c r="N396" s="140"/>
      <c r="O396" s="140"/>
      <c r="P396" s="140"/>
      <c r="Q396" s="140"/>
      <c r="R396" s="140"/>
      <c r="S396" s="140"/>
      <c r="T396" s="140"/>
    </row>
    <row r="397" spans="1:20" ht="13">
      <c r="A397" s="140"/>
      <c r="B397" s="140"/>
      <c r="C397" s="140"/>
      <c r="D397" s="140"/>
      <c r="E397" s="140"/>
      <c r="F397" s="140"/>
      <c r="G397" s="140"/>
      <c r="H397" s="140"/>
      <c r="I397" s="140"/>
      <c r="J397" s="140"/>
      <c r="K397" s="140"/>
      <c r="L397" s="140"/>
      <c r="M397" s="140"/>
      <c r="N397" s="140"/>
      <c r="O397" s="140"/>
      <c r="P397" s="140"/>
      <c r="Q397" s="140"/>
      <c r="R397" s="140"/>
      <c r="S397" s="140"/>
      <c r="T397" s="140"/>
    </row>
    <row r="398" spans="1:20" ht="13">
      <c r="A398" s="140"/>
      <c r="B398" s="140"/>
      <c r="C398" s="140"/>
      <c r="D398" s="140"/>
      <c r="E398" s="140"/>
      <c r="F398" s="140"/>
      <c r="G398" s="140"/>
      <c r="H398" s="140"/>
      <c r="I398" s="140"/>
      <c r="J398" s="140"/>
      <c r="K398" s="140"/>
      <c r="L398" s="140"/>
      <c r="M398" s="140"/>
      <c r="N398" s="140"/>
      <c r="O398" s="140"/>
      <c r="P398" s="140"/>
      <c r="Q398" s="140"/>
      <c r="R398" s="140"/>
      <c r="S398" s="140"/>
      <c r="T398" s="140"/>
    </row>
    <row r="399" spans="1:20" ht="13">
      <c r="A399" s="140"/>
      <c r="B399" s="140"/>
      <c r="C399" s="140"/>
      <c r="D399" s="140"/>
      <c r="E399" s="140"/>
      <c r="F399" s="140"/>
      <c r="G399" s="140"/>
      <c r="H399" s="140"/>
      <c r="I399" s="140"/>
      <c r="J399" s="140"/>
      <c r="K399" s="140"/>
      <c r="L399" s="140"/>
      <c r="M399" s="140"/>
      <c r="N399" s="140"/>
      <c r="O399" s="140"/>
      <c r="P399" s="140"/>
      <c r="Q399" s="140"/>
      <c r="R399" s="140"/>
      <c r="S399" s="140"/>
      <c r="T399" s="140"/>
    </row>
    <row r="400" spans="1:20" ht="13">
      <c r="A400" s="140"/>
      <c r="B400" s="140"/>
      <c r="C400" s="140"/>
      <c r="D400" s="140"/>
      <c r="E400" s="140"/>
      <c r="F400" s="140"/>
      <c r="G400" s="140"/>
      <c r="H400" s="140"/>
      <c r="I400" s="140"/>
      <c r="J400" s="140"/>
      <c r="K400" s="140"/>
      <c r="L400" s="140"/>
      <c r="M400" s="140"/>
      <c r="N400" s="140"/>
      <c r="O400" s="140"/>
      <c r="P400" s="140"/>
      <c r="Q400" s="140"/>
      <c r="R400" s="140"/>
      <c r="S400" s="140"/>
      <c r="T400" s="140"/>
    </row>
    <row r="401" spans="1:20" ht="13">
      <c r="A401" s="140"/>
      <c r="B401" s="140"/>
      <c r="C401" s="140"/>
      <c r="D401" s="140"/>
      <c r="E401" s="140"/>
      <c r="F401" s="140"/>
      <c r="G401" s="140"/>
      <c r="H401" s="140"/>
      <c r="I401" s="140"/>
      <c r="J401" s="140"/>
      <c r="K401" s="140"/>
      <c r="L401" s="140"/>
      <c r="M401" s="140"/>
      <c r="N401" s="140"/>
      <c r="O401" s="140"/>
      <c r="P401" s="140"/>
      <c r="Q401" s="140"/>
      <c r="R401" s="140"/>
      <c r="S401" s="140"/>
      <c r="T401" s="140"/>
    </row>
    <row r="402" spans="1:20" ht="13">
      <c r="A402" s="140"/>
      <c r="B402" s="140"/>
      <c r="C402" s="140"/>
      <c r="D402" s="140"/>
      <c r="E402" s="140"/>
      <c r="F402" s="140"/>
      <c r="G402" s="140"/>
      <c r="H402" s="140"/>
      <c r="I402" s="140"/>
      <c r="J402" s="140"/>
      <c r="K402" s="140"/>
      <c r="L402" s="140"/>
      <c r="M402" s="140"/>
      <c r="N402" s="140"/>
      <c r="O402" s="140"/>
      <c r="P402" s="140"/>
      <c r="Q402" s="140"/>
      <c r="R402" s="140"/>
      <c r="S402" s="140"/>
      <c r="T402" s="140"/>
    </row>
    <row r="403" spans="1:20" ht="13">
      <c r="A403" s="140"/>
      <c r="B403" s="140"/>
      <c r="C403" s="140"/>
      <c r="D403" s="140"/>
      <c r="E403" s="140"/>
      <c r="F403" s="140"/>
      <c r="G403" s="140"/>
      <c r="H403" s="140"/>
      <c r="I403" s="140"/>
      <c r="J403" s="140"/>
      <c r="K403" s="140"/>
      <c r="L403" s="140"/>
      <c r="M403" s="140"/>
      <c r="N403" s="140"/>
      <c r="O403" s="140"/>
      <c r="P403" s="140"/>
      <c r="Q403" s="140"/>
      <c r="R403" s="140"/>
      <c r="S403" s="140"/>
      <c r="T403" s="140"/>
    </row>
    <row r="404" spans="1:20" ht="13">
      <c r="A404" s="140"/>
      <c r="B404" s="140"/>
      <c r="C404" s="140"/>
      <c r="D404" s="140"/>
      <c r="E404" s="140"/>
      <c r="F404" s="140"/>
      <c r="G404" s="140"/>
      <c r="H404" s="140"/>
      <c r="I404" s="140"/>
      <c r="J404" s="140"/>
      <c r="K404" s="140"/>
      <c r="L404" s="140"/>
      <c r="M404" s="140"/>
      <c r="N404" s="140"/>
      <c r="O404" s="140"/>
      <c r="P404" s="140"/>
      <c r="Q404" s="140"/>
      <c r="R404" s="140"/>
      <c r="S404" s="140"/>
      <c r="T404" s="140"/>
    </row>
    <row r="405" spans="1:20" ht="13">
      <c r="A405" s="140"/>
      <c r="B405" s="140"/>
      <c r="C405" s="140"/>
      <c r="D405" s="140"/>
      <c r="E405" s="140"/>
      <c r="F405" s="140"/>
      <c r="G405" s="140"/>
      <c r="H405" s="140"/>
      <c r="I405" s="140"/>
      <c r="J405" s="140"/>
      <c r="K405" s="140"/>
      <c r="L405" s="140"/>
      <c r="M405" s="140"/>
      <c r="N405" s="140"/>
      <c r="O405" s="140"/>
      <c r="P405" s="140"/>
      <c r="Q405" s="140"/>
      <c r="R405" s="140"/>
      <c r="S405" s="140"/>
      <c r="T405" s="140"/>
    </row>
    <row r="406" spans="1:20" ht="13">
      <c r="A406" s="140"/>
      <c r="B406" s="140"/>
      <c r="C406" s="140"/>
      <c r="D406" s="140"/>
      <c r="E406" s="140"/>
      <c r="F406" s="140"/>
      <c r="G406" s="140"/>
      <c r="H406" s="140"/>
      <c r="I406" s="140"/>
      <c r="J406" s="140"/>
      <c r="K406" s="140"/>
      <c r="L406" s="140"/>
      <c r="M406" s="140"/>
      <c r="N406" s="140"/>
      <c r="O406" s="140"/>
      <c r="P406" s="140"/>
      <c r="Q406" s="140"/>
      <c r="R406" s="140"/>
      <c r="S406" s="140"/>
      <c r="T406" s="140"/>
    </row>
    <row r="407" spans="1:20" ht="13">
      <c r="A407" s="140"/>
      <c r="B407" s="140"/>
      <c r="C407" s="140"/>
      <c r="D407" s="140"/>
      <c r="E407" s="140"/>
      <c r="F407" s="140"/>
      <c r="G407" s="140"/>
      <c r="H407" s="140"/>
      <c r="I407" s="140"/>
      <c r="J407" s="140"/>
      <c r="K407" s="140"/>
      <c r="L407" s="140"/>
      <c r="M407" s="140"/>
      <c r="N407" s="140"/>
      <c r="O407" s="140"/>
      <c r="P407" s="140"/>
      <c r="Q407" s="140"/>
      <c r="R407" s="140"/>
      <c r="S407" s="140"/>
      <c r="T407" s="140"/>
    </row>
    <row r="408" spans="1:20" ht="13">
      <c r="A408" s="140"/>
      <c r="B408" s="140"/>
      <c r="C408" s="140"/>
      <c r="D408" s="140"/>
      <c r="E408" s="140"/>
      <c r="F408" s="140"/>
      <c r="G408" s="140"/>
      <c r="H408" s="140"/>
      <c r="I408" s="140"/>
      <c r="J408" s="140"/>
      <c r="K408" s="140"/>
      <c r="L408" s="140"/>
      <c r="M408" s="140"/>
      <c r="N408" s="140"/>
      <c r="O408" s="140"/>
      <c r="P408" s="140"/>
      <c r="Q408" s="140"/>
      <c r="R408" s="140"/>
      <c r="S408" s="140"/>
      <c r="T408" s="140"/>
    </row>
    <row r="409" spans="1:20" ht="13">
      <c r="A409" s="140"/>
      <c r="B409" s="140"/>
      <c r="C409" s="140"/>
      <c r="D409" s="140"/>
      <c r="E409" s="140"/>
      <c r="F409" s="140"/>
      <c r="G409" s="140"/>
      <c r="H409" s="140"/>
      <c r="I409" s="140"/>
      <c r="J409" s="140"/>
      <c r="K409" s="140"/>
      <c r="L409" s="140"/>
      <c r="M409" s="140"/>
      <c r="N409" s="140"/>
      <c r="O409" s="140"/>
      <c r="P409" s="140"/>
      <c r="Q409" s="140"/>
      <c r="R409" s="140"/>
      <c r="S409" s="140"/>
      <c r="T409" s="140"/>
    </row>
    <row r="410" spans="1:20" ht="13">
      <c r="A410" s="140"/>
      <c r="B410" s="140"/>
      <c r="C410" s="140"/>
      <c r="D410" s="140"/>
      <c r="E410" s="140"/>
      <c r="F410" s="140"/>
      <c r="G410" s="140"/>
      <c r="H410" s="140"/>
      <c r="I410" s="140"/>
      <c r="J410" s="140"/>
      <c r="K410" s="140"/>
      <c r="L410" s="140"/>
      <c r="M410" s="140"/>
      <c r="N410" s="140"/>
      <c r="O410" s="140"/>
      <c r="P410" s="140"/>
      <c r="Q410" s="140"/>
      <c r="R410" s="140"/>
      <c r="S410" s="140"/>
      <c r="T410" s="140"/>
    </row>
    <row r="411" spans="1:20" ht="13">
      <c r="A411" s="140"/>
      <c r="B411" s="140"/>
      <c r="C411" s="140"/>
      <c r="D411" s="140"/>
      <c r="E411" s="140"/>
      <c r="F411" s="140"/>
      <c r="G411" s="140"/>
      <c r="H411" s="140"/>
      <c r="I411" s="140"/>
      <c r="J411" s="140"/>
      <c r="K411" s="140"/>
      <c r="L411" s="140"/>
      <c r="M411" s="140"/>
      <c r="N411" s="140"/>
      <c r="O411" s="140"/>
      <c r="P411" s="140"/>
      <c r="Q411" s="140"/>
      <c r="R411" s="140"/>
      <c r="S411" s="140"/>
      <c r="T411" s="140"/>
    </row>
    <row r="412" spans="1:20" ht="13">
      <c r="A412" s="140"/>
      <c r="B412" s="140"/>
      <c r="C412" s="140"/>
      <c r="D412" s="140"/>
      <c r="E412" s="140"/>
      <c r="F412" s="140"/>
      <c r="G412" s="140"/>
      <c r="H412" s="140"/>
      <c r="I412" s="140"/>
      <c r="J412" s="140"/>
      <c r="K412" s="140"/>
      <c r="L412" s="140"/>
      <c r="M412" s="140"/>
      <c r="N412" s="140"/>
      <c r="O412" s="140"/>
      <c r="P412" s="140"/>
      <c r="Q412" s="140"/>
      <c r="R412" s="140"/>
      <c r="S412" s="140"/>
      <c r="T412" s="140"/>
    </row>
    <row r="413" spans="1:20" ht="13">
      <c r="A413" s="140"/>
      <c r="B413" s="140"/>
      <c r="C413" s="140"/>
      <c r="D413" s="140"/>
      <c r="E413" s="140"/>
      <c r="F413" s="140"/>
      <c r="G413" s="140"/>
      <c r="H413" s="140"/>
      <c r="I413" s="140"/>
      <c r="J413" s="140"/>
      <c r="K413" s="140"/>
      <c r="L413" s="140"/>
      <c r="M413" s="140"/>
      <c r="N413" s="140"/>
      <c r="O413" s="140"/>
      <c r="P413" s="140"/>
      <c r="Q413" s="140"/>
      <c r="R413" s="140"/>
      <c r="S413" s="140"/>
      <c r="T413" s="140"/>
    </row>
    <row r="414" spans="1:20" ht="13">
      <c r="A414" s="140"/>
      <c r="B414" s="140"/>
      <c r="C414" s="140"/>
      <c r="D414" s="140"/>
      <c r="E414" s="140"/>
      <c r="F414" s="140"/>
      <c r="G414" s="140"/>
      <c r="H414" s="140"/>
      <c r="I414" s="140"/>
      <c r="J414" s="140"/>
      <c r="K414" s="140"/>
      <c r="L414" s="140"/>
      <c r="M414" s="140"/>
      <c r="N414" s="140"/>
      <c r="O414" s="140"/>
      <c r="P414" s="140"/>
      <c r="Q414" s="140"/>
      <c r="R414" s="140"/>
      <c r="S414" s="140"/>
      <c r="T414" s="140"/>
    </row>
    <row r="415" spans="1:20" ht="13">
      <c r="A415" s="140"/>
      <c r="B415" s="140"/>
      <c r="C415" s="140"/>
      <c r="D415" s="140"/>
      <c r="E415" s="140"/>
      <c r="F415" s="140"/>
      <c r="G415" s="140"/>
      <c r="H415" s="140"/>
      <c r="I415" s="140"/>
      <c r="J415" s="140"/>
      <c r="K415" s="140"/>
      <c r="L415" s="140"/>
      <c r="M415" s="140"/>
      <c r="N415" s="140"/>
      <c r="O415" s="140"/>
      <c r="P415" s="140"/>
      <c r="Q415" s="140"/>
      <c r="R415" s="140"/>
      <c r="S415" s="140"/>
      <c r="T415" s="140"/>
    </row>
    <row r="416" spans="1:20" ht="13">
      <c r="A416" s="140"/>
      <c r="B416" s="140"/>
      <c r="C416" s="140"/>
      <c r="D416" s="140"/>
      <c r="E416" s="140"/>
      <c r="F416" s="140"/>
      <c r="G416" s="140"/>
      <c r="H416" s="140"/>
      <c r="I416" s="140"/>
      <c r="J416" s="140"/>
      <c r="K416" s="140"/>
      <c r="L416" s="140"/>
      <c r="M416" s="140"/>
      <c r="N416" s="140"/>
      <c r="O416" s="140"/>
      <c r="P416" s="140"/>
      <c r="Q416" s="140"/>
      <c r="R416" s="140"/>
      <c r="S416" s="140"/>
      <c r="T416" s="140"/>
    </row>
    <row r="417" spans="1:20" ht="13">
      <c r="A417" s="140"/>
      <c r="B417" s="140"/>
      <c r="C417" s="140"/>
      <c r="D417" s="140"/>
      <c r="E417" s="140"/>
      <c r="F417" s="140"/>
      <c r="G417" s="140"/>
      <c r="H417" s="140"/>
      <c r="I417" s="140"/>
      <c r="J417" s="140"/>
      <c r="K417" s="140"/>
      <c r="L417" s="140"/>
      <c r="M417" s="140"/>
      <c r="N417" s="140"/>
      <c r="O417" s="140"/>
      <c r="P417" s="140"/>
      <c r="Q417" s="140"/>
      <c r="R417" s="140"/>
      <c r="S417" s="140"/>
      <c r="T417" s="140"/>
    </row>
    <row r="418" spans="1:20" ht="13">
      <c r="A418" s="140"/>
      <c r="B418" s="140"/>
      <c r="C418" s="140"/>
      <c r="D418" s="140"/>
      <c r="E418" s="140"/>
      <c r="F418" s="140"/>
      <c r="G418" s="140"/>
      <c r="H418" s="140"/>
      <c r="I418" s="140"/>
      <c r="J418" s="140"/>
      <c r="K418" s="140"/>
      <c r="L418" s="140"/>
      <c r="M418" s="140"/>
      <c r="N418" s="140"/>
      <c r="O418" s="140"/>
      <c r="P418" s="140"/>
      <c r="Q418" s="140"/>
      <c r="R418" s="140"/>
      <c r="S418" s="140"/>
      <c r="T418" s="140"/>
    </row>
    <row r="419" spans="1:20" ht="13">
      <c r="A419" s="140"/>
      <c r="B419" s="140"/>
      <c r="C419" s="140"/>
      <c r="D419" s="140"/>
      <c r="E419" s="140"/>
      <c r="F419" s="140"/>
      <c r="G419" s="140"/>
      <c r="H419" s="140"/>
      <c r="I419" s="140"/>
      <c r="J419" s="140"/>
      <c r="K419" s="140"/>
      <c r="L419" s="140"/>
      <c r="M419" s="140"/>
      <c r="N419" s="140"/>
      <c r="O419" s="140"/>
      <c r="P419" s="140"/>
      <c r="Q419" s="140"/>
      <c r="R419" s="140"/>
      <c r="S419" s="140"/>
      <c r="T419" s="140"/>
    </row>
    <row r="420" spans="1:20" ht="13">
      <c r="A420" s="140"/>
      <c r="B420" s="140"/>
      <c r="C420" s="140"/>
      <c r="D420" s="140"/>
      <c r="E420" s="140"/>
      <c r="F420" s="140"/>
      <c r="G420" s="140"/>
      <c r="H420" s="140"/>
      <c r="I420" s="140"/>
      <c r="J420" s="140"/>
      <c r="K420" s="140"/>
      <c r="L420" s="140"/>
      <c r="M420" s="140"/>
      <c r="N420" s="140"/>
      <c r="O420" s="140"/>
      <c r="P420" s="140"/>
      <c r="Q420" s="140"/>
      <c r="R420" s="140"/>
      <c r="S420" s="140"/>
      <c r="T420" s="140"/>
    </row>
    <row r="421" spans="1:20" ht="13">
      <c r="A421" s="140"/>
      <c r="B421" s="140"/>
      <c r="C421" s="140"/>
      <c r="D421" s="140"/>
      <c r="E421" s="140"/>
      <c r="F421" s="140"/>
      <c r="G421" s="140"/>
      <c r="H421" s="140"/>
      <c r="I421" s="140"/>
      <c r="J421" s="140"/>
      <c r="K421" s="140"/>
      <c r="L421" s="140"/>
      <c r="M421" s="140"/>
      <c r="N421" s="140"/>
      <c r="O421" s="140"/>
      <c r="P421" s="140"/>
      <c r="Q421" s="140"/>
      <c r="R421" s="140"/>
      <c r="S421" s="140"/>
      <c r="T421" s="140"/>
    </row>
    <row r="422" spans="1:20" ht="13">
      <c r="A422" s="140"/>
      <c r="B422" s="140"/>
      <c r="C422" s="140"/>
      <c r="D422" s="140"/>
      <c r="E422" s="140"/>
      <c r="F422" s="140"/>
      <c r="G422" s="140"/>
      <c r="H422" s="140"/>
      <c r="I422" s="140"/>
      <c r="J422" s="140"/>
      <c r="K422" s="140"/>
      <c r="L422" s="140"/>
      <c r="M422" s="140"/>
      <c r="N422" s="140"/>
      <c r="O422" s="140"/>
      <c r="P422" s="140"/>
      <c r="Q422" s="140"/>
      <c r="R422" s="140"/>
      <c r="S422" s="140"/>
      <c r="T422" s="140"/>
    </row>
    <row r="423" spans="1:20" ht="13">
      <c r="A423" s="140"/>
      <c r="B423" s="140"/>
      <c r="C423" s="140"/>
      <c r="D423" s="140"/>
      <c r="E423" s="140"/>
      <c r="F423" s="140"/>
      <c r="G423" s="140"/>
      <c r="H423" s="140"/>
      <c r="I423" s="140"/>
      <c r="J423" s="140"/>
      <c r="K423" s="140"/>
      <c r="L423" s="140"/>
      <c r="M423" s="140"/>
      <c r="N423" s="140"/>
      <c r="O423" s="140"/>
      <c r="P423" s="140"/>
      <c r="Q423" s="140"/>
      <c r="R423" s="140"/>
      <c r="S423" s="140"/>
      <c r="T423" s="140"/>
    </row>
    <row r="424" spans="1:20" ht="13">
      <c r="A424" s="140"/>
      <c r="B424" s="140"/>
      <c r="C424" s="140"/>
      <c r="D424" s="140"/>
      <c r="E424" s="140"/>
      <c r="F424" s="140"/>
      <c r="G424" s="140"/>
      <c r="H424" s="140"/>
      <c r="I424" s="140"/>
      <c r="J424" s="140"/>
      <c r="K424" s="140"/>
      <c r="L424" s="140"/>
      <c r="M424" s="140"/>
      <c r="N424" s="140"/>
      <c r="O424" s="140"/>
      <c r="P424" s="140"/>
      <c r="Q424" s="140"/>
      <c r="R424" s="140"/>
      <c r="S424" s="140"/>
      <c r="T424" s="140"/>
    </row>
    <row r="425" spans="1:20" ht="13">
      <c r="A425" s="140"/>
      <c r="B425" s="140"/>
      <c r="C425" s="140"/>
      <c r="D425" s="140"/>
      <c r="E425" s="140"/>
      <c r="F425" s="140"/>
      <c r="G425" s="140"/>
      <c r="H425" s="140"/>
      <c r="I425" s="140"/>
      <c r="J425" s="140"/>
      <c r="K425" s="140"/>
      <c r="L425" s="140"/>
      <c r="M425" s="140"/>
      <c r="N425" s="140"/>
      <c r="O425" s="140"/>
      <c r="P425" s="140"/>
      <c r="Q425" s="140"/>
      <c r="R425" s="140"/>
      <c r="S425" s="140"/>
      <c r="T425" s="140"/>
    </row>
    <row r="426" spans="1:20" ht="13">
      <c r="A426" s="140"/>
      <c r="B426" s="140"/>
      <c r="C426" s="140"/>
      <c r="D426" s="140"/>
      <c r="E426" s="140"/>
      <c r="F426" s="140"/>
      <c r="G426" s="140"/>
      <c r="H426" s="140"/>
      <c r="I426" s="140"/>
      <c r="J426" s="140"/>
      <c r="K426" s="140"/>
      <c r="L426" s="140"/>
      <c r="M426" s="140"/>
      <c r="N426" s="140"/>
      <c r="O426" s="140"/>
      <c r="P426" s="140"/>
      <c r="Q426" s="140"/>
      <c r="R426" s="140"/>
      <c r="S426" s="140"/>
      <c r="T426" s="140"/>
    </row>
    <row r="427" spans="1:20" ht="13">
      <c r="A427" s="140"/>
      <c r="B427" s="140"/>
      <c r="C427" s="140"/>
      <c r="D427" s="140"/>
      <c r="E427" s="140"/>
      <c r="F427" s="140"/>
      <c r="G427" s="140"/>
      <c r="H427" s="140"/>
      <c r="I427" s="140"/>
      <c r="J427" s="140"/>
      <c r="K427" s="140"/>
      <c r="L427" s="140"/>
      <c r="M427" s="140"/>
      <c r="N427" s="140"/>
      <c r="O427" s="140"/>
      <c r="P427" s="140"/>
      <c r="Q427" s="140"/>
      <c r="R427" s="140"/>
      <c r="S427" s="140"/>
      <c r="T427" s="140"/>
    </row>
    <row r="428" spans="1:20" ht="13">
      <c r="A428" s="140"/>
      <c r="B428" s="140"/>
      <c r="C428" s="140"/>
      <c r="D428" s="140"/>
      <c r="E428" s="140"/>
      <c r="F428" s="140"/>
      <c r="G428" s="140"/>
      <c r="H428" s="140"/>
      <c r="I428" s="140"/>
      <c r="J428" s="140"/>
      <c r="K428" s="140"/>
      <c r="L428" s="140"/>
      <c r="M428" s="140"/>
      <c r="N428" s="140"/>
      <c r="O428" s="140"/>
      <c r="P428" s="140"/>
      <c r="Q428" s="140"/>
      <c r="R428" s="140"/>
      <c r="S428" s="140"/>
      <c r="T428" s="140"/>
    </row>
    <row r="429" spans="1:20" ht="13">
      <c r="A429" s="140"/>
      <c r="B429" s="140"/>
      <c r="C429" s="140"/>
      <c r="D429" s="140"/>
      <c r="E429" s="140"/>
      <c r="F429" s="140"/>
      <c r="G429" s="140"/>
      <c r="H429" s="140"/>
      <c r="I429" s="140"/>
      <c r="J429" s="140"/>
      <c r="K429" s="140"/>
      <c r="L429" s="140"/>
      <c r="M429" s="140"/>
      <c r="N429" s="140"/>
      <c r="O429" s="140"/>
      <c r="P429" s="140"/>
      <c r="Q429" s="140"/>
      <c r="R429" s="140"/>
      <c r="S429" s="140"/>
      <c r="T429" s="140"/>
    </row>
    <row r="430" spans="1:20" ht="13">
      <c r="A430" s="140"/>
      <c r="B430" s="140"/>
      <c r="C430" s="140"/>
      <c r="D430" s="140"/>
      <c r="E430" s="140"/>
      <c r="F430" s="140"/>
      <c r="G430" s="140"/>
      <c r="H430" s="140"/>
      <c r="I430" s="140"/>
      <c r="J430" s="140"/>
      <c r="K430" s="140"/>
      <c r="L430" s="140"/>
      <c r="M430" s="140"/>
      <c r="N430" s="140"/>
      <c r="O430" s="140"/>
      <c r="P430" s="140"/>
      <c r="Q430" s="140"/>
      <c r="R430" s="140"/>
      <c r="S430" s="140"/>
      <c r="T430" s="140"/>
    </row>
    <row r="431" spans="1:20" ht="13">
      <c r="A431" s="140"/>
      <c r="B431" s="140"/>
      <c r="C431" s="140"/>
      <c r="D431" s="140"/>
      <c r="E431" s="140"/>
      <c r="F431" s="140"/>
      <c r="G431" s="140"/>
      <c r="H431" s="140"/>
      <c r="I431" s="140"/>
      <c r="J431" s="140"/>
      <c r="K431" s="140"/>
      <c r="L431" s="140"/>
      <c r="M431" s="140"/>
      <c r="N431" s="140"/>
      <c r="O431" s="140"/>
      <c r="P431" s="140"/>
      <c r="Q431" s="140"/>
      <c r="R431" s="140"/>
      <c r="S431" s="140"/>
      <c r="T431" s="140"/>
    </row>
    <row r="432" spans="1:20" ht="13">
      <c r="A432" s="140"/>
      <c r="B432" s="140"/>
      <c r="C432" s="140"/>
      <c r="D432" s="140"/>
      <c r="E432" s="140"/>
      <c r="F432" s="140"/>
      <c r="G432" s="140"/>
      <c r="H432" s="140"/>
      <c r="I432" s="140"/>
      <c r="J432" s="140"/>
      <c r="K432" s="140"/>
      <c r="L432" s="140"/>
      <c r="M432" s="140"/>
      <c r="N432" s="140"/>
      <c r="O432" s="140"/>
      <c r="P432" s="140"/>
      <c r="Q432" s="140"/>
      <c r="R432" s="140"/>
      <c r="S432" s="140"/>
      <c r="T432" s="140"/>
    </row>
    <row r="433" spans="1:20" ht="13">
      <c r="A433" s="140"/>
      <c r="B433" s="140"/>
      <c r="C433" s="140"/>
      <c r="D433" s="140"/>
      <c r="E433" s="140"/>
      <c r="F433" s="140"/>
      <c r="G433" s="140"/>
      <c r="H433" s="140"/>
      <c r="I433" s="140"/>
      <c r="J433" s="140"/>
      <c r="K433" s="140"/>
      <c r="L433" s="140"/>
      <c r="M433" s="140"/>
      <c r="N433" s="140"/>
      <c r="O433" s="140"/>
      <c r="P433" s="140"/>
      <c r="Q433" s="140"/>
      <c r="R433" s="140"/>
      <c r="S433" s="140"/>
      <c r="T433" s="140"/>
    </row>
    <row r="434" spans="1:20" ht="13">
      <c r="A434" s="140"/>
      <c r="B434" s="140"/>
      <c r="C434" s="140"/>
      <c r="D434" s="140"/>
      <c r="E434" s="140"/>
      <c r="F434" s="140"/>
      <c r="G434" s="140"/>
      <c r="H434" s="140"/>
      <c r="I434" s="140"/>
      <c r="J434" s="140"/>
      <c r="K434" s="140"/>
      <c r="L434" s="140"/>
      <c r="M434" s="140"/>
      <c r="N434" s="140"/>
      <c r="O434" s="140"/>
      <c r="P434" s="140"/>
      <c r="Q434" s="140"/>
      <c r="R434" s="140"/>
      <c r="S434" s="140"/>
      <c r="T434" s="140"/>
    </row>
    <row r="435" spans="1:20" ht="13">
      <c r="A435" s="140"/>
      <c r="B435" s="140"/>
      <c r="C435" s="140"/>
      <c r="D435" s="140"/>
      <c r="E435" s="140"/>
      <c r="F435" s="140"/>
      <c r="G435" s="140"/>
      <c r="H435" s="140"/>
      <c r="I435" s="140"/>
      <c r="J435" s="140"/>
      <c r="K435" s="140"/>
      <c r="L435" s="140"/>
      <c r="M435" s="140"/>
      <c r="N435" s="140"/>
      <c r="O435" s="140"/>
      <c r="P435" s="140"/>
      <c r="Q435" s="140"/>
      <c r="R435" s="140"/>
      <c r="S435" s="140"/>
      <c r="T435" s="140"/>
    </row>
    <row r="436" spans="1:20" ht="13">
      <c r="A436" s="140"/>
      <c r="B436" s="140"/>
      <c r="C436" s="140"/>
      <c r="D436" s="140"/>
      <c r="E436" s="140"/>
      <c r="F436" s="140"/>
      <c r="G436" s="140"/>
      <c r="H436" s="140"/>
      <c r="I436" s="140"/>
      <c r="J436" s="140"/>
      <c r="K436" s="140"/>
      <c r="L436" s="140"/>
      <c r="M436" s="140"/>
      <c r="N436" s="140"/>
      <c r="O436" s="140"/>
      <c r="P436" s="140"/>
      <c r="Q436" s="140"/>
      <c r="R436" s="140"/>
      <c r="S436" s="140"/>
      <c r="T436" s="140"/>
    </row>
    <row r="437" spans="1:20" ht="13">
      <c r="A437" s="140"/>
      <c r="B437" s="140"/>
      <c r="C437" s="140"/>
      <c r="D437" s="140"/>
      <c r="E437" s="140"/>
      <c r="F437" s="140"/>
      <c r="G437" s="140"/>
      <c r="H437" s="140"/>
      <c r="I437" s="140"/>
      <c r="J437" s="140"/>
      <c r="K437" s="140"/>
      <c r="L437" s="140"/>
      <c r="M437" s="140"/>
      <c r="N437" s="140"/>
      <c r="O437" s="140"/>
      <c r="P437" s="140"/>
      <c r="Q437" s="140"/>
      <c r="R437" s="140"/>
      <c r="S437" s="140"/>
      <c r="T437" s="140"/>
    </row>
    <row r="438" spans="1:20" ht="13">
      <c r="A438" s="140"/>
      <c r="B438" s="140"/>
      <c r="C438" s="140"/>
      <c r="D438" s="140"/>
      <c r="E438" s="140"/>
      <c r="F438" s="140"/>
      <c r="G438" s="140"/>
      <c r="H438" s="140"/>
      <c r="I438" s="140"/>
      <c r="J438" s="140"/>
      <c r="K438" s="140"/>
      <c r="L438" s="140"/>
      <c r="M438" s="140"/>
      <c r="N438" s="140"/>
      <c r="O438" s="140"/>
      <c r="P438" s="140"/>
      <c r="Q438" s="140"/>
      <c r="R438" s="140"/>
      <c r="S438" s="140"/>
      <c r="T438" s="140"/>
    </row>
    <row r="439" spans="1:20" ht="13">
      <c r="A439" s="140"/>
      <c r="B439" s="140"/>
      <c r="C439" s="140"/>
      <c r="D439" s="140"/>
      <c r="E439" s="140"/>
      <c r="F439" s="140"/>
      <c r="G439" s="140"/>
      <c r="H439" s="140"/>
      <c r="I439" s="140"/>
      <c r="J439" s="140"/>
      <c r="K439" s="140"/>
      <c r="L439" s="140"/>
      <c r="M439" s="140"/>
      <c r="N439" s="140"/>
      <c r="O439" s="140"/>
      <c r="P439" s="140"/>
      <c r="Q439" s="140"/>
      <c r="R439" s="140"/>
      <c r="S439" s="140"/>
      <c r="T439" s="140"/>
    </row>
    <row r="440" spans="1:20" ht="13">
      <c r="A440" s="140"/>
      <c r="B440" s="140"/>
      <c r="C440" s="140"/>
      <c r="D440" s="140"/>
      <c r="E440" s="140"/>
      <c r="F440" s="140"/>
      <c r="G440" s="140"/>
      <c r="H440" s="140"/>
      <c r="I440" s="140"/>
      <c r="J440" s="140"/>
      <c r="K440" s="140"/>
      <c r="L440" s="140"/>
      <c r="M440" s="140"/>
      <c r="N440" s="140"/>
      <c r="O440" s="140"/>
      <c r="P440" s="140"/>
      <c r="Q440" s="140"/>
      <c r="R440" s="140"/>
      <c r="S440" s="140"/>
      <c r="T440" s="140"/>
    </row>
    <row r="441" spans="1:20" ht="13">
      <c r="A441" s="140"/>
      <c r="B441" s="140"/>
      <c r="C441" s="140"/>
      <c r="D441" s="140"/>
      <c r="E441" s="140"/>
      <c r="F441" s="140"/>
      <c r="G441" s="140"/>
      <c r="H441" s="140"/>
      <c r="I441" s="140"/>
      <c r="J441" s="140"/>
      <c r="K441" s="140"/>
      <c r="L441" s="140"/>
      <c r="M441" s="140"/>
      <c r="N441" s="140"/>
      <c r="O441" s="140"/>
      <c r="P441" s="140"/>
      <c r="Q441" s="140"/>
      <c r="R441" s="140"/>
      <c r="S441" s="140"/>
      <c r="T441" s="140"/>
    </row>
    <row r="442" spans="1:20" ht="13">
      <c r="A442" s="140"/>
      <c r="B442" s="140"/>
      <c r="C442" s="140"/>
      <c r="D442" s="140"/>
      <c r="E442" s="140"/>
      <c r="F442" s="140"/>
      <c r="G442" s="140"/>
      <c r="H442" s="140"/>
      <c r="I442" s="140"/>
      <c r="J442" s="140"/>
      <c r="K442" s="140"/>
      <c r="L442" s="140"/>
      <c r="M442" s="140"/>
      <c r="N442" s="140"/>
      <c r="O442" s="140"/>
      <c r="P442" s="140"/>
      <c r="Q442" s="140"/>
      <c r="R442" s="140"/>
      <c r="S442" s="140"/>
      <c r="T442" s="140"/>
    </row>
    <row r="443" spans="1:20" ht="13">
      <c r="A443" s="140"/>
      <c r="B443" s="140"/>
      <c r="C443" s="140"/>
      <c r="D443" s="140"/>
      <c r="E443" s="140"/>
      <c r="F443" s="140"/>
      <c r="G443" s="140"/>
      <c r="H443" s="140"/>
      <c r="I443" s="140"/>
      <c r="J443" s="140"/>
      <c r="K443" s="140"/>
      <c r="L443" s="140"/>
      <c r="M443" s="140"/>
      <c r="N443" s="140"/>
      <c r="O443" s="140"/>
      <c r="P443" s="140"/>
      <c r="Q443" s="140"/>
      <c r="R443" s="140"/>
      <c r="S443" s="140"/>
      <c r="T443" s="140"/>
    </row>
    <row r="444" spans="1:20" ht="13">
      <c r="A444" s="140"/>
      <c r="B444" s="140"/>
      <c r="C444" s="140"/>
      <c r="D444" s="140"/>
      <c r="E444" s="140"/>
      <c r="F444" s="140"/>
      <c r="G444" s="140"/>
      <c r="H444" s="140"/>
      <c r="I444" s="140"/>
      <c r="J444" s="140"/>
      <c r="K444" s="140"/>
      <c r="L444" s="140"/>
      <c r="M444" s="140"/>
      <c r="N444" s="140"/>
      <c r="O444" s="140"/>
      <c r="P444" s="140"/>
      <c r="Q444" s="140"/>
      <c r="R444" s="140"/>
      <c r="S444" s="140"/>
      <c r="T444" s="140"/>
    </row>
    <row r="445" spans="1:20" ht="13">
      <c r="A445" s="140"/>
      <c r="B445" s="140"/>
      <c r="C445" s="140"/>
      <c r="D445" s="140"/>
      <c r="E445" s="140"/>
      <c r="F445" s="140"/>
      <c r="G445" s="140"/>
      <c r="H445" s="140"/>
      <c r="I445" s="140"/>
      <c r="J445" s="140"/>
      <c r="K445" s="140"/>
      <c r="L445" s="140"/>
      <c r="M445" s="140"/>
      <c r="N445" s="140"/>
      <c r="O445" s="140"/>
      <c r="P445" s="140"/>
      <c r="Q445" s="140"/>
      <c r="R445" s="140"/>
      <c r="S445" s="140"/>
      <c r="T445" s="140"/>
    </row>
    <row r="446" spans="1:20" ht="13">
      <c r="A446" s="140"/>
      <c r="B446" s="140"/>
      <c r="C446" s="140"/>
      <c r="D446" s="140"/>
      <c r="E446" s="140"/>
      <c r="F446" s="140"/>
      <c r="G446" s="140"/>
      <c r="H446" s="140"/>
      <c r="I446" s="140"/>
      <c r="J446" s="140"/>
      <c r="K446" s="140"/>
      <c r="L446" s="140"/>
      <c r="M446" s="140"/>
      <c r="N446" s="140"/>
      <c r="O446" s="140"/>
      <c r="P446" s="140"/>
      <c r="Q446" s="140"/>
      <c r="R446" s="140"/>
      <c r="S446" s="140"/>
      <c r="T446" s="140"/>
    </row>
    <row r="447" spans="1:20" ht="13">
      <c r="A447" s="140"/>
      <c r="B447" s="140"/>
      <c r="C447" s="140"/>
      <c r="D447" s="140"/>
      <c r="E447" s="140"/>
      <c r="F447" s="140"/>
      <c r="G447" s="140"/>
      <c r="H447" s="140"/>
      <c r="I447" s="140"/>
      <c r="J447" s="140"/>
      <c r="K447" s="140"/>
      <c r="L447" s="140"/>
      <c r="M447" s="140"/>
      <c r="N447" s="140"/>
      <c r="O447" s="140"/>
      <c r="P447" s="140"/>
      <c r="Q447" s="140"/>
      <c r="R447" s="140"/>
      <c r="S447" s="140"/>
      <c r="T447" s="140"/>
    </row>
    <row r="448" spans="1:20" ht="13">
      <c r="A448" s="140"/>
      <c r="B448" s="140"/>
      <c r="C448" s="140"/>
      <c r="D448" s="140"/>
      <c r="E448" s="140"/>
      <c r="F448" s="140"/>
      <c r="G448" s="140"/>
      <c r="H448" s="140"/>
      <c r="I448" s="140"/>
      <c r="J448" s="140"/>
      <c r="K448" s="140"/>
      <c r="L448" s="140"/>
      <c r="M448" s="140"/>
      <c r="N448" s="140"/>
      <c r="O448" s="140"/>
      <c r="P448" s="140"/>
      <c r="Q448" s="140"/>
      <c r="R448" s="140"/>
      <c r="S448" s="140"/>
      <c r="T448" s="140"/>
    </row>
    <row r="449" spans="1:20" ht="13">
      <c r="A449" s="140"/>
      <c r="B449" s="140"/>
      <c r="C449" s="140"/>
      <c r="D449" s="140"/>
      <c r="E449" s="140"/>
      <c r="F449" s="140"/>
      <c r="G449" s="140"/>
      <c r="H449" s="140"/>
      <c r="I449" s="140"/>
      <c r="J449" s="140"/>
      <c r="K449" s="140"/>
      <c r="L449" s="140"/>
      <c r="M449" s="140"/>
      <c r="N449" s="140"/>
      <c r="O449" s="140"/>
      <c r="P449" s="140"/>
      <c r="Q449" s="140"/>
      <c r="R449" s="140"/>
      <c r="S449" s="140"/>
      <c r="T449" s="140"/>
    </row>
    <row r="450" spans="1:20" ht="13">
      <c r="A450" s="140"/>
      <c r="B450" s="140"/>
      <c r="C450" s="140"/>
      <c r="D450" s="140"/>
      <c r="E450" s="140"/>
      <c r="F450" s="140"/>
      <c r="G450" s="140"/>
      <c r="H450" s="140"/>
      <c r="I450" s="140"/>
      <c r="J450" s="140"/>
      <c r="K450" s="140"/>
      <c r="L450" s="140"/>
      <c r="M450" s="140"/>
      <c r="N450" s="140"/>
      <c r="O450" s="140"/>
      <c r="P450" s="140"/>
      <c r="Q450" s="140"/>
      <c r="R450" s="140"/>
      <c r="S450" s="140"/>
      <c r="T450" s="140"/>
    </row>
    <row r="451" spans="1:20" ht="13">
      <c r="A451" s="140"/>
      <c r="B451" s="140"/>
      <c r="C451" s="140"/>
      <c r="D451" s="140"/>
      <c r="E451" s="140"/>
      <c r="F451" s="140"/>
      <c r="G451" s="140"/>
      <c r="H451" s="140"/>
      <c r="I451" s="140"/>
      <c r="J451" s="140"/>
      <c r="K451" s="140"/>
      <c r="L451" s="140"/>
      <c r="M451" s="140"/>
      <c r="N451" s="140"/>
      <c r="O451" s="140"/>
      <c r="P451" s="140"/>
      <c r="Q451" s="140"/>
      <c r="R451" s="140"/>
      <c r="S451" s="140"/>
      <c r="T451" s="140"/>
    </row>
    <row r="452" spans="1:20" ht="13">
      <c r="A452" s="140"/>
      <c r="B452" s="140"/>
      <c r="C452" s="140"/>
      <c r="D452" s="140"/>
      <c r="E452" s="140"/>
      <c r="F452" s="140"/>
      <c r="G452" s="140"/>
      <c r="H452" s="140"/>
      <c r="I452" s="140"/>
      <c r="J452" s="140"/>
      <c r="K452" s="140"/>
      <c r="L452" s="140"/>
      <c r="M452" s="140"/>
      <c r="N452" s="140"/>
      <c r="O452" s="140"/>
      <c r="P452" s="140"/>
      <c r="Q452" s="140"/>
      <c r="R452" s="140"/>
      <c r="S452" s="140"/>
      <c r="T452" s="140"/>
    </row>
    <row r="453" spans="1:20" ht="13">
      <c r="A453" s="140"/>
      <c r="B453" s="140"/>
      <c r="C453" s="140"/>
      <c r="D453" s="140"/>
      <c r="E453" s="140"/>
      <c r="F453" s="140"/>
      <c r="G453" s="140"/>
      <c r="H453" s="140"/>
      <c r="I453" s="140"/>
      <c r="J453" s="140"/>
      <c r="K453" s="140"/>
      <c r="L453" s="140"/>
      <c r="M453" s="140"/>
      <c r="N453" s="140"/>
      <c r="O453" s="140"/>
      <c r="P453" s="140"/>
      <c r="Q453" s="140"/>
      <c r="R453" s="140"/>
      <c r="S453" s="140"/>
      <c r="T453" s="140"/>
    </row>
    <row r="454" spans="1:20" ht="13">
      <c r="A454" s="140"/>
      <c r="B454" s="140"/>
      <c r="C454" s="140"/>
      <c r="D454" s="140"/>
      <c r="E454" s="140"/>
      <c r="F454" s="140"/>
      <c r="G454" s="140"/>
      <c r="H454" s="140"/>
      <c r="I454" s="140"/>
      <c r="J454" s="140"/>
      <c r="K454" s="140"/>
      <c r="L454" s="140"/>
      <c r="M454" s="140"/>
      <c r="N454" s="140"/>
      <c r="O454" s="140"/>
      <c r="P454" s="140"/>
      <c r="Q454" s="140"/>
      <c r="R454" s="140"/>
      <c r="S454" s="140"/>
      <c r="T454" s="140"/>
    </row>
    <row r="455" spans="1:20" ht="13">
      <c r="A455" s="140"/>
      <c r="B455" s="140"/>
      <c r="C455" s="140"/>
      <c r="D455" s="140"/>
      <c r="E455" s="140"/>
      <c r="F455" s="140"/>
      <c r="G455" s="140"/>
      <c r="H455" s="140"/>
      <c r="I455" s="140"/>
      <c r="J455" s="140"/>
      <c r="K455" s="140"/>
      <c r="L455" s="140"/>
      <c r="M455" s="140"/>
      <c r="N455" s="140"/>
      <c r="O455" s="140"/>
      <c r="P455" s="140"/>
      <c r="Q455" s="140"/>
      <c r="R455" s="140"/>
      <c r="S455" s="140"/>
      <c r="T455" s="140"/>
    </row>
    <row r="456" spans="1:20" ht="13">
      <c r="A456" s="140"/>
      <c r="B456" s="140"/>
      <c r="C456" s="140"/>
      <c r="D456" s="140"/>
      <c r="E456" s="140"/>
      <c r="F456" s="140"/>
      <c r="G456" s="140"/>
      <c r="H456" s="140"/>
      <c r="I456" s="140"/>
      <c r="J456" s="140"/>
      <c r="K456" s="140"/>
      <c r="L456" s="140"/>
      <c r="M456" s="140"/>
      <c r="N456" s="140"/>
      <c r="O456" s="140"/>
      <c r="P456" s="140"/>
      <c r="Q456" s="140"/>
      <c r="R456" s="140"/>
      <c r="S456" s="140"/>
      <c r="T456" s="140"/>
    </row>
    <row r="457" spans="1:20" ht="13">
      <c r="A457" s="140"/>
      <c r="B457" s="140"/>
      <c r="C457" s="140"/>
      <c r="D457" s="140"/>
      <c r="E457" s="140"/>
      <c r="F457" s="140"/>
      <c r="G457" s="140"/>
      <c r="H457" s="140"/>
      <c r="I457" s="140"/>
      <c r="J457" s="140"/>
      <c r="K457" s="140"/>
      <c r="L457" s="140"/>
      <c r="M457" s="140"/>
      <c r="N457" s="140"/>
      <c r="O457" s="140"/>
      <c r="P457" s="140"/>
      <c r="Q457" s="140"/>
      <c r="R457" s="140"/>
      <c r="S457" s="140"/>
      <c r="T457" s="140"/>
    </row>
    <row r="458" spans="1:20" ht="13">
      <c r="A458" s="140"/>
      <c r="B458" s="140"/>
      <c r="C458" s="140"/>
      <c r="D458" s="140"/>
      <c r="E458" s="140"/>
      <c r="F458" s="140"/>
      <c r="G458" s="140"/>
      <c r="H458" s="140"/>
      <c r="I458" s="140"/>
      <c r="J458" s="140"/>
      <c r="K458" s="140"/>
      <c r="L458" s="140"/>
      <c r="M458" s="140"/>
      <c r="N458" s="140"/>
      <c r="O458" s="140"/>
      <c r="P458" s="140"/>
      <c r="Q458" s="140"/>
      <c r="R458" s="140"/>
      <c r="S458" s="140"/>
      <c r="T458" s="140"/>
    </row>
    <row r="459" spans="1:20" ht="13">
      <c r="A459" s="140"/>
      <c r="B459" s="140"/>
      <c r="C459" s="140"/>
      <c r="D459" s="140"/>
      <c r="E459" s="140"/>
      <c r="F459" s="140"/>
      <c r="G459" s="140"/>
      <c r="H459" s="140"/>
      <c r="I459" s="140"/>
      <c r="J459" s="140"/>
      <c r="K459" s="140"/>
      <c r="L459" s="140"/>
      <c r="M459" s="140"/>
      <c r="N459" s="140"/>
      <c r="O459" s="140"/>
      <c r="P459" s="140"/>
      <c r="Q459" s="140"/>
      <c r="R459" s="140"/>
      <c r="S459" s="140"/>
      <c r="T459" s="140"/>
    </row>
    <row r="460" spans="1:20" ht="13">
      <c r="A460" s="140"/>
      <c r="B460" s="140"/>
      <c r="C460" s="140"/>
      <c r="D460" s="140"/>
      <c r="E460" s="140"/>
      <c r="F460" s="140"/>
      <c r="G460" s="140"/>
      <c r="H460" s="140"/>
      <c r="I460" s="140"/>
      <c r="J460" s="140"/>
      <c r="K460" s="140"/>
      <c r="L460" s="140"/>
      <c r="M460" s="140"/>
      <c r="N460" s="140"/>
      <c r="O460" s="140"/>
      <c r="P460" s="140"/>
      <c r="Q460" s="140"/>
      <c r="R460" s="140"/>
      <c r="S460" s="140"/>
      <c r="T460" s="140"/>
    </row>
    <row r="461" spans="1:20" ht="13">
      <c r="A461" s="140"/>
      <c r="B461" s="140"/>
      <c r="C461" s="140"/>
      <c r="D461" s="140"/>
      <c r="E461" s="140"/>
      <c r="F461" s="140"/>
      <c r="G461" s="140"/>
      <c r="H461" s="140"/>
      <c r="I461" s="140"/>
      <c r="J461" s="140"/>
      <c r="K461" s="140"/>
      <c r="L461" s="140"/>
      <c r="M461" s="140"/>
      <c r="N461" s="140"/>
      <c r="O461" s="140"/>
      <c r="P461" s="140"/>
      <c r="Q461" s="140"/>
      <c r="R461" s="140"/>
      <c r="S461" s="140"/>
      <c r="T461" s="140"/>
    </row>
    <row r="462" spans="1:20" ht="13">
      <c r="A462" s="140"/>
      <c r="B462" s="140"/>
      <c r="C462" s="140"/>
      <c r="D462" s="140"/>
      <c r="E462" s="140"/>
      <c r="F462" s="140"/>
      <c r="G462" s="140"/>
      <c r="H462" s="140"/>
      <c r="I462" s="140"/>
      <c r="J462" s="140"/>
      <c r="K462" s="140"/>
      <c r="L462" s="140"/>
      <c r="M462" s="140"/>
      <c r="N462" s="140"/>
      <c r="O462" s="140"/>
      <c r="P462" s="140"/>
      <c r="Q462" s="140"/>
      <c r="R462" s="140"/>
      <c r="S462" s="140"/>
      <c r="T462" s="140"/>
    </row>
    <row r="463" spans="1:20" ht="13">
      <c r="A463" s="140"/>
      <c r="B463" s="140"/>
      <c r="C463" s="140"/>
      <c r="D463" s="140"/>
      <c r="E463" s="140"/>
      <c r="F463" s="140"/>
      <c r="G463" s="140"/>
      <c r="H463" s="140"/>
      <c r="I463" s="140"/>
      <c r="J463" s="140"/>
      <c r="K463" s="140"/>
      <c r="L463" s="140"/>
      <c r="M463" s="140"/>
      <c r="N463" s="140"/>
      <c r="O463" s="140"/>
      <c r="P463" s="140"/>
      <c r="Q463" s="140"/>
      <c r="R463" s="140"/>
      <c r="S463" s="140"/>
      <c r="T463" s="140"/>
    </row>
    <row r="464" spans="1:20" ht="13">
      <c r="A464" s="140"/>
      <c r="B464" s="140"/>
      <c r="C464" s="140"/>
      <c r="D464" s="140"/>
      <c r="E464" s="140"/>
      <c r="F464" s="140"/>
      <c r="G464" s="140"/>
      <c r="H464" s="140"/>
      <c r="I464" s="140"/>
      <c r="J464" s="140"/>
      <c r="K464" s="140"/>
      <c r="L464" s="140"/>
      <c r="M464" s="140"/>
      <c r="N464" s="140"/>
      <c r="O464" s="140"/>
      <c r="P464" s="140"/>
      <c r="Q464" s="140"/>
      <c r="R464" s="140"/>
      <c r="S464" s="140"/>
      <c r="T464" s="140"/>
    </row>
    <row r="465" spans="1:20" ht="13">
      <c r="A465" s="140"/>
      <c r="B465" s="140"/>
      <c r="C465" s="140"/>
      <c r="D465" s="140"/>
      <c r="E465" s="140"/>
      <c r="F465" s="140"/>
      <c r="G465" s="140"/>
      <c r="H465" s="140"/>
      <c r="I465" s="140"/>
      <c r="J465" s="140"/>
      <c r="K465" s="140"/>
      <c r="L465" s="140"/>
      <c r="M465" s="140"/>
      <c r="N465" s="140"/>
      <c r="O465" s="140"/>
      <c r="P465" s="140"/>
      <c r="Q465" s="140"/>
      <c r="R465" s="140"/>
      <c r="S465" s="140"/>
      <c r="T465" s="140"/>
    </row>
    <row r="466" spans="1:20" ht="13">
      <c r="A466" s="140"/>
      <c r="B466" s="140"/>
      <c r="C466" s="140"/>
      <c r="D466" s="140"/>
      <c r="E466" s="140"/>
      <c r="F466" s="140"/>
      <c r="G466" s="140"/>
      <c r="H466" s="140"/>
      <c r="I466" s="140"/>
      <c r="J466" s="140"/>
      <c r="K466" s="140"/>
      <c r="L466" s="140"/>
      <c r="M466" s="140"/>
      <c r="N466" s="140"/>
      <c r="O466" s="140"/>
      <c r="P466" s="140"/>
      <c r="Q466" s="140"/>
      <c r="R466" s="140"/>
      <c r="S466" s="140"/>
      <c r="T466" s="140"/>
    </row>
    <row r="467" spans="1:20" ht="13">
      <c r="A467" s="140"/>
      <c r="B467" s="140"/>
      <c r="C467" s="140"/>
      <c r="D467" s="140"/>
      <c r="E467" s="140"/>
      <c r="F467" s="140"/>
      <c r="G467" s="140"/>
      <c r="H467" s="140"/>
      <c r="I467" s="140"/>
      <c r="J467" s="140"/>
      <c r="K467" s="140"/>
      <c r="L467" s="140"/>
      <c r="M467" s="140"/>
      <c r="N467" s="140"/>
      <c r="O467" s="140"/>
      <c r="P467" s="140"/>
      <c r="Q467" s="140"/>
      <c r="R467" s="140"/>
      <c r="S467" s="140"/>
      <c r="T467" s="140"/>
    </row>
    <row r="468" spans="1:20" ht="13">
      <c r="A468" s="140"/>
      <c r="B468" s="140"/>
      <c r="C468" s="140"/>
      <c r="D468" s="140"/>
      <c r="E468" s="140"/>
      <c r="F468" s="140"/>
      <c r="G468" s="140"/>
      <c r="H468" s="140"/>
      <c r="I468" s="140"/>
      <c r="J468" s="140"/>
      <c r="K468" s="140"/>
      <c r="L468" s="140"/>
      <c r="M468" s="140"/>
      <c r="N468" s="140"/>
      <c r="O468" s="140"/>
      <c r="P468" s="140"/>
      <c r="Q468" s="140"/>
      <c r="R468" s="140"/>
      <c r="S468" s="140"/>
      <c r="T468" s="140"/>
    </row>
    <row r="469" spans="1:20" ht="13">
      <c r="A469" s="140"/>
      <c r="B469" s="140"/>
      <c r="C469" s="140"/>
      <c r="D469" s="140"/>
      <c r="E469" s="140"/>
      <c r="F469" s="140"/>
      <c r="G469" s="140"/>
      <c r="H469" s="140"/>
      <c r="I469" s="140"/>
      <c r="J469" s="140"/>
      <c r="K469" s="140"/>
      <c r="L469" s="140"/>
      <c r="M469" s="140"/>
      <c r="N469" s="140"/>
      <c r="O469" s="140"/>
      <c r="P469" s="140"/>
      <c r="Q469" s="140"/>
      <c r="R469" s="140"/>
      <c r="S469" s="140"/>
      <c r="T469" s="140"/>
    </row>
    <row r="470" spans="1:20" ht="13">
      <c r="A470" s="140"/>
      <c r="B470" s="140"/>
      <c r="C470" s="140"/>
      <c r="D470" s="140"/>
      <c r="E470" s="140"/>
      <c r="F470" s="140"/>
      <c r="G470" s="140"/>
      <c r="H470" s="140"/>
      <c r="I470" s="140"/>
      <c r="J470" s="140"/>
      <c r="K470" s="140"/>
      <c r="L470" s="140"/>
      <c r="M470" s="140"/>
      <c r="N470" s="140"/>
      <c r="O470" s="140"/>
      <c r="P470" s="140"/>
      <c r="Q470" s="140"/>
      <c r="R470" s="140"/>
      <c r="S470" s="140"/>
      <c r="T470" s="140"/>
    </row>
    <row r="471" spans="1:20" ht="13">
      <c r="A471" s="140"/>
      <c r="B471" s="140"/>
      <c r="C471" s="140"/>
      <c r="D471" s="140"/>
      <c r="E471" s="140"/>
      <c r="F471" s="140"/>
      <c r="G471" s="140"/>
      <c r="H471" s="140"/>
      <c r="I471" s="140"/>
      <c r="J471" s="140"/>
      <c r="K471" s="140"/>
      <c r="L471" s="140"/>
      <c r="M471" s="140"/>
      <c r="N471" s="140"/>
      <c r="O471" s="140"/>
      <c r="P471" s="140"/>
      <c r="Q471" s="140"/>
      <c r="R471" s="140"/>
      <c r="S471" s="140"/>
      <c r="T471" s="140"/>
    </row>
    <row r="472" spans="1:20" ht="13">
      <c r="A472" s="140"/>
      <c r="B472" s="140"/>
      <c r="C472" s="140"/>
      <c r="D472" s="140"/>
      <c r="E472" s="140"/>
      <c r="F472" s="140"/>
      <c r="G472" s="140"/>
      <c r="H472" s="140"/>
      <c r="I472" s="140"/>
      <c r="J472" s="140"/>
      <c r="K472" s="140"/>
      <c r="L472" s="140"/>
      <c r="M472" s="140"/>
      <c r="N472" s="140"/>
      <c r="O472" s="140"/>
      <c r="P472" s="140"/>
      <c r="Q472" s="140"/>
      <c r="R472" s="140"/>
      <c r="S472" s="140"/>
      <c r="T472" s="140"/>
    </row>
    <row r="473" spans="1:20" ht="13">
      <c r="A473" s="140"/>
      <c r="B473" s="140"/>
      <c r="C473" s="140"/>
      <c r="D473" s="140"/>
      <c r="E473" s="140"/>
      <c r="F473" s="140"/>
      <c r="G473" s="140"/>
      <c r="H473" s="140"/>
      <c r="I473" s="140"/>
      <c r="J473" s="140"/>
      <c r="K473" s="140"/>
      <c r="L473" s="140"/>
      <c r="M473" s="140"/>
      <c r="N473" s="140"/>
      <c r="O473" s="140"/>
      <c r="P473" s="140"/>
      <c r="Q473" s="140"/>
      <c r="R473" s="140"/>
      <c r="S473" s="140"/>
      <c r="T473" s="140"/>
    </row>
    <row r="474" spans="1:20" ht="13">
      <c r="A474" s="140"/>
      <c r="B474" s="140"/>
      <c r="C474" s="140"/>
      <c r="D474" s="140"/>
      <c r="E474" s="140"/>
      <c r="F474" s="140"/>
      <c r="G474" s="140"/>
      <c r="H474" s="140"/>
      <c r="I474" s="140"/>
      <c r="J474" s="140"/>
      <c r="K474" s="140"/>
      <c r="L474" s="140"/>
      <c r="M474" s="140"/>
      <c r="N474" s="140"/>
      <c r="O474" s="140"/>
      <c r="P474" s="140"/>
      <c r="Q474" s="140"/>
      <c r="R474" s="140"/>
      <c r="S474" s="140"/>
      <c r="T474" s="140"/>
    </row>
    <row r="475" spans="1:20" ht="13">
      <c r="A475" s="140"/>
      <c r="B475" s="140"/>
      <c r="C475" s="140"/>
      <c r="D475" s="140"/>
      <c r="E475" s="140"/>
      <c r="F475" s="140"/>
      <c r="G475" s="140"/>
      <c r="H475" s="140"/>
      <c r="I475" s="140"/>
      <c r="J475" s="140"/>
      <c r="K475" s="140"/>
      <c r="L475" s="140"/>
      <c r="M475" s="140"/>
      <c r="N475" s="140"/>
      <c r="O475" s="140"/>
      <c r="P475" s="140"/>
      <c r="Q475" s="140"/>
      <c r="R475" s="140"/>
      <c r="S475" s="140"/>
      <c r="T475" s="140"/>
    </row>
    <row r="476" spans="1:20" ht="13">
      <c r="A476" s="140"/>
      <c r="B476" s="140"/>
      <c r="C476" s="140"/>
      <c r="D476" s="140"/>
      <c r="E476" s="140"/>
      <c r="F476" s="140"/>
      <c r="G476" s="140"/>
      <c r="H476" s="140"/>
      <c r="I476" s="140"/>
      <c r="J476" s="140"/>
      <c r="K476" s="140"/>
      <c r="L476" s="140"/>
      <c r="M476" s="140"/>
      <c r="N476" s="140"/>
      <c r="O476" s="140"/>
      <c r="P476" s="140"/>
      <c r="Q476" s="140"/>
      <c r="R476" s="140"/>
      <c r="S476" s="140"/>
      <c r="T476" s="140"/>
    </row>
    <row r="477" spans="1:20" ht="13">
      <c r="A477" s="140"/>
      <c r="B477" s="140"/>
      <c r="C477" s="140"/>
      <c r="D477" s="140"/>
      <c r="E477" s="140"/>
      <c r="F477" s="140"/>
      <c r="G477" s="140"/>
      <c r="H477" s="140"/>
      <c r="I477" s="140"/>
      <c r="J477" s="140"/>
      <c r="K477" s="140"/>
      <c r="L477" s="140"/>
      <c r="M477" s="140"/>
      <c r="N477" s="140"/>
      <c r="O477" s="140"/>
      <c r="P477" s="140"/>
      <c r="Q477" s="140"/>
      <c r="R477" s="140"/>
      <c r="S477" s="140"/>
      <c r="T477" s="140"/>
    </row>
    <row r="478" spans="1:20" ht="13">
      <c r="A478" s="140"/>
      <c r="B478" s="140"/>
      <c r="C478" s="140"/>
      <c r="D478" s="140"/>
      <c r="E478" s="140"/>
      <c r="F478" s="140"/>
      <c r="G478" s="140"/>
      <c r="H478" s="140"/>
      <c r="I478" s="140"/>
      <c r="J478" s="140"/>
      <c r="K478" s="140"/>
      <c r="L478" s="140"/>
      <c r="M478" s="140"/>
      <c r="N478" s="140"/>
      <c r="O478" s="140"/>
      <c r="P478" s="140"/>
      <c r="Q478" s="140"/>
      <c r="R478" s="140"/>
      <c r="S478" s="140"/>
      <c r="T478" s="140"/>
    </row>
    <row r="479" spans="1:20" ht="13">
      <c r="A479" s="140"/>
      <c r="B479" s="140"/>
      <c r="C479" s="140"/>
      <c r="D479" s="140"/>
      <c r="E479" s="140"/>
      <c r="F479" s="140"/>
      <c r="G479" s="140"/>
      <c r="H479" s="140"/>
      <c r="I479" s="140"/>
      <c r="J479" s="140"/>
      <c r="K479" s="140"/>
      <c r="L479" s="140"/>
      <c r="M479" s="140"/>
      <c r="N479" s="140"/>
      <c r="O479" s="140"/>
      <c r="P479" s="140"/>
      <c r="Q479" s="140"/>
      <c r="R479" s="140"/>
      <c r="S479" s="140"/>
      <c r="T479" s="140"/>
    </row>
    <row r="480" spans="1:20" ht="13">
      <c r="A480" s="140"/>
      <c r="B480" s="140"/>
      <c r="C480" s="140"/>
      <c r="D480" s="140"/>
      <c r="E480" s="140"/>
      <c r="F480" s="140"/>
      <c r="G480" s="140"/>
      <c r="H480" s="140"/>
      <c r="I480" s="140"/>
      <c r="J480" s="140"/>
      <c r="K480" s="140"/>
      <c r="L480" s="140"/>
      <c r="M480" s="140"/>
      <c r="N480" s="140"/>
      <c r="O480" s="140"/>
      <c r="P480" s="140"/>
      <c r="Q480" s="140"/>
      <c r="R480" s="140"/>
      <c r="S480" s="140"/>
      <c r="T480" s="140"/>
    </row>
    <row r="481" spans="1:20" ht="13">
      <c r="A481" s="140"/>
      <c r="B481" s="140"/>
      <c r="C481" s="140"/>
      <c r="D481" s="140"/>
      <c r="E481" s="140"/>
      <c r="F481" s="140"/>
      <c r="G481" s="140"/>
      <c r="H481" s="140"/>
      <c r="I481" s="140"/>
      <c r="J481" s="140"/>
      <c r="K481" s="140"/>
      <c r="L481" s="140"/>
      <c r="M481" s="140"/>
      <c r="N481" s="140"/>
      <c r="O481" s="140"/>
      <c r="P481" s="140"/>
      <c r="Q481" s="140"/>
      <c r="R481" s="140"/>
      <c r="S481" s="140"/>
      <c r="T481" s="140"/>
    </row>
    <row r="482" spans="1:20" ht="13">
      <c r="A482" s="140"/>
      <c r="B482" s="140"/>
      <c r="C482" s="140"/>
      <c r="D482" s="140"/>
      <c r="E482" s="140"/>
      <c r="F482" s="140"/>
      <c r="G482" s="140"/>
      <c r="H482" s="140"/>
      <c r="I482" s="140"/>
      <c r="J482" s="140"/>
      <c r="K482" s="140"/>
      <c r="L482" s="140"/>
      <c r="M482" s="140"/>
      <c r="N482" s="140"/>
      <c r="O482" s="140"/>
      <c r="P482" s="140"/>
      <c r="Q482" s="140"/>
      <c r="R482" s="140"/>
      <c r="S482" s="140"/>
      <c r="T482" s="140"/>
    </row>
    <row r="483" spans="1:20" ht="13">
      <c r="A483" s="140"/>
      <c r="B483" s="140"/>
      <c r="C483" s="140"/>
      <c r="D483" s="140"/>
      <c r="E483" s="140"/>
      <c r="F483" s="140"/>
      <c r="G483" s="140"/>
      <c r="H483" s="140"/>
      <c r="I483" s="140"/>
      <c r="J483" s="140"/>
      <c r="K483" s="140"/>
      <c r="L483" s="140"/>
      <c r="M483" s="140"/>
      <c r="N483" s="140"/>
      <c r="O483" s="140"/>
      <c r="P483" s="140"/>
      <c r="Q483" s="140"/>
      <c r="R483" s="140"/>
      <c r="S483" s="140"/>
      <c r="T483" s="140"/>
    </row>
    <row r="484" spans="1:20" ht="13">
      <c r="A484" s="140"/>
      <c r="B484" s="140"/>
      <c r="C484" s="140"/>
      <c r="D484" s="140"/>
      <c r="E484" s="140"/>
      <c r="F484" s="140"/>
      <c r="G484" s="140"/>
      <c r="H484" s="140"/>
      <c r="I484" s="140"/>
      <c r="J484" s="140"/>
      <c r="K484" s="140"/>
      <c r="L484" s="140"/>
      <c r="M484" s="140"/>
      <c r="N484" s="140"/>
      <c r="O484" s="140"/>
      <c r="P484" s="140"/>
      <c r="Q484" s="140"/>
      <c r="R484" s="140"/>
      <c r="S484" s="140"/>
      <c r="T484" s="140"/>
    </row>
    <row r="485" spans="1:20" ht="13">
      <c r="A485" s="140"/>
      <c r="B485" s="140"/>
      <c r="C485" s="140"/>
      <c r="D485" s="140"/>
      <c r="E485" s="140"/>
      <c r="F485" s="140"/>
      <c r="G485" s="140"/>
      <c r="H485" s="140"/>
      <c r="I485" s="140"/>
      <c r="J485" s="140"/>
      <c r="K485" s="140"/>
      <c r="L485" s="140"/>
      <c r="M485" s="140"/>
      <c r="N485" s="140"/>
      <c r="O485" s="140"/>
      <c r="P485" s="140"/>
      <c r="Q485" s="140"/>
      <c r="R485" s="140"/>
      <c r="S485" s="140"/>
      <c r="T485" s="140"/>
    </row>
    <row r="486" spans="1:20" ht="13">
      <c r="A486" s="140"/>
      <c r="B486" s="140"/>
      <c r="C486" s="140"/>
      <c r="D486" s="140"/>
      <c r="E486" s="140"/>
      <c r="F486" s="140"/>
      <c r="G486" s="140"/>
      <c r="H486" s="140"/>
      <c r="I486" s="140"/>
      <c r="J486" s="140"/>
      <c r="K486" s="140"/>
      <c r="L486" s="140"/>
      <c r="M486" s="140"/>
      <c r="N486" s="140"/>
      <c r="O486" s="140"/>
      <c r="P486" s="140"/>
      <c r="Q486" s="140"/>
      <c r="R486" s="140"/>
      <c r="S486" s="140"/>
      <c r="T486" s="140"/>
    </row>
    <row r="487" spans="1:20" ht="13">
      <c r="A487" s="140"/>
      <c r="B487" s="140"/>
      <c r="C487" s="140"/>
      <c r="D487" s="140"/>
      <c r="E487" s="140"/>
      <c r="F487" s="140"/>
      <c r="G487" s="140"/>
      <c r="H487" s="140"/>
      <c r="I487" s="140"/>
      <c r="J487" s="140"/>
      <c r="K487" s="140"/>
      <c r="L487" s="140"/>
      <c r="M487" s="140"/>
      <c r="N487" s="140"/>
      <c r="O487" s="140"/>
      <c r="P487" s="140"/>
      <c r="Q487" s="140"/>
      <c r="R487" s="140"/>
      <c r="S487" s="140"/>
      <c r="T487" s="140"/>
    </row>
    <row r="488" spans="1:20" ht="13">
      <c r="A488" s="140"/>
      <c r="B488" s="140"/>
      <c r="C488" s="140"/>
      <c r="D488" s="140"/>
      <c r="E488" s="140"/>
      <c r="F488" s="140"/>
      <c r="G488" s="140"/>
      <c r="H488" s="140"/>
      <c r="I488" s="140"/>
      <c r="J488" s="140"/>
      <c r="K488" s="140"/>
      <c r="L488" s="140"/>
      <c r="M488" s="140"/>
      <c r="N488" s="140"/>
      <c r="O488" s="140"/>
      <c r="P488" s="140"/>
      <c r="Q488" s="140"/>
      <c r="R488" s="140"/>
      <c r="S488" s="140"/>
      <c r="T488" s="140"/>
    </row>
    <row r="489" spans="1:20" ht="13">
      <c r="A489" s="140"/>
      <c r="B489" s="140"/>
      <c r="C489" s="140"/>
      <c r="D489" s="140"/>
      <c r="E489" s="140"/>
      <c r="F489" s="140"/>
      <c r="G489" s="140"/>
      <c r="H489" s="140"/>
      <c r="I489" s="140"/>
      <c r="J489" s="140"/>
      <c r="K489" s="140"/>
      <c r="L489" s="140"/>
      <c r="M489" s="140"/>
      <c r="N489" s="140"/>
      <c r="O489" s="140"/>
      <c r="P489" s="140"/>
      <c r="Q489" s="140"/>
      <c r="R489" s="140"/>
      <c r="S489" s="140"/>
      <c r="T489" s="140"/>
    </row>
    <row r="490" spans="1:20" ht="13">
      <c r="A490" s="140"/>
      <c r="B490" s="140"/>
      <c r="C490" s="140"/>
      <c r="D490" s="140"/>
      <c r="E490" s="140"/>
      <c r="F490" s="140"/>
      <c r="G490" s="140"/>
      <c r="H490" s="140"/>
      <c r="I490" s="140"/>
      <c r="J490" s="140"/>
      <c r="K490" s="140"/>
      <c r="L490" s="140"/>
      <c r="M490" s="140"/>
      <c r="N490" s="140"/>
      <c r="O490" s="140"/>
      <c r="P490" s="140"/>
      <c r="Q490" s="140"/>
      <c r="R490" s="140"/>
      <c r="S490" s="140"/>
      <c r="T490" s="140"/>
    </row>
    <row r="491" spans="1:20" ht="13">
      <c r="A491" s="140"/>
      <c r="B491" s="140"/>
      <c r="C491" s="140"/>
      <c r="D491" s="140"/>
      <c r="E491" s="140"/>
      <c r="F491" s="140"/>
      <c r="G491" s="140"/>
      <c r="H491" s="140"/>
      <c r="I491" s="140"/>
      <c r="J491" s="140"/>
      <c r="K491" s="140"/>
      <c r="L491" s="140"/>
      <c r="M491" s="140"/>
      <c r="N491" s="140"/>
      <c r="O491" s="140"/>
      <c r="P491" s="140"/>
      <c r="Q491" s="140"/>
      <c r="R491" s="140"/>
      <c r="S491" s="140"/>
      <c r="T491" s="140"/>
    </row>
    <row r="492" spans="1:20" ht="13">
      <c r="A492" s="140"/>
      <c r="B492" s="140"/>
      <c r="C492" s="140"/>
      <c r="D492" s="140"/>
      <c r="E492" s="140"/>
      <c r="F492" s="140"/>
      <c r="G492" s="140"/>
      <c r="H492" s="140"/>
      <c r="I492" s="140"/>
      <c r="J492" s="140"/>
      <c r="K492" s="140"/>
      <c r="L492" s="140"/>
      <c r="M492" s="140"/>
      <c r="N492" s="140"/>
      <c r="O492" s="140"/>
      <c r="P492" s="140"/>
      <c r="Q492" s="140"/>
      <c r="R492" s="140"/>
      <c r="S492" s="140"/>
      <c r="T492" s="140"/>
    </row>
    <row r="493" spans="1:20" ht="13">
      <c r="A493" s="140"/>
      <c r="B493" s="140"/>
      <c r="C493" s="140"/>
      <c r="D493" s="140"/>
      <c r="E493" s="140"/>
      <c r="F493" s="140"/>
      <c r="G493" s="140"/>
      <c r="H493" s="140"/>
      <c r="I493" s="140"/>
      <c r="J493" s="140"/>
      <c r="K493" s="140"/>
      <c r="L493" s="140"/>
      <c r="M493" s="140"/>
      <c r="N493" s="140"/>
      <c r="O493" s="140"/>
      <c r="P493" s="140"/>
      <c r="Q493" s="140"/>
      <c r="R493" s="140"/>
      <c r="S493" s="140"/>
      <c r="T493" s="140"/>
    </row>
    <row r="494" spans="1:20" ht="13">
      <c r="A494" s="140"/>
      <c r="B494" s="140"/>
      <c r="C494" s="140"/>
      <c r="D494" s="140"/>
      <c r="E494" s="140"/>
      <c r="F494" s="140"/>
      <c r="G494" s="140"/>
      <c r="H494" s="140"/>
      <c r="I494" s="140"/>
      <c r="J494" s="140"/>
      <c r="K494" s="140"/>
      <c r="L494" s="140"/>
      <c r="M494" s="140"/>
      <c r="N494" s="140"/>
      <c r="O494" s="140"/>
      <c r="P494" s="140"/>
      <c r="Q494" s="140"/>
      <c r="R494" s="140"/>
      <c r="S494" s="140"/>
      <c r="T494" s="140"/>
    </row>
    <row r="495" spans="1:20" ht="13">
      <c r="A495" s="140"/>
      <c r="B495" s="140"/>
      <c r="C495" s="140"/>
      <c r="D495" s="140"/>
      <c r="E495" s="140"/>
      <c r="F495" s="140"/>
      <c r="G495" s="140"/>
      <c r="H495" s="140"/>
      <c r="I495" s="140"/>
      <c r="J495" s="140"/>
      <c r="K495" s="140"/>
      <c r="L495" s="140"/>
      <c r="M495" s="140"/>
      <c r="N495" s="140"/>
      <c r="O495" s="140"/>
      <c r="P495" s="140"/>
      <c r="Q495" s="140"/>
      <c r="R495" s="140"/>
      <c r="S495" s="140"/>
      <c r="T495" s="140"/>
    </row>
    <row r="496" spans="1:20" ht="13">
      <c r="A496" s="140"/>
      <c r="B496" s="140"/>
      <c r="C496" s="140"/>
      <c r="D496" s="140"/>
      <c r="E496" s="140"/>
      <c r="F496" s="140"/>
      <c r="G496" s="140"/>
      <c r="H496" s="140"/>
      <c r="I496" s="140"/>
      <c r="J496" s="140"/>
      <c r="K496" s="140"/>
      <c r="L496" s="140"/>
      <c r="M496" s="140"/>
      <c r="N496" s="140"/>
      <c r="O496" s="140"/>
      <c r="P496" s="140"/>
      <c r="Q496" s="140"/>
      <c r="R496" s="140"/>
      <c r="S496" s="140"/>
      <c r="T496" s="140"/>
    </row>
    <row r="497" spans="1:20" ht="13">
      <c r="A497" s="140"/>
      <c r="B497" s="140"/>
      <c r="C497" s="140"/>
      <c r="D497" s="140"/>
      <c r="E497" s="140"/>
      <c r="F497" s="140"/>
      <c r="G497" s="140"/>
      <c r="H497" s="140"/>
      <c r="I497" s="140"/>
      <c r="J497" s="140"/>
      <c r="K497" s="140"/>
      <c r="L497" s="140"/>
      <c r="M497" s="140"/>
      <c r="N497" s="140"/>
      <c r="O497" s="140"/>
      <c r="P497" s="140"/>
      <c r="Q497" s="140"/>
      <c r="R497" s="140"/>
      <c r="S497" s="140"/>
      <c r="T497" s="140"/>
    </row>
    <row r="498" spans="1:20" ht="13">
      <c r="A498" s="140"/>
      <c r="B498" s="140"/>
      <c r="C498" s="140"/>
      <c r="D498" s="140"/>
      <c r="E498" s="140"/>
      <c r="F498" s="140"/>
      <c r="G498" s="140"/>
      <c r="H498" s="140"/>
      <c r="I498" s="140"/>
      <c r="J498" s="140"/>
      <c r="K498" s="140"/>
      <c r="L498" s="140"/>
      <c r="M498" s="140"/>
      <c r="N498" s="140"/>
      <c r="O498" s="140"/>
      <c r="P498" s="140"/>
      <c r="Q498" s="140"/>
      <c r="R498" s="140"/>
      <c r="S498" s="140"/>
      <c r="T498" s="140"/>
    </row>
    <row r="499" spans="1:20" ht="13">
      <c r="A499" s="140"/>
      <c r="B499" s="140"/>
      <c r="C499" s="140"/>
      <c r="D499" s="140"/>
      <c r="E499" s="140"/>
      <c r="F499" s="140"/>
      <c r="G499" s="140"/>
      <c r="H499" s="140"/>
      <c r="I499" s="140"/>
      <c r="J499" s="140"/>
      <c r="K499" s="140"/>
      <c r="L499" s="140"/>
      <c r="M499" s="140"/>
      <c r="N499" s="140"/>
      <c r="O499" s="140"/>
      <c r="P499" s="140"/>
      <c r="Q499" s="140"/>
      <c r="R499" s="140"/>
      <c r="S499" s="140"/>
      <c r="T499" s="140"/>
    </row>
    <row r="500" spans="1:20" ht="13">
      <c r="A500" s="140"/>
      <c r="B500" s="140"/>
      <c r="C500" s="140"/>
      <c r="D500" s="140"/>
      <c r="E500" s="140"/>
      <c r="F500" s="140"/>
      <c r="G500" s="140"/>
      <c r="H500" s="140"/>
      <c r="I500" s="140"/>
      <c r="J500" s="140"/>
      <c r="K500" s="140"/>
      <c r="L500" s="140"/>
      <c r="M500" s="140"/>
      <c r="N500" s="140"/>
      <c r="O500" s="140"/>
      <c r="P500" s="140"/>
      <c r="Q500" s="140"/>
      <c r="R500" s="140"/>
      <c r="S500" s="140"/>
      <c r="T500" s="140"/>
    </row>
    <row r="501" spans="1:20" ht="13">
      <c r="A501" s="140"/>
      <c r="B501" s="140"/>
      <c r="C501" s="140"/>
      <c r="D501" s="140"/>
      <c r="E501" s="140"/>
      <c r="F501" s="140"/>
      <c r="G501" s="140"/>
      <c r="H501" s="140"/>
      <c r="I501" s="140"/>
      <c r="J501" s="140"/>
      <c r="K501" s="140"/>
      <c r="L501" s="140"/>
      <c r="M501" s="140"/>
      <c r="N501" s="140"/>
      <c r="O501" s="140"/>
      <c r="P501" s="140"/>
      <c r="Q501" s="140"/>
      <c r="R501" s="140"/>
      <c r="S501" s="140"/>
      <c r="T501" s="140"/>
    </row>
    <row r="502" spans="1:20" ht="13">
      <c r="A502" s="140"/>
      <c r="B502" s="140"/>
      <c r="C502" s="140"/>
      <c r="D502" s="140"/>
      <c r="E502" s="140"/>
      <c r="F502" s="140"/>
      <c r="G502" s="140"/>
      <c r="H502" s="140"/>
      <c r="I502" s="140"/>
      <c r="J502" s="140"/>
      <c r="K502" s="140"/>
      <c r="L502" s="140"/>
      <c r="M502" s="140"/>
      <c r="N502" s="140"/>
      <c r="O502" s="140"/>
      <c r="P502" s="140"/>
      <c r="Q502" s="140"/>
      <c r="R502" s="140"/>
      <c r="S502" s="140"/>
      <c r="T502" s="140"/>
    </row>
    <row r="503" spans="1:20" ht="13">
      <c r="A503" s="140"/>
      <c r="B503" s="140"/>
      <c r="C503" s="140"/>
      <c r="D503" s="140"/>
      <c r="E503" s="140"/>
      <c r="F503" s="140"/>
      <c r="G503" s="140"/>
      <c r="H503" s="140"/>
      <c r="I503" s="140"/>
      <c r="J503" s="140"/>
      <c r="K503" s="140"/>
      <c r="L503" s="140"/>
      <c r="M503" s="140"/>
      <c r="N503" s="140"/>
      <c r="O503" s="140"/>
      <c r="P503" s="140"/>
      <c r="Q503" s="140"/>
      <c r="R503" s="140"/>
      <c r="S503" s="140"/>
      <c r="T503" s="140"/>
    </row>
    <row r="504" spans="1:20" ht="13">
      <c r="A504" s="140"/>
      <c r="B504" s="140"/>
      <c r="C504" s="140"/>
      <c r="D504" s="140"/>
      <c r="E504" s="140"/>
      <c r="F504" s="140"/>
      <c r="G504" s="140"/>
      <c r="H504" s="140"/>
      <c r="I504" s="140"/>
      <c r="J504" s="140"/>
      <c r="K504" s="140"/>
      <c r="L504" s="140"/>
      <c r="M504" s="140"/>
      <c r="N504" s="140"/>
      <c r="O504" s="140"/>
      <c r="P504" s="140"/>
      <c r="Q504" s="140"/>
      <c r="R504" s="140"/>
      <c r="S504" s="140"/>
      <c r="T504" s="140"/>
    </row>
    <row r="505" spans="1:20" ht="13">
      <c r="A505" s="140"/>
      <c r="B505" s="140"/>
      <c r="C505" s="140"/>
      <c r="D505" s="140"/>
      <c r="E505" s="140"/>
      <c r="F505" s="140"/>
      <c r="G505" s="140"/>
      <c r="H505" s="140"/>
      <c r="I505" s="140"/>
      <c r="J505" s="140"/>
      <c r="K505" s="140"/>
      <c r="L505" s="140"/>
      <c r="M505" s="140"/>
      <c r="N505" s="140"/>
      <c r="O505" s="140"/>
      <c r="P505" s="140"/>
      <c r="Q505" s="140"/>
      <c r="R505" s="140"/>
      <c r="S505" s="140"/>
      <c r="T505" s="140"/>
    </row>
    <row r="506" spans="1:20" ht="13">
      <c r="A506" s="140"/>
      <c r="B506" s="140"/>
      <c r="C506" s="140"/>
      <c r="D506" s="140"/>
      <c r="E506" s="140"/>
      <c r="F506" s="140"/>
      <c r="G506" s="140"/>
      <c r="H506" s="140"/>
      <c r="I506" s="140"/>
      <c r="J506" s="140"/>
      <c r="K506" s="140"/>
      <c r="L506" s="140"/>
      <c r="M506" s="140"/>
      <c r="N506" s="140"/>
      <c r="O506" s="140"/>
      <c r="P506" s="140"/>
      <c r="Q506" s="140"/>
      <c r="R506" s="140"/>
      <c r="S506" s="140"/>
      <c r="T506" s="140"/>
    </row>
    <row r="507" spans="1:20" ht="13">
      <c r="A507" s="140"/>
      <c r="B507" s="140"/>
      <c r="C507" s="140"/>
      <c r="D507" s="140"/>
      <c r="E507" s="140"/>
      <c r="F507" s="140"/>
      <c r="G507" s="140"/>
      <c r="H507" s="140"/>
      <c r="I507" s="140"/>
      <c r="J507" s="140"/>
      <c r="K507" s="140"/>
      <c r="L507" s="140"/>
      <c r="M507" s="140"/>
      <c r="N507" s="140"/>
      <c r="O507" s="140"/>
      <c r="P507" s="140"/>
      <c r="Q507" s="140"/>
      <c r="R507" s="140"/>
      <c r="S507" s="140"/>
      <c r="T507" s="140"/>
    </row>
    <row r="508" spans="1:20" ht="13">
      <c r="A508" s="140"/>
      <c r="B508" s="140"/>
      <c r="C508" s="140"/>
      <c r="D508" s="140"/>
      <c r="E508" s="140"/>
      <c r="F508" s="140"/>
      <c r="G508" s="140"/>
      <c r="H508" s="140"/>
      <c r="I508" s="140"/>
      <c r="J508" s="140"/>
      <c r="K508" s="140"/>
      <c r="L508" s="140"/>
      <c r="M508" s="140"/>
      <c r="N508" s="140"/>
      <c r="O508" s="140"/>
      <c r="P508" s="140"/>
      <c r="Q508" s="140"/>
      <c r="R508" s="140"/>
      <c r="S508" s="140"/>
      <c r="T508" s="140"/>
    </row>
    <row r="509" spans="1:20" ht="13">
      <c r="A509" s="140"/>
      <c r="B509" s="140"/>
      <c r="C509" s="140"/>
      <c r="D509" s="140"/>
      <c r="E509" s="140"/>
      <c r="F509" s="140"/>
      <c r="G509" s="140"/>
      <c r="H509" s="140"/>
      <c r="I509" s="140"/>
      <c r="J509" s="140"/>
      <c r="K509" s="140"/>
      <c r="L509" s="140"/>
      <c r="M509" s="140"/>
      <c r="N509" s="140"/>
      <c r="O509" s="140"/>
      <c r="P509" s="140"/>
      <c r="Q509" s="140"/>
      <c r="R509" s="140"/>
      <c r="S509" s="140"/>
      <c r="T509" s="140"/>
    </row>
    <row r="510" spans="1:20" ht="13">
      <c r="A510" s="140"/>
      <c r="B510" s="140"/>
      <c r="C510" s="140"/>
      <c r="D510" s="140"/>
      <c r="E510" s="140"/>
      <c r="F510" s="140"/>
      <c r="G510" s="140"/>
      <c r="H510" s="140"/>
      <c r="I510" s="140"/>
      <c r="J510" s="140"/>
      <c r="K510" s="140"/>
      <c r="L510" s="140"/>
      <c r="M510" s="140"/>
      <c r="N510" s="140"/>
      <c r="O510" s="140"/>
      <c r="P510" s="140"/>
      <c r="Q510" s="140"/>
      <c r="R510" s="140"/>
      <c r="S510" s="140"/>
      <c r="T510" s="140"/>
    </row>
    <row r="511" spans="1:20" ht="13">
      <c r="A511" s="140"/>
      <c r="B511" s="140"/>
      <c r="C511" s="140"/>
      <c r="D511" s="140"/>
      <c r="E511" s="140"/>
      <c r="F511" s="140"/>
      <c r="G511" s="140"/>
      <c r="H511" s="140"/>
      <c r="I511" s="140"/>
      <c r="J511" s="140"/>
      <c r="K511" s="140"/>
      <c r="L511" s="140"/>
      <c r="M511" s="140"/>
      <c r="N511" s="140"/>
      <c r="O511" s="140"/>
      <c r="P511" s="140"/>
      <c r="Q511" s="140"/>
      <c r="R511" s="140"/>
      <c r="S511" s="140"/>
      <c r="T511" s="140"/>
    </row>
    <row r="512" spans="1:20" ht="13">
      <c r="A512" s="140"/>
      <c r="B512" s="140"/>
      <c r="C512" s="140"/>
      <c r="D512" s="140"/>
      <c r="E512" s="140"/>
      <c r="F512" s="140"/>
      <c r="G512" s="140"/>
      <c r="H512" s="140"/>
      <c r="I512" s="140"/>
      <c r="J512" s="140"/>
      <c r="K512" s="140"/>
      <c r="L512" s="140"/>
      <c r="M512" s="140"/>
      <c r="N512" s="140"/>
      <c r="O512" s="140"/>
      <c r="P512" s="140"/>
      <c r="Q512" s="140"/>
      <c r="R512" s="140"/>
      <c r="S512" s="140"/>
      <c r="T512" s="140"/>
    </row>
    <row r="513" spans="1:20" ht="13">
      <c r="A513" s="140"/>
      <c r="B513" s="140"/>
      <c r="C513" s="140"/>
      <c r="D513" s="140"/>
      <c r="E513" s="140"/>
      <c r="F513" s="140"/>
      <c r="G513" s="140"/>
      <c r="H513" s="140"/>
      <c r="I513" s="140"/>
      <c r="J513" s="140"/>
      <c r="K513" s="140"/>
      <c r="L513" s="140"/>
      <c r="M513" s="140"/>
      <c r="N513" s="140"/>
      <c r="O513" s="140"/>
      <c r="P513" s="140"/>
      <c r="Q513" s="140"/>
      <c r="R513" s="140"/>
      <c r="S513" s="140"/>
      <c r="T513" s="140"/>
    </row>
    <row r="514" spans="1:20" ht="13">
      <c r="A514" s="140"/>
      <c r="B514" s="140"/>
      <c r="C514" s="140"/>
      <c r="D514" s="140"/>
      <c r="E514" s="140"/>
      <c r="F514" s="140"/>
      <c r="G514" s="140"/>
      <c r="H514" s="140"/>
      <c r="I514" s="140"/>
      <c r="J514" s="140"/>
      <c r="K514" s="140"/>
      <c r="L514" s="140"/>
      <c r="M514" s="140"/>
      <c r="N514" s="140"/>
      <c r="O514" s="140"/>
      <c r="P514" s="140"/>
      <c r="Q514" s="140"/>
      <c r="R514" s="140"/>
      <c r="S514" s="140"/>
      <c r="T514" s="140"/>
    </row>
    <row r="515" spans="1:20" ht="13">
      <c r="A515" s="140"/>
      <c r="B515" s="140"/>
      <c r="C515" s="140"/>
      <c r="D515" s="140"/>
      <c r="E515" s="140"/>
      <c r="F515" s="140"/>
      <c r="G515" s="140"/>
      <c r="H515" s="140"/>
      <c r="I515" s="140"/>
      <c r="J515" s="140"/>
      <c r="K515" s="140"/>
      <c r="L515" s="140"/>
      <c r="M515" s="140"/>
      <c r="N515" s="140"/>
      <c r="O515" s="140"/>
      <c r="P515" s="140"/>
      <c r="Q515" s="140"/>
      <c r="R515" s="140"/>
      <c r="S515" s="140"/>
      <c r="T515" s="140"/>
    </row>
    <row r="516" spans="1:20" ht="13">
      <c r="A516" s="140"/>
      <c r="B516" s="140"/>
      <c r="C516" s="140"/>
      <c r="D516" s="140"/>
      <c r="E516" s="140"/>
      <c r="F516" s="140"/>
      <c r="G516" s="140"/>
      <c r="H516" s="140"/>
      <c r="I516" s="140"/>
      <c r="J516" s="140"/>
      <c r="K516" s="140"/>
      <c r="L516" s="140"/>
      <c r="M516" s="140"/>
      <c r="N516" s="140"/>
      <c r="O516" s="140"/>
      <c r="P516" s="140"/>
      <c r="Q516" s="140"/>
      <c r="R516" s="140"/>
      <c r="S516" s="140"/>
      <c r="T516" s="140"/>
    </row>
    <row r="517" spans="1:20" ht="13">
      <c r="A517" s="140"/>
      <c r="B517" s="140"/>
      <c r="C517" s="140"/>
      <c r="D517" s="140"/>
      <c r="E517" s="140"/>
      <c r="F517" s="140"/>
      <c r="G517" s="140"/>
      <c r="H517" s="140"/>
      <c r="I517" s="140"/>
      <c r="J517" s="140"/>
      <c r="K517" s="140"/>
      <c r="L517" s="140"/>
      <c r="M517" s="140"/>
      <c r="N517" s="140"/>
      <c r="O517" s="140"/>
      <c r="P517" s="140"/>
      <c r="Q517" s="140"/>
      <c r="R517" s="140"/>
      <c r="S517" s="140"/>
      <c r="T517" s="140"/>
    </row>
    <row r="518" spans="1:20" ht="13">
      <c r="A518" s="140"/>
      <c r="B518" s="140"/>
      <c r="C518" s="140"/>
      <c r="D518" s="140"/>
      <c r="E518" s="140"/>
      <c r="F518" s="140"/>
      <c r="G518" s="140"/>
      <c r="H518" s="140"/>
      <c r="I518" s="140"/>
      <c r="J518" s="140"/>
      <c r="K518" s="140"/>
      <c r="L518" s="140"/>
      <c r="M518" s="140"/>
      <c r="N518" s="140"/>
      <c r="O518" s="140"/>
      <c r="P518" s="140"/>
      <c r="Q518" s="140"/>
      <c r="R518" s="140"/>
      <c r="S518" s="140"/>
      <c r="T518" s="140"/>
    </row>
    <row r="519" spans="1:20" ht="13">
      <c r="A519" s="140"/>
      <c r="B519" s="140"/>
      <c r="C519" s="140"/>
      <c r="D519" s="140"/>
      <c r="E519" s="140"/>
      <c r="F519" s="140"/>
      <c r="G519" s="140"/>
      <c r="H519" s="140"/>
      <c r="I519" s="140"/>
      <c r="J519" s="140"/>
      <c r="K519" s="140"/>
      <c r="L519" s="140"/>
      <c r="M519" s="140"/>
      <c r="N519" s="140"/>
      <c r="O519" s="140"/>
      <c r="P519" s="140"/>
      <c r="Q519" s="140"/>
      <c r="R519" s="140"/>
      <c r="S519" s="140"/>
      <c r="T519" s="140"/>
    </row>
    <row r="520" spans="1:20" ht="13">
      <c r="A520" s="140"/>
      <c r="B520" s="140"/>
      <c r="C520" s="140"/>
      <c r="D520" s="140"/>
      <c r="E520" s="140"/>
      <c r="F520" s="140"/>
      <c r="G520" s="140"/>
      <c r="H520" s="140"/>
      <c r="I520" s="140"/>
      <c r="J520" s="140"/>
      <c r="K520" s="140"/>
      <c r="L520" s="140"/>
      <c r="M520" s="140"/>
      <c r="N520" s="140"/>
      <c r="O520" s="140"/>
      <c r="P520" s="140"/>
      <c r="Q520" s="140"/>
      <c r="R520" s="140"/>
      <c r="S520" s="140"/>
      <c r="T520" s="140"/>
    </row>
    <row r="521" spans="1:20" ht="13">
      <c r="A521" s="140"/>
      <c r="B521" s="140"/>
      <c r="C521" s="140"/>
      <c r="D521" s="140"/>
      <c r="E521" s="140"/>
      <c r="F521" s="140"/>
      <c r="G521" s="140"/>
      <c r="H521" s="140"/>
      <c r="I521" s="140"/>
      <c r="J521" s="140"/>
      <c r="K521" s="140"/>
      <c r="L521" s="140"/>
      <c r="M521" s="140"/>
      <c r="N521" s="140"/>
      <c r="O521" s="140"/>
      <c r="P521" s="140"/>
      <c r="Q521" s="140"/>
      <c r="R521" s="140"/>
      <c r="S521" s="140"/>
      <c r="T521" s="140"/>
    </row>
    <row r="522" spans="1:20" ht="13">
      <c r="A522" s="140"/>
      <c r="B522" s="140"/>
      <c r="C522" s="140"/>
      <c r="D522" s="140"/>
      <c r="E522" s="140"/>
      <c r="F522" s="140"/>
      <c r="G522" s="140"/>
      <c r="H522" s="140"/>
      <c r="I522" s="140"/>
      <c r="J522" s="140"/>
      <c r="K522" s="140"/>
      <c r="L522" s="140"/>
      <c r="M522" s="140"/>
      <c r="N522" s="140"/>
      <c r="O522" s="140"/>
      <c r="P522" s="140"/>
      <c r="Q522" s="140"/>
      <c r="R522" s="140"/>
      <c r="S522" s="140"/>
      <c r="T522" s="140"/>
    </row>
    <row r="523" spans="1:20" ht="13">
      <c r="A523" s="140"/>
      <c r="B523" s="140"/>
      <c r="C523" s="140"/>
      <c r="D523" s="140"/>
      <c r="E523" s="140"/>
      <c r="F523" s="140"/>
      <c r="G523" s="140"/>
      <c r="H523" s="140"/>
      <c r="I523" s="140"/>
      <c r="J523" s="140"/>
      <c r="K523" s="140"/>
      <c r="L523" s="140"/>
      <c r="M523" s="140"/>
      <c r="N523" s="140"/>
      <c r="O523" s="140"/>
      <c r="P523" s="140"/>
      <c r="Q523" s="140"/>
      <c r="R523" s="140"/>
      <c r="S523" s="140"/>
      <c r="T523" s="140"/>
    </row>
    <row r="524" spans="1:20" ht="13">
      <c r="A524" s="140"/>
      <c r="B524" s="140"/>
      <c r="C524" s="140"/>
      <c r="D524" s="140"/>
      <c r="E524" s="140"/>
      <c r="F524" s="140"/>
      <c r="G524" s="140"/>
      <c r="H524" s="140"/>
      <c r="I524" s="140"/>
      <c r="J524" s="140"/>
      <c r="K524" s="140"/>
      <c r="L524" s="140"/>
      <c r="M524" s="140"/>
      <c r="N524" s="140"/>
      <c r="O524" s="140"/>
      <c r="P524" s="140"/>
      <c r="Q524" s="140"/>
      <c r="R524" s="140"/>
      <c r="S524" s="140"/>
      <c r="T524" s="140"/>
    </row>
    <row r="525" spans="1:20" ht="13">
      <c r="A525" s="140"/>
      <c r="B525" s="140"/>
      <c r="C525" s="140"/>
      <c r="D525" s="140"/>
      <c r="E525" s="140"/>
      <c r="F525" s="140"/>
      <c r="G525" s="140"/>
      <c r="H525" s="140"/>
      <c r="I525" s="140"/>
      <c r="J525" s="140"/>
      <c r="K525" s="140"/>
      <c r="L525" s="140"/>
      <c r="M525" s="140"/>
      <c r="N525" s="140"/>
      <c r="O525" s="140"/>
      <c r="P525" s="140"/>
      <c r="Q525" s="140"/>
      <c r="R525" s="140"/>
      <c r="S525" s="140"/>
      <c r="T525" s="140"/>
    </row>
    <row r="526" spans="1:20" ht="13">
      <c r="A526" s="140"/>
      <c r="B526" s="140"/>
      <c r="C526" s="140"/>
      <c r="D526" s="140"/>
      <c r="E526" s="140"/>
      <c r="F526" s="140"/>
      <c r="G526" s="140"/>
      <c r="H526" s="140"/>
      <c r="I526" s="140"/>
      <c r="J526" s="140"/>
      <c r="K526" s="140"/>
      <c r="L526" s="140"/>
      <c r="M526" s="140"/>
      <c r="N526" s="140"/>
      <c r="O526" s="140"/>
      <c r="P526" s="140"/>
      <c r="Q526" s="140"/>
      <c r="R526" s="140"/>
      <c r="S526" s="140"/>
      <c r="T526" s="140"/>
    </row>
    <row r="527" spans="1:20" ht="13">
      <c r="A527" s="140"/>
      <c r="B527" s="140"/>
      <c r="C527" s="140"/>
      <c r="D527" s="140"/>
      <c r="E527" s="140"/>
      <c r="F527" s="140"/>
      <c r="G527" s="140"/>
      <c r="H527" s="140"/>
      <c r="I527" s="140"/>
      <c r="J527" s="140"/>
      <c r="K527" s="140"/>
      <c r="L527" s="140"/>
      <c r="M527" s="140"/>
      <c r="N527" s="140"/>
      <c r="O527" s="140"/>
      <c r="P527" s="140"/>
      <c r="Q527" s="140"/>
      <c r="R527" s="140"/>
      <c r="S527" s="140"/>
      <c r="T527" s="140"/>
    </row>
    <row r="528" spans="1:20" ht="13">
      <c r="A528" s="140"/>
      <c r="B528" s="140"/>
      <c r="C528" s="140"/>
      <c r="D528" s="140"/>
      <c r="E528" s="140"/>
      <c r="F528" s="140"/>
      <c r="G528" s="140"/>
      <c r="H528" s="140"/>
      <c r="I528" s="140"/>
      <c r="J528" s="140"/>
      <c r="K528" s="140"/>
      <c r="L528" s="140"/>
      <c r="M528" s="140"/>
      <c r="N528" s="140"/>
      <c r="O528" s="140"/>
      <c r="P528" s="140"/>
      <c r="Q528" s="140"/>
      <c r="R528" s="140"/>
      <c r="S528" s="140"/>
      <c r="T528" s="140"/>
    </row>
    <row r="529" spans="1:20" ht="13">
      <c r="A529" s="140"/>
      <c r="B529" s="140"/>
      <c r="C529" s="140"/>
      <c r="D529" s="140"/>
      <c r="E529" s="140"/>
      <c r="F529" s="140"/>
      <c r="G529" s="140"/>
      <c r="H529" s="140"/>
      <c r="I529" s="140"/>
      <c r="J529" s="140"/>
      <c r="K529" s="140"/>
      <c r="L529" s="140"/>
      <c r="M529" s="140"/>
      <c r="N529" s="140"/>
      <c r="O529" s="140"/>
      <c r="P529" s="140"/>
      <c r="Q529" s="140"/>
      <c r="R529" s="140"/>
      <c r="S529" s="140"/>
      <c r="T529" s="140"/>
    </row>
    <row r="530" spans="1:20" ht="13">
      <c r="A530" s="140"/>
      <c r="B530" s="140"/>
      <c r="C530" s="140"/>
      <c r="D530" s="140"/>
      <c r="E530" s="140"/>
      <c r="F530" s="140"/>
      <c r="G530" s="140"/>
      <c r="H530" s="140"/>
      <c r="I530" s="140"/>
      <c r="J530" s="140"/>
      <c r="K530" s="140"/>
      <c r="L530" s="140"/>
      <c r="M530" s="140"/>
      <c r="N530" s="140"/>
      <c r="O530" s="140"/>
      <c r="P530" s="140"/>
      <c r="Q530" s="140"/>
      <c r="R530" s="140"/>
      <c r="S530" s="140"/>
      <c r="T530" s="140"/>
    </row>
    <row r="531" spans="1:20" ht="13">
      <c r="A531" s="140"/>
      <c r="B531" s="140"/>
      <c r="C531" s="140"/>
      <c r="D531" s="140"/>
      <c r="E531" s="140"/>
      <c r="F531" s="140"/>
      <c r="G531" s="140"/>
      <c r="H531" s="140"/>
      <c r="I531" s="140"/>
      <c r="J531" s="140"/>
      <c r="K531" s="140"/>
      <c r="L531" s="140"/>
      <c r="M531" s="140"/>
      <c r="N531" s="140"/>
      <c r="O531" s="140"/>
      <c r="P531" s="140"/>
      <c r="Q531" s="140"/>
      <c r="R531" s="140"/>
      <c r="S531" s="140"/>
      <c r="T531" s="140"/>
    </row>
    <row r="532" spans="1:20" ht="13">
      <c r="A532" s="140"/>
      <c r="B532" s="140"/>
      <c r="C532" s="140"/>
      <c r="D532" s="140"/>
      <c r="E532" s="140"/>
      <c r="F532" s="140"/>
      <c r="G532" s="140"/>
      <c r="H532" s="140"/>
      <c r="I532" s="140"/>
      <c r="J532" s="140"/>
      <c r="K532" s="140"/>
      <c r="L532" s="140"/>
      <c r="M532" s="140"/>
      <c r="N532" s="140"/>
      <c r="O532" s="140"/>
      <c r="P532" s="140"/>
      <c r="Q532" s="140"/>
      <c r="R532" s="140"/>
      <c r="S532" s="140"/>
      <c r="T532" s="140"/>
    </row>
    <row r="533" spans="1:20" ht="13">
      <c r="A533" s="140"/>
      <c r="B533" s="140"/>
      <c r="C533" s="140"/>
      <c r="D533" s="140"/>
      <c r="E533" s="140"/>
      <c r="F533" s="140"/>
      <c r="G533" s="140"/>
      <c r="H533" s="140"/>
      <c r="I533" s="140"/>
      <c r="J533" s="140"/>
      <c r="K533" s="140"/>
      <c r="L533" s="140"/>
      <c r="M533" s="140"/>
      <c r="N533" s="140"/>
      <c r="O533" s="140"/>
      <c r="P533" s="140"/>
      <c r="Q533" s="140"/>
      <c r="R533" s="140"/>
      <c r="S533" s="140"/>
      <c r="T533" s="140"/>
    </row>
    <row r="534" spans="1:20" ht="13">
      <c r="A534" s="140"/>
      <c r="B534" s="140"/>
      <c r="C534" s="140"/>
      <c r="D534" s="140"/>
      <c r="E534" s="140"/>
      <c r="F534" s="140"/>
      <c r="G534" s="140"/>
      <c r="H534" s="140"/>
      <c r="I534" s="140"/>
      <c r="J534" s="140"/>
      <c r="K534" s="140"/>
      <c r="L534" s="140"/>
      <c r="M534" s="140"/>
      <c r="N534" s="140"/>
      <c r="O534" s="140"/>
      <c r="P534" s="140"/>
      <c r="Q534" s="140"/>
      <c r="R534" s="140"/>
      <c r="S534" s="140"/>
      <c r="T534" s="140"/>
    </row>
    <row r="535" spans="1:20" ht="13">
      <c r="A535" s="140"/>
      <c r="B535" s="140"/>
      <c r="C535" s="140"/>
      <c r="D535" s="140"/>
      <c r="E535" s="140"/>
      <c r="F535" s="140"/>
      <c r="G535" s="140"/>
      <c r="H535" s="140"/>
      <c r="I535" s="140"/>
      <c r="J535" s="140"/>
      <c r="K535" s="140"/>
      <c r="L535" s="140"/>
      <c r="M535" s="140"/>
      <c r="N535" s="140"/>
      <c r="O535" s="140"/>
      <c r="P535" s="140"/>
      <c r="Q535" s="140"/>
      <c r="R535" s="140"/>
      <c r="S535" s="140"/>
      <c r="T535" s="140"/>
    </row>
    <row r="536" spans="1:20" ht="13">
      <c r="A536" s="140"/>
      <c r="B536" s="140"/>
      <c r="C536" s="140"/>
      <c r="D536" s="140"/>
      <c r="E536" s="140"/>
      <c r="F536" s="140"/>
      <c r="G536" s="140"/>
      <c r="H536" s="140"/>
      <c r="I536" s="140"/>
      <c r="J536" s="140"/>
      <c r="K536" s="140"/>
      <c r="L536" s="140"/>
      <c r="M536" s="140"/>
      <c r="N536" s="140"/>
      <c r="O536" s="140"/>
      <c r="P536" s="140"/>
      <c r="Q536" s="140"/>
      <c r="R536" s="140"/>
      <c r="S536" s="140"/>
      <c r="T536" s="140"/>
    </row>
    <row r="537" spans="1:20" ht="13">
      <c r="A537" s="140"/>
      <c r="B537" s="140"/>
      <c r="C537" s="140"/>
      <c r="D537" s="140"/>
      <c r="E537" s="140"/>
      <c r="F537" s="140"/>
      <c r="G537" s="140"/>
      <c r="H537" s="140"/>
      <c r="I537" s="140"/>
      <c r="J537" s="140"/>
      <c r="K537" s="140"/>
      <c r="L537" s="140"/>
      <c r="M537" s="140"/>
      <c r="N537" s="140"/>
      <c r="O537" s="140"/>
      <c r="P537" s="140"/>
      <c r="Q537" s="140"/>
      <c r="R537" s="140"/>
      <c r="S537" s="140"/>
      <c r="T537" s="140"/>
    </row>
    <row r="538" spans="1:20" ht="13">
      <c r="A538" s="140"/>
      <c r="B538" s="140"/>
      <c r="C538" s="140"/>
      <c r="D538" s="140"/>
      <c r="E538" s="140"/>
      <c r="F538" s="140"/>
      <c r="G538" s="140"/>
      <c r="H538" s="140"/>
      <c r="I538" s="140"/>
      <c r="J538" s="140"/>
      <c r="K538" s="140"/>
      <c r="L538" s="140"/>
      <c r="M538" s="140"/>
      <c r="N538" s="140"/>
      <c r="O538" s="140"/>
      <c r="P538" s="140"/>
      <c r="Q538" s="140"/>
      <c r="R538" s="140"/>
      <c r="S538" s="140"/>
      <c r="T538" s="140"/>
    </row>
    <row r="539" spans="1:20" ht="13">
      <c r="A539" s="140"/>
      <c r="B539" s="140"/>
      <c r="C539" s="140"/>
      <c r="D539" s="140"/>
      <c r="E539" s="140"/>
      <c r="F539" s="140"/>
      <c r="G539" s="140"/>
      <c r="H539" s="140"/>
      <c r="I539" s="140"/>
      <c r="J539" s="140"/>
      <c r="K539" s="140"/>
      <c r="L539" s="140"/>
      <c r="M539" s="140"/>
      <c r="N539" s="140"/>
      <c r="O539" s="140"/>
      <c r="P539" s="140"/>
      <c r="Q539" s="140"/>
      <c r="R539" s="140"/>
      <c r="S539" s="140"/>
      <c r="T539" s="140"/>
    </row>
    <row r="540" spans="1:20" ht="13">
      <c r="A540" s="140"/>
      <c r="B540" s="140"/>
      <c r="C540" s="140"/>
      <c r="D540" s="140"/>
      <c r="E540" s="140"/>
      <c r="F540" s="140"/>
      <c r="G540" s="140"/>
      <c r="H540" s="140"/>
      <c r="I540" s="140"/>
      <c r="J540" s="140"/>
      <c r="K540" s="140"/>
      <c r="L540" s="140"/>
      <c r="M540" s="140"/>
      <c r="N540" s="140"/>
      <c r="O540" s="140"/>
      <c r="P540" s="140"/>
      <c r="Q540" s="140"/>
      <c r="R540" s="140"/>
      <c r="S540" s="140"/>
      <c r="T540" s="140"/>
    </row>
    <row r="541" spans="1:20" ht="13">
      <c r="A541" s="140"/>
      <c r="B541" s="140"/>
      <c r="C541" s="140"/>
      <c r="D541" s="140"/>
      <c r="E541" s="140"/>
      <c r="F541" s="140"/>
      <c r="G541" s="140"/>
      <c r="H541" s="140"/>
      <c r="I541" s="140"/>
      <c r="J541" s="140"/>
      <c r="K541" s="140"/>
      <c r="L541" s="140"/>
      <c r="M541" s="140"/>
      <c r="N541" s="140"/>
      <c r="O541" s="140"/>
      <c r="P541" s="140"/>
      <c r="Q541" s="140"/>
      <c r="R541" s="140"/>
      <c r="S541" s="140"/>
      <c r="T541" s="140"/>
    </row>
    <row r="542" spans="1:20" ht="13">
      <c r="A542" s="140"/>
      <c r="B542" s="140"/>
      <c r="C542" s="140"/>
      <c r="D542" s="140"/>
      <c r="E542" s="140"/>
      <c r="F542" s="140"/>
      <c r="G542" s="140"/>
      <c r="H542" s="140"/>
      <c r="I542" s="140"/>
      <c r="J542" s="140"/>
      <c r="K542" s="140"/>
      <c r="L542" s="140"/>
      <c r="M542" s="140"/>
      <c r="N542" s="140"/>
      <c r="O542" s="140"/>
      <c r="P542" s="140"/>
      <c r="Q542" s="140"/>
      <c r="R542" s="140"/>
      <c r="S542" s="140"/>
      <c r="T542" s="140"/>
    </row>
    <row r="543" spans="1:20" ht="13">
      <c r="A543" s="140"/>
      <c r="B543" s="140"/>
      <c r="C543" s="140"/>
      <c r="D543" s="140"/>
      <c r="E543" s="140"/>
      <c r="F543" s="140"/>
      <c r="G543" s="140"/>
      <c r="H543" s="140"/>
      <c r="I543" s="140"/>
      <c r="J543" s="140"/>
      <c r="K543" s="140"/>
      <c r="L543" s="140"/>
      <c r="M543" s="140"/>
      <c r="N543" s="140"/>
      <c r="O543" s="140"/>
      <c r="P543" s="140"/>
      <c r="Q543" s="140"/>
      <c r="R543" s="140"/>
      <c r="S543" s="140"/>
      <c r="T543" s="140"/>
    </row>
    <row r="544" spans="1:20" ht="13">
      <c r="A544" s="140"/>
      <c r="B544" s="140"/>
      <c r="C544" s="140"/>
      <c r="D544" s="140"/>
      <c r="E544" s="140"/>
      <c r="F544" s="140"/>
      <c r="G544" s="140"/>
      <c r="H544" s="140"/>
      <c r="I544" s="140"/>
      <c r="J544" s="140"/>
      <c r="K544" s="140"/>
      <c r="L544" s="140"/>
      <c r="M544" s="140"/>
      <c r="N544" s="140"/>
      <c r="O544" s="140"/>
      <c r="P544" s="140"/>
      <c r="Q544" s="140"/>
      <c r="R544" s="140"/>
      <c r="S544" s="140"/>
      <c r="T544" s="140"/>
    </row>
    <row r="545" spans="1:20" ht="13">
      <c r="A545" s="140"/>
      <c r="B545" s="140"/>
      <c r="C545" s="140"/>
      <c r="D545" s="140"/>
      <c r="E545" s="140"/>
      <c r="F545" s="140"/>
      <c r="G545" s="140"/>
      <c r="H545" s="140"/>
      <c r="I545" s="140"/>
      <c r="J545" s="140"/>
      <c r="K545" s="140"/>
      <c r="L545" s="140"/>
      <c r="M545" s="140"/>
      <c r="N545" s="140"/>
      <c r="O545" s="140"/>
      <c r="P545" s="140"/>
      <c r="Q545" s="140"/>
      <c r="R545" s="140"/>
      <c r="S545" s="140"/>
      <c r="T545" s="140"/>
    </row>
    <row r="546" spans="1:20" ht="13">
      <c r="A546" s="140"/>
      <c r="B546" s="140"/>
      <c r="C546" s="140"/>
      <c r="D546" s="140"/>
      <c r="E546" s="140"/>
      <c r="F546" s="140"/>
      <c r="G546" s="140"/>
      <c r="H546" s="140"/>
      <c r="I546" s="140"/>
      <c r="J546" s="140"/>
      <c r="K546" s="140"/>
      <c r="L546" s="140"/>
      <c r="M546" s="140"/>
      <c r="N546" s="140"/>
      <c r="O546" s="140"/>
      <c r="P546" s="140"/>
      <c r="Q546" s="140"/>
      <c r="R546" s="140"/>
      <c r="S546" s="140"/>
      <c r="T546" s="140"/>
    </row>
    <row r="547" spans="1:20" ht="13">
      <c r="A547" s="140"/>
      <c r="B547" s="140"/>
      <c r="C547" s="140"/>
      <c r="D547" s="140"/>
      <c r="E547" s="140"/>
      <c r="F547" s="140"/>
      <c r="G547" s="140"/>
      <c r="H547" s="140"/>
      <c r="I547" s="140"/>
      <c r="J547" s="140"/>
      <c r="K547" s="140"/>
      <c r="L547" s="140"/>
      <c r="M547" s="140"/>
      <c r="N547" s="140"/>
      <c r="O547" s="140"/>
      <c r="P547" s="140"/>
      <c r="Q547" s="140"/>
      <c r="R547" s="140"/>
      <c r="S547" s="140"/>
      <c r="T547" s="140"/>
    </row>
    <row r="548" spans="1:20" ht="13">
      <c r="A548" s="140"/>
      <c r="B548" s="140"/>
      <c r="C548" s="140"/>
      <c r="D548" s="140"/>
      <c r="E548" s="140"/>
      <c r="F548" s="140"/>
      <c r="G548" s="140"/>
      <c r="H548" s="140"/>
      <c r="I548" s="140"/>
      <c r="J548" s="140"/>
      <c r="K548" s="140"/>
      <c r="L548" s="140"/>
      <c r="M548" s="140"/>
      <c r="N548" s="140"/>
      <c r="O548" s="140"/>
      <c r="P548" s="140"/>
      <c r="Q548" s="140"/>
      <c r="R548" s="140"/>
      <c r="S548" s="140"/>
      <c r="T548" s="140"/>
    </row>
    <row r="549" spans="1:20" ht="13">
      <c r="A549" s="140"/>
      <c r="B549" s="140"/>
      <c r="C549" s="140"/>
      <c r="D549" s="140"/>
      <c r="E549" s="140"/>
      <c r="F549" s="140"/>
      <c r="G549" s="140"/>
      <c r="H549" s="140"/>
      <c r="I549" s="140"/>
      <c r="J549" s="140"/>
      <c r="K549" s="140"/>
      <c r="L549" s="140"/>
      <c r="M549" s="140"/>
      <c r="N549" s="140"/>
      <c r="O549" s="140"/>
      <c r="P549" s="140"/>
      <c r="Q549" s="140"/>
      <c r="R549" s="140"/>
      <c r="S549" s="140"/>
      <c r="T549" s="140"/>
    </row>
    <row r="550" spans="1:20" ht="13">
      <c r="A550" s="140"/>
      <c r="B550" s="140"/>
      <c r="C550" s="140"/>
      <c r="D550" s="140"/>
      <c r="E550" s="140"/>
      <c r="F550" s="140"/>
      <c r="G550" s="140"/>
      <c r="H550" s="140"/>
      <c r="I550" s="140"/>
      <c r="J550" s="140"/>
      <c r="K550" s="140"/>
      <c r="L550" s="140"/>
      <c r="M550" s="140"/>
      <c r="N550" s="140"/>
      <c r="O550" s="140"/>
      <c r="P550" s="140"/>
      <c r="Q550" s="140"/>
      <c r="R550" s="140"/>
      <c r="S550" s="140"/>
      <c r="T550" s="140"/>
    </row>
    <row r="551" spans="1:20" ht="13">
      <c r="A551" s="140"/>
      <c r="B551" s="140"/>
      <c r="C551" s="140"/>
      <c r="D551" s="140"/>
      <c r="E551" s="140"/>
      <c r="F551" s="140"/>
      <c r="G551" s="140"/>
      <c r="H551" s="140"/>
      <c r="I551" s="140"/>
      <c r="J551" s="140"/>
      <c r="K551" s="140"/>
      <c r="L551" s="140"/>
      <c r="M551" s="140"/>
      <c r="N551" s="140"/>
      <c r="O551" s="140"/>
      <c r="P551" s="140"/>
      <c r="Q551" s="140"/>
      <c r="R551" s="140"/>
      <c r="S551" s="140"/>
      <c r="T551" s="140"/>
    </row>
    <row r="552" spans="1:20" ht="13">
      <c r="A552" s="140"/>
      <c r="B552" s="140"/>
      <c r="C552" s="140"/>
      <c r="D552" s="140"/>
      <c r="E552" s="140"/>
      <c r="F552" s="140"/>
      <c r="G552" s="140"/>
      <c r="H552" s="140"/>
      <c r="I552" s="140"/>
      <c r="J552" s="140"/>
      <c r="K552" s="140"/>
      <c r="L552" s="140"/>
      <c r="M552" s="140"/>
      <c r="N552" s="140"/>
      <c r="O552" s="140"/>
      <c r="P552" s="140"/>
      <c r="Q552" s="140"/>
      <c r="R552" s="140"/>
      <c r="S552" s="140"/>
      <c r="T552" s="140"/>
    </row>
    <row r="553" spans="1:20" ht="13">
      <c r="A553" s="140"/>
      <c r="B553" s="140"/>
      <c r="C553" s="140"/>
      <c r="D553" s="140"/>
      <c r="E553" s="140"/>
      <c r="F553" s="140"/>
      <c r="G553" s="140"/>
      <c r="H553" s="140"/>
      <c r="I553" s="140"/>
      <c r="J553" s="140"/>
      <c r="K553" s="140"/>
      <c r="L553" s="140"/>
      <c r="M553" s="140"/>
      <c r="N553" s="140"/>
      <c r="O553" s="140"/>
      <c r="P553" s="140"/>
      <c r="Q553" s="140"/>
      <c r="R553" s="140"/>
      <c r="S553" s="140"/>
      <c r="T553" s="140"/>
    </row>
    <row r="554" spans="1:20" ht="13">
      <c r="A554" s="140"/>
      <c r="B554" s="140"/>
      <c r="C554" s="140"/>
      <c r="D554" s="140"/>
      <c r="E554" s="140"/>
      <c r="F554" s="140"/>
      <c r="G554" s="140"/>
      <c r="H554" s="140"/>
      <c r="I554" s="140"/>
      <c r="J554" s="140"/>
      <c r="K554" s="140"/>
      <c r="L554" s="140"/>
      <c r="M554" s="140"/>
      <c r="N554" s="140"/>
      <c r="O554" s="140"/>
      <c r="P554" s="140"/>
      <c r="Q554" s="140"/>
      <c r="R554" s="140"/>
      <c r="S554" s="140"/>
      <c r="T554" s="140"/>
    </row>
    <row r="555" spans="1:20" ht="13">
      <c r="A555" s="140"/>
      <c r="B555" s="140"/>
      <c r="C555" s="140"/>
      <c r="D555" s="140"/>
      <c r="E555" s="140"/>
      <c r="F555" s="140"/>
      <c r="G555" s="140"/>
      <c r="H555" s="140"/>
      <c r="I555" s="140"/>
      <c r="J555" s="140"/>
      <c r="K555" s="140"/>
      <c r="L555" s="140"/>
      <c r="M555" s="140"/>
      <c r="N555" s="140"/>
      <c r="O555" s="140"/>
      <c r="P555" s="140"/>
      <c r="Q555" s="140"/>
      <c r="R555" s="140"/>
      <c r="S555" s="140"/>
      <c r="T555" s="140"/>
    </row>
    <row r="556" spans="1:20" ht="13">
      <c r="A556" s="140"/>
      <c r="B556" s="140"/>
      <c r="C556" s="140"/>
      <c r="D556" s="140"/>
      <c r="E556" s="140"/>
      <c r="F556" s="140"/>
      <c r="G556" s="140"/>
      <c r="H556" s="140"/>
      <c r="I556" s="140"/>
      <c r="J556" s="140"/>
      <c r="K556" s="140"/>
      <c r="L556" s="140"/>
      <c r="M556" s="140"/>
      <c r="N556" s="140"/>
      <c r="O556" s="140"/>
      <c r="P556" s="140"/>
      <c r="Q556" s="140"/>
      <c r="R556" s="140"/>
      <c r="S556" s="140"/>
      <c r="T556" s="140"/>
    </row>
    <row r="557" spans="1:20" ht="13">
      <c r="A557" s="140"/>
      <c r="B557" s="140"/>
      <c r="C557" s="140"/>
      <c r="D557" s="140"/>
      <c r="E557" s="140"/>
      <c r="F557" s="140"/>
      <c r="G557" s="140"/>
      <c r="H557" s="140"/>
      <c r="I557" s="140"/>
      <c r="J557" s="140"/>
      <c r="K557" s="140"/>
      <c r="L557" s="140"/>
      <c r="M557" s="140"/>
      <c r="N557" s="140"/>
      <c r="O557" s="140"/>
      <c r="P557" s="140"/>
      <c r="Q557" s="140"/>
      <c r="R557" s="140"/>
      <c r="S557" s="140"/>
      <c r="T557" s="140"/>
    </row>
    <row r="558" spans="1:20" ht="13">
      <c r="A558" s="140"/>
      <c r="B558" s="140"/>
      <c r="C558" s="140"/>
      <c r="D558" s="140"/>
      <c r="E558" s="140"/>
      <c r="F558" s="140"/>
      <c r="G558" s="140"/>
      <c r="H558" s="140"/>
      <c r="I558" s="140"/>
      <c r="J558" s="140"/>
      <c r="K558" s="140"/>
      <c r="L558" s="140"/>
      <c r="M558" s="140"/>
      <c r="N558" s="140"/>
      <c r="O558" s="140"/>
      <c r="P558" s="140"/>
      <c r="Q558" s="140"/>
      <c r="R558" s="140"/>
      <c r="S558" s="140"/>
      <c r="T558" s="140"/>
    </row>
    <row r="559" spans="1:20" ht="13">
      <c r="A559" s="140"/>
      <c r="B559" s="140"/>
      <c r="C559" s="140"/>
      <c r="D559" s="140"/>
      <c r="E559" s="140"/>
      <c r="F559" s="140"/>
      <c r="G559" s="140"/>
      <c r="H559" s="140"/>
      <c r="I559" s="140"/>
      <c r="J559" s="140"/>
      <c r="K559" s="140"/>
      <c r="L559" s="140"/>
      <c r="M559" s="140"/>
      <c r="N559" s="140"/>
      <c r="O559" s="140"/>
      <c r="P559" s="140"/>
      <c r="Q559" s="140"/>
      <c r="R559" s="140"/>
      <c r="S559" s="140"/>
      <c r="T559" s="140"/>
    </row>
    <row r="560" spans="1:20" ht="13">
      <c r="A560" s="140"/>
      <c r="B560" s="140"/>
      <c r="C560" s="140"/>
      <c r="D560" s="140"/>
      <c r="E560" s="140"/>
      <c r="F560" s="140"/>
      <c r="G560" s="140"/>
      <c r="H560" s="140"/>
      <c r="I560" s="140"/>
      <c r="J560" s="140"/>
      <c r="K560" s="140"/>
      <c r="L560" s="140"/>
      <c r="M560" s="140"/>
      <c r="N560" s="140"/>
      <c r="O560" s="140"/>
      <c r="P560" s="140"/>
      <c r="Q560" s="140"/>
      <c r="R560" s="140"/>
      <c r="S560" s="140"/>
      <c r="T560" s="140"/>
    </row>
    <row r="561" spans="1:20" ht="13">
      <c r="A561" s="140"/>
      <c r="B561" s="140"/>
      <c r="C561" s="140"/>
      <c r="D561" s="140"/>
      <c r="E561" s="140"/>
      <c r="F561" s="140"/>
      <c r="G561" s="140"/>
      <c r="H561" s="140"/>
      <c r="I561" s="140"/>
      <c r="J561" s="140"/>
      <c r="K561" s="140"/>
      <c r="L561" s="140"/>
      <c r="M561" s="140"/>
      <c r="N561" s="140"/>
      <c r="O561" s="140"/>
      <c r="P561" s="140"/>
      <c r="Q561" s="140"/>
      <c r="R561" s="140"/>
      <c r="S561" s="140"/>
      <c r="T561" s="140"/>
    </row>
    <row r="562" spans="1:20" ht="13">
      <c r="A562" s="140"/>
      <c r="B562" s="140"/>
      <c r="C562" s="140"/>
      <c r="D562" s="140"/>
      <c r="E562" s="140"/>
      <c r="F562" s="140"/>
      <c r="G562" s="140"/>
      <c r="H562" s="140"/>
      <c r="I562" s="140"/>
      <c r="J562" s="140"/>
      <c r="K562" s="140"/>
      <c r="L562" s="140"/>
      <c r="M562" s="140"/>
      <c r="N562" s="140"/>
      <c r="O562" s="140"/>
      <c r="P562" s="140"/>
      <c r="Q562" s="140"/>
      <c r="R562" s="140"/>
      <c r="S562" s="140"/>
      <c r="T562" s="140"/>
    </row>
    <row r="563" spans="1:20" ht="13">
      <c r="A563" s="140"/>
      <c r="B563" s="140"/>
      <c r="C563" s="140"/>
      <c r="D563" s="140"/>
      <c r="E563" s="140"/>
      <c r="F563" s="140"/>
      <c r="G563" s="140"/>
      <c r="H563" s="140"/>
      <c r="I563" s="140"/>
      <c r="J563" s="140"/>
      <c r="K563" s="140"/>
      <c r="L563" s="140"/>
      <c r="M563" s="140"/>
      <c r="N563" s="140"/>
      <c r="O563" s="140"/>
      <c r="P563" s="140"/>
      <c r="Q563" s="140"/>
      <c r="R563" s="140"/>
      <c r="S563" s="140"/>
      <c r="T563" s="140"/>
    </row>
    <row r="564" spans="1:20" ht="13">
      <c r="A564" s="140"/>
      <c r="B564" s="140"/>
      <c r="C564" s="140"/>
      <c r="D564" s="140"/>
      <c r="E564" s="140"/>
      <c r="F564" s="140"/>
      <c r="G564" s="140"/>
      <c r="H564" s="140"/>
      <c r="I564" s="140"/>
      <c r="J564" s="140"/>
      <c r="K564" s="140"/>
      <c r="L564" s="140"/>
      <c r="M564" s="140"/>
      <c r="N564" s="140"/>
      <c r="O564" s="140"/>
      <c r="P564" s="140"/>
      <c r="Q564" s="140"/>
      <c r="R564" s="140"/>
      <c r="S564" s="140"/>
      <c r="T564" s="140"/>
    </row>
    <row r="565" spans="1:20" ht="13">
      <c r="A565" s="140"/>
      <c r="B565" s="140"/>
      <c r="C565" s="140"/>
      <c r="D565" s="140"/>
      <c r="E565" s="140"/>
      <c r="F565" s="140"/>
      <c r="G565" s="140"/>
      <c r="H565" s="140"/>
      <c r="I565" s="140"/>
      <c r="J565" s="140"/>
      <c r="K565" s="140"/>
      <c r="L565" s="140"/>
      <c r="M565" s="140"/>
      <c r="N565" s="140"/>
      <c r="O565" s="140"/>
      <c r="P565" s="140"/>
      <c r="Q565" s="140"/>
      <c r="R565" s="140"/>
      <c r="S565" s="140"/>
      <c r="T565" s="140"/>
    </row>
    <row r="566" spans="1:20" ht="13">
      <c r="A566" s="140"/>
      <c r="B566" s="140"/>
      <c r="C566" s="140"/>
      <c r="D566" s="140"/>
      <c r="E566" s="140"/>
      <c r="F566" s="140"/>
      <c r="G566" s="140"/>
      <c r="H566" s="140"/>
      <c r="I566" s="140"/>
      <c r="J566" s="140"/>
      <c r="K566" s="140"/>
      <c r="L566" s="140"/>
      <c r="M566" s="140"/>
      <c r="N566" s="140"/>
      <c r="O566" s="140"/>
      <c r="P566" s="140"/>
      <c r="Q566" s="140"/>
      <c r="R566" s="140"/>
      <c r="S566" s="140"/>
      <c r="T566" s="140"/>
    </row>
    <row r="567" spans="1:20" ht="13">
      <c r="A567" s="140"/>
      <c r="B567" s="140"/>
      <c r="C567" s="140"/>
      <c r="D567" s="140"/>
      <c r="E567" s="140"/>
      <c r="F567" s="140"/>
      <c r="G567" s="140"/>
      <c r="H567" s="140"/>
      <c r="I567" s="140"/>
      <c r="J567" s="140"/>
      <c r="K567" s="140"/>
      <c r="L567" s="140"/>
      <c r="M567" s="140"/>
      <c r="N567" s="140"/>
      <c r="O567" s="140"/>
      <c r="P567" s="140"/>
      <c r="Q567" s="140"/>
      <c r="R567" s="140"/>
      <c r="S567" s="140"/>
      <c r="T567" s="140"/>
    </row>
    <row r="568" spans="1:20" ht="13">
      <c r="A568" s="140"/>
      <c r="B568" s="140"/>
      <c r="C568" s="140"/>
      <c r="D568" s="140"/>
      <c r="E568" s="140"/>
      <c r="F568" s="140"/>
      <c r="G568" s="140"/>
      <c r="H568" s="140"/>
      <c r="I568" s="140"/>
      <c r="J568" s="140"/>
      <c r="K568" s="140"/>
      <c r="L568" s="140"/>
      <c r="M568" s="140"/>
      <c r="N568" s="140"/>
      <c r="O568" s="140"/>
      <c r="P568" s="140"/>
      <c r="Q568" s="140"/>
      <c r="R568" s="140"/>
      <c r="S568" s="140"/>
      <c r="T568" s="140"/>
    </row>
    <row r="569" spans="1:20" ht="13">
      <c r="A569" s="140"/>
      <c r="B569" s="140"/>
      <c r="C569" s="140"/>
      <c r="D569" s="140"/>
      <c r="E569" s="140"/>
      <c r="F569" s="140"/>
      <c r="G569" s="140"/>
      <c r="H569" s="140"/>
      <c r="I569" s="140"/>
      <c r="J569" s="140"/>
      <c r="K569" s="140"/>
      <c r="L569" s="140"/>
      <c r="M569" s="140"/>
      <c r="N569" s="140"/>
      <c r="O569" s="140"/>
      <c r="P569" s="140"/>
      <c r="Q569" s="140"/>
      <c r="R569" s="140"/>
      <c r="S569" s="140"/>
      <c r="T569" s="140"/>
    </row>
    <row r="570" spans="1:20" ht="13">
      <c r="A570" s="140"/>
      <c r="B570" s="140"/>
      <c r="C570" s="140"/>
      <c r="D570" s="140"/>
      <c r="E570" s="140"/>
      <c r="F570" s="140"/>
      <c r="G570" s="140"/>
      <c r="H570" s="140"/>
      <c r="I570" s="140"/>
      <c r="J570" s="140"/>
      <c r="K570" s="140"/>
      <c r="L570" s="140"/>
      <c r="M570" s="140"/>
      <c r="N570" s="140"/>
      <c r="O570" s="140"/>
      <c r="P570" s="140"/>
      <c r="Q570" s="140"/>
      <c r="R570" s="140"/>
      <c r="S570" s="140"/>
      <c r="T570" s="140"/>
    </row>
    <row r="571" spans="1:20" ht="13">
      <c r="A571" s="140"/>
      <c r="B571" s="140"/>
      <c r="C571" s="140"/>
      <c r="D571" s="140"/>
      <c r="E571" s="140"/>
      <c r="F571" s="140"/>
      <c r="G571" s="140"/>
      <c r="H571" s="140"/>
      <c r="I571" s="140"/>
      <c r="J571" s="140"/>
      <c r="K571" s="140"/>
      <c r="L571" s="140"/>
      <c r="M571" s="140"/>
      <c r="N571" s="140"/>
      <c r="O571" s="140"/>
      <c r="P571" s="140"/>
      <c r="Q571" s="140"/>
      <c r="R571" s="140"/>
      <c r="S571" s="140"/>
      <c r="T571" s="140"/>
    </row>
    <row r="572" spans="1:20" ht="13">
      <c r="A572" s="140"/>
      <c r="B572" s="140"/>
      <c r="C572" s="140"/>
      <c r="D572" s="140"/>
      <c r="E572" s="140"/>
      <c r="F572" s="140"/>
      <c r="G572" s="140"/>
      <c r="H572" s="140"/>
      <c r="I572" s="140"/>
      <c r="J572" s="140"/>
      <c r="K572" s="140"/>
      <c r="L572" s="140"/>
      <c r="M572" s="140"/>
      <c r="N572" s="140"/>
      <c r="O572" s="140"/>
      <c r="P572" s="140"/>
      <c r="Q572" s="140"/>
      <c r="R572" s="140"/>
      <c r="S572" s="140"/>
      <c r="T572" s="140"/>
    </row>
    <row r="573" spans="1:20" ht="13">
      <c r="A573" s="140"/>
      <c r="B573" s="140"/>
      <c r="C573" s="140"/>
      <c r="D573" s="140"/>
      <c r="E573" s="140"/>
      <c r="F573" s="140"/>
      <c r="G573" s="140"/>
      <c r="H573" s="140"/>
      <c r="I573" s="140"/>
      <c r="J573" s="140"/>
      <c r="K573" s="140"/>
      <c r="L573" s="140"/>
      <c r="M573" s="140"/>
      <c r="N573" s="140"/>
      <c r="O573" s="140"/>
      <c r="P573" s="140"/>
      <c r="Q573" s="140"/>
      <c r="R573" s="140"/>
      <c r="S573" s="140"/>
      <c r="T573" s="140"/>
    </row>
    <row r="574" spans="1:20" ht="13">
      <c r="A574" s="140"/>
      <c r="B574" s="140"/>
      <c r="C574" s="140"/>
      <c r="D574" s="140"/>
      <c r="E574" s="140"/>
      <c r="F574" s="140"/>
      <c r="G574" s="140"/>
      <c r="H574" s="140"/>
      <c r="I574" s="140"/>
      <c r="J574" s="140"/>
      <c r="K574" s="140"/>
      <c r="L574" s="140"/>
      <c r="M574" s="140"/>
      <c r="N574" s="140"/>
      <c r="O574" s="140"/>
      <c r="P574" s="140"/>
      <c r="Q574" s="140"/>
      <c r="R574" s="140"/>
      <c r="S574" s="140"/>
      <c r="T574" s="140"/>
    </row>
    <row r="575" spans="1:20" ht="13">
      <c r="A575" s="140"/>
      <c r="B575" s="140"/>
      <c r="C575" s="140"/>
      <c r="D575" s="140"/>
      <c r="E575" s="140"/>
      <c r="F575" s="140"/>
      <c r="G575" s="140"/>
      <c r="H575" s="140"/>
      <c r="I575" s="140"/>
      <c r="J575" s="140"/>
      <c r="K575" s="140"/>
      <c r="L575" s="140"/>
      <c r="M575" s="140"/>
      <c r="N575" s="140"/>
      <c r="O575" s="140"/>
      <c r="P575" s="140"/>
      <c r="Q575" s="140"/>
      <c r="R575" s="140"/>
      <c r="S575" s="140"/>
      <c r="T575" s="140"/>
    </row>
    <row r="576" spans="1:20" ht="13">
      <c r="A576" s="140"/>
      <c r="B576" s="140"/>
      <c r="C576" s="140"/>
      <c r="D576" s="140"/>
      <c r="E576" s="140"/>
      <c r="F576" s="140"/>
      <c r="G576" s="140"/>
      <c r="H576" s="140"/>
      <c r="I576" s="140"/>
      <c r="J576" s="140"/>
      <c r="K576" s="140"/>
      <c r="L576" s="140"/>
      <c r="M576" s="140"/>
      <c r="N576" s="140"/>
      <c r="O576" s="140"/>
      <c r="P576" s="140"/>
      <c r="Q576" s="140"/>
      <c r="R576" s="140"/>
      <c r="S576" s="140"/>
      <c r="T576" s="140"/>
    </row>
    <row r="577" spans="1:20" ht="13">
      <c r="A577" s="140"/>
      <c r="B577" s="140"/>
      <c r="C577" s="140"/>
      <c r="D577" s="140"/>
      <c r="E577" s="140"/>
      <c r="F577" s="140"/>
      <c r="G577" s="140"/>
      <c r="H577" s="140"/>
      <c r="I577" s="140"/>
      <c r="J577" s="140"/>
      <c r="K577" s="140"/>
      <c r="L577" s="140"/>
      <c r="M577" s="140"/>
      <c r="N577" s="140"/>
      <c r="O577" s="140"/>
      <c r="P577" s="140"/>
      <c r="Q577" s="140"/>
      <c r="R577" s="140"/>
      <c r="S577" s="140"/>
      <c r="T577" s="140"/>
    </row>
    <row r="578" spans="1:20" ht="13">
      <c r="A578" s="140"/>
      <c r="B578" s="140"/>
      <c r="C578" s="140"/>
      <c r="D578" s="140"/>
      <c r="E578" s="140"/>
      <c r="F578" s="140"/>
      <c r="G578" s="140"/>
      <c r="H578" s="140"/>
      <c r="I578" s="140"/>
      <c r="J578" s="140"/>
      <c r="K578" s="140"/>
      <c r="L578" s="140"/>
      <c r="M578" s="140"/>
      <c r="N578" s="140"/>
      <c r="O578" s="140"/>
      <c r="P578" s="140"/>
      <c r="Q578" s="140"/>
      <c r="R578" s="140"/>
      <c r="S578" s="140"/>
      <c r="T578" s="140"/>
    </row>
    <row r="579" spans="1:20" ht="13">
      <c r="A579" s="140"/>
      <c r="B579" s="140"/>
      <c r="C579" s="140"/>
      <c r="D579" s="140"/>
      <c r="E579" s="140"/>
      <c r="F579" s="140"/>
      <c r="G579" s="140"/>
      <c r="H579" s="140"/>
      <c r="I579" s="140"/>
      <c r="J579" s="140"/>
      <c r="K579" s="140"/>
      <c r="L579" s="140"/>
      <c r="M579" s="140"/>
      <c r="N579" s="140"/>
      <c r="O579" s="140"/>
      <c r="P579" s="140"/>
      <c r="Q579" s="140"/>
      <c r="R579" s="140"/>
      <c r="S579" s="140"/>
      <c r="T579" s="140"/>
    </row>
    <row r="580" spans="1:20" ht="13">
      <c r="A580" s="140"/>
      <c r="B580" s="140"/>
      <c r="C580" s="140"/>
      <c r="D580" s="140"/>
      <c r="E580" s="140"/>
      <c r="F580" s="140"/>
      <c r="G580" s="140"/>
      <c r="H580" s="140"/>
      <c r="I580" s="140"/>
      <c r="J580" s="140"/>
      <c r="K580" s="140"/>
      <c r="L580" s="140"/>
      <c r="M580" s="140"/>
      <c r="N580" s="140"/>
      <c r="O580" s="140"/>
      <c r="P580" s="140"/>
      <c r="Q580" s="140"/>
      <c r="R580" s="140"/>
      <c r="S580" s="140"/>
      <c r="T580" s="140"/>
    </row>
    <row r="581" spans="1:20" ht="13">
      <c r="A581" s="140"/>
      <c r="B581" s="140"/>
      <c r="C581" s="140"/>
      <c r="D581" s="140"/>
      <c r="E581" s="140"/>
      <c r="F581" s="140"/>
      <c r="G581" s="140"/>
      <c r="H581" s="140"/>
      <c r="I581" s="140"/>
      <c r="J581" s="140"/>
      <c r="K581" s="140"/>
      <c r="L581" s="140"/>
      <c r="M581" s="140"/>
      <c r="N581" s="140"/>
      <c r="O581" s="140"/>
      <c r="P581" s="140"/>
      <c r="Q581" s="140"/>
      <c r="R581" s="140"/>
      <c r="S581" s="140"/>
      <c r="T581" s="140"/>
    </row>
    <row r="582" spans="1:20" ht="13">
      <c r="A582" s="140"/>
      <c r="B582" s="140"/>
      <c r="C582" s="140"/>
      <c r="D582" s="140"/>
      <c r="E582" s="140"/>
      <c r="F582" s="140"/>
      <c r="G582" s="140"/>
      <c r="H582" s="140"/>
      <c r="I582" s="140"/>
      <c r="J582" s="140"/>
      <c r="K582" s="140"/>
      <c r="L582" s="140"/>
      <c r="M582" s="140"/>
      <c r="N582" s="140"/>
      <c r="O582" s="140"/>
      <c r="P582" s="140"/>
      <c r="Q582" s="140"/>
      <c r="R582" s="140"/>
      <c r="S582" s="140"/>
      <c r="T582" s="140"/>
    </row>
    <row r="583" spans="1:20" ht="13">
      <c r="A583" s="140"/>
      <c r="B583" s="140"/>
      <c r="C583" s="140"/>
      <c r="D583" s="140"/>
      <c r="E583" s="140"/>
      <c r="F583" s="140"/>
      <c r="G583" s="140"/>
      <c r="H583" s="140"/>
      <c r="I583" s="140"/>
      <c r="J583" s="140"/>
      <c r="K583" s="140"/>
      <c r="L583" s="140"/>
      <c r="M583" s="140"/>
      <c r="N583" s="140"/>
      <c r="O583" s="140"/>
      <c r="P583" s="140"/>
      <c r="Q583" s="140"/>
      <c r="R583" s="140"/>
      <c r="S583" s="140"/>
      <c r="T583" s="140"/>
    </row>
    <row r="584" spans="1:20" ht="13">
      <c r="A584" s="140"/>
      <c r="B584" s="140"/>
      <c r="C584" s="140"/>
      <c r="D584" s="140"/>
      <c r="E584" s="140"/>
      <c r="F584" s="140"/>
      <c r="G584" s="140"/>
      <c r="H584" s="140"/>
      <c r="I584" s="140"/>
      <c r="J584" s="140"/>
      <c r="K584" s="140"/>
      <c r="L584" s="140"/>
      <c r="M584" s="140"/>
      <c r="N584" s="140"/>
      <c r="O584" s="140"/>
      <c r="P584" s="140"/>
      <c r="Q584" s="140"/>
      <c r="R584" s="140"/>
      <c r="S584" s="140"/>
      <c r="T584" s="140"/>
    </row>
    <row r="585" spans="1:20" ht="13">
      <c r="A585" s="140"/>
      <c r="B585" s="140"/>
      <c r="C585" s="140"/>
      <c r="D585" s="140"/>
      <c r="E585" s="140"/>
      <c r="F585" s="140"/>
      <c r="G585" s="140"/>
      <c r="H585" s="140"/>
      <c r="I585" s="140"/>
      <c r="J585" s="140"/>
      <c r="K585" s="140"/>
      <c r="L585" s="140"/>
      <c r="M585" s="140"/>
      <c r="N585" s="140"/>
      <c r="O585" s="140"/>
      <c r="P585" s="140"/>
      <c r="Q585" s="140"/>
      <c r="R585" s="140"/>
      <c r="S585" s="140"/>
      <c r="T585" s="140"/>
    </row>
    <row r="586" spans="1:20" ht="13">
      <c r="A586" s="140"/>
      <c r="B586" s="140"/>
      <c r="C586" s="140"/>
      <c r="D586" s="140"/>
      <c r="E586" s="140"/>
      <c r="F586" s="140"/>
      <c r="G586" s="140"/>
      <c r="H586" s="140"/>
      <c r="I586" s="140"/>
      <c r="J586" s="140"/>
      <c r="K586" s="140"/>
      <c r="L586" s="140"/>
      <c r="M586" s="140"/>
      <c r="N586" s="140"/>
      <c r="O586" s="140"/>
      <c r="P586" s="140"/>
      <c r="Q586" s="140"/>
      <c r="R586" s="140"/>
      <c r="S586" s="140"/>
      <c r="T586" s="140"/>
    </row>
    <row r="587" spans="1:20" ht="13">
      <c r="A587" s="140"/>
      <c r="B587" s="140"/>
      <c r="C587" s="140"/>
      <c r="D587" s="140"/>
      <c r="E587" s="140"/>
      <c r="F587" s="140"/>
      <c r="G587" s="140"/>
      <c r="H587" s="140"/>
      <c r="I587" s="140"/>
      <c r="J587" s="140"/>
      <c r="K587" s="140"/>
      <c r="L587" s="140"/>
      <c r="M587" s="140"/>
      <c r="N587" s="140"/>
      <c r="O587" s="140"/>
      <c r="P587" s="140"/>
      <c r="Q587" s="140"/>
      <c r="R587" s="140"/>
      <c r="S587" s="140"/>
      <c r="T587" s="140"/>
    </row>
    <row r="588" spans="1:20" ht="13">
      <c r="A588" s="140"/>
      <c r="B588" s="140"/>
      <c r="C588" s="140"/>
      <c r="D588" s="140"/>
      <c r="E588" s="140"/>
      <c r="F588" s="140"/>
      <c r="G588" s="140"/>
      <c r="H588" s="140"/>
      <c r="I588" s="140"/>
      <c r="J588" s="140"/>
      <c r="K588" s="140"/>
      <c r="L588" s="140"/>
      <c r="M588" s="140"/>
      <c r="N588" s="140"/>
      <c r="O588" s="140"/>
      <c r="P588" s="140"/>
      <c r="Q588" s="140"/>
      <c r="R588" s="140"/>
      <c r="S588" s="140"/>
      <c r="T588" s="140"/>
    </row>
    <row r="589" spans="1:20" ht="13">
      <c r="A589" s="140"/>
      <c r="B589" s="140"/>
      <c r="C589" s="140"/>
      <c r="D589" s="140"/>
      <c r="E589" s="140"/>
      <c r="F589" s="140"/>
      <c r="G589" s="140"/>
      <c r="H589" s="140"/>
      <c r="I589" s="140"/>
      <c r="J589" s="140"/>
      <c r="K589" s="140"/>
      <c r="L589" s="140"/>
      <c r="M589" s="140"/>
      <c r="N589" s="140"/>
      <c r="O589" s="140"/>
      <c r="P589" s="140"/>
      <c r="Q589" s="140"/>
      <c r="R589" s="140"/>
      <c r="S589" s="140"/>
      <c r="T589" s="140"/>
    </row>
    <row r="590" spans="1:20" ht="13">
      <c r="A590" s="140"/>
      <c r="B590" s="140"/>
      <c r="C590" s="140"/>
      <c r="D590" s="140"/>
      <c r="E590" s="140"/>
      <c r="F590" s="140"/>
      <c r="G590" s="140"/>
      <c r="H590" s="140"/>
      <c r="I590" s="140"/>
      <c r="J590" s="140"/>
      <c r="K590" s="140"/>
      <c r="L590" s="140"/>
      <c r="M590" s="140"/>
      <c r="N590" s="140"/>
      <c r="O590" s="140"/>
      <c r="P590" s="140"/>
      <c r="Q590" s="140"/>
      <c r="R590" s="140"/>
      <c r="S590" s="140"/>
      <c r="T590" s="140"/>
    </row>
    <row r="591" spans="1:20" ht="13">
      <c r="A591" s="140"/>
      <c r="B591" s="140"/>
      <c r="C591" s="140"/>
      <c r="D591" s="140"/>
      <c r="E591" s="140"/>
      <c r="F591" s="140"/>
      <c r="G591" s="140"/>
      <c r="H591" s="140"/>
      <c r="I591" s="140"/>
      <c r="J591" s="140"/>
      <c r="K591" s="140"/>
      <c r="L591" s="140"/>
      <c r="M591" s="140"/>
      <c r="N591" s="140"/>
      <c r="O591" s="140"/>
      <c r="P591" s="140"/>
      <c r="Q591" s="140"/>
      <c r="R591" s="140"/>
      <c r="S591" s="140"/>
      <c r="T591" s="140"/>
    </row>
    <row r="592" spans="1:20" ht="13">
      <c r="A592" s="140"/>
      <c r="B592" s="140"/>
      <c r="C592" s="140"/>
      <c r="D592" s="140"/>
      <c r="E592" s="140"/>
      <c r="F592" s="140"/>
      <c r="G592" s="140"/>
      <c r="H592" s="140"/>
      <c r="I592" s="140"/>
      <c r="J592" s="140"/>
      <c r="K592" s="140"/>
      <c r="L592" s="140"/>
      <c r="M592" s="140"/>
      <c r="N592" s="140"/>
      <c r="O592" s="140"/>
      <c r="P592" s="140"/>
      <c r="Q592" s="140"/>
      <c r="R592" s="140"/>
      <c r="S592" s="140"/>
      <c r="T592" s="140"/>
    </row>
    <row r="593" spans="1:20" ht="13">
      <c r="A593" s="140"/>
      <c r="B593" s="140"/>
      <c r="C593" s="140"/>
      <c r="D593" s="140"/>
      <c r="E593" s="140"/>
      <c r="F593" s="140"/>
      <c r="G593" s="140"/>
      <c r="H593" s="140"/>
      <c r="I593" s="140"/>
      <c r="J593" s="140"/>
      <c r="K593" s="140"/>
      <c r="L593" s="140"/>
      <c r="M593" s="140"/>
      <c r="N593" s="140"/>
      <c r="O593" s="140"/>
      <c r="P593" s="140"/>
      <c r="Q593" s="140"/>
      <c r="R593" s="140"/>
      <c r="S593" s="140"/>
      <c r="T593" s="140"/>
    </row>
    <row r="594" spans="1:20" ht="13">
      <c r="A594" s="140"/>
      <c r="B594" s="140"/>
      <c r="C594" s="140"/>
      <c r="D594" s="140"/>
      <c r="E594" s="140"/>
      <c r="F594" s="140"/>
      <c r="G594" s="140"/>
      <c r="H594" s="140"/>
      <c r="I594" s="140"/>
      <c r="J594" s="140"/>
      <c r="K594" s="140"/>
      <c r="L594" s="140"/>
      <c r="M594" s="140"/>
      <c r="N594" s="140"/>
      <c r="O594" s="140"/>
      <c r="P594" s="140"/>
      <c r="Q594" s="140"/>
      <c r="R594" s="140"/>
      <c r="S594" s="140"/>
      <c r="T594" s="140"/>
    </row>
    <row r="595" spans="1:20" ht="13">
      <c r="A595" s="140"/>
      <c r="B595" s="140"/>
      <c r="C595" s="140"/>
      <c r="D595" s="140"/>
      <c r="E595" s="140"/>
      <c r="F595" s="140"/>
      <c r="G595" s="140"/>
      <c r="H595" s="140"/>
      <c r="I595" s="140"/>
      <c r="J595" s="140"/>
      <c r="K595" s="140"/>
      <c r="L595" s="140"/>
      <c r="M595" s="140"/>
      <c r="N595" s="140"/>
      <c r="O595" s="140"/>
      <c r="P595" s="140"/>
      <c r="Q595" s="140"/>
      <c r="R595" s="140"/>
      <c r="S595" s="140"/>
      <c r="T595" s="140"/>
    </row>
    <row r="596" spans="1:20" ht="13">
      <c r="A596" s="140"/>
      <c r="B596" s="140"/>
      <c r="C596" s="140"/>
      <c r="D596" s="140"/>
      <c r="E596" s="140"/>
      <c r="F596" s="140"/>
      <c r="G596" s="140"/>
      <c r="H596" s="140"/>
      <c r="I596" s="140"/>
      <c r="J596" s="140"/>
      <c r="K596" s="140"/>
      <c r="L596" s="140"/>
      <c r="M596" s="140"/>
      <c r="N596" s="140"/>
      <c r="O596" s="140"/>
      <c r="P596" s="140"/>
      <c r="Q596" s="140"/>
      <c r="R596" s="140"/>
      <c r="S596" s="140"/>
      <c r="T596" s="140"/>
    </row>
    <row r="597" spans="1:20" ht="13">
      <c r="A597" s="140"/>
      <c r="B597" s="140"/>
      <c r="C597" s="140"/>
      <c r="D597" s="140"/>
      <c r="E597" s="140"/>
      <c r="F597" s="140"/>
      <c r="G597" s="140"/>
      <c r="H597" s="140"/>
      <c r="I597" s="140"/>
      <c r="J597" s="140"/>
      <c r="K597" s="140"/>
      <c r="L597" s="140"/>
      <c r="M597" s="140"/>
      <c r="N597" s="140"/>
      <c r="O597" s="140"/>
      <c r="P597" s="140"/>
      <c r="Q597" s="140"/>
      <c r="R597" s="140"/>
      <c r="S597" s="140"/>
      <c r="T597" s="140"/>
    </row>
    <row r="598" spans="1:20" ht="13">
      <c r="A598" s="140"/>
      <c r="B598" s="140"/>
      <c r="C598" s="140"/>
      <c r="D598" s="140"/>
      <c r="E598" s="140"/>
      <c r="F598" s="140"/>
      <c r="G598" s="140"/>
      <c r="H598" s="140"/>
      <c r="I598" s="140"/>
      <c r="J598" s="140"/>
      <c r="K598" s="140"/>
      <c r="L598" s="140"/>
      <c r="M598" s="140"/>
      <c r="N598" s="140"/>
      <c r="O598" s="140"/>
      <c r="P598" s="140"/>
      <c r="Q598" s="140"/>
      <c r="R598" s="140"/>
      <c r="S598" s="140"/>
      <c r="T598" s="140"/>
    </row>
    <row r="599" spans="1:20" ht="13">
      <c r="A599" s="140"/>
      <c r="B599" s="140"/>
      <c r="C599" s="140"/>
      <c r="D599" s="140"/>
      <c r="E599" s="140"/>
      <c r="F599" s="140"/>
      <c r="G599" s="140"/>
      <c r="H599" s="140"/>
      <c r="I599" s="140"/>
      <c r="J599" s="140"/>
      <c r="K599" s="140"/>
      <c r="L599" s="140"/>
      <c r="M599" s="140"/>
      <c r="N599" s="140"/>
      <c r="O599" s="140"/>
      <c r="P599" s="140"/>
      <c r="Q599" s="140"/>
      <c r="R599" s="140"/>
      <c r="S599" s="140"/>
      <c r="T599" s="140"/>
    </row>
    <row r="600" spans="1:20" ht="13">
      <c r="A600" s="140"/>
      <c r="B600" s="140"/>
      <c r="C600" s="140"/>
      <c r="D600" s="140"/>
      <c r="E600" s="140"/>
      <c r="F600" s="140"/>
      <c r="G600" s="140"/>
      <c r="H600" s="140"/>
      <c r="I600" s="140"/>
      <c r="J600" s="140"/>
      <c r="K600" s="140"/>
      <c r="L600" s="140"/>
      <c r="M600" s="140"/>
      <c r="N600" s="140"/>
      <c r="O600" s="140"/>
      <c r="P600" s="140"/>
      <c r="Q600" s="140"/>
      <c r="R600" s="140"/>
      <c r="S600" s="140"/>
      <c r="T600" s="140"/>
    </row>
    <row r="601" spans="1:20" ht="13">
      <c r="A601" s="140"/>
      <c r="B601" s="140"/>
      <c r="C601" s="140"/>
      <c r="D601" s="140"/>
      <c r="E601" s="140"/>
      <c r="F601" s="140"/>
      <c r="G601" s="140"/>
      <c r="H601" s="140"/>
      <c r="I601" s="140"/>
      <c r="J601" s="140"/>
      <c r="K601" s="140"/>
      <c r="L601" s="140"/>
      <c r="M601" s="140"/>
      <c r="N601" s="140"/>
      <c r="O601" s="140"/>
      <c r="P601" s="140"/>
      <c r="Q601" s="140"/>
      <c r="R601" s="140"/>
      <c r="S601" s="140"/>
      <c r="T601" s="140"/>
    </row>
    <row r="602" spans="1:20" ht="13">
      <c r="A602" s="140"/>
      <c r="B602" s="140"/>
      <c r="C602" s="140"/>
      <c r="D602" s="140"/>
      <c r="E602" s="140"/>
      <c r="F602" s="140"/>
      <c r="G602" s="140"/>
      <c r="H602" s="140"/>
      <c r="I602" s="140"/>
      <c r="J602" s="140"/>
      <c r="K602" s="140"/>
      <c r="L602" s="140"/>
      <c r="M602" s="140"/>
      <c r="N602" s="140"/>
      <c r="O602" s="140"/>
      <c r="P602" s="140"/>
      <c r="Q602" s="140"/>
      <c r="R602" s="140"/>
      <c r="S602" s="140"/>
      <c r="T602" s="140"/>
    </row>
    <row r="603" spans="1:20" ht="13">
      <c r="A603" s="140"/>
      <c r="B603" s="140"/>
      <c r="C603" s="140"/>
      <c r="D603" s="140"/>
      <c r="E603" s="140"/>
      <c r="F603" s="140"/>
      <c r="G603" s="140"/>
      <c r="H603" s="140"/>
      <c r="I603" s="140"/>
      <c r="J603" s="140"/>
      <c r="K603" s="140"/>
      <c r="L603" s="140"/>
      <c r="M603" s="140"/>
      <c r="N603" s="140"/>
      <c r="O603" s="140"/>
      <c r="P603" s="140"/>
      <c r="Q603" s="140"/>
      <c r="R603" s="140"/>
      <c r="S603" s="140"/>
      <c r="T603" s="140"/>
    </row>
    <row r="604" spans="1:20" ht="13">
      <c r="A604" s="140"/>
      <c r="B604" s="140"/>
      <c r="C604" s="140"/>
      <c r="D604" s="140"/>
      <c r="E604" s="140"/>
      <c r="F604" s="140"/>
      <c r="G604" s="140"/>
      <c r="H604" s="140"/>
      <c r="I604" s="140"/>
      <c r="J604" s="140"/>
      <c r="K604" s="140"/>
      <c r="L604" s="140"/>
      <c r="M604" s="140"/>
      <c r="N604" s="140"/>
      <c r="O604" s="140"/>
      <c r="P604" s="140"/>
      <c r="Q604" s="140"/>
      <c r="R604" s="140"/>
      <c r="S604" s="140"/>
      <c r="T604" s="140"/>
    </row>
    <row r="605" spans="1:20" ht="13">
      <c r="A605" s="140"/>
      <c r="B605" s="140"/>
      <c r="C605" s="140"/>
      <c r="D605" s="140"/>
      <c r="E605" s="140"/>
      <c r="F605" s="140"/>
      <c r="G605" s="140"/>
      <c r="H605" s="140"/>
      <c r="I605" s="140"/>
      <c r="J605" s="140"/>
      <c r="K605" s="140"/>
      <c r="L605" s="140"/>
      <c r="M605" s="140"/>
      <c r="N605" s="140"/>
      <c r="O605" s="140"/>
      <c r="P605" s="140"/>
      <c r="Q605" s="140"/>
      <c r="R605" s="140"/>
      <c r="S605" s="140"/>
      <c r="T605" s="140"/>
    </row>
    <row r="606" spans="1:20" ht="13">
      <c r="A606" s="140"/>
      <c r="B606" s="140"/>
      <c r="C606" s="140"/>
      <c r="D606" s="140"/>
      <c r="E606" s="140"/>
      <c r="F606" s="140"/>
      <c r="G606" s="140"/>
      <c r="H606" s="140"/>
      <c r="I606" s="140"/>
      <c r="J606" s="140"/>
      <c r="K606" s="140"/>
      <c r="L606" s="140"/>
      <c r="M606" s="140"/>
      <c r="N606" s="140"/>
      <c r="O606" s="140"/>
      <c r="P606" s="140"/>
      <c r="Q606" s="140"/>
      <c r="R606" s="140"/>
      <c r="S606" s="140"/>
      <c r="T606" s="140"/>
    </row>
    <row r="607" spans="1:20" ht="13">
      <c r="A607" s="140"/>
      <c r="B607" s="140"/>
      <c r="C607" s="140"/>
      <c r="D607" s="140"/>
      <c r="E607" s="140"/>
      <c r="F607" s="140"/>
      <c r="G607" s="140"/>
      <c r="H607" s="140"/>
      <c r="I607" s="140"/>
      <c r="J607" s="140"/>
      <c r="K607" s="140"/>
      <c r="L607" s="140"/>
      <c r="M607" s="140"/>
      <c r="N607" s="140"/>
      <c r="O607" s="140"/>
      <c r="P607" s="140"/>
      <c r="Q607" s="140"/>
      <c r="R607" s="140"/>
      <c r="S607" s="140"/>
      <c r="T607" s="140"/>
    </row>
    <row r="608" spans="1:20" ht="13">
      <c r="A608" s="140"/>
      <c r="B608" s="140"/>
      <c r="C608" s="140"/>
      <c r="D608" s="140"/>
      <c r="E608" s="140"/>
      <c r="F608" s="140"/>
      <c r="G608" s="140"/>
      <c r="H608" s="140"/>
      <c r="I608" s="140"/>
      <c r="J608" s="140"/>
      <c r="K608" s="140"/>
      <c r="L608" s="140"/>
      <c r="M608" s="140"/>
      <c r="N608" s="140"/>
      <c r="O608" s="140"/>
      <c r="P608" s="140"/>
      <c r="Q608" s="140"/>
      <c r="R608" s="140"/>
      <c r="S608" s="140"/>
      <c r="T608" s="140"/>
    </row>
    <row r="609" spans="1:20" ht="13">
      <c r="A609" s="140"/>
      <c r="B609" s="140"/>
      <c r="C609" s="140"/>
      <c r="D609" s="140"/>
      <c r="E609" s="140"/>
      <c r="F609" s="140"/>
      <c r="G609" s="140"/>
      <c r="H609" s="140"/>
      <c r="I609" s="140"/>
      <c r="J609" s="140"/>
      <c r="K609" s="140"/>
      <c r="L609" s="140"/>
      <c r="M609" s="140"/>
      <c r="N609" s="140"/>
      <c r="O609" s="140"/>
      <c r="P609" s="140"/>
      <c r="Q609" s="140"/>
      <c r="R609" s="140"/>
      <c r="S609" s="140"/>
      <c r="T609" s="140"/>
    </row>
    <row r="610" spans="1:20" ht="13">
      <c r="A610" s="140"/>
      <c r="B610" s="140"/>
      <c r="C610" s="140"/>
      <c r="D610" s="140"/>
      <c r="E610" s="140"/>
      <c r="F610" s="140"/>
      <c r="G610" s="140"/>
      <c r="H610" s="140"/>
      <c r="I610" s="140"/>
      <c r="J610" s="140"/>
      <c r="K610" s="140"/>
      <c r="L610" s="140"/>
      <c r="M610" s="140"/>
      <c r="N610" s="140"/>
      <c r="O610" s="140"/>
      <c r="P610" s="140"/>
      <c r="Q610" s="140"/>
      <c r="R610" s="140"/>
      <c r="S610" s="140"/>
      <c r="T610" s="140"/>
    </row>
    <row r="611" spans="1:20" ht="13">
      <c r="A611" s="140"/>
      <c r="B611" s="140"/>
      <c r="C611" s="140"/>
      <c r="D611" s="140"/>
      <c r="E611" s="140"/>
      <c r="F611" s="140"/>
      <c r="G611" s="140"/>
      <c r="H611" s="140"/>
      <c r="I611" s="140"/>
      <c r="J611" s="140"/>
      <c r="K611" s="140"/>
      <c r="L611" s="140"/>
      <c r="M611" s="140"/>
      <c r="N611" s="140"/>
      <c r="O611" s="140"/>
      <c r="P611" s="140"/>
      <c r="Q611" s="140"/>
      <c r="R611" s="140"/>
      <c r="S611" s="140"/>
      <c r="T611" s="140"/>
    </row>
    <row r="612" spans="1:20" ht="13">
      <c r="A612" s="140"/>
      <c r="B612" s="140"/>
      <c r="C612" s="140"/>
      <c r="D612" s="140"/>
      <c r="E612" s="140"/>
      <c r="F612" s="140"/>
      <c r="G612" s="140"/>
      <c r="H612" s="140"/>
      <c r="I612" s="140"/>
      <c r="J612" s="140"/>
      <c r="K612" s="140"/>
      <c r="L612" s="140"/>
      <c r="M612" s="140"/>
      <c r="N612" s="140"/>
      <c r="O612" s="140"/>
      <c r="P612" s="140"/>
      <c r="Q612" s="140"/>
      <c r="R612" s="140"/>
      <c r="S612" s="140"/>
      <c r="T612" s="140"/>
    </row>
    <row r="613" spans="1:20" ht="13">
      <c r="A613" s="140"/>
      <c r="B613" s="140"/>
      <c r="C613" s="140"/>
      <c r="D613" s="140"/>
      <c r="E613" s="140"/>
      <c r="F613" s="140"/>
      <c r="G613" s="140"/>
      <c r="H613" s="140"/>
      <c r="I613" s="140"/>
      <c r="J613" s="140"/>
      <c r="K613" s="140"/>
      <c r="L613" s="140"/>
      <c r="M613" s="140"/>
      <c r="N613" s="140"/>
      <c r="O613" s="140"/>
      <c r="P613" s="140"/>
      <c r="Q613" s="140"/>
      <c r="R613" s="140"/>
      <c r="S613" s="140"/>
      <c r="T613" s="140"/>
    </row>
    <row r="614" spans="1:20" ht="13">
      <c r="A614" s="140"/>
      <c r="B614" s="140"/>
      <c r="C614" s="140"/>
      <c r="D614" s="140"/>
      <c r="E614" s="140"/>
      <c r="F614" s="140"/>
      <c r="G614" s="140"/>
      <c r="H614" s="140"/>
      <c r="I614" s="140"/>
      <c r="J614" s="140"/>
      <c r="K614" s="140"/>
      <c r="L614" s="140"/>
      <c r="M614" s="140"/>
      <c r="N614" s="140"/>
      <c r="O614" s="140"/>
      <c r="P614" s="140"/>
      <c r="Q614" s="140"/>
      <c r="R614" s="140"/>
      <c r="S614" s="140"/>
      <c r="T614" s="140"/>
    </row>
    <row r="615" spans="1:20" ht="13">
      <c r="A615" s="140"/>
      <c r="B615" s="140"/>
      <c r="C615" s="140"/>
      <c r="D615" s="140"/>
      <c r="E615" s="140"/>
      <c r="F615" s="140"/>
      <c r="G615" s="140"/>
      <c r="H615" s="140"/>
      <c r="I615" s="140"/>
      <c r="J615" s="140"/>
      <c r="K615" s="140"/>
      <c r="L615" s="140"/>
      <c r="M615" s="140"/>
      <c r="N615" s="140"/>
      <c r="O615" s="140"/>
      <c r="P615" s="140"/>
      <c r="Q615" s="140"/>
      <c r="R615" s="140"/>
      <c r="S615" s="140"/>
      <c r="T615" s="140"/>
    </row>
    <row r="616" spans="1:20" ht="13">
      <c r="A616" s="140"/>
      <c r="B616" s="140"/>
      <c r="C616" s="140"/>
      <c r="D616" s="140"/>
      <c r="E616" s="140"/>
      <c r="F616" s="140"/>
      <c r="G616" s="140"/>
      <c r="H616" s="140"/>
      <c r="I616" s="140"/>
      <c r="J616" s="140"/>
      <c r="K616" s="140"/>
      <c r="L616" s="140"/>
      <c r="M616" s="140"/>
      <c r="N616" s="140"/>
      <c r="O616" s="140"/>
      <c r="P616" s="140"/>
      <c r="Q616" s="140"/>
      <c r="R616" s="140"/>
      <c r="S616" s="140"/>
      <c r="T616" s="140"/>
    </row>
    <row r="617" spans="1:20" ht="13">
      <c r="A617" s="140"/>
      <c r="B617" s="140"/>
      <c r="C617" s="140"/>
      <c r="D617" s="140"/>
      <c r="E617" s="140"/>
      <c r="F617" s="140"/>
      <c r="G617" s="140"/>
      <c r="H617" s="140"/>
      <c r="I617" s="140"/>
      <c r="J617" s="140"/>
      <c r="K617" s="140"/>
      <c r="L617" s="140"/>
      <c r="M617" s="140"/>
      <c r="N617" s="140"/>
      <c r="O617" s="140"/>
      <c r="P617" s="140"/>
      <c r="Q617" s="140"/>
      <c r="R617" s="140"/>
      <c r="S617" s="140"/>
      <c r="T617" s="140"/>
    </row>
    <row r="618" spans="1:20" ht="13">
      <c r="A618" s="140"/>
      <c r="B618" s="140"/>
      <c r="C618" s="140"/>
      <c r="D618" s="140"/>
      <c r="E618" s="140"/>
      <c r="F618" s="140"/>
      <c r="G618" s="140"/>
      <c r="H618" s="140"/>
      <c r="I618" s="140"/>
      <c r="J618" s="140"/>
      <c r="K618" s="140"/>
      <c r="L618" s="140"/>
      <c r="M618" s="140"/>
      <c r="N618" s="140"/>
      <c r="O618" s="140"/>
      <c r="P618" s="140"/>
      <c r="Q618" s="140"/>
      <c r="R618" s="140"/>
      <c r="S618" s="140"/>
      <c r="T618" s="140"/>
    </row>
    <row r="619" spans="1:20" ht="13">
      <c r="A619" s="140"/>
      <c r="B619" s="140"/>
      <c r="C619" s="140"/>
      <c r="D619" s="140"/>
      <c r="E619" s="140"/>
      <c r="F619" s="140"/>
      <c r="G619" s="140"/>
      <c r="H619" s="140"/>
      <c r="I619" s="140"/>
      <c r="J619" s="140"/>
      <c r="K619" s="140"/>
      <c r="L619" s="140"/>
      <c r="M619" s="140"/>
      <c r="N619" s="140"/>
      <c r="O619" s="140"/>
      <c r="P619" s="140"/>
      <c r="Q619" s="140"/>
      <c r="R619" s="140"/>
      <c r="S619" s="140"/>
      <c r="T619" s="140"/>
    </row>
    <row r="620" spans="1:20" ht="13">
      <c r="A620" s="140"/>
      <c r="B620" s="140"/>
      <c r="C620" s="140"/>
      <c r="D620" s="140"/>
      <c r="E620" s="140"/>
      <c r="F620" s="140"/>
      <c r="G620" s="140"/>
      <c r="H620" s="140"/>
      <c r="I620" s="140"/>
      <c r="J620" s="140"/>
      <c r="K620" s="140"/>
      <c r="L620" s="140"/>
      <c r="M620" s="140"/>
      <c r="N620" s="140"/>
      <c r="O620" s="140"/>
      <c r="P620" s="140"/>
      <c r="Q620" s="140"/>
      <c r="R620" s="140"/>
      <c r="S620" s="140"/>
      <c r="T620" s="140"/>
    </row>
    <row r="621" spans="1:20" ht="13">
      <c r="A621" s="140"/>
      <c r="B621" s="140"/>
      <c r="C621" s="140"/>
      <c r="D621" s="140"/>
      <c r="E621" s="140"/>
      <c r="F621" s="140"/>
      <c r="G621" s="140"/>
      <c r="H621" s="140"/>
      <c r="I621" s="140"/>
      <c r="J621" s="140"/>
      <c r="K621" s="140"/>
      <c r="L621" s="140"/>
      <c r="M621" s="140"/>
      <c r="N621" s="140"/>
      <c r="O621" s="140"/>
      <c r="P621" s="140"/>
      <c r="Q621" s="140"/>
      <c r="R621" s="140"/>
      <c r="S621" s="140"/>
      <c r="T621" s="140"/>
    </row>
    <row r="622" spans="1:20" ht="13">
      <c r="A622" s="140"/>
      <c r="B622" s="140"/>
      <c r="C622" s="140"/>
      <c r="D622" s="140"/>
      <c r="E622" s="140"/>
      <c r="F622" s="140"/>
      <c r="G622" s="140"/>
      <c r="H622" s="140"/>
      <c r="I622" s="140"/>
      <c r="J622" s="140"/>
      <c r="K622" s="140"/>
      <c r="L622" s="140"/>
      <c r="M622" s="140"/>
      <c r="N622" s="140"/>
      <c r="O622" s="140"/>
      <c r="P622" s="140"/>
      <c r="Q622" s="140"/>
      <c r="R622" s="140"/>
      <c r="S622" s="140"/>
      <c r="T622" s="140"/>
    </row>
    <row r="623" spans="1:20" ht="13">
      <c r="A623" s="140"/>
      <c r="B623" s="140"/>
      <c r="C623" s="140"/>
      <c r="D623" s="140"/>
      <c r="E623" s="140"/>
      <c r="F623" s="140"/>
      <c r="G623" s="140"/>
      <c r="H623" s="140"/>
      <c r="I623" s="140"/>
      <c r="J623" s="140"/>
      <c r="K623" s="140"/>
      <c r="L623" s="140"/>
      <c r="M623" s="140"/>
      <c r="N623" s="140"/>
      <c r="O623" s="140"/>
      <c r="P623" s="140"/>
      <c r="Q623" s="140"/>
      <c r="R623" s="140"/>
      <c r="S623" s="140"/>
      <c r="T623" s="140"/>
    </row>
    <row r="624" spans="1:20" ht="13">
      <c r="A624" s="140"/>
      <c r="B624" s="140"/>
      <c r="C624" s="140"/>
      <c r="D624" s="140"/>
      <c r="E624" s="140"/>
      <c r="F624" s="140"/>
      <c r="G624" s="140"/>
      <c r="H624" s="140"/>
      <c r="I624" s="140"/>
      <c r="J624" s="140"/>
      <c r="K624" s="140"/>
      <c r="L624" s="140"/>
      <c r="M624" s="140"/>
      <c r="N624" s="140"/>
      <c r="O624" s="140"/>
      <c r="P624" s="140"/>
      <c r="Q624" s="140"/>
      <c r="R624" s="140"/>
      <c r="S624" s="140"/>
      <c r="T624" s="140"/>
    </row>
    <row r="625" spans="1:20" ht="13">
      <c r="A625" s="140"/>
      <c r="B625" s="140"/>
      <c r="C625" s="140"/>
      <c r="D625" s="140"/>
      <c r="E625" s="140"/>
      <c r="F625" s="140"/>
      <c r="G625" s="140"/>
      <c r="H625" s="140"/>
      <c r="I625" s="140"/>
      <c r="J625" s="140"/>
      <c r="K625" s="140"/>
      <c r="L625" s="140"/>
      <c r="M625" s="140"/>
      <c r="N625" s="140"/>
      <c r="O625" s="140"/>
      <c r="P625" s="140"/>
      <c r="Q625" s="140"/>
      <c r="R625" s="140"/>
      <c r="S625" s="140"/>
      <c r="T625" s="140"/>
    </row>
    <row r="626" spans="1:20" ht="13">
      <c r="A626" s="140"/>
      <c r="B626" s="140"/>
      <c r="C626" s="140"/>
      <c r="D626" s="140"/>
      <c r="E626" s="140"/>
      <c r="F626" s="140"/>
      <c r="G626" s="140"/>
      <c r="H626" s="140"/>
      <c r="I626" s="140"/>
      <c r="J626" s="140"/>
      <c r="K626" s="140"/>
      <c r="L626" s="140"/>
      <c r="M626" s="140"/>
      <c r="N626" s="140"/>
      <c r="O626" s="140"/>
      <c r="P626" s="140"/>
      <c r="Q626" s="140"/>
      <c r="R626" s="140"/>
      <c r="S626" s="140"/>
      <c r="T626" s="140"/>
    </row>
    <row r="627" spans="1:20" ht="13">
      <c r="A627" s="140"/>
      <c r="B627" s="140"/>
      <c r="C627" s="140"/>
      <c r="D627" s="140"/>
      <c r="E627" s="140"/>
      <c r="F627" s="140"/>
      <c r="G627" s="140"/>
      <c r="H627" s="140"/>
      <c r="I627" s="140"/>
      <c r="J627" s="140"/>
      <c r="K627" s="140"/>
      <c r="L627" s="140"/>
      <c r="M627" s="140"/>
      <c r="N627" s="140"/>
      <c r="O627" s="140"/>
      <c r="P627" s="140"/>
      <c r="Q627" s="140"/>
      <c r="R627" s="140"/>
      <c r="S627" s="140"/>
      <c r="T627" s="140"/>
    </row>
    <row r="628" spans="1:20" ht="13">
      <c r="A628" s="140"/>
      <c r="B628" s="140"/>
      <c r="C628" s="140"/>
      <c r="D628" s="140"/>
      <c r="E628" s="140"/>
      <c r="F628" s="140"/>
      <c r="G628" s="140"/>
      <c r="H628" s="140"/>
      <c r="I628" s="140"/>
      <c r="J628" s="140"/>
      <c r="K628" s="140"/>
      <c r="L628" s="140"/>
      <c r="M628" s="140"/>
      <c r="N628" s="140"/>
      <c r="O628" s="140"/>
      <c r="P628" s="140"/>
      <c r="Q628" s="140"/>
      <c r="R628" s="140"/>
      <c r="S628" s="140"/>
      <c r="T628" s="140"/>
    </row>
    <row r="629" spans="1:20" ht="13">
      <c r="A629" s="140"/>
      <c r="B629" s="140"/>
      <c r="C629" s="140"/>
      <c r="D629" s="140"/>
      <c r="E629" s="140"/>
      <c r="F629" s="140"/>
      <c r="G629" s="140"/>
      <c r="H629" s="140"/>
      <c r="I629" s="140"/>
      <c r="J629" s="140"/>
      <c r="K629" s="140"/>
      <c r="L629" s="140"/>
      <c r="M629" s="140"/>
      <c r="N629" s="140"/>
      <c r="O629" s="140"/>
      <c r="P629" s="140"/>
      <c r="Q629" s="140"/>
      <c r="R629" s="140"/>
      <c r="S629" s="140"/>
      <c r="T629" s="140"/>
    </row>
    <row r="630" spans="1:20" ht="13">
      <c r="A630" s="140"/>
      <c r="B630" s="140"/>
      <c r="C630" s="140"/>
      <c r="D630" s="140"/>
      <c r="E630" s="140"/>
      <c r="F630" s="140"/>
      <c r="G630" s="140"/>
      <c r="H630" s="140"/>
      <c r="I630" s="140"/>
      <c r="J630" s="140"/>
      <c r="K630" s="140"/>
      <c r="L630" s="140"/>
      <c r="M630" s="140"/>
      <c r="N630" s="140"/>
      <c r="O630" s="140"/>
      <c r="P630" s="140"/>
      <c r="Q630" s="140"/>
      <c r="R630" s="140"/>
      <c r="S630" s="140"/>
      <c r="T630" s="140"/>
    </row>
    <row r="631" spans="1:20" ht="13">
      <c r="A631" s="140"/>
      <c r="B631" s="140"/>
      <c r="C631" s="140"/>
      <c r="D631" s="140"/>
      <c r="E631" s="140"/>
      <c r="F631" s="140"/>
      <c r="G631" s="140"/>
      <c r="H631" s="140"/>
      <c r="I631" s="140"/>
      <c r="J631" s="140"/>
      <c r="K631" s="140"/>
      <c r="L631" s="140"/>
      <c r="M631" s="140"/>
      <c r="N631" s="140"/>
      <c r="O631" s="140"/>
      <c r="P631" s="140"/>
      <c r="Q631" s="140"/>
      <c r="R631" s="140"/>
      <c r="S631" s="140"/>
      <c r="T631" s="140"/>
    </row>
    <row r="632" spans="1:20" ht="13">
      <c r="A632" s="140"/>
      <c r="B632" s="140"/>
      <c r="C632" s="140"/>
      <c r="D632" s="140"/>
      <c r="E632" s="140"/>
      <c r="F632" s="140"/>
      <c r="G632" s="140"/>
      <c r="H632" s="140"/>
      <c r="I632" s="140"/>
      <c r="J632" s="140"/>
      <c r="K632" s="140"/>
      <c r="L632" s="140"/>
      <c r="M632" s="140"/>
      <c r="N632" s="140"/>
      <c r="O632" s="140"/>
      <c r="P632" s="140"/>
      <c r="Q632" s="140"/>
      <c r="R632" s="140"/>
      <c r="S632" s="140"/>
      <c r="T632" s="140"/>
    </row>
    <row r="633" spans="1:20" ht="13">
      <c r="A633" s="140"/>
      <c r="B633" s="140"/>
      <c r="C633" s="140"/>
      <c r="D633" s="140"/>
      <c r="E633" s="140"/>
      <c r="F633" s="140"/>
      <c r="G633" s="140"/>
      <c r="H633" s="140"/>
      <c r="I633" s="140"/>
      <c r="J633" s="140"/>
      <c r="K633" s="140"/>
      <c r="L633" s="140"/>
      <c r="M633" s="140"/>
      <c r="N633" s="140"/>
      <c r="O633" s="140"/>
      <c r="P633" s="140"/>
      <c r="Q633" s="140"/>
      <c r="R633" s="140"/>
      <c r="S633" s="140"/>
      <c r="T633" s="140"/>
    </row>
    <row r="634" spans="1:20" ht="13">
      <c r="A634" s="140"/>
      <c r="B634" s="140"/>
      <c r="C634" s="140"/>
      <c r="D634" s="140"/>
      <c r="E634" s="140"/>
      <c r="F634" s="140"/>
      <c r="G634" s="140"/>
      <c r="H634" s="140"/>
      <c r="I634" s="140"/>
      <c r="J634" s="140"/>
      <c r="K634" s="140"/>
      <c r="L634" s="140"/>
      <c r="M634" s="140"/>
      <c r="N634" s="140"/>
      <c r="O634" s="140"/>
      <c r="P634" s="140"/>
      <c r="Q634" s="140"/>
      <c r="R634" s="140"/>
      <c r="S634" s="140"/>
      <c r="T634" s="140"/>
    </row>
    <row r="635" spans="1:20" ht="13">
      <c r="A635" s="140"/>
      <c r="B635" s="140"/>
      <c r="C635" s="140"/>
      <c r="D635" s="140"/>
      <c r="E635" s="140"/>
      <c r="F635" s="140"/>
      <c r="G635" s="140"/>
      <c r="H635" s="140"/>
      <c r="I635" s="140"/>
      <c r="J635" s="140"/>
      <c r="K635" s="140"/>
      <c r="L635" s="140"/>
      <c r="M635" s="140"/>
      <c r="N635" s="140"/>
      <c r="O635" s="140"/>
      <c r="P635" s="140"/>
      <c r="Q635" s="140"/>
      <c r="R635" s="140"/>
      <c r="S635" s="140"/>
      <c r="T635" s="140"/>
    </row>
    <row r="636" spans="1:20" ht="13">
      <c r="A636" s="140"/>
      <c r="B636" s="140"/>
      <c r="C636" s="140"/>
      <c r="D636" s="140"/>
      <c r="E636" s="140"/>
      <c r="F636" s="140"/>
      <c r="G636" s="140"/>
      <c r="H636" s="140"/>
      <c r="I636" s="140"/>
      <c r="J636" s="140"/>
      <c r="K636" s="140"/>
      <c r="L636" s="140"/>
      <c r="M636" s="140"/>
      <c r="N636" s="140"/>
      <c r="O636" s="140"/>
      <c r="P636" s="140"/>
      <c r="Q636" s="140"/>
      <c r="R636" s="140"/>
      <c r="S636" s="140"/>
      <c r="T636" s="140"/>
    </row>
    <row r="637" spans="1:20" ht="13">
      <c r="A637" s="140"/>
      <c r="B637" s="140"/>
      <c r="C637" s="140"/>
      <c r="D637" s="140"/>
      <c r="E637" s="140"/>
      <c r="F637" s="140"/>
      <c r="G637" s="140"/>
      <c r="H637" s="140"/>
      <c r="I637" s="140"/>
      <c r="J637" s="140"/>
      <c r="K637" s="140"/>
      <c r="L637" s="140"/>
      <c r="M637" s="140"/>
      <c r="N637" s="140"/>
      <c r="O637" s="140"/>
      <c r="P637" s="140"/>
      <c r="Q637" s="140"/>
      <c r="R637" s="140"/>
      <c r="S637" s="140"/>
      <c r="T637" s="140"/>
    </row>
    <row r="638" spans="1:20" ht="13">
      <c r="A638" s="140"/>
      <c r="B638" s="140"/>
      <c r="C638" s="140"/>
      <c r="D638" s="140"/>
      <c r="E638" s="140"/>
      <c r="F638" s="140"/>
      <c r="G638" s="140"/>
      <c r="H638" s="140"/>
      <c r="I638" s="140"/>
      <c r="J638" s="140"/>
      <c r="K638" s="140"/>
      <c r="L638" s="140"/>
      <c r="M638" s="140"/>
      <c r="N638" s="140"/>
      <c r="O638" s="140"/>
      <c r="P638" s="140"/>
      <c r="Q638" s="140"/>
      <c r="R638" s="140"/>
      <c r="S638" s="140"/>
      <c r="T638" s="140"/>
    </row>
    <row r="639" spans="1:20" ht="13">
      <c r="A639" s="140"/>
      <c r="B639" s="140"/>
      <c r="C639" s="140"/>
      <c r="D639" s="140"/>
      <c r="E639" s="140"/>
      <c r="F639" s="140"/>
      <c r="G639" s="140"/>
      <c r="H639" s="140"/>
      <c r="I639" s="140"/>
      <c r="J639" s="140"/>
      <c r="K639" s="140"/>
      <c r="L639" s="140"/>
      <c r="M639" s="140"/>
      <c r="N639" s="140"/>
      <c r="O639" s="140"/>
      <c r="P639" s="140"/>
      <c r="Q639" s="140"/>
      <c r="R639" s="140"/>
      <c r="S639" s="140"/>
      <c r="T639" s="140"/>
    </row>
    <row r="640" spans="1:20" ht="13">
      <c r="A640" s="140"/>
      <c r="B640" s="140"/>
      <c r="C640" s="140"/>
      <c r="D640" s="140"/>
      <c r="E640" s="140"/>
      <c r="F640" s="140"/>
      <c r="G640" s="140"/>
      <c r="H640" s="140"/>
      <c r="I640" s="140"/>
      <c r="J640" s="140"/>
      <c r="K640" s="140"/>
      <c r="L640" s="140"/>
      <c r="M640" s="140"/>
      <c r="N640" s="140"/>
      <c r="O640" s="140"/>
      <c r="P640" s="140"/>
      <c r="Q640" s="140"/>
      <c r="R640" s="140"/>
      <c r="S640" s="140"/>
      <c r="T640" s="140"/>
    </row>
    <row r="641" spans="1:20" ht="13">
      <c r="A641" s="140"/>
      <c r="B641" s="140"/>
      <c r="C641" s="140"/>
      <c r="D641" s="140"/>
      <c r="E641" s="140"/>
      <c r="F641" s="140"/>
      <c r="G641" s="140"/>
      <c r="H641" s="140"/>
      <c r="I641" s="140"/>
      <c r="J641" s="140"/>
      <c r="K641" s="140"/>
      <c r="L641" s="140"/>
      <c r="M641" s="140"/>
      <c r="N641" s="140"/>
      <c r="O641" s="140"/>
      <c r="P641" s="140"/>
      <c r="Q641" s="140"/>
      <c r="R641" s="140"/>
      <c r="S641" s="140"/>
      <c r="T641" s="140"/>
    </row>
    <row r="642" spans="1:20" ht="13">
      <c r="A642" s="140"/>
      <c r="B642" s="140"/>
      <c r="C642" s="140"/>
      <c r="D642" s="140"/>
      <c r="E642" s="140"/>
      <c r="F642" s="140"/>
      <c r="G642" s="140"/>
      <c r="H642" s="140"/>
      <c r="I642" s="140"/>
      <c r="J642" s="140"/>
      <c r="K642" s="140"/>
      <c r="L642" s="140"/>
      <c r="M642" s="140"/>
      <c r="N642" s="140"/>
      <c r="O642" s="140"/>
      <c r="P642" s="140"/>
      <c r="Q642" s="140"/>
      <c r="R642" s="140"/>
      <c r="S642" s="140"/>
      <c r="T642" s="140"/>
    </row>
    <row r="643" spans="1:20" ht="13">
      <c r="A643" s="140"/>
      <c r="B643" s="140"/>
      <c r="C643" s="140"/>
      <c r="D643" s="140"/>
      <c r="E643" s="140"/>
      <c r="F643" s="140"/>
      <c r="G643" s="140"/>
      <c r="H643" s="140"/>
      <c r="I643" s="140"/>
      <c r="J643" s="140"/>
      <c r="K643" s="140"/>
      <c r="L643" s="140"/>
      <c r="M643" s="140"/>
      <c r="N643" s="140"/>
      <c r="O643" s="140"/>
      <c r="P643" s="140"/>
      <c r="Q643" s="140"/>
      <c r="R643" s="140"/>
      <c r="S643" s="140"/>
      <c r="T643" s="140"/>
    </row>
    <row r="644" spans="1:20" ht="13">
      <c r="A644" s="140"/>
      <c r="B644" s="140"/>
      <c r="C644" s="140"/>
      <c r="D644" s="140"/>
      <c r="E644" s="140"/>
      <c r="F644" s="140"/>
      <c r="G644" s="140"/>
      <c r="H644" s="140"/>
      <c r="I644" s="140"/>
      <c r="J644" s="140"/>
      <c r="K644" s="140"/>
      <c r="L644" s="140"/>
      <c r="M644" s="140"/>
      <c r="N644" s="140"/>
      <c r="O644" s="140"/>
      <c r="P644" s="140"/>
      <c r="Q644" s="140"/>
      <c r="R644" s="140"/>
      <c r="S644" s="140"/>
      <c r="T644" s="140"/>
    </row>
    <row r="645" spans="1:20" ht="13">
      <c r="A645" s="140"/>
      <c r="B645" s="140"/>
      <c r="C645" s="140"/>
      <c r="D645" s="140"/>
      <c r="E645" s="140"/>
      <c r="F645" s="140"/>
      <c r="G645" s="140"/>
      <c r="H645" s="140"/>
      <c r="I645" s="140"/>
      <c r="J645" s="140"/>
      <c r="K645" s="140"/>
      <c r="L645" s="140"/>
      <c r="M645" s="140"/>
      <c r="N645" s="140"/>
      <c r="O645" s="140"/>
      <c r="P645" s="140"/>
      <c r="Q645" s="140"/>
      <c r="R645" s="140"/>
      <c r="S645" s="140"/>
      <c r="T645" s="140"/>
    </row>
    <row r="646" spans="1:20" ht="13">
      <c r="A646" s="140"/>
      <c r="B646" s="140"/>
      <c r="C646" s="140"/>
      <c r="D646" s="140"/>
      <c r="E646" s="140"/>
      <c r="F646" s="140"/>
      <c r="G646" s="140"/>
      <c r="H646" s="140"/>
      <c r="I646" s="140"/>
      <c r="J646" s="140"/>
      <c r="K646" s="140"/>
      <c r="L646" s="140"/>
      <c r="M646" s="140"/>
      <c r="N646" s="140"/>
      <c r="O646" s="140"/>
      <c r="P646" s="140"/>
      <c r="Q646" s="140"/>
      <c r="R646" s="140"/>
      <c r="S646" s="140"/>
      <c r="T646" s="140"/>
    </row>
    <row r="647" spans="1:20" ht="13">
      <c r="A647" s="140"/>
      <c r="B647" s="140"/>
      <c r="C647" s="140"/>
      <c r="D647" s="140"/>
      <c r="E647" s="140"/>
      <c r="F647" s="140"/>
      <c r="G647" s="140"/>
      <c r="H647" s="140"/>
      <c r="I647" s="140"/>
      <c r="J647" s="140"/>
      <c r="K647" s="140"/>
      <c r="L647" s="140"/>
      <c r="M647" s="140"/>
      <c r="N647" s="140"/>
      <c r="O647" s="140"/>
      <c r="P647" s="140"/>
      <c r="Q647" s="140"/>
      <c r="R647" s="140"/>
      <c r="S647" s="140"/>
      <c r="T647" s="140"/>
    </row>
    <row r="648" spans="1:20" ht="13">
      <c r="A648" s="140"/>
      <c r="B648" s="140"/>
      <c r="C648" s="140"/>
      <c r="D648" s="140"/>
      <c r="E648" s="140"/>
      <c r="F648" s="140"/>
      <c r="G648" s="140"/>
      <c r="H648" s="140"/>
      <c r="I648" s="140"/>
      <c r="J648" s="140"/>
      <c r="K648" s="140"/>
      <c r="L648" s="140"/>
      <c r="M648" s="140"/>
      <c r="N648" s="140"/>
      <c r="O648" s="140"/>
      <c r="P648" s="140"/>
      <c r="Q648" s="140"/>
      <c r="R648" s="140"/>
      <c r="S648" s="140"/>
      <c r="T648" s="140"/>
    </row>
    <row r="649" spans="1:20" ht="13">
      <c r="A649" s="140"/>
      <c r="B649" s="140"/>
      <c r="C649" s="140"/>
      <c r="D649" s="140"/>
      <c r="E649" s="140"/>
      <c r="F649" s="140"/>
      <c r="G649" s="140"/>
      <c r="H649" s="140"/>
      <c r="I649" s="140"/>
      <c r="J649" s="140"/>
      <c r="K649" s="140"/>
      <c r="L649" s="140"/>
      <c r="M649" s="140"/>
      <c r="N649" s="140"/>
      <c r="O649" s="140"/>
      <c r="P649" s="140"/>
      <c r="Q649" s="140"/>
      <c r="R649" s="140"/>
      <c r="S649" s="140"/>
      <c r="T649" s="140"/>
    </row>
    <row r="650" spans="1:20" ht="13">
      <c r="A650" s="140"/>
      <c r="B650" s="140"/>
      <c r="C650" s="140"/>
      <c r="D650" s="140"/>
      <c r="E650" s="140"/>
      <c r="F650" s="140"/>
      <c r="G650" s="140"/>
      <c r="H650" s="140"/>
      <c r="I650" s="140"/>
      <c r="J650" s="140"/>
      <c r="K650" s="140"/>
      <c r="L650" s="140"/>
      <c r="M650" s="140"/>
      <c r="N650" s="140"/>
      <c r="O650" s="140"/>
      <c r="P650" s="140"/>
      <c r="Q650" s="140"/>
      <c r="R650" s="140"/>
      <c r="S650" s="140"/>
      <c r="T650" s="140"/>
    </row>
    <row r="651" spans="1:20" ht="13">
      <c r="A651" s="140"/>
      <c r="B651" s="140"/>
      <c r="C651" s="140"/>
      <c r="D651" s="140"/>
      <c r="E651" s="140"/>
      <c r="F651" s="140"/>
      <c r="G651" s="140"/>
      <c r="H651" s="140"/>
      <c r="I651" s="140"/>
      <c r="J651" s="140"/>
      <c r="K651" s="140"/>
      <c r="L651" s="140"/>
      <c r="M651" s="140"/>
      <c r="N651" s="140"/>
      <c r="O651" s="140"/>
      <c r="P651" s="140"/>
      <c r="Q651" s="140"/>
      <c r="R651" s="140"/>
      <c r="S651" s="140"/>
      <c r="T651" s="140"/>
    </row>
    <row r="652" spans="1:20" ht="13">
      <c r="A652" s="140"/>
      <c r="B652" s="140"/>
      <c r="C652" s="140"/>
      <c r="D652" s="140"/>
      <c r="E652" s="140"/>
      <c r="F652" s="140"/>
      <c r="G652" s="140"/>
      <c r="H652" s="140"/>
      <c r="I652" s="140"/>
      <c r="J652" s="140"/>
      <c r="K652" s="140"/>
      <c r="L652" s="140"/>
      <c r="M652" s="140"/>
      <c r="N652" s="140"/>
      <c r="O652" s="140"/>
      <c r="P652" s="140"/>
      <c r="Q652" s="140"/>
      <c r="R652" s="140"/>
      <c r="S652" s="140"/>
      <c r="T652" s="140"/>
    </row>
    <row r="653" spans="1:20" ht="13">
      <c r="A653" s="140"/>
      <c r="B653" s="140"/>
      <c r="C653" s="140"/>
      <c r="D653" s="140"/>
      <c r="E653" s="140"/>
      <c r="F653" s="140"/>
      <c r="G653" s="140"/>
      <c r="H653" s="140"/>
      <c r="I653" s="140"/>
      <c r="J653" s="140"/>
      <c r="K653" s="140"/>
      <c r="L653" s="140"/>
      <c r="M653" s="140"/>
      <c r="N653" s="140"/>
      <c r="O653" s="140"/>
      <c r="P653" s="140"/>
      <c r="Q653" s="140"/>
      <c r="R653" s="140"/>
      <c r="S653" s="140"/>
      <c r="T653" s="140"/>
    </row>
    <row r="654" spans="1:20" ht="13">
      <c r="A654" s="140"/>
      <c r="B654" s="140"/>
      <c r="C654" s="140"/>
      <c r="D654" s="140"/>
      <c r="E654" s="140"/>
      <c r="F654" s="140"/>
      <c r="G654" s="140"/>
      <c r="H654" s="140"/>
      <c r="I654" s="140"/>
      <c r="J654" s="140"/>
      <c r="K654" s="140"/>
      <c r="L654" s="140"/>
      <c r="M654" s="140"/>
      <c r="N654" s="140"/>
      <c r="O654" s="140"/>
      <c r="P654" s="140"/>
      <c r="Q654" s="140"/>
      <c r="R654" s="140"/>
      <c r="S654" s="140"/>
      <c r="T654" s="140"/>
    </row>
    <row r="655" spans="1:20" ht="13">
      <c r="A655" s="140"/>
      <c r="B655" s="140"/>
      <c r="C655" s="140"/>
      <c r="D655" s="140"/>
      <c r="E655" s="140"/>
      <c r="F655" s="140"/>
      <c r="G655" s="140"/>
      <c r="H655" s="140"/>
      <c r="I655" s="140"/>
      <c r="J655" s="140"/>
      <c r="K655" s="140"/>
      <c r="L655" s="140"/>
      <c r="M655" s="140"/>
      <c r="N655" s="140"/>
      <c r="O655" s="140"/>
      <c r="P655" s="140"/>
      <c r="Q655" s="140"/>
      <c r="R655" s="140"/>
      <c r="S655" s="140"/>
      <c r="T655" s="140"/>
    </row>
    <row r="656" spans="1:20" ht="13">
      <c r="A656" s="140"/>
      <c r="B656" s="140"/>
      <c r="C656" s="140"/>
      <c r="D656" s="140"/>
      <c r="E656" s="140"/>
      <c r="F656" s="140"/>
      <c r="G656" s="140"/>
      <c r="H656" s="140"/>
      <c r="I656" s="140"/>
      <c r="J656" s="140"/>
      <c r="K656" s="140"/>
      <c r="L656" s="140"/>
      <c r="M656" s="140"/>
      <c r="N656" s="140"/>
      <c r="O656" s="140"/>
      <c r="P656" s="140"/>
      <c r="Q656" s="140"/>
      <c r="R656" s="140"/>
      <c r="S656" s="140"/>
      <c r="T656" s="140"/>
    </row>
    <row r="657" spans="1:20" ht="13">
      <c r="A657" s="140"/>
      <c r="B657" s="140"/>
      <c r="C657" s="140"/>
      <c r="D657" s="140"/>
      <c r="E657" s="140"/>
      <c r="F657" s="140"/>
      <c r="G657" s="140"/>
      <c r="H657" s="140"/>
      <c r="I657" s="140"/>
      <c r="J657" s="140"/>
      <c r="K657" s="140"/>
      <c r="L657" s="140"/>
      <c r="M657" s="140"/>
      <c r="N657" s="140"/>
      <c r="O657" s="140"/>
      <c r="P657" s="140"/>
      <c r="Q657" s="140"/>
      <c r="R657" s="140"/>
      <c r="S657" s="140"/>
      <c r="T657" s="140"/>
    </row>
    <row r="658" spans="1:20" ht="13">
      <c r="A658" s="140"/>
      <c r="B658" s="140"/>
      <c r="C658" s="140"/>
      <c r="D658" s="140"/>
      <c r="E658" s="140"/>
      <c r="F658" s="140"/>
      <c r="G658" s="140"/>
      <c r="H658" s="140"/>
      <c r="I658" s="140"/>
      <c r="J658" s="140"/>
      <c r="K658" s="140"/>
      <c r="L658" s="140"/>
      <c r="M658" s="140"/>
      <c r="N658" s="140"/>
      <c r="O658" s="140"/>
      <c r="P658" s="140"/>
      <c r="Q658" s="140"/>
      <c r="R658" s="140"/>
      <c r="S658" s="140"/>
      <c r="T658" s="140"/>
    </row>
    <row r="659" spans="1:20" ht="13">
      <c r="A659" s="140"/>
      <c r="B659" s="140"/>
      <c r="C659" s="140"/>
      <c r="D659" s="140"/>
      <c r="E659" s="140"/>
      <c r="F659" s="140"/>
      <c r="G659" s="140"/>
      <c r="H659" s="140"/>
      <c r="I659" s="140"/>
      <c r="J659" s="140"/>
      <c r="K659" s="140"/>
      <c r="L659" s="140"/>
      <c r="M659" s="140"/>
      <c r="N659" s="140"/>
      <c r="O659" s="140"/>
      <c r="P659" s="140"/>
      <c r="Q659" s="140"/>
      <c r="R659" s="140"/>
      <c r="S659" s="140"/>
      <c r="T659" s="140"/>
    </row>
    <row r="660" spans="1:20" ht="13">
      <c r="A660" s="140"/>
      <c r="B660" s="140"/>
      <c r="C660" s="140"/>
      <c r="D660" s="140"/>
      <c r="E660" s="140"/>
      <c r="F660" s="140"/>
      <c r="G660" s="140"/>
      <c r="H660" s="140"/>
      <c r="I660" s="140"/>
      <c r="J660" s="140"/>
      <c r="K660" s="140"/>
      <c r="L660" s="140"/>
      <c r="M660" s="140"/>
      <c r="N660" s="140"/>
      <c r="O660" s="140"/>
      <c r="P660" s="140"/>
      <c r="Q660" s="140"/>
      <c r="R660" s="140"/>
      <c r="S660" s="140"/>
      <c r="T660" s="140"/>
    </row>
    <row r="661" spans="1:20" ht="13">
      <c r="A661" s="140"/>
      <c r="B661" s="140"/>
      <c r="C661" s="140"/>
      <c r="D661" s="140"/>
      <c r="E661" s="140"/>
      <c r="F661" s="140"/>
      <c r="G661" s="140"/>
      <c r="H661" s="140"/>
      <c r="I661" s="140"/>
      <c r="J661" s="140"/>
      <c r="K661" s="140"/>
      <c r="L661" s="140"/>
      <c r="M661" s="140"/>
      <c r="N661" s="140"/>
      <c r="O661" s="140"/>
      <c r="P661" s="140"/>
      <c r="Q661" s="140"/>
      <c r="R661" s="140"/>
      <c r="S661" s="140"/>
      <c r="T661" s="140"/>
    </row>
    <row r="662" spans="1:20" ht="13">
      <c r="A662" s="140"/>
      <c r="B662" s="140"/>
      <c r="C662" s="140"/>
      <c r="D662" s="140"/>
      <c r="E662" s="140"/>
      <c r="F662" s="140"/>
      <c r="G662" s="140"/>
      <c r="H662" s="140"/>
      <c r="I662" s="140"/>
      <c r="J662" s="140"/>
      <c r="K662" s="140"/>
      <c r="L662" s="140"/>
      <c r="M662" s="140"/>
      <c r="N662" s="140"/>
      <c r="O662" s="140"/>
      <c r="P662" s="140"/>
      <c r="Q662" s="140"/>
      <c r="R662" s="140"/>
      <c r="S662" s="140"/>
      <c r="T662" s="140"/>
    </row>
    <row r="663" spans="1:20" ht="13">
      <c r="A663" s="140"/>
      <c r="B663" s="140"/>
      <c r="C663" s="140"/>
      <c r="D663" s="140"/>
      <c r="E663" s="140"/>
      <c r="F663" s="140"/>
      <c r="G663" s="140"/>
      <c r="H663" s="140"/>
      <c r="I663" s="140"/>
      <c r="J663" s="140"/>
      <c r="K663" s="140"/>
      <c r="L663" s="140"/>
      <c r="M663" s="140"/>
      <c r="N663" s="140"/>
      <c r="O663" s="140"/>
      <c r="P663" s="140"/>
      <c r="Q663" s="140"/>
      <c r="R663" s="140"/>
      <c r="S663" s="140"/>
      <c r="T663" s="140"/>
    </row>
    <row r="664" spans="1:20" ht="13">
      <c r="A664" s="140"/>
      <c r="B664" s="140"/>
      <c r="C664" s="140"/>
      <c r="D664" s="140"/>
      <c r="E664" s="140"/>
      <c r="F664" s="140"/>
      <c r="G664" s="140"/>
      <c r="H664" s="140"/>
      <c r="I664" s="140"/>
      <c r="J664" s="140"/>
      <c r="K664" s="140"/>
      <c r="L664" s="140"/>
      <c r="M664" s="140"/>
      <c r="N664" s="140"/>
      <c r="O664" s="140"/>
      <c r="P664" s="140"/>
      <c r="Q664" s="140"/>
      <c r="R664" s="140"/>
      <c r="S664" s="140"/>
      <c r="T664" s="140"/>
    </row>
    <row r="665" spans="1:20" ht="13">
      <c r="A665" s="140"/>
      <c r="B665" s="140"/>
      <c r="C665" s="140"/>
      <c r="D665" s="140"/>
      <c r="E665" s="140"/>
      <c r="F665" s="140"/>
      <c r="G665" s="140"/>
      <c r="H665" s="140"/>
      <c r="I665" s="140"/>
      <c r="J665" s="140"/>
      <c r="K665" s="140"/>
      <c r="L665" s="140"/>
      <c r="M665" s="140"/>
      <c r="N665" s="140"/>
      <c r="O665" s="140"/>
      <c r="P665" s="140"/>
      <c r="Q665" s="140"/>
      <c r="R665" s="140"/>
      <c r="S665" s="140"/>
      <c r="T665" s="140"/>
    </row>
    <row r="666" spans="1:20" ht="13">
      <c r="A666" s="140"/>
      <c r="B666" s="140"/>
      <c r="C666" s="140"/>
      <c r="D666" s="140"/>
      <c r="E666" s="140"/>
      <c r="F666" s="140"/>
      <c r="G666" s="140"/>
      <c r="H666" s="140"/>
      <c r="I666" s="140"/>
      <c r="J666" s="140"/>
      <c r="K666" s="140"/>
      <c r="L666" s="140"/>
      <c r="M666" s="140"/>
      <c r="N666" s="140"/>
      <c r="O666" s="140"/>
      <c r="P666" s="140"/>
      <c r="Q666" s="140"/>
      <c r="R666" s="140"/>
      <c r="S666" s="140"/>
      <c r="T666" s="140"/>
    </row>
    <row r="667" spans="1:20" ht="13">
      <c r="A667" s="140"/>
      <c r="B667" s="140"/>
      <c r="C667" s="140"/>
      <c r="D667" s="140"/>
      <c r="E667" s="140"/>
      <c r="F667" s="140"/>
      <c r="G667" s="140"/>
      <c r="H667" s="140"/>
      <c r="I667" s="140"/>
      <c r="J667" s="140"/>
      <c r="K667" s="140"/>
      <c r="L667" s="140"/>
      <c r="M667" s="140"/>
      <c r="N667" s="140"/>
      <c r="O667" s="140"/>
      <c r="P667" s="140"/>
      <c r="Q667" s="140"/>
      <c r="R667" s="140"/>
      <c r="S667" s="140"/>
      <c r="T667" s="140"/>
    </row>
    <row r="668" spans="1:20" ht="13">
      <c r="A668" s="140"/>
      <c r="B668" s="140"/>
      <c r="C668" s="140"/>
      <c r="D668" s="140"/>
      <c r="E668" s="140"/>
      <c r="F668" s="140"/>
      <c r="G668" s="140"/>
      <c r="H668" s="140"/>
      <c r="I668" s="140"/>
      <c r="J668" s="140"/>
      <c r="K668" s="140"/>
      <c r="L668" s="140"/>
      <c r="M668" s="140"/>
      <c r="N668" s="140"/>
      <c r="O668" s="140"/>
      <c r="P668" s="140"/>
      <c r="Q668" s="140"/>
      <c r="R668" s="140"/>
      <c r="S668" s="140"/>
      <c r="T668" s="140"/>
    </row>
    <row r="669" spans="1:20" ht="13">
      <c r="A669" s="140"/>
      <c r="B669" s="140"/>
      <c r="C669" s="140"/>
      <c r="D669" s="140"/>
      <c r="E669" s="140"/>
      <c r="F669" s="140"/>
      <c r="G669" s="140"/>
      <c r="H669" s="140"/>
      <c r="I669" s="140"/>
      <c r="J669" s="140"/>
      <c r="K669" s="140"/>
      <c r="L669" s="140"/>
      <c r="M669" s="140"/>
      <c r="N669" s="140"/>
      <c r="O669" s="140"/>
      <c r="P669" s="140"/>
      <c r="Q669" s="140"/>
      <c r="R669" s="140"/>
      <c r="S669" s="140"/>
      <c r="T669" s="140"/>
    </row>
    <row r="670" spans="1:20" ht="13">
      <c r="A670" s="140"/>
      <c r="B670" s="140"/>
      <c r="C670" s="140"/>
      <c r="D670" s="140"/>
      <c r="E670" s="140"/>
      <c r="F670" s="140"/>
      <c r="G670" s="140"/>
      <c r="H670" s="140"/>
      <c r="I670" s="140"/>
      <c r="J670" s="140"/>
      <c r="K670" s="140"/>
      <c r="L670" s="140"/>
      <c r="M670" s="140"/>
      <c r="N670" s="140"/>
      <c r="O670" s="140"/>
      <c r="P670" s="140"/>
      <c r="Q670" s="140"/>
      <c r="R670" s="140"/>
      <c r="S670" s="140"/>
      <c r="T670" s="140"/>
    </row>
    <row r="671" spans="1:20" ht="13">
      <c r="A671" s="140"/>
      <c r="B671" s="140"/>
      <c r="C671" s="140"/>
      <c r="D671" s="140"/>
      <c r="E671" s="140"/>
      <c r="F671" s="140"/>
      <c r="G671" s="140"/>
      <c r="H671" s="140"/>
      <c r="I671" s="140"/>
      <c r="J671" s="140"/>
      <c r="K671" s="140"/>
      <c r="L671" s="140"/>
      <c r="M671" s="140"/>
      <c r="N671" s="140"/>
      <c r="O671" s="140"/>
      <c r="P671" s="140"/>
      <c r="Q671" s="140"/>
      <c r="R671" s="140"/>
      <c r="S671" s="140"/>
      <c r="T671" s="140"/>
    </row>
    <row r="672" spans="1:20" ht="13">
      <c r="A672" s="140"/>
      <c r="B672" s="140"/>
      <c r="C672" s="140"/>
      <c r="D672" s="140"/>
      <c r="E672" s="140"/>
      <c r="F672" s="140"/>
      <c r="G672" s="140"/>
      <c r="H672" s="140"/>
      <c r="I672" s="140"/>
      <c r="J672" s="140"/>
      <c r="K672" s="140"/>
      <c r="L672" s="140"/>
      <c r="M672" s="140"/>
      <c r="N672" s="140"/>
      <c r="O672" s="140"/>
      <c r="P672" s="140"/>
      <c r="Q672" s="140"/>
      <c r="R672" s="140"/>
      <c r="S672" s="140"/>
      <c r="T672" s="140"/>
    </row>
    <row r="673" spans="1:20" ht="13">
      <c r="A673" s="140"/>
      <c r="B673" s="140"/>
      <c r="C673" s="140"/>
      <c r="D673" s="140"/>
      <c r="E673" s="140"/>
      <c r="F673" s="140"/>
      <c r="G673" s="140"/>
      <c r="H673" s="140"/>
      <c r="I673" s="140"/>
      <c r="J673" s="140"/>
      <c r="K673" s="140"/>
      <c r="L673" s="140"/>
      <c r="M673" s="140"/>
      <c r="N673" s="140"/>
      <c r="O673" s="140"/>
      <c r="P673" s="140"/>
      <c r="Q673" s="140"/>
      <c r="R673" s="140"/>
      <c r="S673" s="140"/>
      <c r="T673" s="140"/>
    </row>
    <row r="674" spans="1:20" ht="13">
      <c r="A674" s="140"/>
      <c r="B674" s="140"/>
      <c r="C674" s="140"/>
      <c r="D674" s="140"/>
      <c r="E674" s="140"/>
      <c r="F674" s="140"/>
      <c r="G674" s="140"/>
      <c r="H674" s="140"/>
      <c r="I674" s="140"/>
      <c r="J674" s="140"/>
      <c r="K674" s="140"/>
      <c r="L674" s="140"/>
      <c r="M674" s="140"/>
      <c r="N674" s="140"/>
      <c r="O674" s="140"/>
      <c r="P674" s="140"/>
      <c r="Q674" s="140"/>
      <c r="R674" s="140"/>
      <c r="S674" s="140"/>
      <c r="T674" s="140"/>
    </row>
    <row r="675" spans="1:20" ht="13">
      <c r="A675" s="140"/>
      <c r="B675" s="140"/>
      <c r="C675" s="140"/>
      <c r="D675" s="140"/>
      <c r="E675" s="140"/>
      <c r="F675" s="140"/>
      <c r="G675" s="140"/>
      <c r="H675" s="140"/>
      <c r="I675" s="140"/>
      <c r="J675" s="140"/>
      <c r="K675" s="140"/>
      <c r="L675" s="140"/>
      <c r="M675" s="140"/>
      <c r="N675" s="140"/>
      <c r="O675" s="140"/>
      <c r="P675" s="140"/>
      <c r="Q675" s="140"/>
      <c r="R675" s="140"/>
      <c r="S675" s="140"/>
      <c r="T675" s="140"/>
    </row>
    <row r="676" spans="1:20" ht="13">
      <c r="A676" s="140"/>
      <c r="B676" s="140"/>
      <c r="C676" s="140"/>
      <c r="D676" s="140"/>
      <c r="E676" s="140"/>
      <c r="F676" s="140"/>
      <c r="G676" s="140"/>
      <c r="H676" s="140"/>
      <c r="I676" s="140"/>
      <c r="J676" s="140"/>
      <c r="K676" s="140"/>
      <c r="L676" s="140"/>
      <c r="M676" s="140"/>
      <c r="N676" s="140"/>
      <c r="O676" s="140"/>
      <c r="P676" s="140"/>
      <c r="Q676" s="140"/>
      <c r="R676" s="140"/>
      <c r="S676" s="140"/>
      <c r="T676" s="140"/>
    </row>
    <row r="677" spans="1:20" ht="13">
      <c r="A677" s="140"/>
      <c r="B677" s="140"/>
      <c r="C677" s="140"/>
      <c r="D677" s="140"/>
      <c r="E677" s="140"/>
      <c r="F677" s="140"/>
      <c r="G677" s="140"/>
      <c r="H677" s="140"/>
      <c r="I677" s="140"/>
      <c r="J677" s="140"/>
      <c r="K677" s="140"/>
      <c r="L677" s="140"/>
      <c r="M677" s="140"/>
      <c r="N677" s="140"/>
      <c r="O677" s="140"/>
      <c r="P677" s="140"/>
      <c r="Q677" s="140"/>
      <c r="R677" s="140"/>
      <c r="S677" s="140"/>
      <c r="T677" s="140"/>
    </row>
    <row r="678" spans="1:20" ht="13">
      <c r="A678" s="140"/>
      <c r="B678" s="140"/>
      <c r="C678" s="140"/>
      <c r="D678" s="140"/>
      <c r="E678" s="140"/>
      <c r="F678" s="140"/>
      <c r="G678" s="140"/>
      <c r="H678" s="140"/>
      <c r="I678" s="140"/>
      <c r="J678" s="140"/>
      <c r="K678" s="140"/>
      <c r="L678" s="140"/>
      <c r="M678" s="140"/>
      <c r="N678" s="140"/>
      <c r="O678" s="140"/>
      <c r="P678" s="140"/>
      <c r="Q678" s="140"/>
      <c r="R678" s="140"/>
      <c r="S678" s="140"/>
      <c r="T678" s="140"/>
    </row>
    <row r="679" spans="1:20" ht="13">
      <c r="A679" s="140"/>
      <c r="B679" s="140"/>
      <c r="C679" s="140"/>
      <c r="D679" s="140"/>
      <c r="E679" s="140"/>
      <c r="F679" s="140"/>
      <c r="G679" s="140"/>
      <c r="H679" s="140"/>
      <c r="I679" s="140"/>
      <c r="J679" s="140"/>
      <c r="K679" s="140"/>
      <c r="L679" s="140"/>
      <c r="M679" s="140"/>
      <c r="N679" s="140"/>
      <c r="O679" s="140"/>
      <c r="P679" s="140"/>
      <c r="Q679" s="140"/>
      <c r="R679" s="140"/>
      <c r="S679" s="140"/>
      <c r="T679" s="140"/>
    </row>
    <row r="680" spans="1:20" ht="13">
      <c r="A680" s="140"/>
      <c r="B680" s="140"/>
      <c r="C680" s="140"/>
      <c r="D680" s="140"/>
      <c r="E680" s="140"/>
      <c r="F680" s="140"/>
      <c r="G680" s="140"/>
      <c r="H680" s="140"/>
      <c r="I680" s="140"/>
      <c r="J680" s="140"/>
      <c r="K680" s="140"/>
      <c r="L680" s="140"/>
      <c r="M680" s="140"/>
      <c r="N680" s="140"/>
      <c r="O680" s="140"/>
      <c r="P680" s="140"/>
      <c r="Q680" s="140"/>
      <c r="R680" s="140"/>
      <c r="S680" s="140"/>
      <c r="T680" s="140"/>
    </row>
    <row r="681" spans="1:20" ht="13">
      <c r="A681" s="140"/>
      <c r="B681" s="140"/>
      <c r="C681" s="140"/>
      <c r="D681" s="140"/>
      <c r="E681" s="140"/>
      <c r="F681" s="140"/>
      <c r="G681" s="140"/>
      <c r="H681" s="140"/>
      <c r="I681" s="140"/>
      <c r="J681" s="140"/>
      <c r="K681" s="140"/>
      <c r="L681" s="140"/>
      <c r="M681" s="140"/>
      <c r="N681" s="140"/>
      <c r="O681" s="140"/>
      <c r="P681" s="140"/>
      <c r="Q681" s="140"/>
      <c r="R681" s="140"/>
      <c r="S681" s="140"/>
      <c r="T681" s="140"/>
    </row>
    <row r="682" spans="1:20" ht="13">
      <c r="A682" s="140"/>
      <c r="B682" s="140"/>
      <c r="C682" s="140"/>
      <c r="D682" s="140"/>
      <c r="E682" s="140"/>
      <c r="F682" s="140"/>
      <c r="G682" s="140"/>
      <c r="H682" s="140"/>
      <c r="I682" s="140"/>
      <c r="J682" s="140"/>
      <c r="K682" s="140"/>
      <c r="L682" s="140"/>
      <c r="M682" s="140"/>
      <c r="N682" s="140"/>
      <c r="O682" s="140"/>
      <c r="P682" s="140"/>
      <c r="Q682" s="140"/>
      <c r="R682" s="140"/>
      <c r="S682" s="140"/>
      <c r="T682" s="140"/>
    </row>
    <row r="683" spans="1:20" ht="13">
      <c r="A683" s="140"/>
      <c r="B683" s="140"/>
      <c r="C683" s="140"/>
      <c r="D683" s="140"/>
      <c r="E683" s="140"/>
      <c r="F683" s="140"/>
      <c r="G683" s="140"/>
      <c r="H683" s="140"/>
      <c r="I683" s="140"/>
      <c r="J683" s="140"/>
      <c r="K683" s="140"/>
      <c r="L683" s="140"/>
      <c r="M683" s="140"/>
      <c r="N683" s="140"/>
      <c r="O683" s="140"/>
      <c r="P683" s="140"/>
      <c r="Q683" s="140"/>
      <c r="R683" s="140"/>
      <c r="S683" s="140"/>
      <c r="T683" s="140"/>
    </row>
    <row r="684" spans="1:20" ht="13">
      <c r="A684" s="140"/>
      <c r="B684" s="140"/>
      <c r="C684" s="140"/>
      <c r="D684" s="140"/>
      <c r="E684" s="140"/>
      <c r="F684" s="140"/>
      <c r="G684" s="140"/>
      <c r="H684" s="140"/>
      <c r="I684" s="140"/>
      <c r="J684" s="140"/>
      <c r="K684" s="140"/>
      <c r="L684" s="140"/>
      <c r="M684" s="140"/>
      <c r="N684" s="140"/>
      <c r="O684" s="140"/>
      <c r="P684" s="140"/>
      <c r="Q684" s="140"/>
      <c r="R684" s="140"/>
      <c r="S684" s="140"/>
      <c r="T684" s="140"/>
    </row>
    <row r="685" spans="1:20" ht="13">
      <c r="A685" s="140"/>
      <c r="B685" s="140"/>
      <c r="C685" s="140"/>
      <c r="D685" s="140"/>
      <c r="E685" s="140"/>
      <c r="F685" s="140"/>
      <c r="G685" s="140"/>
      <c r="H685" s="140"/>
      <c r="I685" s="140"/>
      <c r="J685" s="140"/>
      <c r="K685" s="140"/>
      <c r="L685" s="140"/>
      <c r="M685" s="140"/>
      <c r="N685" s="140"/>
      <c r="O685" s="140"/>
      <c r="P685" s="140"/>
      <c r="Q685" s="140"/>
      <c r="R685" s="140"/>
      <c r="S685" s="140"/>
      <c r="T685" s="140"/>
    </row>
    <row r="686" spans="1:20" ht="13">
      <c r="A686" s="140"/>
      <c r="B686" s="140"/>
      <c r="C686" s="140"/>
      <c r="D686" s="140"/>
      <c r="E686" s="140"/>
      <c r="F686" s="140"/>
      <c r="G686" s="140"/>
      <c r="H686" s="140"/>
      <c r="I686" s="140"/>
      <c r="J686" s="140"/>
      <c r="K686" s="140"/>
      <c r="L686" s="140"/>
      <c r="M686" s="140"/>
      <c r="N686" s="140"/>
      <c r="O686" s="140"/>
      <c r="P686" s="140"/>
      <c r="Q686" s="140"/>
      <c r="R686" s="140"/>
      <c r="S686" s="140"/>
      <c r="T686" s="140"/>
    </row>
    <row r="687" spans="1:20" ht="13">
      <c r="A687" s="140"/>
      <c r="B687" s="140"/>
      <c r="C687" s="140"/>
      <c r="D687" s="140"/>
      <c r="E687" s="140"/>
      <c r="F687" s="140"/>
      <c r="G687" s="140"/>
      <c r="H687" s="140"/>
      <c r="I687" s="140"/>
      <c r="J687" s="140"/>
      <c r="K687" s="140"/>
      <c r="L687" s="140"/>
      <c r="M687" s="140"/>
      <c r="N687" s="140"/>
      <c r="O687" s="140"/>
      <c r="P687" s="140"/>
      <c r="Q687" s="140"/>
      <c r="R687" s="140"/>
      <c r="S687" s="140"/>
      <c r="T687" s="140"/>
    </row>
    <row r="688" spans="1:20" ht="13">
      <c r="A688" s="140"/>
      <c r="B688" s="140"/>
      <c r="C688" s="140"/>
      <c r="D688" s="140"/>
      <c r="E688" s="140"/>
      <c r="F688" s="140"/>
      <c r="G688" s="140"/>
      <c r="H688" s="140"/>
      <c r="I688" s="140"/>
      <c r="J688" s="140"/>
      <c r="K688" s="140"/>
      <c r="L688" s="140"/>
      <c r="M688" s="140"/>
      <c r="N688" s="140"/>
      <c r="O688" s="140"/>
      <c r="P688" s="140"/>
      <c r="Q688" s="140"/>
      <c r="R688" s="140"/>
      <c r="S688" s="140"/>
      <c r="T688" s="140"/>
    </row>
    <row r="689" spans="1:20" ht="13">
      <c r="A689" s="140"/>
      <c r="B689" s="140"/>
      <c r="C689" s="140"/>
      <c r="D689" s="140"/>
      <c r="E689" s="140"/>
      <c r="F689" s="140"/>
      <c r="G689" s="140"/>
      <c r="H689" s="140"/>
      <c r="I689" s="140"/>
      <c r="J689" s="140"/>
      <c r="K689" s="140"/>
      <c r="L689" s="140"/>
      <c r="M689" s="140"/>
      <c r="N689" s="140"/>
      <c r="O689" s="140"/>
      <c r="P689" s="140"/>
      <c r="Q689" s="140"/>
      <c r="R689" s="140"/>
      <c r="S689" s="140"/>
      <c r="T689" s="140"/>
    </row>
    <row r="690" spans="1:20" ht="13">
      <c r="A690" s="140"/>
      <c r="B690" s="140"/>
      <c r="C690" s="140"/>
      <c r="D690" s="140"/>
      <c r="E690" s="140"/>
      <c r="F690" s="140"/>
      <c r="G690" s="140"/>
      <c r="H690" s="140"/>
      <c r="I690" s="140"/>
      <c r="J690" s="140"/>
      <c r="K690" s="140"/>
      <c r="L690" s="140"/>
      <c r="M690" s="140"/>
      <c r="N690" s="140"/>
      <c r="O690" s="140"/>
      <c r="P690" s="140"/>
      <c r="Q690" s="140"/>
      <c r="R690" s="140"/>
      <c r="S690" s="140"/>
      <c r="T690" s="140"/>
    </row>
    <row r="691" spans="1:20" ht="13">
      <c r="A691" s="140"/>
      <c r="B691" s="140"/>
      <c r="C691" s="140"/>
      <c r="D691" s="140"/>
      <c r="E691" s="140"/>
      <c r="F691" s="140"/>
      <c r="G691" s="140"/>
      <c r="H691" s="140"/>
      <c r="I691" s="140"/>
      <c r="J691" s="140"/>
      <c r="K691" s="140"/>
      <c r="L691" s="140"/>
      <c r="M691" s="140"/>
      <c r="N691" s="140"/>
      <c r="O691" s="140"/>
      <c r="P691" s="140"/>
      <c r="Q691" s="140"/>
      <c r="R691" s="140"/>
      <c r="S691" s="140"/>
      <c r="T691" s="140"/>
    </row>
    <row r="692" spans="1:20" ht="13">
      <c r="A692" s="140"/>
      <c r="B692" s="140"/>
      <c r="C692" s="140"/>
      <c r="D692" s="140"/>
      <c r="E692" s="140"/>
      <c r="F692" s="140"/>
      <c r="G692" s="140"/>
      <c r="H692" s="140"/>
      <c r="I692" s="140"/>
      <c r="J692" s="140"/>
      <c r="K692" s="140"/>
      <c r="L692" s="140"/>
      <c r="M692" s="140"/>
      <c r="N692" s="140"/>
      <c r="O692" s="140"/>
      <c r="P692" s="140"/>
      <c r="Q692" s="140"/>
      <c r="R692" s="140"/>
      <c r="S692" s="140"/>
      <c r="T692" s="140"/>
    </row>
    <row r="693" spans="1:20" ht="13">
      <c r="A693" s="140"/>
      <c r="B693" s="140"/>
      <c r="C693" s="140"/>
      <c r="D693" s="140"/>
      <c r="E693" s="140"/>
      <c r="F693" s="140"/>
      <c r="G693" s="140"/>
      <c r="H693" s="140"/>
      <c r="I693" s="140"/>
      <c r="J693" s="140"/>
      <c r="K693" s="140"/>
      <c r="L693" s="140"/>
      <c r="M693" s="140"/>
      <c r="N693" s="140"/>
      <c r="O693" s="140"/>
      <c r="P693" s="140"/>
      <c r="Q693" s="140"/>
      <c r="R693" s="140"/>
      <c r="S693" s="140"/>
      <c r="T693" s="140"/>
    </row>
    <row r="694" spans="1:20" ht="13">
      <c r="A694" s="140"/>
      <c r="B694" s="140"/>
      <c r="C694" s="140"/>
      <c r="D694" s="140"/>
      <c r="E694" s="140"/>
      <c r="F694" s="140"/>
      <c r="G694" s="140"/>
      <c r="H694" s="140"/>
      <c r="I694" s="140"/>
      <c r="J694" s="140"/>
      <c r="K694" s="140"/>
      <c r="L694" s="140"/>
      <c r="M694" s="140"/>
      <c r="N694" s="140"/>
      <c r="O694" s="140"/>
      <c r="P694" s="140"/>
      <c r="Q694" s="140"/>
      <c r="R694" s="140"/>
      <c r="S694" s="140"/>
      <c r="T694" s="140"/>
    </row>
    <row r="695" spans="1:20" ht="13">
      <c r="A695" s="140"/>
      <c r="B695" s="140"/>
      <c r="C695" s="140"/>
      <c r="D695" s="140"/>
      <c r="E695" s="140"/>
      <c r="F695" s="140"/>
      <c r="G695" s="140"/>
      <c r="H695" s="140"/>
      <c r="I695" s="140"/>
      <c r="J695" s="140"/>
      <c r="K695" s="140"/>
      <c r="L695" s="140"/>
      <c r="M695" s="140"/>
      <c r="N695" s="140"/>
      <c r="O695" s="140"/>
      <c r="P695" s="140"/>
      <c r="Q695" s="140"/>
      <c r="R695" s="140"/>
      <c r="S695" s="140"/>
      <c r="T695" s="140"/>
    </row>
    <row r="696" spans="1:20" ht="13">
      <c r="A696" s="140"/>
      <c r="B696" s="140"/>
      <c r="C696" s="140"/>
      <c r="D696" s="140"/>
      <c r="E696" s="140"/>
      <c r="F696" s="140"/>
      <c r="G696" s="140"/>
      <c r="H696" s="140"/>
      <c r="I696" s="140"/>
      <c r="J696" s="140"/>
      <c r="K696" s="140"/>
      <c r="L696" s="140"/>
      <c r="M696" s="140"/>
      <c r="N696" s="140"/>
      <c r="O696" s="140"/>
      <c r="P696" s="140"/>
      <c r="Q696" s="140"/>
      <c r="R696" s="140"/>
      <c r="S696" s="140"/>
      <c r="T696" s="140"/>
    </row>
    <row r="697" spans="1:20" ht="13">
      <c r="A697" s="140"/>
      <c r="B697" s="140"/>
      <c r="C697" s="140"/>
      <c r="D697" s="140"/>
      <c r="E697" s="140"/>
      <c r="F697" s="140"/>
      <c r="G697" s="140"/>
      <c r="H697" s="140"/>
      <c r="I697" s="140"/>
      <c r="J697" s="140"/>
      <c r="K697" s="140"/>
      <c r="L697" s="140"/>
      <c r="M697" s="140"/>
      <c r="N697" s="140"/>
      <c r="O697" s="140"/>
      <c r="P697" s="140"/>
      <c r="Q697" s="140"/>
      <c r="R697" s="140"/>
      <c r="S697" s="140"/>
      <c r="T697" s="140"/>
    </row>
    <row r="698" spans="1:20" ht="13">
      <c r="A698" s="140"/>
      <c r="B698" s="140"/>
      <c r="C698" s="140"/>
      <c r="D698" s="140"/>
      <c r="E698" s="140"/>
      <c r="F698" s="140"/>
      <c r="G698" s="140"/>
      <c r="H698" s="140"/>
      <c r="I698" s="140"/>
      <c r="J698" s="140"/>
      <c r="K698" s="140"/>
      <c r="L698" s="140"/>
      <c r="M698" s="140"/>
      <c r="N698" s="140"/>
      <c r="O698" s="140"/>
      <c r="P698" s="140"/>
      <c r="Q698" s="140"/>
      <c r="R698" s="140"/>
      <c r="S698" s="140"/>
      <c r="T698" s="140"/>
    </row>
    <row r="699" spans="1:20" ht="13">
      <c r="A699" s="140"/>
      <c r="B699" s="140"/>
      <c r="C699" s="140"/>
      <c r="D699" s="140"/>
      <c r="E699" s="140"/>
      <c r="F699" s="140"/>
      <c r="G699" s="140"/>
      <c r="H699" s="140"/>
      <c r="I699" s="140"/>
      <c r="J699" s="140"/>
      <c r="K699" s="140"/>
      <c r="L699" s="140"/>
      <c r="M699" s="140"/>
      <c r="N699" s="140"/>
      <c r="O699" s="140"/>
      <c r="P699" s="140"/>
      <c r="Q699" s="140"/>
      <c r="R699" s="140"/>
      <c r="S699" s="140"/>
      <c r="T699" s="140"/>
    </row>
    <row r="700" spans="1:20" ht="13">
      <c r="A700" s="140"/>
      <c r="B700" s="140"/>
      <c r="C700" s="140"/>
      <c r="D700" s="140"/>
      <c r="E700" s="140"/>
      <c r="F700" s="140"/>
      <c r="G700" s="140"/>
      <c r="H700" s="140"/>
      <c r="I700" s="140"/>
      <c r="J700" s="140"/>
      <c r="K700" s="140"/>
      <c r="L700" s="140"/>
      <c r="M700" s="140"/>
      <c r="N700" s="140"/>
      <c r="O700" s="140"/>
      <c r="P700" s="140"/>
      <c r="Q700" s="140"/>
      <c r="R700" s="140"/>
      <c r="S700" s="140"/>
      <c r="T700" s="140"/>
    </row>
    <row r="701" spans="1:20" ht="13">
      <c r="A701" s="140"/>
      <c r="B701" s="140"/>
      <c r="C701" s="140"/>
      <c r="D701" s="140"/>
      <c r="E701" s="140"/>
      <c r="F701" s="140"/>
      <c r="G701" s="140"/>
      <c r="H701" s="140"/>
      <c r="I701" s="140"/>
      <c r="J701" s="140"/>
      <c r="K701" s="140"/>
      <c r="L701" s="140"/>
      <c r="M701" s="140"/>
      <c r="N701" s="140"/>
      <c r="O701" s="140"/>
      <c r="P701" s="140"/>
      <c r="Q701" s="140"/>
      <c r="R701" s="140"/>
      <c r="S701" s="140"/>
      <c r="T701" s="140"/>
    </row>
    <row r="702" spans="1:20" ht="13">
      <c r="A702" s="140"/>
      <c r="B702" s="140"/>
      <c r="C702" s="140"/>
      <c r="D702" s="140"/>
      <c r="E702" s="140"/>
      <c r="F702" s="140"/>
      <c r="G702" s="140"/>
      <c r="H702" s="140"/>
      <c r="I702" s="140"/>
      <c r="J702" s="140"/>
      <c r="K702" s="140"/>
      <c r="L702" s="140"/>
      <c r="M702" s="140"/>
      <c r="N702" s="140"/>
      <c r="O702" s="140"/>
      <c r="P702" s="140"/>
      <c r="Q702" s="140"/>
      <c r="R702" s="140"/>
      <c r="S702" s="140"/>
      <c r="T702" s="140"/>
    </row>
    <row r="703" spans="1:20" ht="13">
      <c r="A703" s="140"/>
      <c r="B703" s="140"/>
      <c r="C703" s="140"/>
      <c r="D703" s="140"/>
      <c r="E703" s="140"/>
      <c r="F703" s="140"/>
      <c r="G703" s="140"/>
      <c r="H703" s="140"/>
      <c r="I703" s="140"/>
      <c r="J703" s="140"/>
      <c r="K703" s="140"/>
      <c r="L703" s="140"/>
      <c r="M703" s="140"/>
      <c r="N703" s="140"/>
      <c r="O703" s="140"/>
      <c r="P703" s="140"/>
      <c r="Q703" s="140"/>
      <c r="R703" s="140"/>
      <c r="S703" s="140"/>
      <c r="T703" s="140"/>
    </row>
    <row r="704" spans="1:20" ht="13">
      <c r="A704" s="140"/>
      <c r="B704" s="140"/>
      <c r="C704" s="140"/>
      <c r="D704" s="140"/>
      <c r="E704" s="140"/>
      <c r="F704" s="140"/>
      <c r="G704" s="140"/>
      <c r="H704" s="140"/>
      <c r="I704" s="140"/>
      <c r="J704" s="140"/>
      <c r="K704" s="140"/>
      <c r="L704" s="140"/>
      <c r="M704" s="140"/>
      <c r="N704" s="140"/>
      <c r="O704" s="140"/>
      <c r="P704" s="140"/>
      <c r="Q704" s="140"/>
      <c r="R704" s="140"/>
      <c r="S704" s="140"/>
      <c r="T704" s="140"/>
    </row>
    <row r="705" spans="1:20" ht="13">
      <c r="A705" s="140"/>
      <c r="B705" s="140"/>
      <c r="C705" s="140"/>
      <c r="D705" s="140"/>
      <c r="E705" s="140"/>
      <c r="F705" s="140"/>
      <c r="G705" s="140"/>
      <c r="H705" s="140"/>
      <c r="I705" s="140"/>
      <c r="J705" s="140"/>
      <c r="K705" s="140"/>
      <c r="L705" s="140"/>
      <c r="M705" s="140"/>
      <c r="N705" s="140"/>
      <c r="O705" s="140"/>
      <c r="P705" s="140"/>
      <c r="Q705" s="140"/>
      <c r="R705" s="140"/>
      <c r="S705" s="140"/>
      <c r="T705" s="140"/>
    </row>
    <row r="706" spans="1:20" ht="13">
      <c r="A706" s="140"/>
      <c r="B706" s="140"/>
      <c r="C706" s="140"/>
      <c r="D706" s="140"/>
      <c r="E706" s="140"/>
      <c r="F706" s="140"/>
      <c r="G706" s="140"/>
      <c r="H706" s="140"/>
      <c r="I706" s="140"/>
      <c r="J706" s="140"/>
      <c r="K706" s="140"/>
      <c r="L706" s="140"/>
      <c r="M706" s="140"/>
      <c r="N706" s="140"/>
      <c r="O706" s="140"/>
      <c r="P706" s="140"/>
      <c r="Q706" s="140"/>
      <c r="R706" s="140"/>
      <c r="S706" s="140"/>
      <c r="T706" s="140"/>
    </row>
    <row r="707" spans="1:20" ht="13">
      <c r="A707" s="140"/>
      <c r="B707" s="140"/>
      <c r="C707" s="140"/>
      <c r="D707" s="140"/>
      <c r="E707" s="140"/>
      <c r="F707" s="140"/>
      <c r="G707" s="140"/>
      <c r="H707" s="140"/>
      <c r="I707" s="140"/>
      <c r="J707" s="140"/>
      <c r="K707" s="140"/>
      <c r="L707" s="140"/>
      <c r="M707" s="140"/>
      <c r="N707" s="140"/>
      <c r="O707" s="140"/>
      <c r="P707" s="140"/>
      <c r="Q707" s="140"/>
      <c r="R707" s="140"/>
      <c r="S707" s="140"/>
      <c r="T707" s="140"/>
    </row>
    <row r="708" spans="1:20" ht="13">
      <c r="A708" s="140"/>
      <c r="B708" s="140"/>
      <c r="C708" s="140"/>
      <c r="D708" s="140"/>
      <c r="E708" s="140"/>
      <c r="F708" s="140"/>
      <c r="G708" s="140"/>
      <c r="H708" s="140"/>
      <c r="I708" s="140"/>
      <c r="J708" s="140"/>
      <c r="K708" s="140"/>
      <c r="L708" s="140"/>
      <c r="M708" s="140"/>
      <c r="N708" s="140"/>
      <c r="O708" s="140"/>
      <c r="P708" s="140"/>
      <c r="Q708" s="140"/>
      <c r="R708" s="140"/>
      <c r="S708" s="140"/>
      <c r="T708" s="140"/>
    </row>
    <row r="709" spans="1:20" ht="13">
      <c r="A709" s="140"/>
      <c r="B709" s="140"/>
      <c r="C709" s="140"/>
      <c r="D709" s="140"/>
      <c r="E709" s="140"/>
      <c r="F709" s="140"/>
      <c r="G709" s="140"/>
      <c r="H709" s="140"/>
      <c r="I709" s="140"/>
      <c r="J709" s="140"/>
      <c r="K709" s="140"/>
      <c r="L709" s="140"/>
      <c r="M709" s="140"/>
      <c r="N709" s="140"/>
      <c r="O709" s="140"/>
      <c r="P709" s="140"/>
      <c r="Q709" s="140"/>
      <c r="R709" s="140"/>
      <c r="S709" s="140"/>
      <c r="T709" s="140"/>
    </row>
    <row r="710" spans="1:20" ht="13">
      <c r="A710" s="140"/>
      <c r="B710" s="140"/>
      <c r="C710" s="140"/>
      <c r="D710" s="140"/>
      <c r="E710" s="140"/>
      <c r="F710" s="140"/>
      <c r="G710" s="140"/>
      <c r="H710" s="140"/>
      <c r="I710" s="140"/>
      <c r="J710" s="140"/>
      <c r="K710" s="140"/>
      <c r="L710" s="140"/>
      <c r="M710" s="140"/>
      <c r="N710" s="140"/>
      <c r="O710" s="140"/>
      <c r="P710" s="140"/>
      <c r="Q710" s="140"/>
      <c r="R710" s="140"/>
      <c r="S710" s="140"/>
      <c r="T710" s="140"/>
    </row>
    <row r="711" spans="1:20" ht="13">
      <c r="A711" s="140"/>
      <c r="B711" s="140"/>
      <c r="C711" s="140"/>
      <c r="D711" s="140"/>
      <c r="E711" s="140"/>
      <c r="F711" s="140"/>
      <c r="G711" s="140"/>
      <c r="H711" s="140"/>
      <c r="I711" s="140"/>
      <c r="J711" s="140"/>
      <c r="K711" s="140"/>
      <c r="L711" s="140"/>
      <c r="M711" s="140"/>
      <c r="N711" s="140"/>
      <c r="O711" s="140"/>
      <c r="P711" s="140"/>
      <c r="Q711" s="140"/>
      <c r="R711" s="140"/>
      <c r="S711" s="140"/>
      <c r="T711" s="140"/>
    </row>
    <row r="712" spans="1:20" ht="13">
      <c r="A712" s="140"/>
      <c r="B712" s="140"/>
      <c r="C712" s="140"/>
      <c r="D712" s="140"/>
      <c r="E712" s="140"/>
      <c r="F712" s="140"/>
      <c r="G712" s="140"/>
      <c r="H712" s="140"/>
      <c r="I712" s="140"/>
      <c r="J712" s="140"/>
      <c r="K712" s="140"/>
      <c r="L712" s="140"/>
      <c r="M712" s="140"/>
      <c r="N712" s="140"/>
      <c r="O712" s="140"/>
      <c r="P712" s="140"/>
      <c r="Q712" s="140"/>
      <c r="R712" s="140"/>
      <c r="S712" s="140"/>
      <c r="T712" s="140"/>
    </row>
    <row r="713" spans="1:20" ht="13">
      <c r="A713" s="140"/>
      <c r="B713" s="140"/>
      <c r="C713" s="140"/>
      <c r="D713" s="140"/>
      <c r="E713" s="140"/>
      <c r="F713" s="140"/>
      <c r="G713" s="140"/>
      <c r="H713" s="140"/>
      <c r="I713" s="140"/>
      <c r="J713" s="140"/>
      <c r="K713" s="140"/>
      <c r="L713" s="140"/>
      <c r="M713" s="140"/>
      <c r="N713" s="140"/>
      <c r="O713" s="140"/>
      <c r="P713" s="140"/>
      <c r="Q713" s="140"/>
      <c r="R713" s="140"/>
      <c r="S713" s="140"/>
      <c r="T713" s="140"/>
    </row>
    <row r="714" spans="1:20" ht="13">
      <c r="A714" s="140"/>
      <c r="B714" s="140"/>
      <c r="C714" s="140"/>
      <c r="D714" s="140"/>
      <c r="E714" s="140"/>
      <c r="F714" s="140"/>
      <c r="G714" s="140"/>
      <c r="H714" s="140"/>
      <c r="I714" s="140"/>
      <c r="J714" s="140"/>
      <c r="K714" s="140"/>
      <c r="L714" s="140"/>
      <c r="M714" s="140"/>
      <c r="N714" s="140"/>
      <c r="O714" s="140"/>
      <c r="P714" s="140"/>
      <c r="Q714" s="140"/>
      <c r="R714" s="140"/>
      <c r="S714" s="140"/>
      <c r="T714" s="140"/>
    </row>
    <row r="715" spans="1:20" ht="13">
      <c r="A715" s="140"/>
      <c r="B715" s="140"/>
      <c r="C715" s="140"/>
      <c r="D715" s="140"/>
      <c r="E715" s="140"/>
      <c r="F715" s="140"/>
      <c r="G715" s="140"/>
      <c r="H715" s="140"/>
      <c r="I715" s="140"/>
      <c r="J715" s="140"/>
      <c r="K715" s="140"/>
      <c r="L715" s="140"/>
      <c r="M715" s="140"/>
      <c r="N715" s="140"/>
      <c r="O715" s="140"/>
      <c r="P715" s="140"/>
      <c r="Q715" s="140"/>
      <c r="R715" s="140"/>
      <c r="S715" s="140"/>
      <c r="T715" s="140"/>
    </row>
    <row r="716" spans="1:20" ht="13">
      <c r="A716" s="140"/>
      <c r="B716" s="140"/>
      <c r="C716" s="140"/>
      <c r="D716" s="140"/>
      <c r="E716" s="140"/>
      <c r="F716" s="140"/>
      <c r="G716" s="140"/>
      <c r="H716" s="140"/>
      <c r="I716" s="140"/>
      <c r="J716" s="140"/>
      <c r="K716" s="140"/>
      <c r="L716" s="140"/>
      <c r="M716" s="140"/>
      <c r="N716" s="140"/>
      <c r="O716" s="140"/>
      <c r="P716" s="140"/>
      <c r="Q716" s="140"/>
      <c r="R716" s="140"/>
      <c r="S716" s="140"/>
      <c r="T716" s="140"/>
    </row>
    <row r="717" spans="1:20" ht="13">
      <c r="A717" s="140"/>
      <c r="B717" s="140"/>
      <c r="C717" s="140"/>
      <c r="D717" s="140"/>
      <c r="E717" s="140"/>
      <c r="F717" s="140"/>
      <c r="G717" s="140"/>
      <c r="H717" s="140"/>
      <c r="I717" s="140"/>
      <c r="J717" s="140"/>
      <c r="K717" s="140"/>
      <c r="L717" s="140"/>
      <c r="M717" s="140"/>
      <c r="N717" s="140"/>
      <c r="O717" s="140"/>
      <c r="P717" s="140"/>
      <c r="Q717" s="140"/>
      <c r="R717" s="140"/>
      <c r="S717" s="140"/>
      <c r="T717" s="140"/>
    </row>
    <row r="718" spans="1:20" ht="13">
      <c r="A718" s="140"/>
      <c r="B718" s="140"/>
      <c r="C718" s="140"/>
      <c r="D718" s="140"/>
      <c r="E718" s="140"/>
      <c r="F718" s="140"/>
      <c r="G718" s="140"/>
      <c r="H718" s="140"/>
      <c r="I718" s="140"/>
      <c r="J718" s="140"/>
      <c r="K718" s="140"/>
      <c r="L718" s="140"/>
      <c r="M718" s="140"/>
      <c r="N718" s="140"/>
      <c r="O718" s="140"/>
      <c r="P718" s="140"/>
      <c r="Q718" s="140"/>
      <c r="R718" s="140"/>
      <c r="S718" s="140"/>
      <c r="T718" s="140"/>
    </row>
    <row r="719" spans="1:20" ht="13">
      <c r="A719" s="140"/>
      <c r="B719" s="140"/>
      <c r="C719" s="140"/>
      <c r="D719" s="140"/>
      <c r="E719" s="140"/>
      <c r="F719" s="140"/>
      <c r="G719" s="140"/>
      <c r="H719" s="140"/>
      <c r="I719" s="140"/>
      <c r="J719" s="140"/>
      <c r="K719" s="140"/>
      <c r="L719" s="140"/>
      <c r="M719" s="140"/>
      <c r="N719" s="140"/>
      <c r="O719" s="140"/>
      <c r="P719" s="140"/>
      <c r="Q719" s="140"/>
      <c r="R719" s="140"/>
      <c r="S719" s="140"/>
      <c r="T719" s="140"/>
    </row>
    <row r="720" spans="1:20" ht="13">
      <c r="A720" s="140"/>
      <c r="B720" s="140"/>
      <c r="C720" s="140"/>
      <c r="D720" s="140"/>
      <c r="E720" s="140"/>
      <c r="F720" s="140"/>
      <c r="G720" s="140"/>
      <c r="H720" s="140"/>
      <c r="I720" s="140"/>
      <c r="J720" s="140"/>
      <c r="K720" s="140"/>
      <c r="L720" s="140"/>
      <c r="M720" s="140"/>
      <c r="N720" s="140"/>
      <c r="O720" s="140"/>
      <c r="P720" s="140"/>
      <c r="Q720" s="140"/>
      <c r="R720" s="140"/>
      <c r="S720" s="140"/>
      <c r="T720" s="140"/>
    </row>
    <row r="721" spans="1:20" ht="13">
      <c r="A721" s="140"/>
      <c r="B721" s="140"/>
      <c r="C721" s="140"/>
      <c r="D721" s="140"/>
      <c r="E721" s="140"/>
      <c r="F721" s="140"/>
      <c r="G721" s="140"/>
      <c r="H721" s="140"/>
      <c r="I721" s="140"/>
      <c r="J721" s="140"/>
      <c r="K721" s="140"/>
      <c r="L721" s="140"/>
      <c r="M721" s="140"/>
      <c r="N721" s="140"/>
      <c r="O721" s="140"/>
      <c r="P721" s="140"/>
      <c r="Q721" s="140"/>
      <c r="R721" s="140"/>
      <c r="S721" s="140"/>
      <c r="T721" s="140"/>
    </row>
    <row r="722" spans="1:20" ht="13">
      <c r="A722" s="140"/>
      <c r="B722" s="140"/>
      <c r="C722" s="140"/>
      <c r="D722" s="140"/>
      <c r="E722" s="140"/>
      <c r="F722" s="140"/>
      <c r="G722" s="140"/>
      <c r="H722" s="140"/>
      <c r="I722" s="140"/>
      <c r="J722" s="140"/>
      <c r="K722" s="140"/>
      <c r="L722" s="140"/>
      <c r="M722" s="140"/>
      <c r="N722" s="140"/>
      <c r="O722" s="140"/>
      <c r="P722" s="140"/>
      <c r="Q722" s="140"/>
      <c r="R722" s="140"/>
      <c r="S722" s="140"/>
      <c r="T722" s="140"/>
    </row>
    <row r="723" spans="1:20" ht="13">
      <c r="A723" s="140"/>
      <c r="B723" s="140"/>
      <c r="C723" s="140"/>
      <c r="D723" s="140"/>
      <c r="E723" s="140"/>
      <c r="F723" s="140"/>
      <c r="G723" s="140"/>
      <c r="H723" s="140"/>
      <c r="I723" s="140"/>
      <c r="J723" s="140"/>
      <c r="K723" s="140"/>
      <c r="L723" s="140"/>
      <c r="M723" s="140"/>
      <c r="N723" s="140"/>
      <c r="O723" s="140"/>
      <c r="P723" s="140"/>
      <c r="Q723" s="140"/>
      <c r="R723" s="140"/>
      <c r="S723" s="140"/>
      <c r="T723" s="140"/>
    </row>
    <row r="724" spans="1:20" ht="13">
      <c r="A724" s="140"/>
      <c r="B724" s="140"/>
      <c r="C724" s="140"/>
      <c r="D724" s="140"/>
      <c r="E724" s="140"/>
      <c r="F724" s="140"/>
      <c r="G724" s="140"/>
      <c r="H724" s="140"/>
      <c r="I724" s="140"/>
      <c r="J724" s="140"/>
      <c r="K724" s="140"/>
      <c r="L724" s="140"/>
      <c r="M724" s="140"/>
      <c r="N724" s="140"/>
      <c r="O724" s="140"/>
      <c r="P724" s="140"/>
      <c r="Q724" s="140"/>
      <c r="R724" s="140"/>
      <c r="S724" s="140"/>
      <c r="T724" s="140"/>
    </row>
    <row r="725" spans="1:20" ht="13">
      <c r="A725" s="140"/>
      <c r="B725" s="140"/>
      <c r="C725" s="140"/>
      <c r="D725" s="140"/>
      <c r="E725" s="140"/>
      <c r="F725" s="140"/>
      <c r="G725" s="140"/>
      <c r="H725" s="140"/>
      <c r="I725" s="140"/>
      <c r="J725" s="140"/>
      <c r="K725" s="140"/>
      <c r="L725" s="140"/>
      <c r="M725" s="140"/>
      <c r="N725" s="140"/>
      <c r="O725" s="140"/>
      <c r="P725" s="140"/>
      <c r="Q725" s="140"/>
      <c r="R725" s="140"/>
      <c r="S725" s="140"/>
      <c r="T725" s="140"/>
    </row>
    <row r="726" spans="1:20" ht="13">
      <c r="A726" s="140"/>
      <c r="B726" s="140"/>
      <c r="C726" s="140"/>
      <c r="D726" s="140"/>
      <c r="E726" s="140"/>
      <c r="F726" s="140"/>
      <c r="G726" s="140"/>
      <c r="H726" s="140"/>
      <c r="I726" s="140"/>
      <c r="J726" s="140"/>
      <c r="K726" s="140"/>
      <c r="L726" s="140"/>
      <c r="M726" s="140"/>
      <c r="N726" s="140"/>
      <c r="O726" s="140"/>
      <c r="P726" s="140"/>
      <c r="Q726" s="140"/>
      <c r="R726" s="140"/>
      <c r="S726" s="140"/>
      <c r="T726" s="140"/>
    </row>
    <row r="727" spans="1:20" ht="13">
      <c r="A727" s="140"/>
      <c r="B727" s="140"/>
      <c r="C727" s="140"/>
      <c r="D727" s="140"/>
      <c r="E727" s="140"/>
      <c r="F727" s="140"/>
      <c r="G727" s="140"/>
      <c r="H727" s="140"/>
      <c r="I727" s="140"/>
      <c r="J727" s="140"/>
      <c r="K727" s="140"/>
      <c r="L727" s="140"/>
      <c r="M727" s="140"/>
      <c r="N727" s="140"/>
      <c r="O727" s="140"/>
      <c r="P727" s="140"/>
      <c r="Q727" s="140"/>
      <c r="R727" s="140"/>
      <c r="S727" s="140"/>
      <c r="T727" s="140"/>
    </row>
    <row r="728" spans="1:20" ht="13">
      <c r="A728" s="140"/>
      <c r="B728" s="140"/>
      <c r="C728" s="140"/>
      <c r="D728" s="140"/>
      <c r="E728" s="140"/>
      <c r="F728" s="140"/>
      <c r="G728" s="140"/>
      <c r="H728" s="140"/>
      <c r="I728" s="140"/>
      <c r="J728" s="140"/>
      <c r="K728" s="140"/>
      <c r="L728" s="140"/>
      <c r="M728" s="140"/>
      <c r="N728" s="140"/>
      <c r="O728" s="140"/>
      <c r="P728" s="140"/>
      <c r="Q728" s="140"/>
      <c r="R728" s="140"/>
      <c r="S728" s="140"/>
      <c r="T728" s="140"/>
    </row>
    <row r="729" spans="1:20" ht="13">
      <c r="A729" s="140"/>
      <c r="B729" s="140"/>
      <c r="C729" s="140"/>
      <c r="D729" s="140"/>
      <c r="E729" s="140"/>
      <c r="F729" s="140"/>
      <c r="G729" s="140"/>
      <c r="H729" s="140"/>
      <c r="I729" s="140"/>
      <c r="J729" s="140"/>
      <c r="K729" s="140"/>
      <c r="L729" s="140"/>
      <c r="M729" s="140"/>
      <c r="N729" s="140"/>
      <c r="O729" s="140"/>
      <c r="P729" s="140"/>
      <c r="Q729" s="140"/>
      <c r="R729" s="140"/>
      <c r="S729" s="140"/>
      <c r="T729" s="140"/>
    </row>
    <row r="730" spans="1:20" ht="13">
      <c r="A730" s="140"/>
      <c r="B730" s="140"/>
      <c r="C730" s="140"/>
      <c r="D730" s="140"/>
      <c r="E730" s="140"/>
      <c r="F730" s="140"/>
      <c r="G730" s="140"/>
      <c r="H730" s="140"/>
      <c r="I730" s="140"/>
      <c r="J730" s="140"/>
      <c r="K730" s="140"/>
      <c r="L730" s="140"/>
      <c r="M730" s="140"/>
      <c r="N730" s="140"/>
      <c r="O730" s="140"/>
      <c r="P730" s="140"/>
      <c r="Q730" s="140"/>
      <c r="R730" s="140"/>
      <c r="S730" s="140"/>
      <c r="T730" s="140"/>
    </row>
    <row r="731" spans="1:20" ht="13">
      <c r="A731" s="140"/>
      <c r="B731" s="140"/>
      <c r="C731" s="140"/>
      <c r="D731" s="140"/>
      <c r="E731" s="140"/>
      <c r="F731" s="140"/>
      <c r="G731" s="140"/>
      <c r="H731" s="140"/>
      <c r="I731" s="140"/>
      <c r="J731" s="140"/>
      <c r="K731" s="140"/>
      <c r="L731" s="140"/>
      <c r="M731" s="140"/>
      <c r="N731" s="140"/>
      <c r="O731" s="140"/>
      <c r="P731" s="140"/>
      <c r="Q731" s="140"/>
      <c r="R731" s="140"/>
      <c r="S731" s="140"/>
      <c r="T731" s="140"/>
    </row>
    <row r="732" spans="1:20" ht="13">
      <c r="A732" s="140"/>
      <c r="B732" s="140"/>
      <c r="C732" s="140"/>
      <c r="D732" s="140"/>
      <c r="E732" s="140"/>
      <c r="F732" s="140"/>
      <c r="G732" s="140"/>
      <c r="H732" s="140"/>
      <c r="I732" s="140"/>
      <c r="J732" s="140"/>
      <c r="K732" s="140"/>
      <c r="L732" s="140"/>
      <c r="M732" s="140"/>
      <c r="N732" s="140"/>
      <c r="O732" s="140"/>
      <c r="P732" s="140"/>
      <c r="Q732" s="140"/>
      <c r="R732" s="140"/>
      <c r="S732" s="140"/>
      <c r="T732" s="140"/>
    </row>
    <row r="733" spans="1:20" ht="13">
      <c r="A733" s="140"/>
      <c r="B733" s="140"/>
      <c r="C733" s="140"/>
      <c r="D733" s="140"/>
      <c r="E733" s="140"/>
      <c r="F733" s="140"/>
      <c r="G733" s="140"/>
      <c r="H733" s="140"/>
      <c r="I733" s="140"/>
      <c r="J733" s="140"/>
      <c r="K733" s="140"/>
      <c r="L733" s="140"/>
      <c r="M733" s="140"/>
      <c r="N733" s="140"/>
      <c r="O733" s="140"/>
      <c r="P733" s="140"/>
      <c r="Q733" s="140"/>
      <c r="R733" s="140"/>
      <c r="S733" s="140"/>
      <c r="T733" s="140"/>
    </row>
    <row r="734" spans="1:20" ht="13">
      <c r="A734" s="140"/>
      <c r="B734" s="140"/>
      <c r="C734" s="140"/>
      <c r="D734" s="140"/>
      <c r="E734" s="140"/>
      <c r="F734" s="140"/>
      <c r="G734" s="140"/>
      <c r="H734" s="140"/>
      <c r="I734" s="140"/>
      <c r="J734" s="140"/>
      <c r="K734" s="140"/>
      <c r="L734" s="140"/>
      <c r="M734" s="140"/>
      <c r="N734" s="140"/>
      <c r="O734" s="140"/>
      <c r="P734" s="140"/>
      <c r="Q734" s="140"/>
      <c r="R734" s="140"/>
      <c r="S734" s="140"/>
      <c r="T734" s="140"/>
    </row>
    <row r="735" spans="1:20" ht="13">
      <c r="A735" s="140"/>
      <c r="B735" s="140"/>
      <c r="C735" s="140"/>
      <c r="D735" s="140"/>
      <c r="E735" s="140"/>
      <c r="F735" s="140"/>
      <c r="G735" s="140"/>
      <c r="H735" s="140"/>
      <c r="I735" s="140"/>
      <c r="J735" s="140"/>
      <c r="K735" s="140"/>
      <c r="L735" s="140"/>
      <c r="M735" s="140"/>
      <c r="N735" s="140"/>
      <c r="O735" s="140"/>
      <c r="P735" s="140"/>
      <c r="Q735" s="140"/>
      <c r="R735" s="140"/>
      <c r="S735" s="140"/>
      <c r="T735" s="140"/>
    </row>
    <row r="736" spans="1:20" ht="13">
      <c r="A736" s="140"/>
      <c r="B736" s="140"/>
      <c r="C736" s="140"/>
      <c r="D736" s="140"/>
      <c r="E736" s="140"/>
      <c r="F736" s="140"/>
      <c r="G736" s="140"/>
      <c r="H736" s="140"/>
      <c r="I736" s="140"/>
      <c r="J736" s="140"/>
      <c r="K736" s="140"/>
      <c r="L736" s="140"/>
      <c r="M736" s="140"/>
      <c r="N736" s="140"/>
      <c r="O736" s="140"/>
      <c r="P736" s="140"/>
      <c r="Q736" s="140"/>
      <c r="R736" s="140"/>
      <c r="S736" s="140"/>
      <c r="T736" s="140"/>
    </row>
    <row r="737" spans="1:20" ht="13">
      <c r="A737" s="140"/>
      <c r="B737" s="140"/>
      <c r="C737" s="140"/>
      <c r="D737" s="140"/>
      <c r="E737" s="140"/>
      <c r="F737" s="140"/>
      <c r="G737" s="140"/>
      <c r="H737" s="140"/>
      <c r="I737" s="140"/>
      <c r="J737" s="140"/>
      <c r="K737" s="140"/>
      <c r="L737" s="140"/>
      <c r="M737" s="140"/>
      <c r="N737" s="140"/>
      <c r="O737" s="140"/>
      <c r="P737" s="140"/>
      <c r="Q737" s="140"/>
      <c r="R737" s="140"/>
      <c r="S737" s="140"/>
      <c r="T737" s="140"/>
    </row>
    <row r="738" spans="1:20" ht="13">
      <c r="A738" s="140"/>
      <c r="B738" s="140"/>
      <c r="C738" s="140"/>
      <c r="D738" s="140"/>
      <c r="E738" s="140"/>
      <c r="F738" s="140"/>
      <c r="G738" s="140"/>
      <c r="H738" s="140"/>
      <c r="I738" s="140"/>
      <c r="J738" s="140"/>
      <c r="K738" s="140"/>
      <c r="L738" s="140"/>
      <c r="M738" s="140"/>
      <c r="N738" s="140"/>
      <c r="O738" s="140"/>
      <c r="P738" s="140"/>
      <c r="Q738" s="140"/>
      <c r="R738" s="140"/>
      <c r="S738" s="140"/>
      <c r="T738" s="140"/>
    </row>
    <row r="739" spans="1:20" ht="13">
      <c r="A739" s="140"/>
      <c r="B739" s="140"/>
      <c r="C739" s="140"/>
      <c r="D739" s="140"/>
      <c r="E739" s="140"/>
      <c r="F739" s="140"/>
      <c r="G739" s="140"/>
      <c r="H739" s="140"/>
      <c r="I739" s="140"/>
      <c r="J739" s="140"/>
      <c r="K739" s="140"/>
      <c r="L739" s="140"/>
      <c r="M739" s="140"/>
      <c r="N739" s="140"/>
      <c r="O739" s="140"/>
      <c r="P739" s="140"/>
      <c r="Q739" s="140"/>
      <c r="R739" s="140"/>
      <c r="S739" s="140"/>
      <c r="T739" s="140"/>
    </row>
    <row r="740" spans="1:20" ht="13">
      <c r="A740" s="140"/>
      <c r="B740" s="140"/>
      <c r="C740" s="140"/>
      <c r="D740" s="140"/>
      <c r="E740" s="140"/>
      <c r="F740" s="140"/>
      <c r="G740" s="140"/>
      <c r="H740" s="140"/>
      <c r="I740" s="140"/>
      <c r="J740" s="140"/>
      <c r="K740" s="140"/>
      <c r="L740" s="140"/>
      <c r="M740" s="140"/>
      <c r="N740" s="140"/>
      <c r="O740" s="140"/>
      <c r="P740" s="140"/>
      <c r="Q740" s="140"/>
      <c r="R740" s="140"/>
      <c r="S740" s="140"/>
      <c r="T740" s="140"/>
    </row>
    <row r="741" spans="1:20" ht="13">
      <c r="A741" s="140"/>
      <c r="B741" s="140"/>
      <c r="C741" s="140"/>
      <c r="D741" s="140"/>
      <c r="E741" s="140"/>
      <c r="F741" s="140"/>
      <c r="G741" s="140"/>
      <c r="H741" s="140"/>
      <c r="I741" s="140"/>
      <c r="J741" s="140"/>
      <c r="K741" s="140"/>
      <c r="L741" s="140"/>
      <c r="M741" s="140"/>
      <c r="N741" s="140"/>
      <c r="O741" s="140"/>
      <c r="P741" s="140"/>
      <c r="Q741" s="140"/>
      <c r="R741" s="140"/>
      <c r="S741" s="140"/>
      <c r="T741" s="140"/>
    </row>
    <row r="742" spans="1:20" ht="13">
      <c r="A742" s="140"/>
      <c r="B742" s="140"/>
      <c r="C742" s="140"/>
      <c r="D742" s="140"/>
      <c r="E742" s="140"/>
      <c r="F742" s="140"/>
      <c r="G742" s="140"/>
      <c r="H742" s="140"/>
      <c r="I742" s="140"/>
      <c r="J742" s="140"/>
      <c r="K742" s="140"/>
      <c r="L742" s="140"/>
      <c r="M742" s="140"/>
      <c r="N742" s="140"/>
      <c r="O742" s="140"/>
      <c r="P742" s="140"/>
      <c r="Q742" s="140"/>
      <c r="R742" s="140"/>
      <c r="S742" s="140"/>
      <c r="T742" s="140"/>
    </row>
    <row r="743" spans="1:20" ht="13">
      <c r="A743" s="140"/>
      <c r="B743" s="140"/>
      <c r="C743" s="140"/>
      <c r="D743" s="140"/>
      <c r="E743" s="140"/>
      <c r="F743" s="140"/>
      <c r="G743" s="140"/>
      <c r="H743" s="140"/>
      <c r="I743" s="140"/>
      <c r="J743" s="140"/>
      <c r="K743" s="140"/>
      <c r="L743" s="140"/>
      <c r="M743" s="140"/>
      <c r="N743" s="140"/>
      <c r="O743" s="140"/>
      <c r="P743" s="140"/>
      <c r="Q743" s="140"/>
      <c r="R743" s="140"/>
      <c r="S743" s="140"/>
      <c r="T743" s="140"/>
    </row>
    <row r="744" spans="1:20" ht="13">
      <c r="A744" s="140"/>
      <c r="B744" s="140"/>
      <c r="C744" s="140"/>
      <c r="D744" s="140"/>
      <c r="E744" s="140"/>
      <c r="F744" s="140"/>
      <c r="G744" s="140"/>
      <c r="H744" s="140"/>
      <c r="I744" s="140"/>
      <c r="J744" s="140"/>
      <c r="K744" s="140"/>
      <c r="L744" s="140"/>
      <c r="M744" s="140"/>
      <c r="N744" s="140"/>
      <c r="O744" s="140"/>
      <c r="P744" s="140"/>
      <c r="Q744" s="140"/>
      <c r="R744" s="140"/>
      <c r="S744" s="140"/>
      <c r="T744" s="140"/>
    </row>
    <row r="745" spans="1:20" ht="13">
      <c r="A745" s="140"/>
      <c r="B745" s="140"/>
      <c r="C745" s="140"/>
      <c r="D745" s="140"/>
      <c r="E745" s="140"/>
      <c r="F745" s="140"/>
      <c r="G745" s="140"/>
      <c r="H745" s="140"/>
      <c r="I745" s="140"/>
      <c r="J745" s="140"/>
      <c r="K745" s="140"/>
      <c r="L745" s="140"/>
      <c r="M745" s="140"/>
      <c r="N745" s="140"/>
      <c r="O745" s="140"/>
      <c r="P745" s="140"/>
      <c r="Q745" s="140"/>
      <c r="R745" s="140"/>
      <c r="S745" s="140"/>
      <c r="T745" s="140"/>
    </row>
    <row r="746" spans="1:20" ht="13">
      <c r="A746" s="140"/>
      <c r="B746" s="140"/>
      <c r="C746" s="140"/>
      <c r="D746" s="140"/>
      <c r="E746" s="140"/>
      <c r="F746" s="140"/>
      <c r="G746" s="140"/>
      <c r="H746" s="140"/>
      <c r="I746" s="140"/>
      <c r="J746" s="140"/>
      <c r="K746" s="140"/>
      <c r="L746" s="140"/>
      <c r="M746" s="140"/>
      <c r="N746" s="140"/>
      <c r="O746" s="140"/>
      <c r="P746" s="140"/>
      <c r="Q746" s="140"/>
      <c r="R746" s="140"/>
      <c r="S746" s="140"/>
      <c r="T746" s="140"/>
    </row>
    <row r="747" spans="1:20" ht="13">
      <c r="A747" s="140"/>
      <c r="B747" s="140"/>
      <c r="C747" s="140"/>
      <c r="D747" s="140"/>
      <c r="E747" s="140"/>
      <c r="F747" s="140"/>
      <c r="G747" s="140"/>
      <c r="H747" s="140"/>
      <c r="I747" s="140"/>
      <c r="J747" s="140"/>
      <c r="K747" s="140"/>
      <c r="L747" s="140"/>
      <c r="M747" s="140"/>
      <c r="N747" s="140"/>
      <c r="O747" s="140"/>
      <c r="P747" s="140"/>
      <c r="Q747" s="140"/>
      <c r="R747" s="140"/>
      <c r="S747" s="140"/>
      <c r="T747" s="140"/>
    </row>
    <row r="748" spans="1:20" ht="13">
      <c r="A748" s="140"/>
      <c r="B748" s="140"/>
      <c r="C748" s="140"/>
      <c r="D748" s="140"/>
      <c r="E748" s="140"/>
      <c r="F748" s="140"/>
      <c r="G748" s="140"/>
      <c r="H748" s="140"/>
      <c r="I748" s="140"/>
      <c r="J748" s="140"/>
      <c r="K748" s="140"/>
      <c r="L748" s="140"/>
      <c r="M748" s="140"/>
      <c r="N748" s="140"/>
      <c r="O748" s="140"/>
      <c r="P748" s="140"/>
      <c r="Q748" s="140"/>
      <c r="R748" s="140"/>
      <c r="S748" s="140"/>
      <c r="T748" s="140"/>
    </row>
    <row r="749" spans="1:20" ht="13">
      <c r="A749" s="140"/>
      <c r="B749" s="140"/>
      <c r="C749" s="140"/>
      <c r="D749" s="140"/>
      <c r="E749" s="140"/>
      <c r="F749" s="140"/>
      <c r="G749" s="140"/>
      <c r="H749" s="140"/>
      <c r="I749" s="140"/>
      <c r="J749" s="140"/>
      <c r="K749" s="140"/>
      <c r="L749" s="140"/>
      <c r="M749" s="140"/>
      <c r="N749" s="140"/>
      <c r="O749" s="140"/>
      <c r="P749" s="140"/>
      <c r="Q749" s="140"/>
      <c r="R749" s="140"/>
      <c r="S749" s="140"/>
      <c r="T749" s="140"/>
    </row>
    <row r="750" spans="1:20" ht="13">
      <c r="A750" s="140"/>
      <c r="B750" s="140"/>
      <c r="C750" s="140"/>
      <c r="D750" s="140"/>
      <c r="E750" s="140"/>
      <c r="F750" s="140"/>
      <c r="G750" s="140"/>
      <c r="H750" s="140"/>
      <c r="I750" s="140"/>
      <c r="J750" s="140"/>
      <c r="K750" s="140"/>
      <c r="L750" s="140"/>
      <c r="M750" s="140"/>
      <c r="N750" s="140"/>
      <c r="O750" s="140"/>
      <c r="P750" s="140"/>
      <c r="Q750" s="140"/>
      <c r="R750" s="140"/>
      <c r="S750" s="140"/>
      <c r="T750" s="140"/>
    </row>
    <row r="751" spans="1:20" ht="13">
      <c r="A751" s="140"/>
      <c r="B751" s="140"/>
      <c r="C751" s="140"/>
      <c r="D751" s="140"/>
      <c r="E751" s="140"/>
      <c r="F751" s="140"/>
      <c r="G751" s="140"/>
      <c r="H751" s="140"/>
      <c r="I751" s="140"/>
      <c r="J751" s="140"/>
      <c r="K751" s="140"/>
      <c r="L751" s="140"/>
      <c r="M751" s="140"/>
      <c r="N751" s="140"/>
      <c r="O751" s="140"/>
      <c r="P751" s="140"/>
      <c r="Q751" s="140"/>
      <c r="R751" s="140"/>
      <c r="S751" s="140"/>
      <c r="T751" s="140"/>
    </row>
    <row r="752" spans="1:20" ht="13">
      <c r="A752" s="140"/>
      <c r="B752" s="140"/>
      <c r="C752" s="140"/>
      <c r="D752" s="140"/>
      <c r="E752" s="140"/>
      <c r="F752" s="140"/>
      <c r="G752" s="140"/>
      <c r="H752" s="140"/>
      <c r="I752" s="140"/>
      <c r="J752" s="140"/>
      <c r="K752" s="140"/>
      <c r="L752" s="140"/>
      <c r="M752" s="140"/>
      <c r="N752" s="140"/>
      <c r="O752" s="140"/>
      <c r="P752" s="140"/>
      <c r="Q752" s="140"/>
      <c r="R752" s="140"/>
      <c r="S752" s="140"/>
      <c r="T752" s="140"/>
    </row>
    <row r="753" spans="1:20" ht="13">
      <c r="A753" s="140"/>
      <c r="B753" s="140"/>
      <c r="C753" s="140"/>
      <c r="D753" s="140"/>
      <c r="E753" s="140"/>
      <c r="F753" s="140"/>
      <c r="G753" s="140"/>
      <c r="H753" s="140"/>
      <c r="I753" s="140"/>
      <c r="J753" s="140"/>
      <c r="K753" s="140"/>
      <c r="L753" s="140"/>
      <c r="M753" s="140"/>
      <c r="N753" s="140"/>
      <c r="O753" s="140"/>
      <c r="P753" s="140"/>
      <c r="Q753" s="140"/>
      <c r="R753" s="140"/>
      <c r="S753" s="140"/>
      <c r="T753" s="140"/>
    </row>
    <row r="754" spans="1:20" ht="13">
      <c r="A754" s="140"/>
      <c r="B754" s="140"/>
      <c r="C754" s="140"/>
      <c r="D754" s="140"/>
      <c r="E754" s="140"/>
      <c r="F754" s="140"/>
      <c r="G754" s="140"/>
      <c r="H754" s="140"/>
      <c r="I754" s="140"/>
      <c r="J754" s="140"/>
      <c r="K754" s="140"/>
      <c r="L754" s="140"/>
      <c r="M754" s="140"/>
      <c r="N754" s="140"/>
      <c r="O754" s="140"/>
      <c r="P754" s="140"/>
      <c r="Q754" s="140"/>
      <c r="R754" s="140"/>
      <c r="S754" s="140"/>
      <c r="T754" s="140"/>
    </row>
    <row r="755" spans="1:20" ht="13">
      <c r="A755" s="140"/>
      <c r="B755" s="140"/>
      <c r="C755" s="140"/>
      <c r="D755" s="140"/>
      <c r="E755" s="140"/>
      <c r="F755" s="140"/>
      <c r="G755" s="140"/>
      <c r="H755" s="140"/>
      <c r="I755" s="140"/>
      <c r="J755" s="140"/>
      <c r="K755" s="140"/>
      <c r="L755" s="140"/>
      <c r="M755" s="140"/>
      <c r="N755" s="140"/>
      <c r="O755" s="140"/>
      <c r="P755" s="140"/>
      <c r="Q755" s="140"/>
      <c r="R755" s="140"/>
      <c r="S755" s="140"/>
      <c r="T755" s="140"/>
    </row>
    <row r="756" spans="1:20" ht="13">
      <c r="A756" s="140"/>
      <c r="B756" s="140"/>
      <c r="C756" s="140"/>
      <c r="D756" s="140"/>
      <c r="E756" s="140"/>
      <c r="F756" s="140"/>
      <c r="G756" s="140"/>
      <c r="H756" s="140"/>
      <c r="I756" s="140"/>
      <c r="J756" s="140"/>
      <c r="K756" s="140"/>
      <c r="L756" s="140"/>
      <c r="M756" s="140"/>
      <c r="N756" s="140"/>
      <c r="O756" s="140"/>
      <c r="P756" s="140"/>
      <c r="Q756" s="140"/>
      <c r="R756" s="140"/>
      <c r="S756" s="140"/>
      <c r="T756" s="140"/>
    </row>
    <row r="757" spans="1:20" ht="13">
      <c r="A757" s="140"/>
      <c r="B757" s="140"/>
      <c r="C757" s="140"/>
      <c r="D757" s="140"/>
      <c r="E757" s="140"/>
      <c r="F757" s="140"/>
      <c r="G757" s="140"/>
      <c r="H757" s="140"/>
      <c r="I757" s="140"/>
      <c r="J757" s="140"/>
      <c r="K757" s="140"/>
      <c r="L757" s="140"/>
      <c r="M757" s="140"/>
      <c r="N757" s="140"/>
      <c r="O757" s="140"/>
      <c r="P757" s="140"/>
      <c r="Q757" s="140"/>
      <c r="R757" s="140"/>
      <c r="S757" s="140"/>
      <c r="T757" s="140"/>
    </row>
    <row r="758" spans="1:20" ht="13">
      <c r="A758" s="140"/>
      <c r="B758" s="140"/>
      <c r="C758" s="140"/>
      <c r="D758" s="140"/>
      <c r="E758" s="140"/>
      <c r="F758" s="140"/>
      <c r="G758" s="140"/>
      <c r="H758" s="140"/>
      <c r="I758" s="140"/>
      <c r="J758" s="140"/>
      <c r="K758" s="140"/>
      <c r="L758" s="140"/>
      <c r="M758" s="140"/>
      <c r="N758" s="140"/>
      <c r="O758" s="140"/>
      <c r="P758" s="140"/>
      <c r="Q758" s="140"/>
      <c r="R758" s="140"/>
      <c r="S758" s="140"/>
      <c r="T758" s="140"/>
    </row>
    <row r="759" spans="1:20" ht="13">
      <c r="A759" s="140"/>
      <c r="B759" s="140"/>
      <c r="C759" s="140"/>
      <c r="D759" s="140"/>
      <c r="E759" s="140"/>
      <c r="F759" s="140"/>
      <c r="G759" s="140"/>
      <c r="H759" s="140"/>
      <c r="I759" s="140"/>
      <c r="J759" s="140"/>
      <c r="K759" s="140"/>
      <c r="L759" s="140"/>
      <c r="M759" s="140"/>
      <c r="N759" s="140"/>
      <c r="O759" s="140"/>
      <c r="P759" s="140"/>
      <c r="Q759" s="140"/>
      <c r="R759" s="140"/>
      <c r="S759" s="140"/>
      <c r="T759" s="140"/>
    </row>
    <row r="760" spans="1:20" ht="13">
      <c r="A760" s="140"/>
      <c r="B760" s="140"/>
      <c r="C760" s="140"/>
      <c r="D760" s="140"/>
      <c r="E760" s="140"/>
      <c r="F760" s="140"/>
      <c r="G760" s="140"/>
      <c r="H760" s="140"/>
      <c r="I760" s="140"/>
      <c r="J760" s="140"/>
      <c r="K760" s="140"/>
      <c r="L760" s="140"/>
      <c r="M760" s="140"/>
      <c r="N760" s="140"/>
      <c r="O760" s="140"/>
      <c r="P760" s="140"/>
      <c r="Q760" s="140"/>
      <c r="R760" s="140"/>
      <c r="S760" s="140"/>
      <c r="T760" s="140"/>
    </row>
    <row r="761" spans="1:20" ht="13">
      <c r="A761" s="140"/>
      <c r="B761" s="140"/>
      <c r="C761" s="140"/>
      <c r="D761" s="140"/>
      <c r="E761" s="140"/>
      <c r="F761" s="140"/>
      <c r="G761" s="140"/>
      <c r="H761" s="140"/>
      <c r="I761" s="140"/>
      <c r="J761" s="140"/>
      <c r="K761" s="140"/>
      <c r="L761" s="140"/>
      <c r="M761" s="140"/>
      <c r="N761" s="140"/>
      <c r="O761" s="140"/>
      <c r="P761" s="140"/>
      <c r="Q761" s="140"/>
      <c r="R761" s="140"/>
      <c r="S761" s="140"/>
      <c r="T761" s="140"/>
    </row>
    <row r="762" spans="1:20" ht="13">
      <c r="A762" s="140"/>
      <c r="B762" s="140"/>
      <c r="C762" s="140"/>
      <c r="D762" s="140"/>
      <c r="E762" s="140"/>
      <c r="F762" s="140"/>
      <c r="G762" s="140"/>
      <c r="H762" s="140"/>
      <c r="I762" s="140"/>
      <c r="J762" s="140"/>
      <c r="K762" s="140"/>
      <c r="L762" s="140"/>
      <c r="M762" s="140"/>
      <c r="N762" s="140"/>
      <c r="O762" s="140"/>
      <c r="P762" s="140"/>
      <c r="Q762" s="140"/>
      <c r="R762" s="140"/>
      <c r="S762" s="140"/>
      <c r="T762" s="140"/>
    </row>
    <row r="763" spans="1:20" ht="13">
      <c r="A763" s="140"/>
      <c r="B763" s="140"/>
      <c r="C763" s="140"/>
      <c r="D763" s="140"/>
      <c r="E763" s="140"/>
      <c r="F763" s="140"/>
      <c r="G763" s="140"/>
      <c r="H763" s="140"/>
      <c r="I763" s="140"/>
      <c r="J763" s="140"/>
      <c r="K763" s="140"/>
      <c r="L763" s="140"/>
      <c r="M763" s="140"/>
      <c r="N763" s="140"/>
      <c r="O763" s="140"/>
      <c r="P763" s="140"/>
      <c r="Q763" s="140"/>
      <c r="R763" s="140"/>
      <c r="S763" s="140"/>
      <c r="T763" s="140"/>
    </row>
    <row r="764" spans="1:20" ht="13">
      <c r="A764" s="140"/>
      <c r="B764" s="140"/>
      <c r="C764" s="140"/>
      <c r="D764" s="140"/>
      <c r="E764" s="140"/>
      <c r="F764" s="140"/>
      <c r="G764" s="140"/>
      <c r="H764" s="140"/>
      <c r="I764" s="140"/>
      <c r="J764" s="140"/>
      <c r="K764" s="140"/>
      <c r="L764" s="140"/>
      <c r="M764" s="140"/>
      <c r="N764" s="140"/>
      <c r="O764" s="140"/>
      <c r="P764" s="140"/>
      <c r="Q764" s="140"/>
      <c r="R764" s="140"/>
      <c r="S764" s="140"/>
      <c r="T764" s="140"/>
    </row>
    <row r="765" spans="1:20" ht="13">
      <c r="A765" s="140"/>
      <c r="B765" s="140"/>
      <c r="C765" s="140"/>
      <c r="D765" s="140"/>
      <c r="E765" s="140"/>
      <c r="F765" s="140"/>
      <c r="G765" s="140"/>
      <c r="H765" s="140"/>
      <c r="I765" s="140"/>
      <c r="J765" s="140"/>
      <c r="K765" s="140"/>
      <c r="L765" s="140"/>
      <c r="M765" s="140"/>
      <c r="N765" s="140"/>
      <c r="O765" s="140"/>
      <c r="P765" s="140"/>
      <c r="Q765" s="140"/>
      <c r="R765" s="140"/>
      <c r="S765" s="140"/>
      <c r="T765" s="140"/>
    </row>
    <row r="766" spans="1:20" ht="13">
      <c r="A766" s="140"/>
      <c r="B766" s="140"/>
      <c r="C766" s="140"/>
      <c r="D766" s="140"/>
      <c r="E766" s="140"/>
      <c r="F766" s="140"/>
      <c r="G766" s="140"/>
      <c r="H766" s="140"/>
      <c r="I766" s="140"/>
      <c r="J766" s="140"/>
      <c r="K766" s="140"/>
      <c r="L766" s="140"/>
      <c r="M766" s="140"/>
      <c r="N766" s="140"/>
      <c r="O766" s="140"/>
      <c r="P766" s="140"/>
      <c r="Q766" s="140"/>
      <c r="R766" s="140"/>
      <c r="S766" s="140"/>
      <c r="T766" s="140"/>
    </row>
    <row r="767" spans="1:20" ht="13">
      <c r="A767" s="140"/>
      <c r="B767" s="140"/>
      <c r="C767" s="140"/>
      <c r="D767" s="140"/>
      <c r="E767" s="140"/>
      <c r="F767" s="140"/>
      <c r="G767" s="140"/>
      <c r="H767" s="140"/>
      <c r="I767" s="140"/>
      <c r="J767" s="140"/>
      <c r="K767" s="140"/>
      <c r="L767" s="140"/>
      <c r="M767" s="140"/>
      <c r="N767" s="140"/>
      <c r="O767" s="140"/>
      <c r="P767" s="140"/>
      <c r="Q767" s="140"/>
      <c r="R767" s="140"/>
      <c r="S767" s="140"/>
      <c r="T767" s="140"/>
    </row>
    <row r="768" spans="1:20" ht="13">
      <c r="A768" s="140"/>
      <c r="B768" s="140"/>
      <c r="C768" s="140"/>
      <c r="D768" s="140"/>
      <c r="E768" s="140"/>
      <c r="F768" s="140"/>
      <c r="G768" s="140"/>
      <c r="H768" s="140"/>
      <c r="I768" s="140"/>
      <c r="J768" s="140"/>
      <c r="K768" s="140"/>
      <c r="L768" s="140"/>
      <c r="M768" s="140"/>
      <c r="N768" s="140"/>
      <c r="O768" s="140"/>
      <c r="P768" s="140"/>
      <c r="Q768" s="140"/>
      <c r="R768" s="140"/>
      <c r="S768" s="140"/>
      <c r="T768" s="140"/>
    </row>
    <row r="769" spans="1:20" ht="13">
      <c r="A769" s="140"/>
      <c r="B769" s="140"/>
      <c r="C769" s="140"/>
      <c r="D769" s="140"/>
      <c r="E769" s="140"/>
      <c r="F769" s="140"/>
      <c r="G769" s="140"/>
      <c r="H769" s="140"/>
      <c r="I769" s="140"/>
      <c r="J769" s="140"/>
      <c r="K769" s="140"/>
      <c r="L769" s="140"/>
      <c r="M769" s="140"/>
      <c r="N769" s="140"/>
      <c r="O769" s="140"/>
      <c r="P769" s="140"/>
      <c r="Q769" s="140"/>
      <c r="R769" s="140"/>
      <c r="S769" s="140"/>
      <c r="T769" s="140"/>
    </row>
    <row r="770" spans="1:20" ht="13">
      <c r="A770" s="140"/>
      <c r="B770" s="140"/>
      <c r="C770" s="140"/>
      <c r="D770" s="140"/>
      <c r="E770" s="140"/>
      <c r="F770" s="140"/>
      <c r="G770" s="140"/>
      <c r="H770" s="140"/>
      <c r="I770" s="140"/>
      <c r="J770" s="140"/>
      <c r="K770" s="140"/>
      <c r="L770" s="140"/>
      <c r="M770" s="140"/>
      <c r="N770" s="140"/>
      <c r="O770" s="140"/>
      <c r="P770" s="140"/>
      <c r="Q770" s="140"/>
      <c r="R770" s="140"/>
      <c r="S770" s="140"/>
      <c r="T770" s="140"/>
    </row>
    <row r="771" spans="1:20" ht="13">
      <c r="A771" s="140"/>
      <c r="B771" s="140"/>
      <c r="C771" s="140"/>
      <c r="D771" s="140"/>
      <c r="E771" s="140"/>
      <c r="F771" s="140"/>
      <c r="G771" s="140"/>
      <c r="H771" s="140"/>
      <c r="I771" s="140"/>
      <c r="J771" s="140"/>
      <c r="K771" s="140"/>
      <c r="L771" s="140"/>
      <c r="M771" s="140"/>
      <c r="N771" s="140"/>
      <c r="O771" s="140"/>
      <c r="P771" s="140"/>
      <c r="Q771" s="140"/>
      <c r="R771" s="140"/>
      <c r="S771" s="140"/>
      <c r="T771" s="140"/>
    </row>
    <row r="772" spans="1:20" ht="13">
      <c r="A772" s="140"/>
      <c r="B772" s="140"/>
      <c r="C772" s="140"/>
      <c r="D772" s="140"/>
      <c r="E772" s="140"/>
      <c r="F772" s="140"/>
      <c r="G772" s="140"/>
      <c r="H772" s="140"/>
      <c r="I772" s="140"/>
      <c r="J772" s="140"/>
      <c r="K772" s="140"/>
      <c r="L772" s="140"/>
      <c r="M772" s="140"/>
      <c r="N772" s="140"/>
      <c r="O772" s="140"/>
      <c r="P772" s="140"/>
      <c r="Q772" s="140"/>
      <c r="R772" s="140"/>
      <c r="S772" s="140"/>
      <c r="T772" s="140"/>
    </row>
    <row r="773" spans="1:20" ht="13">
      <c r="A773" s="140"/>
      <c r="B773" s="140"/>
      <c r="C773" s="140"/>
      <c r="D773" s="140"/>
      <c r="E773" s="140"/>
      <c r="F773" s="140"/>
      <c r="G773" s="140"/>
      <c r="H773" s="140"/>
      <c r="I773" s="140"/>
      <c r="J773" s="140"/>
      <c r="K773" s="140"/>
      <c r="L773" s="140"/>
      <c r="M773" s="140"/>
      <c r="N773" s="140"/>
      <c r="O773" s="140"/>
      <c r="P773" s="140"/>
      <c r="Q773" s="140"/>
      <c r="R773" s="140"/>
      <c r="S773" s="140"/>
      <c r="T773" s="140"/>
    </row>
    <row r="774" spans="1:20" ht="13">
      <c r="A774" s="140"/>
      <c r="B774" s="140"/>
      <c r="C774" s="140"/>
      <c r="D774" s="140"/>
      <c r="E774" s="140"/>
      <c r="F774" s="140"/>
      <c r="G774" s="140"/>
      <c r="H774" s="140"/>
      <c r="I774" s="140"/>
      <c r="J774" s="140"/>
      <c r="K774" s="140"/>
      <c r="L774" s="140"/>
      <c r="M774" s="140"/>
      <c r="N774" s="140"/>
      <c r="O774" s="140"/>
      <c r="P774" s="140"/>
      <c r="Q774" s="140"/>
      <c r="R774" s="140"/>
      <c r="S774" s="140"/>
      <c r="T774" s="140"/>
    </row>
    <row r="775" spans="1:20" ht="13">
      <c r="A775" s="140"/>
      <c r="B775" s="140"/>
      <c r="C775" s="140"/>
      <c r="D775" s="140"/>
      <c r="E775" s="140"/>
      <c r="F775" s="140"/>
      <c r="G775" s="140"/>
      <c r="H775" s="140"/>
      <c r="I775" s="140"/>
      <c r="J775" s="140"/>
      <c r="K775" s="140"/>
      <c r="L775" s="140"/>
      <c r="M775" s="140"/>
      <c r="N775" s="140"/>
      <c r="O775" s="140"/>
      <c r="P775" s="140"/>
      <c r="Q775" s="140"/>
      <c r="R775" s="140"/>
      <c r="S775" s="140"/>
      <c r="T775" s="140"/>
    </row>
    <row r="776" spans="1:20" ht="13">
      <c r="A776" s="140"/>
      <c r="B776" s="140"/>
      <c r="C776" s="140"/>
      <c r="D776" s="140"/>
      <c r="E776" s="140"/>
      <c r="F776" s="140"/>
      <c r="G776" s="140"/>
      <c r="H776" s="140"/>
      <c r="I776" s="140"/>
      <c r="J776" s="140"/>
      <c r="K776" s="140"/>
      <c r="L776" s="140"/>
      <c r="M776" s="140"/>
      <c r="N776" s="140"/>
      <c r="O776" s="140"/>
      <c r="P776" s="140"/>
      <c r="Q776" s="140"/>
      <c r="R776" s="140"/>
      <c r="S776" s="140"/>
      <c r="T776" s="140"/>
    </row>
    <row r="777" spans="1:20" ht="13">
      <c r="A777" s="140"/>
      <c r="B777" s="140"/>
      <c r="C777" s="140"/>
      <c r="D777" s="140"/>
      <c r="E777" s="140"/>
      <c r="F777" s="140"/>
      <c r="G777" s="140"/>
      <c r="H777" s="140"/>
      <c r="I777" s="140"/>
      <c r="J777" s="140"/>
      <c r="K777" s="140"/>
      <c r="L777" s="140"/>
      <c r="M777" s="140"/>
      <c r="N777" s="140"/>
      <c r="O777" s="140"/>
      <c r="P777" s="140"/>
      <c r="Q777" s="140"/>
      <c r="R777" s="140"/>
      <c r="S777" s="140"/>
      <c r="T777" s="140"/>
    </row>
    <row r="778" spans="1:20" ht="13">
      <c r="A778" s="140"/>
      <c r="B778" s="140"/>
      <c r="C778" s="140"/>
      <c r="D778" s="140"/>
      <c r="E778" s="140"/>
      <c r="F778" s="140"/>
      <c r="G778" s="140"/>
      <c r="H778" s="140"/>
      <c r="I778" s="140"/>
      <c r="J778" s="140"/>
      <c r="K778" s="140"/>
      <c r="L778" s="140"/>
      <c r="M778" s="140"/>
      <c r="N778" s="140"/>
      <c r="O778" s="140"/>
      <c r="P778" s="140"/>
      <c r="Q778" s="140"/>
      <c r="R778" s="140"/>
      <c r="S778" s="140"/>
      <c r="T778" s="140"/>
    </row>
    <row r="779" spans="1:20" ht="13">
      <c r="A779" s="140"/>
      <c r="B779" s="140"/>
      <c r="C779" s="140"/>
      <c r="D779" s="140"/>
      <c r="E779" s="140"/>
      <c r="F779" s="140"/>
      <c r="G779" s="140"/>
      <c r="H779" s="140"/>
      <c r="I779" s="140"/>
      <c r="J779" s="140"/>
      <c r="K779" s="140"/>
      <c r="L779" s="140"/>
      <c r="M779" s="140"/>
      <c r="N779" s="140"/>
      <c r="O779" s="140"/>
      <c r="P779" s="140"/>
      <c r="Q779" s="140"/>
      <c r="R779" s="140"/>
      <c r="S779" s="140"/>
      <c r="T779" s="140"/>
    </row>
    <row r="780" spans="1:20" ht="13">
      <c r="A780" s="140"/>
      <c r="B780" s="140"/>
      <c r="C780" s="140"/>
      <c r="D780" s="140"/>
      <c r="E780" s="140"/>
      <c r="F780" s="140"/>
      <c r="G780" s="140"/>
      <c r="H780" s="140"/>
      <c r="I780" s="140"/>
      <c r="J780" s="140"/>
      <c r="K780" s="140"/>
      <c r="L780" s="140"/>
      <c r="M780" s="140"/>
      <c r="N780" s="140"/>
      <c r="O780" s="140"/>
      <c r="P780" s="140"/>
      <c r="Q780" s="140"/>
      <c r="R780" s="140"/>
      <c r="S780" s="140"/>
      <c r="T780" s="140"/>
    </row>
    <row r="781" spans="1:20" ht="13">
      <c r="A781" s="140"/>
      <c r="B781" s="140"/>
      <c r="C781" s="140"/>
      <c r="D781" s="140"/>
      <c r="E781" s="140"/>
      <c r="F781" s="140"/>
      <c r="G781" s="140"/>
      <c r="H781" s="140"/>
      <c r="I781" s="140"/>
      <c r="J781" s="140"/>
      <c r="K781" s="140"/>
      <c r="L781" s="140"/>
      <c r="M781" s="140"/>
      <c r="N781" s="140"/>
      <c r="O781" s="140"/>
      <c r="P781" s="140"/>
      <c r="Q781" s="140"/>
      <c r="R781" s="140"/>
      <c r="S781" s="140"/>
      <c r="T781" s="140"/>
    </row>
    <row r="782" spans="1:20" ht="13">
      <c r="A782" s="140"/>
      <c r="B782" s="140"/>
      <c r="C782" s="140"/>
      <c r="D782" s="140"/>
      <c r="E782" s="140"/>
      <c r="F782" s="140"/>
      <c r="G782" s="140"/>
      <c r="H782" s="140"/>
      <c r="I782" s="140"/>
      <c r="J782" s="140"/>
      <c r="K782" s="140"/>
      <c r="L782" s="140"/>
      <c r="M782" s="140"/>
      <c r="N782" s="140"/>
      <c r="O782" s="140"/>
      <c r="P782" s="140"/>
      <c r="Q782" s="140"/>
      <c r="R782" s="140"/>
      <c r="S782" s="140"/>
      <c r="T782" s="140"/>
    </row>
    <row r="783" spans="1:20" ht="13">
      <c r="A783" s="140"/>
      <c r="B783" s="140"/>
      <c r="C783" s="140"/>
      <c r="D783" s="140"/>
      <c r="E783" s="140"/>
      <c r="F783" s="140"/>
      <c r="G783" s="140"/>
      <c r="H783" s="140"/>
      <c r="I783" s="140"/>
      <c r="J783" s="140"/>
      <c r="K783" s="140"/>
      <c r="L783" s="140"/>
      <c r="M783" s="140"/>
      <c r="N783" s="140"/>
      <c r="O783" s="140"/>
      <c r="P783" s="140"/>
      <c r="Q783" s="140"/>
      <c r="R783" s="140"/>
      <c r="S783" s="140"/>
      <c r="T783" s="140"/>
    </row>
    <row r="784" spans="1:20" ht="13">
      <c r="A784" s="140"/>
      <c r="B784" s="140"/>
      <c r="C784" s="140"/>
      <c r="D784" s="140"/>
      <c r="E784" s="140"/>
      <c r="F784" s="140"/>
      <c r="G784" s="140"/>
      <c r="H784" s="140"/>
      <c r="I784" s="140"/>
      <c r="J784" s="140"/>
      <c r="K784" s="140"/>
      <c r="L784" s="140"/>
      <c r="M784" s="140"/>
      <c r="N784" s="140"/>
      <c r="O784" s="140"/>
      <c r="P784" s="140"/>
      <c r="Q784" s="140"/>
      <c r="R784" s="140"/>
      <c r="S784" s="140"/>
      <c r="T784" s="140"/>
    </row>
    <row r="785" spans="1:20" ht="13">
      <c r="A785" s="140"/>
      <c r="B785" s="140"/>
      <c r="C785" s="140"/>
      <c r="D785" s="140"/>
      <c r="E785" s="140"/>
      <c r="F785" s="140"/>
      <c r="G785" s="140"/>
      <c r="H785" s="140"/>
      <c r="I785" s="140"/>
      <c r="J785" s="140"/>
      <c r="K785" s="140"/>
      <c r="L785" s="140"/>
      <c r="M785" s="140"/>
      <c r="N785" s="140"/>
      <c r="O785" s="140"/>
      <c r="P785" s="140"/>
      <c r="Q785" s="140"/>
      <c r="R785" s="140"/>
      <c r="S785" s="140"/>
      <c r="T785" s="140"/>
    </row>
    <row r="786" spans="1:20" ht="13">
      <c r="A786" s="140"/>
      <c r="B786" s="140"/>
      <c r="C786" s="140"/>
      <c r="D786" s="140"/>
      <c r="E786" s="140"/>
      <c r="F786" s="140"/>
      <c r="G786" s="140"/>
      <c r="H786" s="140"/>
      <c r="I786" s="140"/>
      <c r="J786" s="140"/>
      <c r="K786" s="140"/>
      <c r="L786" s="140"/>
      <c r="M786" s="140"/>
      <c r="N786" s="140"/>
      <c r="O786" s="140"/>
      <c r="P786" s="140"/>
      <c r="Q786" s="140"/>
      <c r="R786" s="140"/>
      <c r="S786" s="140"/>
      <c r="T786" s="140"/>
    </row>
    <row r="787" spans="1:20" ht="13">
      <c r="A787" s="140"/>
      <c r="B787" s="140"/>
      <c r="C787" s="140"/>
      <c r="D787" s="140"/>
      <c r="E787" s="140"/>
      <c r="F787" s="140"/>
      <c r="G787" s="140"/>
      <c r="H787" s="140"/>
      <c r="I787" s="140"/>
      <c r="J787" s="140"/>
      <c r="K787" s="140"/>
      <c r="L787" s="140"/>
      <c r="M787" s="140"/>
      <c r="N787" s="140"/>
      <c r="O787" s="140"/>
      <c r="P787" s="140"/>
      <c r="Q787" s="140"/>
      <c r="R787" s="140"/>
      <c r="S787" s="140"/>
      <c r="T787" s="140"/>
    </row>
    <row r="788" spans="1:20" ht="13">
      <c r="A788" s="140"/>
      <c r="B788" s="140"/>
      <c r="C788" s="140"/>
      <c r="D788" s="140"/>
      <c r="E788" s="140"/>
      <c r="F788" s="140"/>
      <c r="G788" s="140"/>
      <c r="H788" s="140"/>
      <c r="I788" s="140"/>
      <c r="J788" s="140"/>
      <c r="K788" s="140"/>
      <c r="L788" s="140"/>
      <c r="M788" s="140"/>
      <c r="N788" s="140"/>
      <c r="O788" s="140"/>
      <c r="P788" s="140"/>
      <c r="Q788" s="140"/>
      <c r="R788" s="140"/>
      <c r="S788" s="140"/>
      <c r="T788" s="140"/>
    </row>
    <row r="789" spans="1:20" ht="13">
      <c r="A789" s="140"/>
      <c r="B789" s="140"/>
      <c r="C789" s="140"/>
      <c r="D789" s="140"/>
      <c r="E789" s="140"/>
      <c r="F789" s="140"/>
      <c r="G789" s="140"/>
      <c r="H789" s="140"/>
      <c r="I789" s="140"/>
      <c r="J789" s="140"/>
      <c r="K789" s="140"/>
      <c r="L789" s="140"/>
      <c r="M789" s="140"/>
      <c r="N789" s="140"/>
      <c r="O789" s="140"/>
      <c r="P789" s="140"/>
      <c r="Q789" s="140"/>
      <c r="R789" s="140"/>
      <c r="S789" s="140"/>
      <c r="T789" s="140"/>
    </row>
    <row r="790" spans="1:20" ht="13">
      <c r="A790" s="140"/>
      <c r="B790" s="140"/>
      <c r="C790" s="140"/>
      <c r="D790" s="140"/>
      <c r="E790" s="140"/>
      <c r="F790" s="140"/>
      <c r="G790" s="140"/>
      <c r="H790" s="140"/>
      <c r="I790" s="140"/>
      <c r="J790" s="140"/>
      <c r="K790" s="140"/>
      <c r="L790" s="140"/>
      <c r="M790" s="140"/>
      <c r="N790" s="140"/>
      <c r="O790" s="140"/>
      <c r="P790" s="140"/>
      <c r="Q790" s="140"/>
      <c r="R790" s="140"/>
      <c r="S790" s="140"/>
      <c r="T790" s="140"/>
    </row>
    <row r="791" spans="1:20" ht="13">
      <c r="A791" s="140"/>
      <c r="B791" s="140"/>
      <c r="C791" s="140"/>
      <c r="D791" s="140"/>
      <c r="E791" s="140"/>
      <c r="F791" s="140"/>
      <c r="G791" s="140"/>
      <c r="H791" s="140"/>
      <c r="I791" s="140"/>
      <c r="J791" s="140"/>
      <c r="K791" s="140"/>
      <c r="L791" s="140"/>
      <c r="M791" s="140"/>
      <c r="N791" s="140"/>
      <c r="O791" s="140"/>
      <c r="P791" s="140"/>
      <c r="Q791" s="140"/>
      <c r="R791" s="140"/>
      <c r="S791" s="140"/>
      <c r="T791" s="140"/>
    </row>
    <row r="792" spans="1:20" ht="13">
      <c r="A792" s="140"/>
      <c r="B792" s="140"/>
      <c r="C792" s="140"/>
      <c r="D792" s="140"/>
      <c r="E792" s="140"/>
      <c r="F792" s="140"/>
      <c r="G792" s="140"/>
      <c r="H792" s="140"/>
      <c r="I792" s="140"/>
      <c r="J792" s="140"/>
      <c r="K792" s="140"/>
      <c r="L792" s="140"/>
      <c r="M792" s="140"/>
      <c r="N792" s="140"/>
      <c r="O792" s="140"/>
      <c r="P792" s="140"/>
      <c r="Q792" s="140"/>
      <c r="R792" s="140"/>
      <c r="S792" s="140"/>
      <c r="T792" s="140"/>
    </row>
    <row r="793" spans="1:20" ht="13">
      <c r="A793" s="140"/>
      <c r="B793" s="140"/>
      <c r="C793" s="140"/>
      <c r="D793" s="140"/>
      <c r="E793" s="140"/>
      <c r="F793" s="140"/>
      <c r="G793" s="140"/>
      <c r="H793" s="140"/>
      <c r="I793" s="140"/>
      <c r="J793" s="140"/>
      <c r="K793" s="140"/>
      <c r="L793" s="140"/>
      <c r="M793" s="140"/>
      <c r="N793" s="140"/>
      <c r="O793" s="140"/>
      <c r="P793" s="140"/>
      <c r="Q793" s="140"/>
      <c r="R793" s="140"/>
      <c r="S793" s="140"/>
      <c r="T793" s="140"/>
    </row>
    <row r="794" spans="1:20" ht="13">
      <c r="A794" s="140"/>
      <c r="B794" s="140"/>
      <c r="C794" s="140"/>
      <c r="D794" s="140"/>
      <c r="E794" s="140"/>
      <c r="F794" s="140"/>
      <c r="G794" s="140"/>
      <c r="H794" s="140"/>
      <c r="I794" s="140"/>
      <c r="J794" s="140"/>
      <c r="K794" s="140"/>
      <c r="L794" s="140"/>
      <c r="M794" s="140"/>
      <c r="N794" s="140"/>
      <c r="O794" s="140"/>
      <c r="P794" s="140"/>
      <c r="Q794" s="140"/>
      <c r="R794" s="140"/>
      <c r="S794" s="140"/>
      <c r="T794" s="140"/>
    </row>
    <row r="795" spans="1:20" ht="13">
      <c r="A795" s="140"/>
      <c r="B795" s="140"/>
      <c r="C795" s="140"/>
      <c r="D795" s="140"/>
      <c r="E795" s="140"/>
      <c r="F795" s="140"/>
      <c r="G795" s="140"/>
      <c r="H795" s="140"/>
      <c r="I795" s="140"/>
      <c r="J795" s="140"/>
      <c r="K795" s="140"/>
      <c r="L795" s="140"/>
      <c r="M795" s="140"/>
      <c r="N795" s="140"/>
      <c r="O795" s="140"/>
      <c r="P795" s="140"/>
      <c r="Q795" s="140"/>
      <c r="R795" s="140"/>
      <c r="S795" s="140"/>
      <c r="T795" s="140"/>
    </row>
    <row r="796" spans="1:20" ht="13">
      <c r="A796" s="140"/>
      <c r="B796" s="140"/>
      <c r="C796" s="140"/>
      <c r="D796" s="140"/>
      <c r="E796" s="140"/>
      <c r="F796" s="140"/>
      <c r="G796" s="140"/>
      <c r="H796" s="140"/>
      <c r="I796" s="140"/>
      <c r="J796" s="140"/>
      <c r="K796" s="140"/>
      <c r="L796" s="140"/>
      <c r="M796" s="140"/>
      <c r="N796" s="140"/>
      <c r="O796" s="140"/>
      <c r="P796" s="140"/>
      <c r="Q796" s="140"/>
      <c r="R796" s="140"/>
      <c r="S796" s="140"/>
      <c r="T796" s="140"/>
    </row>
    <row r="797" spans="1:20" ht="13">
      <c r="A797" s="140"/>
      <c r="B797" s="140"/>
      <c r="C797" s="140"/>
      <c r="D797" s="140"/>
      <c r="E797" s="140"/>
      <c r="F797" s="140"/>
      <c r="G797" s="140"/>
      <c r="H797" s="140"/>
      <c r="I797" s="140"/>
      <c r="J797" s="140"/>
      <c r="K797" s="140"/>
      <c r="L797" s="140"/>
      <c r="M797" s="140"/>
      <c r="N797" s="140"/>
      <c r="O797" s="140"/>
      <c r="P797" s="140"/>
      <c r="Q797" s="140"/>
      <c r="R797" s="140"/>
      <c r="S797" s="140"/>
      <c r="T797" s="140"/>
    </row>
    <row r="798" spans="1:20" ht="13">
      <c r="A798" s="140"/>
      <c r="B798" s="140"/>
      <c r="C798" s="140"/>
      <c r="D798" s="140"/>
      <c r="E798" s="140"/>
      <c r="F798" s="140"/>
      <c r="G798" s="140"/>
      <c r="H798" s="140"/>
      <c r="I798" s="140"/>
      <c r="J798" s="140"/>
      <c r="K798" s="140"/>
      <c r="L798" s="140"/>
      <c r="M798" s="140"/>
      <c r="N798" s="140"/>
      <c r="O798" s="140"/>
      <c r="P798" s="140"/>
      <c r="Q798" s="140"/>
      <c r="R798" s="140"/>
      <c r="S798" s="140"/>
      <c r="T798" s="140"/>
    </row>
    <row r="799" spans="1:20" ht="13">
      <c r="A799" s="140"/>
      <c r="B799" s="140"/>
      <c r="C799" s="140"/>
      <c r="D799" s="140"/>
      <c r="E799" s="140"/>
      <c r="F799" s="140"/>
      <c r="G799" s="140"/>
      <c r="H799" s="140"/>
      <c r="I799" s="140"/>
      <c r="J799" s="140"/>
      <c r="K799" s="140"/>
      <c r="L799" s="140"/>
      <c r="M799" s="140"/>
      <c r="N799" s="140"/>
      <c r="O799" s="140"/>
      <c r="P799" s="140"/>
      <c r="Q799" s="140"/>
      <c r="R799" s="140"/>
      <c r="S799" s="140"/>
      <c r="T799" s="140"/>
    </row>
    <row r="800" spans="1:20" ht="13">
      <c r="A800" s="140"/>
      <c r="B800" s="140"/>
      <c r="C800" s="140"/>
      <c r="D800" s="140"/>
      <c r="E800" s="140"/>
      <c r="F800" s="140"/>
      <c r="G800" s="140"/>
      <c r="H800" s="140"/>
      <c r="I800" s="140"/>
      <c r="J800" s="140"/>
      <c r="K800" s="140"/>
      <c r="L800" s="140"/>
      <c r="M800" s="140"/>
      <c r="N800" s="140"/>
      <c r="O800" s="140"/>
      <c r="P800" s="140"/>
      <c r="Q800" s="140"/>
      <c r="R800" s="140"/>
      <c r="S800" s="140"/>
      <c r="T800" s="140"/>
    </row>
    <row r="801" spans="1:20" ht="13">
      <c r="A801" s="140"/>
      <c r="B801" s="140"/>
      <c r="C801" s="140"/>
      <c r="D801" s="140"/>
      <c r="E801" s="140"/>
      <c r="F801" s="140"/>
      <c r="G801" s="140"/>
      <c r="H801" s="140"/>
      <c r="I801" s="140"/>
      <c r="J801" s="140"/>
      <c r="K801" s="140"/>
      <c r="L801" s="140"/>
      <c r="M801" s="140"/>
      <c r="N801" s="140"/>
      <c r="O801" s="140"/>
      <c r="P801" s="140"/>
      <c r="Q801" s="140"/>
      <c r="R801" s="140"/>
      <c r="S801" s="140"/>
      <c r="T801" s="140"/>
    </row>
    <row r="802" spans="1:20" ht="13">
      <c r="A802" s="140"/>
      <c r="B802" s="140"/>
      <c r="C802" s="140"/>
      <c r="D802" s="140"/>
      <c r="E802" s="140"/>
      <c r="F802" s="140"/>
      <c r="G802" s="140"/>
      <c r="H802" s="140"/>
      <c r="I802" s="140"/>
      <c r="J802" s="140"/>
      <c r="K802" s="140"/>
      <c r="L802" s="140"/>
      <c r="M802" s="140"/>
      <c r="N802" s="140"/>
      <c r="O802" s="140"/>
      <c r="P802" s="140"/>
      <c r="Q802" s="140"/>
      <c r="R802" s="140"/>
      <c r="S802" s="140"/>
      <c r="T802" s="140"/>
    </row>
    <row r="803" spans="1:20" ht="13">
      <c r="A803" s="140"/>
      <c r="B803" s="140"/>
      <c r="C803" s="140"/>
      <c r="D803" s="140"/>
      <c r="E803" s="140"/>
      <c r="F803" s="140"/>
      <c r="G803" s="140"/>
      <c r="H803" s="140"/>
      <c r="I803" s="140"/>
      <c r="J803" s="140"/>
      <c r="K803" s="140"/>
      <c r="L803" s="140"/>
      <c r="M803" s="140"/>
      <c r="N803" s="140"/>
      <c r="O803" s="140"/>
      <c r="P803" s="140"/>
      <c r="Q803" s="140"/>
      <c r="R803" s="140"/>
      <c r="S803" s="140"/>
      <c r="T803" s="140"/>
    </row>
    <row r="804" spans="1:20" ht="13">
      <c r="A804" s="140"/>
      <c r="B804" s="140"/>
      <c r="C804" s="140"/>
      <c r="D804" s="140"/>
      <c r="E804" s="140"/>
      <c r="F804" s="140"/>
      <c r="G804" s="140"/>
      <c r="H804" s="140"/>
      <c r="I804" s="140"/>
      <c r="J804" s="140"/>
      <c r="K804" s="140"/>
      <c r="L804" s="140"/>
      <c r="M804" s="140"/>
      <c r="N804" s="140"/>
      <c r="O804" s="140"/>
      <c r="P804" s="140"/>
      <c r="Q804" s="140"/>
      <c r="R804" s="140"/>
      <c r="S804" s="140"/>
      <c r="T804" s="140"/>
    </row>
    <row r="805" spans="1:20" ht="13">
      <c r="A805" s="140"/>
      <c r="B805" s="140"/>
      <c r="C805" s="140"/>
      <c r="D805" s="140"/>
      <c r="E805" s="140"/>
      <c r="F805" s="140"/>
      <c r="G805" s="140"/>
      <c r="H805" s="140"/>
      <c r="I805" s="140"/>
      <c r="J805" s="140"/>
      <c r="K805" s="140"/>
      <c r="L805" s="140"/>
      <c r="M805" s="140"/>
      <c r="N805" s="140"/>
      <c r="O805" s="140"/>
      <c r="P805" s="140"/>
      <c r="Q805" s="140"/>
      <c r="R805" s="140"/>
      <c r="S805" s="140"/>
      <c r="T805" s="140"/>
    </row>
    <row r="806" spans="1:20" ht="13">
      <c r="A806" s="140"/>
      <c r="B806" s="140"/>
      <c r="C806" s="140"/>
      <c r="D806" s="140"/>
      <c r="E806" s="140"/>
      <c r="F806" s="140"/>
      <c r="G806" s="140"/>
      <c r="H806" s="140"/>
      <c r="I806" s="140"/>
      <c r="J806" s="140"/>
      <c r="K806" s="140"/>
      <c r="L806" s="140"/>
      <c r="M806" s="140"/>
      <c r="N806" s="140"/>
      <c r="O806" s="140"/>
      <c r="P806" s="140"/>
      <c r="Q806" s="140"/>
      <c r="R806" s="140"/>
      <c r="S806" s="140"/>
      <c r="T806" s="140"/>
    </row>
    <row r="807" spans="1:20" ht="13">
      <c r="A807" s="140"/>
      <c r="B807" s="140"/>
      <c r="C807" s="140"/>
      <c r="D807" s="140"/>
      <c r="E807" s="140"/>
      <c r="F807" s="140"/>
      <c r="G807" s="140"/>
      <c r="H807" s="140"/>
      <c r="I807" s="140"/>
      <c r="J807" s="140"/>
      <c r="K807" s="140"/>
      <c r="L807" s="140"/>
      <c r="M807" s="140"/>
      <c r="N807" s="140"/>
      <c r="O807" s="140"/>
      <c r="P807" s="140"/>
      <c r="Q807" s="140"/>
      <c r="R807" s="140"/>
      <c r="S807" s="140"/>
      <c r="T807" s="140"/>
    </row>
    <row r="808" spans="1:20" ht="13">
      <c r="A808" s="140"/>
      <c r="B808" s="140"/>
      <c r="C808" s="140"/>
      <c r="D808" s="140"/>
      <c r="E808" s="140"/>
      <c r="F808" s="140"/>
      <c r="G808" s="140"/>
      <c r="H808" s="140"/>
      <c r="I808" s="140"/>
      <c r="J808" s="140"/>
      <c r="K808" s="140"/>
      <c r="L808" s="140"/>
      <c r="M808" s="140"/>
      <c r="N808" s="140"/>
      <c r="O808" s="140"/>
      <c r="P808" s="140"/>
      <c r="Q808" s="140"/>
      <c r="R808" s="140"/>
      <c r="S808" s="140"/>
      <c r="T808" s="140"/>
    </row>
    <row r="809" spans="1:20" ht="13">
      <c r="A809" s="140"/>
      <c r="B809" s="140"/>
      <c r="C809" s="140"/>
      <c r="D809" s="140"/>
      <c r="E809" s="140"/>
      <c r="F809" s="140"/>
      <c r="G809" s="140"/>
      <c r="H809" s="140"/>
      <c r="I809" s="140"/>
      <c r="J809" s="140"/>
      <c r="K809" s="140"/>
      <c r="L809" s="140"/>
      <c r="M809" s="140"/>
      <c r="N809" s="140"/>
      <c r="O809" s="140"/>
      <c r="P809" s="140"/>
      <c r="Q809" s="140"/>
      <c r="R809" s="140"/>
      <c r="S809" s="140"/>
      <c r="T809" s="140"/>
    </row>
    <row r="810" spans="1:20" ht="13">
      <c r="A810" s="140"/>
      <c r="B810" s="140"/>
      <c r="C810" s="140"/>
      <c r="D810" s="140"/>
      <c r="E810" s="140"/>
      <c r="F810" s="140"/>
      <c r="G810" s="140"/>
      <c r="H810" s="140"/>
      <c r="I810" s="140"/>
      <c r="J810" s="140"/>
      <c r="K810" s="140"/>
      <c r="L810" s="140"/>
      <c r="M810" s="140"/>
      <c r="N810" s="140"/>
      <c r="O810" s="140"/>
      <c r="P810" s="140"/>
      <c r="Q810" s="140"/>
      <c r="R810" s="140"/>
      <c r="S810" s="140"/>
      <c r="T810" s="140"/>
    </row>
    <row r="811" spans="1:20" ht="13">
      <c r="A811" s="140"/>
      <c r="B811" s="140"/>
      <c r="C811" s="140"/>
      <c r="D811" s="140"/>
      <c r="E811" s="140"/>
      <c r="F811" s="140"/>
      <c r="G811" s="140"/>
      <c r="H811" s="140"/>
      <c r="I811" s="140"/>
      <c r="J811" s="140"/>
      <c r="K811" s="140"/>
      <c r="L811" s="140"/>
      <c r="M811" s="140"/>
      <c r="N811" s="140"/>
      <c r="O811" s="140"/>
      <c r="P811" s="140"/>
      <c r="Q811" s="140"/>
      <c r="R811" s="140"/>
      <c r="S811" s="140"/>
      <c r="T811" s="140"/>
    </row>
    <row r="812" spans="1:20" ht="13">
      <c r="A812" s="140"/>
      <c r="B812" s="140"/>
      <c r="C812" s="140"/>
      <c r="D812" s="140"/>
      <c r="E812" s="140"/>
      <c r="F812" s="140"/>
      <c r="G812" s="140"/>
      <c r="H812" s="140"/>
      <c r="I812" s="140"/>
      <c r="J812" s="140"/>
      <c r="K812" s="140"/>
      <c r="L812" s="140"/>
      <c r="M812" s="140"/>
      <c r="N812" s="140"/>
      <c r="O812" s="140"/>
      <c r="P812" s="140"/>
      <c r="Q812" s="140"/>
      <c r="R812" s="140"/>
      <c r="S812" s="140"/>
      <c r="T812" s="140"/>
    </row>
    <row r="813" spans="1:20" ht="13">
      <c r="A813" s="140"/>
      <c r="B813" s="140"/>
      <c r="C813" s="140"/>
      <c r="D813" s="140"/>
      <c r="E813" s="140"/>
      <c r="F813" s="140"/>
      <c r="G813" s="140"/>
      <c r="H813" s="140"/>
      <c r="I813" s="140"/>
      <c r="J813" s="140"/>
      <c r="K813" s="140"/>
      <c r="L813" s="140"/>
      <c r="M813" s="140"/>
      <c r="N813" s="140"/>
      <c r="O813" s="140"/>
      <c r="P813" s="140"/>
      <c r="Q813" s="140"/>
      <c r="R813" s="140"/>
      <c r="S813" s="140"/>
      <c r="T813" s="140"/>
    </row>
    <row r="814" spans="1:20" ht="13">
      <c r="A814" s="140"/>
      <c r="B814" s="140"/>
      <c r="C814" s="140"/>
      <c r="D814" s="140"/>
      <c r="E814" s="140"/>
      <c r="F814" s="140"/>
      <c r="G814" s="140"/>
      <c r="H814" s="140"/>
      <c r="I814" s="140"/>
      <c r="J814" s="140"/>
      <c r="K814" s="140"/>
      <c r="L814" s="140"/>
      <c r="M814" s="140"/>
      <c r="N814" s="140"/>
      <c r="O814" s="140"/>
      <c r="P814" s="140"/>
      <c r="Q814" s="140"/>
      <c r="R814" s="140"/>
      <c r="S814" s="140"/>
      <c r="T814" s="140"/>
    </row>
    <row r="815" spans="1:20" ht="13">
      <c r="A815" s="140"/>
      <c r="B815" s="140"/>
      <c r="C815" s="140"/>
      <c r="D815" s="140"/>
      <c r="E815" s="140"/>
      <c r="F815" s="140"/>
      <c r="G815" s="140"/>
      <c r="H815" s="140"/>
      <c r="I815" s="140"/>
      <c r="J815" s="140"/>
      <c r="K815" s="140"/>
      <c r="L815" s="140"/>
      <c r="M815" s="140"/>
      <c r="N815" s="140"/>
      <c r="O815" s="140"/>
      <c r="P815" s="140"/>
      <c r="Q815" s="140"/>
      <c r="R815" s="140"/>
      <c r="S815" s="140"/>
      <c r="T815" s="140"/>
    </row>
    <row r="816" spans="1:20" ht="13">
      <c r="A816" s="140"/>
      <c r="B816" s="140"/>
      <c r="C816" s="140"/>
      <c r="D816" s="140"/>
      <c r="E816" s="140"/>
      <c r="F816" s="140"/>
      <c r="G816" s="140"/>
      <c r="H816" s="140"/>
      <c r="I816" s="140"/>
      <c r="J816" s="140"/>
      <c r="K816" s="140"/>
      <c r="L816" s="140"/>
      <c r="M816" s="140"/>
      <c r="N816" s="140"/>
      <c r="O816" s="140"/>
      <c r="P816" s="140"/>
      <c r="Q816" s="140"/>
      <c r="R816" s="140"/>
      <c r="S816" s="140"/>
      <c r="T816" s="140"/>
    </row>
    <row r="817" spans="1:20" ht="13">
      <c r="A817" s="140"/>
      <c r="B817" s="140"/>
      <c r="C817" s="140"/>
      <c r="D817" s="140"/>
      <c r="E817" s="140"/>
      <c r="F817" s="140"/>
      <c r="G817" s="140"/>
      <c r="H817" s="140"/>
      <c r="I817" s="140"/>
      <c r="J817" s="140"/>
      <c r="K817" s="140"/>
      <c r="L817" s="140"/>
      <c r="M817" s="140"/>
      <c r="N817" s="140"/>
      <c r="O817" s="140"/>
      <c r="P817" s="140"/>
      <c r="Q817" s="140"/>
      <c r="R817" s="140"/>
      <c r="S817" s="140"/>
      <c r="T817" s="140"/>
    </row>
    <row r="818" spans="1:20" ht="13">
      <c r="A818" s="140"/>
      <c r="B818" s="140"/>
      <c r="C818" s="140"/>
      <c r="D818" s="140"/>
      <c r="E818" s="140"/>
      <c r="F818" s="140"/>
      <c r="G818" s="140"/>
      <c r="H818" s="140"/>
      <c r="I818" s="140"/>
      <c r="J818" s="140"/>
      <c r="K818" s="140"/>
      <c r="L818" s="140"/>
      <c r="M818" s="140"/>
      <c r="N818" s="140"/>
      <c r="O818" s="140"/>
      <c r="P818" s="140"/>
      <c r="Q818" s="140"/>
      <c r="R818" s="140"/>
      <c r="S818" s="140"/>
      <c r="T818" s="140"/>
    </row>
    <row r="819" spans="1:20" ht="13">
      <c r="A819" s="140"/>
      <c r="B819" s="140"/>
      <c r="C819" s="140"/>
      <c r="D819" s="140"/>
      <c r="E819" s="140"/>
      <c r="F819" s="140"/>
      <c r="G819" s="140"/>
      <c r="H819" s="140"/>
      <c r="I819" s="140"/>
      <c r="J819" s="140"/>
      <c r="K819" s="140"/>
      <c r="L819" s="140"/>
      <c r="M819" s="140"/>
      <c r="N819" s="140"/>
      <c r="O819" s="140"/>
      <c r="P819" s="140"/>
      <c r="Q819" s="140"/>
      <c r="R819" s="140"/>
      <c r="S819" s="140"/>
      <c r="T819" s="140"/>
    </row>
    <row r="820" spans="1:20" ht="13">
      <c r="A820" s="140"/>
      <c r="B820" s="140"/>
      <c r="C820" s="140"/>
      <c r="D820" s="140"/>
      <c r="E820" s="140"/>
      <c r="F820" s="140"/>
      <c r="G820" s="140"/>
      <c r="H820" s="140"/>
      <c r="I820" s="140"/>
      <c r="J820" s="140"/>
      <c r="K820" s="140"/>
      <c r="L820" s="140"/>
      <c r="M820" s="140"/>
      <c r="N820" s="140"/>
      <c r="O820" s="140"/>
      <c r="P820" s="140"/>
      <c r="Q820" s="140"/>
      <c r="R820" s="140"/>
      <c r="S820" s="140"/>
      <c r="T820" s="140"/>
    </row>
    <row r="821" spans="1:20" ht="13">
      <c r="A821" s="140"/>
      <c r="B821" s="140"/>
      <c r="C821" s="140"/>
      <c r="D821" s="140"/>
      <c r="E821" s="140"/>
      <c r="F821" s="140"/>
      <c r="G821" s="140"/>
      <c r="H821" s="140"/>
      <c r="I821" s="140"/>
      <c r="J821" s="140"/>
      <c r="K821" s="140"/>
      <c r="L821" s="140"/>
      <c r="M821" s="140"/>
      <c r="N821" s="140"/>
      <c r="O821" s="140"/>
      <c r="P821" s="140"/>
      <c r="Q821" s="140"/>
      <c r="R821" s="140"/>
      <c r="S821" s="140"/>
      <c r="T821" s="140"/>
    </row>
    <row r="822" spans="1:20" ht="13">
      <c r="A822" s="140"/>
      <c r="B822" s="140"/>
      <c r="C822" s="140"/>
      <c r="D822" s="140"/>
      <c r="E822" s="140"/>
      <c r="F822" s="140"/>
      <c r="G822" s="140"/>
      <c r="H822" s="140"/>
      <c r="I822" s="140"/>
      <c r="J822" s="140"/>
      <c r="K822" s="140"/>
      <c r="L822" s="140"/>
      <c r="M822" s="140"/>
      <c r="N822" s="140"/>
      <c r="O822" s="140"/>
      <c r="P822" s="140"/>
      <c r="Q822" s="140"/>
      <c r="R822" s="140"/>
      <c r="S822" s="140"/>
      <c r="T822" s="140"/>
    </row>
    <row r="823" spans="1:20" ht="13">
      <c r="A823" s="140"/>
      <c r="B823" s="140"/>
      <c r="C823" s="140"/>
      <c r="D823" s="140"/>
      <c r="E823" s="140"/>
      <c r="F823" s="140"/>
      <c r="G823" s="140"/>
      <c r="H823" s="140"/>
      <c r="I823" s="140"/>
      <c r="J823" s="140"/>
      <c r="K823" s="140"/>
      <c r="L823" s="140"/>
      <c r="M823" s="140"/>
      <c r="N823" s="140"/>
      <c r="O823" s="140"/>
      <c r="P823" s="140"/>
      <c r="Q823" s="140"/>
      <c r="R823" s="140"/>
      <c r="S823" s="140"/>
      <c r="T823" s="140"/>
    </row>
    <row r="824" spans="1:20" ht="13">
      <c r="A824" s="140"/>
      <c r="B824" s="140"/>
      <c r="C824" s="140"/>
      <c r="D824" s="140"/>
      <c r="E824" s="140"/>
      <c r="F824" s="140"/>
      <c r="G824" s="140"/>
      <c r="H824" s="140"/>
      <c r="I824" s="140"/>
      <c r="J824" s="140"/>
      <c r="K824" s="140"/>
      <c r="L824" s="140"/>
      <c r="M824" s="140"/>
      <c r="N824" s="140"/>
      <c r="O824" s="140"/>
      <c r="P824" s="140"/>
      <c r="Q824" s="140"/>
      <c r="R824" s="140"/>
      <c r="S824" s="140"/>
      <c r="T824" s="140"/>
    </row>
    <row r="825" spans="1:20" ht="13">
      <c r="A825" s="140"/>
      <c r="B825" s="140"/>
      <c r="C825" s="140"/>
      <c r="D825" s="140"/>
      <c r="E825" s="140"/>
      <c r="F825" s="140"/>
      <c r="G825" s="140"/>
      <c r="H825" s="140"/>
      <c r="I825" s="140"/>
      <c r="J825" s="140"/>
      <c r="K825" s="140"/>
      <c r="L825" s="140"/>
      <c r="M825" s="140"/>
      <c r="N825" s="140"/>
      <c r="O825" s="140"/>
      <c r="P825" s="140"/>
      <c r="Q825" s="140"/>
      <c r="R825" s="140"/>
      <c r="S825" s="140"/>
      <c r="T825" s="140"/>
    </row>
    <row r="826" spans="1:20" ht="13">
      <c r="A826" s="140"/>
      <c r="B826" s="140"/>
      <c r="C826" s="140"/>
      <c r="D826" s="140"/>
      <c r="E826" s="140"/>
      <c r="F826" s="140"/>
      <c r="G826" s="140"/>
      <c r="H826" s="140"/>
      <c r="I826" s="140"/>
      <c r="J826" s="140"/>
      <c r="K826" s="140"/>
      <c r="L826" s="140"/>
      <c r="M826" s="140"/>
      <c r="N826" s="140"/>
      <c r="O826" s="140"/>
      <c r="P826" s="140"/>
      <c r="Q826" s="140"/>
      <c r="R826" s="140"/>
      <c r="S826" s="140"/>
      <c r="T826" s="140"/>
    </row>
    <row r="827" spans="1:20" ht="13">
      <c r="A827" s="140"/>
      <c r="B827" s="140"/>
      <c r="C827" s="140"/>
      <c r="D827" s="140"/>
      <c r="E827" s="140"/>
      <c r="F827" s="140"/>
      <c r="G827" s="140"/>
      <c r="H827" s="140"/>
      <c r="I827" s="140"/>
      <c r="J827" s="140"/>
      <c r="K827" s="140"/>
      <c r="L827" s="140"/>
      <c r="M827" s="140"/>
      <c r="N827" s="140"/>
      <c r="O827" s="140"/>
      <c r="P827" s="140"/>
      <c r="Q827" s="140"/>
      <c r="R827" s="140"/>
      <c r="S827" s="140"/>
      <c r="T827" s="140"/>
    </row>
    <row r="828" spans="1:20" ht="13">
      <c r="A828" s="140"/>
      <c r="B828" s="140"/>
      <c r="C828" s="140"/>
      <c r="D828" s="140"/>
      <c r="E828" s="140"/>
      <c r="F828" s="140"/>
      <c r="G828" s="140"/>
      <c r="H828" s="140"/>
      <c r="I828" s="140"/>
      <c r="J828" s="140"/>
      <c r="K828" s="140"/>
      <c r="L828" s="140"/>
      <c r="M828" s="140"/>
      <c r="N828" s="140"/>
      <c r="O828" s="140"/>
      <c r="P828" s="140"/>
      <c r="Q828" s="140"/>
      <c r="R828" s="140"/>
      <c r="S828" s="140"/>
      <c r="T828" s="140"/>
    </row>
    <row r="829" spans="1:20" ht="13">
      <c r="A829" s="140"/>
      <c r="B829" s="140"/>
      <c r="C829" s="140"/>
      <c r="D829" s="140"/>
      <c r="E829" s="140"/>
      <c r="F829" s="140"/>
      <c r="G829" s="140"/>
      <c r="H829" s="140"/>
      <c r="I829" s="140"/>
      <c r="J829" s="140"/>
      <c r="K829" s="140"/>
      <c r="L829" s="140"/>
      <c r="M829" s="140"/>
      <c r="N829" s="140"/>
      <c r="O829" s="140"/>
      <c r="P829" s="140"/>
      <c r="Q829" s="140"/>
      <c r="R829" s="140"/>
      <c r="S829" s="140"/>
      <c r="T829" s="140"/>
    </row>
    <row r="830" spans="1:20" ht="13">
      <c r="A830" s="140"/>
      <c r="B830" s="140"/>
      <c r="C830" s="140"/>
      <c r="D830" s="140"/>
      <c r="E830" s="140"/>
      <c r="F830" s="140"/>
      <c r="G830" s="140"/>
      <c r="H830" s="140"/>
      <c r="I830" s="140"/>
      <c r="J830" s="140"/>
      <c r="K830" s="140"/>
      <c r="L830" s="140"/>
      <c r="M830" s="140"/>
      <c r="N830" s="140"/>
      <c r="O830" s="140"/>
      <c r="P830" s="140"/>
      <c r="Q830" s="140"/>
      <c r="R830" s="140"/>
      <c r="S830" s="140"/>
      <c r="T830" s="140"/>
    </row>
    <row r="831" spans="1:20" ht="13">
      <c r="A831" s="140"/>
      <c r="B831" s="140"/>
      <c r="C831" s="140"/>
      <c r="D831" s="140"/>
      <c r="E831" s="140"/>
      <c r="F831" s="140"/>
      <c r="G831" s="140"/>
      <c r="H831" s="140"/>
      <c r="I831" s="140"/>
      <c r="J831" s="140"/>
      <c r="K831" s="140"/>
      <c r="L831" s="140"/>
      <c r="M831" s="140"/>
      <c r="N831" s="140"/>
      <c r="O831" s="140"/>
      <c r="P831" s="140"/>
      <c r="Q831" s="140"/>
      <c r="R831" s="140"/>
      <c r="S831" s="140"/>
      <c r="T831" s="140"/>
    </row>
    <row r="832" spans="1:20" ht="13">
      <c r="A832" s="140"/>
      <c r="B832" s="140"/>
      <c r="C832" s="140"/>
      <c r="D832" s="140"/>
      <c r="E832" s="140"/>
      <c r="F832" s="140"/>
      <c r="G832" s="140"/>
      <c r="H832" s="140"/>
      <c r="I832" s="140"/>
      <c r="J832" s="140"/>
      <c r="K832" s="140"/>
      <c r="L832" s="140"/>
      <c r="M832" s="140"/>
      <c r="N832" s="140"/>
      <c r="O832" s="140"/>
      <c r="P832" s="140"/>
      <c r="Q832" s="140"/>
      <c r="R832" s="140"/>
      <c r="S832" s="140"/>
      <c r="T832" s="140"/>
    </row>
    <row r="833" spans="1:20" ht="13">
      <c r="A833" s="140"/>
      <c r="B833" s="140"/>
      <c r="C833" s="140"/>
      <c r="D833" s="140"/>
      <c r="E833" s="140"/>
      <c r="F833" s="140"/>
      <c r="G833" s="140"/>
      <c r="H833" s="140"/>
      <c r="I833" s="140"/>
      <c r="J833" s="140"/>
      <c r="K833" s="140"/>
      <c r="L833" s="140"/>
      <c r="M833" s="140"/>
      <c r="N833" s="140"/>
      <c r="O833" s="140"/>
      <c r="P833" s="140"/>
      <c r="Q833" s="140"/>
      <c r="R833" s="140"/>
      <c r="S833" s="140"/>
      <c r="T833" s="140"/>
    </row>
    <row r="834" spans="1:20" ht="13">
      <c r="A834" s="140"/>
      <c r="B834" s="140"/>
      <c r="C834" s="140"/>
      <c r="D834" s="140"/>
      <c r="E834" s="140"/>
      <c r="F834" s="140"/>
      <c r="G834" s="140"/>
      <c r="H834" s="140"/>
      <c r="I834" s="140"/>
      <c r="J834" s="140"/>
      <c r="K834" s="140"/>
      <c r="L834" s="140"/>
      <c r="M834" s="140"/>
      <c r="N834" s="140"/>
      <c r="O834" s="140"/>
      <c r="P834" s="140"/>
      <c r="Q834" s="140"/>
      <c r="R834" s="140"/>
      <c r="S834" s="140"/>
      <c r="T834" s="140"/>
    </row>
    <row r="835" spans="1:20" ht="13">
      <c r="A835" s="140"/>
      <c r="B835" s="140"/>
      <c r="C835" s="140"/>
      <c r="D835" s="140"/>
      <c r="E835" s="140"/>
      <c r="F835" s="140"/>
      <c r="G835" s="140"/>
      <c r="H835" s="140"/>
      <c r="I835" s="140"/>
      <c r="J835" s="140"/>
      <c r="K835" s="140"/>
      <c r="L835" s="140"/>
      <c r="M835" s="140"/>
      <c r="N835" s="140"/>
      <c r="O835" s="140"/>
      <c r="P835" s="140"/>
      <c r="Q835" s="140"/>
      <c r="R835" s="140"/>
      <c r="S835" s="140"/>
      <c r="T835" s="140"/>
    </row>
    <row r="836" spans="1:20" ht="13">
      <c r="A836" s="140"/>
      <c r="B836" s="140"/>
      <c r="C836" s="140"/>
      <c r="D836" s="140"/>
      <c r="E836" s="140"/>
      <c r="F836" s="140"/>
      <c r="G836" s="140"/>
      <c r="H836" s="140"/>
      <c r="I836" s="140"/>
      <c r="J836" s="140"/>
      <c r="K836" s="140"/>
      <c r="L836" s="140"/>
      <c r="M836" s="140"/>
      <c r="N836" s="140"/>
      <c r="O836" s="140"/>
      <c r="P836" s="140"/>
      <c r="Q836" s="140"/>
      <c r="R836" s="140"/>
      <c r="S836" s="140"/>
      <c r="T836" s="140"/>
    </row>
    <row r="837" spans="1:20" ht="13">
      <c r="A837" s="140"/>
      <c r="B837" s="140"/>
      <c r="C837" s="140"/>
      <c r="D837" s="140"/>
      <c r="E837" s="140"/>
      <c r="F837" s="140"/>
      <c r="G837" s="140"/>
      <c r="H837" s="140"/>
      <c r="I837" s="140"/>
      <c r="J837" s="140"/>
      <c r="K837" s="140"/>
      <c r="L837" s="140"/>
      <c r="M837" s="140"/>
      <c r="N837" s="140"/>
      <c r="O837" s="140"/>
      <c r="P837" s="140"/>
      <c r="Q837" s="140"/>
      <c r="R837" s="140"/>
      <c r="S837" s="140"/>
      <c r="T837" s="140"/>
    </row>
    <row r="838" spans="1:20" ht="13">
      <c r="A838" s="140"/>
      <c r="B838" s="140"/>
      <c r="C838" s="140"/>
      <c r="D838" s="140"/>
      <c r="E838" s="140"/>
      <c r="F838" s="140"/>
      <c r="G838" s="140"/>
      <c r="H838" s="140"/>
      <c r="I838" s="140"/>
      <c r="J838" s="140"/>
      <c r="K838" s="140"/>
      <c r="L838" s="140"/>
      <c r="M838" s="140"/>
      <c r="N838" s="140"/>
      <c r="O838" s="140"/>
      <c r="P838" s="140"/>
      <c r="Q838" s="140"/>
      <c r="R838" s="140"/>
      <c r="S838" s="140"/>
      <c r="T838" s="140"/>
    </row>
    <row r="839" spans="1:20" ht="13">
      <c r="A839" s="140"/>
      <c r="B839" s="140"/>
      <c r="C839" s="140"/>
      <c r="D839" s="140"/>
      <c r="E839" s="140"/>
      <c r="F839" s="140"/>
      <c r="G839" s="140"/>
      <c r="H839" s="140"/>
      <c r="I839" s="140"/>
      <c r="J839" s="140"/>
      <c r="K839" s="140"/>
      <c r="L839" s="140"/>
      <c r="M839" s="140"/>
      <c r="N839" s="140"/>
      <c r="O839" s="140"/>
      <c r="P839" s="140"/>
      <c r="Q839" s="140"/>
      <c r="R839" s="140"/>
      <c r="S839" s="140"/>
      <c r="T839" s="140"/>
    </row>
    <row r="840" spans="1:20" ht="13">
      <c r="A840" s="140"/>
      <c r="B840" s="140"/>
      <c r="C840" s="140"/>
      <c r="D840" s="140"/>
      <c r="E840" s="140"/>
      <c r="F840" s="140"/>
      <c r="G840" s="140"/>
      <c r="H840" s="140"/>
      <c r="I840" s="140"/>
      <c r="J840" s="140"/>
      <c r="K840" s="140"/>
      <c r="L840" s="140"/>
      <c r="M840" s="140"/>
      <c r="N840" s="140"/>
      <c r="O840" s="140"/>
      <c r="P840" s="140"/>
      <c r="Q840" s="140"/>
      <c r="R840" s="140"/>
      <c r="S840" s="140"/>
      <c r="T840" s="140"/>
    </row>
    <row r="841" spans="1:20" ht="13">
      <c r="A841" s="140"/>
      <c r="B841" s="140"/>
      <c r="C841" s="140"/>
      <c r="D841" s="140"/>
      <c r="E841" s="140"/>
      <c r="F841" s="140"/>
      <c r="G841" s="140"/>
      <c r="H841" s="140"/>
      <c r="I841" s="140"/>
      <c r="J841" s="140"/>
      <c r="K841" s="140"/>
      <c r="L841" s="140"/>
      <c r="M841" s="140"/>
      <c r="N841" s="140"/>
      <c r="O841" s="140"/>
      <c r="P841" s="140"/>
      <c r="Q841" s="140"/>
      <c r="R841" s="140"/>
      <c r="S841" s="140"/>
      <c r="T841" s="140"/>
    </row>
    <row r="842" spans="1:20" ht="13">
      <c r="A842" s="140"/>
      <c r="B842" s="140"/>
      <c r="C842" s="140"/>
      <c r="D842" s="140"/>
      <c r="E842" s="140"/>
      <c r="F842" s="140"/>
      <c r="G842" s="140"/>
      <c r="H842" s="140"/>
      <c r="I842" s="140"/>
      <c r="J842" s="140"/>
      <c r="K842" s="140"/>
      <c r="L842" s="140"/>
      <c r="M842" s="140"/>
      <c r="N842" s="140"/>
      <c r="O842" s="140"/>
      <c r="P842" s="140"/>
      <c r="Q842" s="140"/>
      <c r="R842" s="140"/>
      <c r="S842" s="140"/>
      <c r="T842" s="140"/>
    </row>
    <row r="843" spans="1:20" ht="13">
      <c r="A843" s="140"/>
      <c r="B843" s="140"/>
      <c r="C843" s="140"/>
      <c r="D843" s="140"/>
      <c r="E843" s="140"/>
      <c r="F843" s="140"/>
      <c r="G843" s="140"/>
      <c r="H843" s="140"/>
      <c r="I843" s="140"/>
      <c r="J843" s="140"/>
      <c r="K843" s="140"/>
      <c r="L843" s="140"/>
      <c r="M843" s="140"/>
      <c r="N843" s="140"/>
      <c r="O843" s="140"/>
      <c r="P843" s="140"/>
      <c r="Q843" s="140"/>
      <c r="R843" s="140"/>
      <c r="S843" s="140"/>
      <c r="T843" s="140"/>
    </row>
    <row r="844" spans="1:20" ht="13">
      <c r="A844" s="140"/>
      <c r="B844" s="140"/>
      <c r="C844" s="140"/>
      <c r="D844" s="140"/>
      <c r="E844" s="140"/>
      <c r="F844" s="140"/>
      <c r="G844" s="140"/>
      <c r="H844" s="140"/>
      <c r="I844" s="140"/>
      <c r="J844" s="140"/>
      <c r="K844" s="140"/>
      <c r="L844" s="140"/>
      <c r="M844" s="140"/>
      <c r="N844" s="140"/>
      <c r="O844" s="140"/>
      <c r="P844" s="140"/>
      <c r="Q844" s="140"/>
      <c r="R844" s="140"/>
      <c r="S844" s="140"/>
      <c r="T844" s="140"/>
    </row>
    <row r="845" spans="1:20" ht="13">
      <c r="A845" s="140"/>
      <c r="B845" s="140"/>
      <c r="C845" s="140"/>
      <c r="D845" s="140"/>
      <c r="E845" s="140"/>
      <c r="F845" s="140"/>
      <c r="G845" s="140"/>
      <c r="H845" s="140"/>
      <c r="I845" s="140"/>
      <c r="J845" s="140"/>
      <c r="K845" s="140"/>
      <c r="L845" s="140"/>
      <c r="M845" s="140"/>
      <c r="N845" s="140"/>
      <c r="O845" s="140"/>
      <c r="P845" s="140"/>
      <c r="Q845" s="140"/>
      <c r="R845" s="140"/>
      <c r="S845" s="140"/>
      <c r="T845" s="140"/>
    </row>
    <row r="846" spans="1:20" ht="13">
      <c r="A846" s="140"/>
      <c r="B846" s="140"/>
      <c r="C846" s="140"/>
      <c r="D846" s="140"/>
      <c r="E846" s="140"/>
      <c r="F846" s="140"/>
      <c r="G846" s="140"/>
      <c r="H846" s="140"/>
      <c r="I846" s="140"/>
      <c r="J846" s="140"/>
      <c r="K846" s="140"/>
      <c r="L846" s="140"/>
      <c r="M846" s="140"/>
      <c r="N846" s="140"/>
      <c r="O846" s="140"/>
      <c r="P846" s="140"/>
      <c r="Q846" s="140"/>
      <c r="R846" s="140"/>
      <c r="S846" s="140"/>
      <c r="T846" s="140"/>
    </row>
    <row r="847" spans="1:20" ht="13">
      <c r="A847" s="140"/>
      <c r="B847" s="140"/>
      <c r="C847" s="140"/>
      <c r="D847" s="140"/>
      <c r="E847" s="140"/>
      <c r="F847" s="140"/>
      <c r="G847" s="140"/>
      <c r="H847" s="140"/>
      <c r="I847" s="140"/>
      <c r="J847" s="140"/>
      <c r="K847" s="140"/>
      <c r="L847" s="140"/>
      <c r="M847" s="140"/>
      <c r="N847" s="140"/>
      <c r="O847" s="140"/>
      <c r="P847" s="140"/>
      <c r="Q847" s="140"/>
      <c r="R847" s="140"/>
      <c r="S847" s="140"/>
      <c r="T847" s="140"/>
    </row>
    <row r="848" spans="1:20" ht="13">
      <c r="A848" s="140"/>
      <c r="B848" s="140"/>
      <c r="C848" s="140"/>
      <c r="D848" s="140"/>
      <c r="E848" s="140"/>
      <c r="F848" s="140"/>
      <c r="G848" s="140"/>
      <c r="H848" s="140"/>
      <c r="I848" s="140"/>
      <c r="J848" s="140"/>
      <c r="K848" s="140"/>
      <c r="L848" s="140"/>
      <c r="M848" s="140"/>
      <c r="N848" s="140"/>
      <c r="O848" s="140"/>
      <c r="P848" s="140"/>
      <c r="Q848" s="140"/>
      <c r="R848" s="140"/>
      <c r="S848" s="140"/>
      <c r="T848" s="140"/>
    </row>
    <row r="849" spans="1:20" ht="13">
      <c r="A849" s="140"/>
      <c r="B849" s="140"/>
      <c r="C849" s="140"/>
      <c r="D849" s="140"/>
      <c r="E849" s="140"/>
      <c r="F849" s="140"/>
      <c r="G849" s="140"/>
      <c r="H849" s="140"/>
      <c r="I849" s="140"/>
      <c r="J849" s="140"/>
      <c r="K849" s="140"/>
      <c r="L849" s="140"/>
      <c r="M849" s="140"/>
      <c r="N849" s="140"/>
      <c r="O849" s="140"/>
      <c r="P849" s="140"/>
      <c r="Q849" s="140"/>
      <c r="R849" s="140"/>
      <c r="S849" s="140"/>
      <c r="T849" s="140"/>
    </row>
    <row r="850" spans="1:20" ht="13">
      <c r="A850" s="140"/>
      <c r="B850" s="140"/>
      <c r="C850" s="140"/>
      <c r="D850" s="140"/>
      <c r="E850" s="140"/>
      <c r="F850" s="140"/>
      <c r="G850" s="140"/>
      <c r="H850" s="140"/>
      <c r="I850" s="140"/>
      <c r="J850" s="140"/>
      <c r="K850" s="140"/>
      <c r="L850" s="140"/>
      <c r="M850" s="140"/>
      <c r="N850" s="140"/>
      <c r="O850" s="140"/>
      <c r="P850" s="140"/>
      <c r="Q850" s="140"/>
      <c r="R850" s="140"/>
      <c r="S850" s="140"/>
      <c r="T850" s="140"/>
    </row>
    <row r="851" spans="1:20" ht="13">
      <c r="A851" s="140"/>
      <c r="B851" s="140"/>
      <c r="C851" s="140"/>
      <c r="D851" s="140"/>
      <c r="E851" s="140"/>
      <c r="F851" s="140"/>
      <c r="G851" s="140"/>
      <c r="H851" s="140"/>
      <c r="I851" s="140"/>
      <c r="J851" s="140"/>
      <c r="K851" s="140"/>
      <c r="L851" s="140"/>
      <c r="M851" s="140"/>
      <c r="N851" s="140"/>
      <c r="O851" s="140"/>
      <c r="P851" s="140"/>
      <c r="Q851" s="140"/>
      <c r="R851" s="140"/>
      <c r="S851" s="140"/>
      <c r="T851" s="140"/>
    </row>
    <row r="852" spans="1:20" ht="13">
      <c r="A852" s="140"/>
      <c r="B852" s="140"/>
      <c r="C852" s="140"/>
      <c r="D852" s="140"/>
      <c r="E852" s="140"/>
      <c r="F852" s="140"/>
      <c r="G852" s="140"/>
      <c r="H852" s="140"/>
      <c r="I852" s="140"/>
      <c r="J852" s="140"/>
      <c r="K852" s="140"/>
      <c r="L852" s="140"/>
      <c r="M852" s="140"/>
      <c r="N852" s="140"/>
      <c r="O852" s="140"/>
      <c r="P852" s="140"/>
      <c r="Q852" s="140"/>
      <c r="R852" s="140"/>
      <c r="S852" s="140"/>
      <c r="T852" s="140"/>
    </row>
    <row r="853" spans="1:20" ht="13">
      <c r="A853" s="140"/>
      <c r="B853" s="140"/>
      <c r="C853" s="140"/>
      <c r="D853" s="140"/>
      <c r="E853" s="140"/>
      <c r="F853" s="140"/>
      <c r="G853" s="140"/>
      <c r="H853" s="140"/>
      <c r="I853" s="140"/>
      <c r="J853" s="140"/>
      <c r="K853" s="140"/>
      <c r="L853" s="140"/>
      <c r="M853" s="140"/>
      <c r="N853" s="140"/>
      <c r="O853" s="140"/>
      <c r="P853" s="140"/>
      <c r="Q853" s="140"/>
      <c r="R853" s="140"/>
      <c r="S853" s="140"/>
      <c r="T853" s="140"/>
    </row>
    <row r="854" spans="1:20" ht="13">
      <c r="A854" s="140"/>
      <c r="B854" s="140"/>
      <c r="C854" s="140"/>
      <c r="D854" s="140"/>
      <c r="E854" s="140"/>
      <c r="F854" s="140"/>
      <c r="G854" s="140"/>
      <c r="H854" s="140"/>
      <c r="I854" s="140"/>
      <c r="J854" s="140"/>
      <c r="K854" s="140"/>
      <c r="L854" s="140"/>
      <c r="M854" s="140"/>
      <c r="N854" s="140"/>
      <c r="O854" s="140"/>
      <c r="P854" s="140"/>
      <c r="Q854" s="140"/>
      <c r="R854" s="140"/>
      <c r="S854" s="140"/>
      <c r="T854" s="140"/>
    </row>
    <row r="855" spans="1:20" ht="13">
      <c r="A855" s="140"/>
      <c r="B855" s="140"/>
      <c r="C855" s="140"/>
      <c r="D855" s="140"/>
      <c r="E855" s="140"/>
      <c r="F855" s="140"/>
      <c r="G855" s="140"/>
      <c r="H855" s="140"/>
      <c r="I855" s="140"/>
      <c r="J855" s="140"/>
      <c r="K855" s="140"/>
      <c r="L855" s="140"/>
      <c r="M855" s="140"/>
      <c r="N855" s="140"/>
      <c r="O855" s="140"/>
      <c r="P855" s="140"/>
      <c r="Q855" s="140"/>
      <c r="R855" s="140"/>
      <c r="S855" s="140"/>
      <c r="T855" s="140"/>
    </row>
    <row r="856" spans="1:20" ht="13">
      <c r="A856" s="140"/>
      <c r="B856" s="140"/>
      <c r="C856" s="140"/>
      <c r="D856" s="140"/>
      <c r="E856" s="140"/>
      <c r="F856" s="140"/>
      <c r="G856" s="140"/>
      <c r="H856" s="140"/>
      <c r="I856" s="140"/>
      <c r="J856" s="140"/>
      <c r="K856" s="140"/>
      <c r="L856" s="140"/>
      <c r="M856" s="140"/>
      <c r="N856" s="140"/>
      <c r="O856" s="140"/>
      <c r="P856" s="140"/>
      <c r="Q856" s="140"/>
      <c r="R856" s="140"/>
      <c r="S856" s="140"/>
      <c r="T856" s="140"/>
    </row>
    <row r="857" spans="1:20" ht="13">
      <c r="A857" s="140"/>
      <c r="B857" s="140"/>
      <c r="C857" s="140"/>
      <c r="D857" s="140"/>
      <c r="E857" s="140"/>
      <c r="F857" s="140"/>
      <c r="G857" s="140"/>
      <c r="H857" s="140"/>
      <c r="I857" s="140"/>
      <c r="J857" s="140"/>
      <c r="K857" s="140"/>
      <c r="L857" s="140"/>
      <c r="M857" s="140"/>
      <c r="N857" s="140"/>
      <c r="O857" s="140"/>
      <c r="P857" s="140"/>
      <c r="Q857" s="140"/>
      <c r="R857" s="140"/>
      <c r="S857" s="140"/>
      <c r="T857" s="140"/>
    </row>
    <row r="858" spans="1:20" ht="13">
      <c r="A858" s="140"/>
      <c r="B858" s="140"/>
      <c r="C858" s="140"/>
      <c r="D858" s="140"/>
      <c r="E858" s="140"/>
      <c r="F858" s="140"/>
      <c r="G858" s="140"/>
      <c r="H858" s="140"/>
      <c r="I858" s="140"/>
      <c r="J858" s="140"/>
      <c r="K858" s="140"/>
      <c r="L858" s="140"/>
      <c r="M858" s="140"/>
      <c r="N858" s="140"/>
      <c r="O858" s="140"/>
      <c r="P858" s="140"/>
      <c r="Q858" s="140"/>
      <c r="R858" s="140"/>
      <c r="S858" s="140"/>
      <c r="T858" s="140"/>
    </row>
    <row r="859" spans="1:20" ht="13">
      <c r="A859" s="140"/>
      <c r="B859" s="140"/>
      <c r="C859" s="140"/>
      <c r="D859" s="140"/>
      <c r="E859" s="140"/>
      <c r="F859" s="140"/>
      <c r="G859" s="140"/>
      <c r="H859" s="140"/>
      <c r="I859" s="140"/>
      <c r="J859" s="140"/>
      <c r="K859" s="140"/>
      <c r="L859" s="140"/>
      <c r="M859" s="140"/>
      <c r="N859" s="140"/>
      <c r="O859" s="140"/>
      <c r="P859" s="140"/>
      <c r="Q859" s="140"/>
      <c r="R859" s="140"/>
      <c r="S859" s="140"/>
      <c r="T859" s="140"/>
    </row>
    <row r="860" spans="1:20" ht="13">
      <c r="A860" s="140"/>
      <c r="B860" s="140"/>
      <c r="C860" s="140"/>
      <c r="D860" s="140"/>
      <c r="E860" s="140"/>
      <c r="F860" s="140"/>
      <c r="G860" s="140"/>
      <c r="H860" s="140"/>
      <c r="I860" s="140"/>
      <c r="J860" s="140"/>
      <c r="K860" s="140"/>
      <c r="L860" s="140"/>
      <c r="M860" s="140"/>
      <c r="N860" s="140"/>
      <c r="O860" s="140"/>
      <c r="P860" s="140"/>
      <c r="Q860" s="140"/>
      <c r="R860" s="140"/>
      <c r="S860" s="140"/>
      <c r="T860" s="140"/>
    </row>
    <row r="861" spans="1:20" ht="13">
      <c r="A861" s="140"/>
      <c r="B861" s="140"/>
      <c r="C861" s="140"/>
      <c r="D861" s="140"/>
      <c r="E861" s="140"/>
      <c r="F861" s="140"/>
      <c r="G861" s="140"/>
      <c r="H861" s="140"/>
      <c r="I861" s="140"/>
      <c r="J861" s="140"/>
      <c r="K861" s="140"/>
      <c r="L861" s="140"/>
      <c r="M861" s="140"/>
      <c r="N861" s="140"/>
      <c r="O861" s="140"/>
      <c r="P861" s="140"/>
      <c r="Q861" s="140"/>
      <c r="R861" s="140"/>
      <c r="S861" s="140"/>
      <c r="T861" s="140"/>
    </row>
    <row r="862" spans="1:20" ht="13">
      <c r="A862" s="140"/>
      <c r="B862" s="140"/>
      <c r="C862" s="140"/>
      <c r="D862" s="140"/>
      <c r="E862" s="140"/>
      <c r="F862" s="140"/>
      <c r="G862" s="140"/>
      <c r="H862" s="140"/>
      <c r="I862" s="140"/>
      <c r="J862" s="140"/>
      <c r="K862" s="140"/>
      <c r="L862" s="140"/>
      <c r="M862" s="140"/>
      <c r="N862" s="140"/>
      <c r="O862" s="140"/>
      <c r="P862" s="140"/>
      <c r="Q862" s="140"/>
      <c r="R862" s="140"/>
      <c r="S862" s="140"/>
      <c r="T862" s="140"/>
    </row>
    <row r="863" spans="1:20" ht="13">
      <c r="A863" s="140"/>
      <c r="B863" s="140"/>
      <c r="C863" s="140"/>
      <c r="D863" s="140"/>
      <c r="E863" s="140"/>
      <c r="F863" s="140"/>
      <c r="G863" s="140"/>
      <c r="H863" s="140"/>
      <c r="I863" s="140"/>
      <c r="J863" s="140"/>
      <c r="K863" s="140"/>
      <c r="L863" s="140"/>
      <c r="M863" s="140"/>
      <c r="N863" s="140"/>
      <c r="O863" s="140"/>
      <c r="P863" s="140"/>
      <c r="Q863" s="140"/>
      <c r="R863" s="140"/>
      <c r="S863" s="140"/>
      <c r="T863" s="140"/>
    </row>
    <row r="864" spans="1:20" ht="13">
      <c r="A864" s="140"/>
      <c r="B864" s="140"/>
      <c r="C864" s="140"/>
      <c r="D864" s="140"/>
      <c r="E864" s="140"/>
      <c r="F864" s="140"/>
      <c r="G864" s="140"/>
      <c r="H864" s="140"/>
      <c r="I864" s="140"/>
      <c r="J864" s="140"/>
      <c r="K864" s="140"/>
      <c r="L864" s="140"/>
      <c r="M864" s="140"/>
      <c r="N864" s="140"/>
      <c r="O864" s="140"/>
      <c r="P864" s="140"/>
      <c r="Q864" s="140"/>
      <c r="R864" s="140"/>
      <c r="S864" s="140"/>
      <c r="T864" s="140"/>
    </row>
    <row r="865" spans="1:20" ht="13">
      <c r="A865" s="140"/>
      <c r="B865" s="140"/>
      <c r="C865" s="140"/>
      <c r="D865" s="140"/>
      <c r="E865" s="140"/>
      <c r="F865" s="140"/>
      <c r="G865" s="140"/>
      <c r="H865" s="140"/>
      <c r="I865" s="140"/>
      <c r="J865" s="140"/>
      <c r="K865" s="140"/>
      <c r="L865" s="140"/>
      <c r="M865" s="140"/>
      <c r="N865" s="140"/>
      <c r="O865" s="140"/>
      <c r="P865" s="140"/>
      <c r="Q865" s="140"/>
      <c r="R865" s="140"/>
      <c r="S865" s="140"/>
      <c r="T865" s="140"/>
    </row>
    <row r="866" spans="1:20" ht="13">
      <c r="A866" s="140"/>
      <c r="B866" s="140"/>
      <c r="C866" s="140"/>
      <c r="D866" s="140"/>
      <c r="E866" s="140"/>
      <c r="F866" s="140"/>
      <c r="G866" s="140"/>
      <c r="H866" s="140"/>
      <c r="I866" s="140"/>
      <c r="J866" s="140"/>
      <c r="K866" s="140"/>
      <c r="L866" s="140"/>
      <c r="M866" s="140"/>
      <c r="N866" s="140"/>
      <c r="O866" s="140"/>
      <c r="P866" s="140"/>
      <c r="Q866" s="140"/>
      <c r="R866" s="140"/>
      <c r="S866" s="140"/>
      <c r="T866" s="140"/>
    </row>
    <row r="867" spans="1:20" ht="13">
      <c r="A867" s="140"/>
      <c r="B867" s="140"/>
      <c r="C867" s="140"/>
      <c r="D867" s="140"/>
      <c r="E867" s="140"/>
      <c r="F867" s="140"/>
      <c r="G867" s="140"/>
      <c r="H867" s="140"/>
      <c r="I867" s="140"/>
      <c r="J867" s="140"/>
      <c r="K867" s="140"/>
      <c r="L867" s="140"/>
      <c r="M867" s="140"/>
      <c r="N867" s="140"/>
      <c r="O867" s="140"/>
      <c r="P867" s="140"/>
      <c r="Q867" s="140"/>
      <c r="R867" s="140"/>
      <c r="S867" s="140"/>
      <c r="T867" s="140"/>
    </row>
    <row r="868" spans="1:20" ht="13">
      <c r="A868" s="140"/>
      <c r="B868" s="140"/>
      <c r="C868" s="140"/>
      <c r="D868" s="140"/>
      <c r="E868" s="140"/>
      <c r="F868" s="140"/>
      <c r="G868" s="140"/>
      <c r="H868" s="140"/>
      <c r="I868" s="140"/>
      <c r="J868" s="140"/>
      <c r="K868" s="140"/>
      <c r="L868" s="140"/>
      <c r="M868" s="140"/>
      <c r="N868" s="140"/>
      <c r="O868" s="140"/>
      <c r="P868" s="140"/>
      <c r="Q868" s="140"/>
      <c r="R868" s="140"/>
      <c r="S868" s="140"/>
      <c r="T868" s="140"/>
    </row>
    <row r="869" spans="1:20" ht="13">
      <c r="A869" s="140"/>
      <c r="B869" s="140"/>
      <c r="C869" s="140"/>
      <c r="D869" s="140"/>
      <c r="E869" s="140"/>
      <c r="F869" s="140"/>
      <c r="G869" s="140"/>
      <c r="H869" s="140"/>
      <c r="I869" s="140"/>
      <c r="J869" s="140"/>
      <c r="K869" s="140"/>
      <c r="L869" s="140"/>
      <c r="M869" s="140"/>
      <c r="N869" s="140"/>
      <c r="O869" s="140"/>
      <c r="P869" s="140"/>
      <c r="Q869" s="140"/>
      <c r="R869" s="140"/>
      <c r="S869" s="140"/>
      <c r="T869" s="140"/>
    </row>
    <row r="870" spans="1:20" ht="13">
      <c r="A870" s="140"/>
      <c r="B870" s="140"/>
      <c r="C870" s="140"/>
      <c r="D870" s="140"/>
      <c r="E870" s="140"/>
      <c r="F870" s="140"/>
      <c r="G870" s="140"/>
      <c r="H870" s="140"/>
      <c r="I870" s="140"/>
      <c r="J870" s="140"/>
      <c r="K870" s="140"/>
      <c r="L870" s="140"/>
      <c r="M870" s="140"/>
      <c r="N870" s="140"/>
      <c r="O870" s="140"/>
      <c r="P870" s="140"/>
      <c r="Q870" s="140"/>
      <c r="R870" s="140"/>
      <c r="S870" s="140"/>
      <c r="T870" s="140"/>
    </row>
    <row r="871" spans="1:20" ht="13">
      <c r="A871" s="140"/>
      <c r="B871" s="140"/>
      <c r="C871" s="140"/>
      <c r="D871" s="140"/>
      <c r="E871" s="140"/>
      <c r="F871" s="140"/>
      <c r="G871" s="140"/>
      <c r="H871" s="140"/>
      <c r="I871" s="140"/>
      <c r="J871" s="140"/>
      <c r="K871" s="140"/>
      <c r="L871" s="140"/>
      <c r="M871" s="140"/>
      <c r="N871" s="140"/>
      <c r="O871" s="140"/>
      <c r="P871" s="140"/>
      <c r="Q871" s="140"/>
      <c r="R871" s="140"/>
      <c r="S871" s="140"/>
      <c r="T871" s="140"/>
    </row>
    <row r="872" spans="1:20" ht="13">
      <c r="A872" s="140"/>
      <c r="B872" s="140"/>
      <c r="C872" s="140"/>
      <c r="D872" s="140"/>
      <c r="E872" s="140"/>
      <c r="F872" s="140"/>
      <c r="G872" s="140"/>
      <c r="H872" s="140"/>
      <c r="I872" s="140"/>
      <c r="J872" s="140"/>
      <c r="K872" s="140"/>
      <c r="L872" s="140"/>
      <c r="M872" s="140"/>
      <c r="N872" s="140"/>
      <c r="O872" s="140"/>
      <c r="P872" s="140"/>
      <c r="Q872" s="140"/>
      <c r="R872" s="140"/>
      <c r="S872" s="140"/>
      <c r="T872" s="140"/>
    </row>
    <row r="873" spans="1:20" ht="13">
      <c r="A873" s="140"/>
      <c r="B873" s="140"/>
      <c r="C873" s="140"/>
      <c r="D873" s="140"/>
      <c r="E873" s="140"/>
      <c r="F873" s="140"/>
      <c r="G873" s="140"/>
      <c r="H873" s="140"/>
      <c r="I873" s="140"/>
      <c r="J873" s="140"/>
      <c r="K873" s="140"/>
      <c r="L873" s="140"/>
      <c r="M873" s="140"/>
      <c r="N873" s="140"/>
      <c r="O873" s="140"/>
      <c r="P873" s="140"/>
      <c r="Q873" s="140"/>
      <c r="R873" s="140"/>
      <c r="S873" s="140"/>
      <c r="T873" s="140"/>
    </row>
    <row r="874" spans="1:20" ht="13">
      <c r="A874" s="140"/>
      <c r="B874" s="140"/>
      <c r="C874" s="140"/>
      <c r="D874" s="140"/>
      <c r="E874" s="140"/>
      <c r="F874" s="140"/>
      <c r="G874" s="140"/>
      <c r="H874" s="140"/>
      <c r="I874" s="140"/>
      <c r="J874" s="140"/>
      <c r="K874" s="140"/>
      <c r="L874" s="140"/>
      <c r="M874" s="140"/>
      <c r="N874" s="140"/>
      <c r="O874" s="140"/>
      <c r="P874" s="140"/>
      <c r="Q874" s="140"/>
      <c r="R874" s="140"/>
      <c r="S874" s="140"/>
      <c r="T874" s="140"/>
    </row>
    <row r="875" spans="1:20" ht="13">
      <c r="A875" s="140"/>
      <c r="B875" s="140"/>
      <c r="C875" s="140"/>
      <c r="D875" s="140"/>
      <c r="E875" s="140"/>
      <c r="F875" s="140"/>
      <c r="G875" s="140"/>
      <c r="H875" s="140"/>
      <c r="I875" s="140"/>
      <c r="J875" s="140"/>
      <c r="K875" s="140"/>
      <c r="L875" s="140"/>
      <c r="M875" s="140"/>
      <c r="N875" s="140"/>
      <c r="O875" s="140"/>
      <c r="P875" s="140"/>
      <c r="Q875" s="140"/>
      <c r="R875" s="140"/>
      <c r="S875" s="140"/>
      <c r="T875" s="140"/>
    </row>
    <row r="876" spans="1:20" ht="13">
      <c r="A876" s="140"/>
      <c r="B876" s="140"/>
      <c r="C876" s="140"/>
      <c r="D876" s="140"/>
      <c r="E876" s="140"/>
      <c r="F876" s="140"/>
      <c r="G876" s="140"/>
      <c r="H876" s="140"/>
      <c r="I876" s="140"/>
      <c r="J876" s="140"/>
      <c r="K876" s="140"/>
      <c r="L876" s="140"/>
      <c r="M876" s="140"/>
      <c r="N876" s="140"/>
      <c r="O876" s="140"/>
      <c r="P876" s="140"/>
      <c r="Q876" s="140"/>
      <c r="R876" s="140"/>
      <c r="S876" s="140"/>
      <c r="T876" s="140"/>
    </row>
    <row r="877" spans="1:20" ht="13">
      <c r="A877" s="140"/>
      <c r="B877" s="140"/>
      <c r="C877" s="140"/>
      <c r="D877" s="140"/>
      <c r="E877" s="140"/>
      <c r="F877" s="140"/>
      <c r="G877" s="140"/>
      <c r="H877" s="140"/>
      <c r="I877" s="140"/>
      <c r="J877" s="140"/>
      <c r="K877" s="140"/>
      <c r="L877" s="140"/>
      <c r="M877" s="140"/>
      <c r="N877" s="140"/>
      <c r="O877" s="140"/>
      <c r="P877" s="140"/>
      <c r="Q877" s="140"/>
      <c r="R877" s="140"/>
      <c r="S877" s="140"/>
      <c r="T877" s="140"/>
    </row>
    <row r="878" spans="1:20" ht="13">
      <c r="A878" s="140"/>
      <c r="B878" s="140"/>
      <c r="C878" s="140"/>
      <c r="D878" s="140"/>
      <c r="E878" s="140"/>
      <c r="F878" s="140"/>
      <c r="G878" s="140"/>
      <c r="H878" s="140"/>
      <c r="I878" s="140"/>
      <c r="J878" s="140"/>
      <c r="K878" s="140"/>
      <c r="L878" s="140"/>
      <c r="M878" s="140"/>
      <c r="N878" s="140"/>
      <c r="O878" s="140"/>
      <c r="P878" s="140"/>
      <c r="Q878" s="140"/>
      <c r="R878" s="140"/>
      <c r="S878" s="140"/>
      <c r="T878" s="140"/>
    </row>
    <row r="879" spans="1:20" ht="13">
      <c r="A879" s="140"/>
      <c r="B879" s="140"/>
      <c r="C879" s="140"/>
      <c r="D879" s="140"/>
      <c r="E879" s="140"/>
      <c r="F879" s="140"/>
      <c r="G879" s="140"/>
      <c r="H879" s="140"/>
      <c r="I879" s="140"/>
      <c r="J879" s="140"/>
      <c r="K879" s="140"/>
      <c r="L879" s="140"/>
      <c r="M879" s="140"/>
      <c r="N879" s="140"/>
      <c r="O879" s="140"/>
      <c r="P879" s="140"/>
      <c r="Q879" s="140"/>
      <c r="R879" s="140"/>
      <c r="S879" s="140"/>
      <c r="T879" s="140"/>
    </row>
    <row r="880" spans="1:20" ht="13">
      <c r="A880" s="140"/>
      <c r="B880" s="140"/>
      <c r="C880" s="140"/>
      <c r="D880" s="140"/>
      <c r="E880" s="140"/>
      <c r="F880" s="140"/>
      <c r="G880" s="140"/>
      <c r="H880" s="140"/>
      <c r="I880" s="140"/>
      <c r="J880" s="140"/>
      <c r="K880" s="140"/>
      <c r="L880" s="140"/>
      <c r="M880" s="140"/>
      <c r="N880" s="140"/>
      <c r="O880" s="140"/>
      <c r="P880" s="140"/>
      <c r="Q880" s="140"/>
      <c r="R880" s="140"/>
      <c r="S880" s="140"/>
      <c r="T880" s="140"/>
    </row>
    <row r="881" spans="1:20" ht="13">
      <c r="A881" s="140"/>
      <c r="B881" s="140"/>
      <c r="C881" s="140"/>
      <c r="D881" s="140"/>
      <c r="E881" s="140"/>
      <c r="F881" s="140"/>
      <c r="G881" s="140"/>
      <c r="H881" s="140"/>
      <c r="I881" s="140"/>
      <c r="J881" s="140"/>
      <c r="K881" s="140"/>
      <c r="L881" s="140"/>
      <c r="M881" s="140"/>
      <c r="N881" s="140"/>
      <c r="O881" s="140"/>
      <c r="P881" s="140"/>
      <c r="Q881" s="140"/>
      <c r="R881" s="140"/>
      <c r="S881" s="140"/>
      <c r="T881" s="140"/>
    </row>
    <row r="882" spans="1:20" ht="13">
      <c r="A882" s="140"/>
      <c r="B882" s="140"/>
      <c r="C882" s="140"/>
      <c r="D882" s="140"/>
      <c r="E882" s="140"/>
      <c r="F882" s="140"/>
      <c r="G882" s="140"/>
      <c r="H882" s="140"/>
      <c r="I882" s="140"/>
      <c r="J882" s="140"/>
      <c r="K882" s="140"/>
      <c r="L882" s="140"/>
      <c r="M882" s="140"/>
      <c r="N882" s="140"/>
      <c r="O882" s="140"/>
      <c r="P882" s="140"/>
      <c r="Q882" s="140"/>
      <c r="R882" s="140"/>
      <c r="S882" s="140"/>
      <c r="T882" s="140"/>
    </row>
    <row r="883" spans="1:20" ht="13">
      <c r="A883" s="140"/>
      <c r="B883" s="140"/>
      <c r="C883" s="140"/>
      <c r="D883" s="140"/>
      <c r="E883" s="140"/>
      <c r="F883" s="140"/>
      <c r="G883" s="140"/>
      <c r="H883" s="140"/>
      <c r="I883" s="140"/>
      <c r="J883" s="140"/>
      <c r="K883" s="140"/>
      <c r="L883" s="140"/>
      <c r="M883" s="140"/>
      <c r="N883" s="140"/>
      <c r="O883" s="140"/>
      <c r="P883" s="140"/>
      <c r="Q883" s="140"/>
      <c r="R883" s="140"/>
      <c r="S883" s="140"/>
      <c r="T883" s="140"/>
    </row>
    <row r="884" spans="1:20" ht="13">
      <c r="A884" s="140"/>
      <c r="B884" s="140"/>
      <c r="C884" s="140"/>
      <c r="D884" s="140"/>
      <c r="E884" s="140"/>
      <c r="F884" s="140"/>
      <c r="G884" s="140"/>
      <c r="H884" s="140"/>
      <c r="I884" s="140"/>
      <c r="J884" s="140"/>
      <c r="K884" s="140"/>
      <c r="L884" s="140"/>
      <c r="M884" s="140"/>
      <c r="N884" s="140"/>
      <c r="O884" s="140"/>
      <c r="P884" s="140"/>
      <c r="Q884" s="140"/>
      <c r="R884" s="140"/>
      <c r="S884" s="140"/>
      <c r="T884" s="140"/>
    </row>
    <row r="885" spans="1:20" ht="13">
      <c r="A885" s="140"/>
      <c r="B885" s="140"/>
      <c r="C885" s="140"/>
      <c r="D885" s="140"/>
      <c r="E885" s="140"/>
      <c r="F885" s="140"/>
      <c r="G885" s="140"/>
      <c r="H885" s="140"/>
      <c r="I885" s="140"/>
      <c r="J885" s="140"/>
      <c r="K885" s="140"/>
      <c r="L885" s="140"/>
      <c r="M885" s="140"/>
      <c r="N885" s="140"/>
      <c r="O885" s="140"/>
      <c r="P885" s="140"/>
      <c r="Q885" s="140"/>
      <c r="R885" s="140"/>
      <c r="S885" s="140"/>
      <c r="T885" s="140"/>
    </row>
    <row r="886" spans="1:20" ht="13">
      <c r="A886" s="140"/>
      <c r="B886" s="140"/>
      <c r="C886" s="140"/>
      <c r="D886" s="140"/>
      <c r="E886" s="140"/>
      <c r="F886" s="140"/>
      <c r="G886" s="140"/>
      <c r="H886" s="140"/>
      <c r="I886" s="140"/>
      <c r="J886" s="140"/>
      <c r="K886" s="140"/>
      <c r="L886" s="140"/>
      <c r="M886" s="140"/>
      <c r="N886" s="140"/>
      <c r="O886" s="140"/>
      <c r="P886" s="140"/>
      <c r="Q886" s="140"/>
      <c r="R886" s="140"/>
      <c r="S886" s="140"/>
      <c r="T886" s="140"/>
    </row>
    <row r="887" spans="1:20" ht="13">
      <c r="A887" s="140"/>
      <c r="B887" s="140"/>
      <c r="C887" s="140"/>
      <c r="D887" s="140"/>
      <c r="E887" s="140"/>
      <c r="F887" s="140"/>
      <c r="G887" s="140"/>
      <c r="H887" s="140"/>
      <c r="I887" s="140"/>
      <c r="J887" s="140"/>
      <c r="K887" s="140"/>
      <c r="L887" s="140"/>
      <c r="M887" s="140"/>
      <c r="N887" s="140"/>
      <c r="O887" s="140"/>
      <c r="P887" s="140"/>
      <c r="Q887" s="140"/>
      <c r="R887" s="140"/>
      <c r="S887" s="140"/>
      <c r="T887" s="140"/>
    </row>
    <row r="888" spans="1:20" ht="13">
      <c r="A888" s="140"/>
      <c r="B888" s="140"/>
      <c r="C888" s="140"/>
      <c r="D888" s="140"/>
      <c r="E888" s="140"/>
      <c r="F888" s="140"/>
      <c r="G888" s="140"/>
      <c r="H888" s="140"/>
      <c r="I888" s="140"/>
      <c r="J888" s="140"/>
      <c r="K888" s="140"/>
      <c r="L888" s="140"/>
      <c r="M888" s="140"/>
      <c r="N888" s="140"/>
      <c r="O888" s="140"/>
      <c r="P888" s="140"/>
      <c r="Q888" s="140"/>
      <c r="R888" s="140"/>
      <c r="S888" s="140"/>
      <c r="T888" s="140"/>
    </row>
    <row r="889" spans="1:20" ht="13">
      <c r="A889" s="140"/>
      <c r="B889" s="140"/>
      <c r="C889" s="140"/>
      <c r="D889" s="140"/>
      <c r="E889" s="140"/>
      <c r="F889" s="140"/>
      <c r="G889" s="140"/>
      <c r="H889" s="140"/>
      <c r="I889" s="140"/>
      <c r="J889" s="140"/>
      <c r="K889" s="140"/>
      <c r="L889" s="140"/>
      <c r="M889" s="140"/>
      <c r="N889" s="140"/>
      <c r="O889" s="140"/>
      <c r="P889" s="140"/>
      <c r="Q889" s="140"/>
      <c r="R889" s="140"/>
      <c r="S889" s="140"/>
      <c r="T889" s="140"/>
    </row>
    <row r="890" spans="1:20" ht="13">
      <c r="A890" s="140"/>
      <c r="B890" s="140"/>
      <c r="C890" s="140"/>
      <c r="D890" s="140"/>
      <c r="E890" s="140"/>
      <c r="F890" s="140"/>
      <c r="G890" s="140"/>
      <c r="H890" s="140"/>
      <c r="I890" s="140"/>
      <c r="J890" s="140"/>
      <c r="K890" s="140"/>
      <c r="L890" s="140"/>
      <c r="M890" s="140"/>
      <c r="N890" s="140"/>
      <c r="O890" s="140"/>
      <c r="P890" s="140"/>
      <c r="Q890" s="140"/>
      <c r="R890" s="140"/>
      <c r="S890" s="140"/>
      <c r="T890" s="140"/>
    </row>
    <row r="891" spans="1:20" ht="13">
      <c r="A891" s="140"/>
      <c r="B891" s="140"/>
      <c r="C891" s="140"/>
      <c r="D891" s="140"/>
      <c r="E891" s="140"/>
      <c r="F891" s="140"/>
      <c r="G891" s="140"/>
      <c r="H891" s="140"/>
      <c r="I891" s="140"/>
      <c r="J891" s="140"/>
      <c r="K891" s="140"/>
      <c r="L891" s="140"/>
      <c r="M891" s="140"/>
      <c r="N891" s="140"/>
      <c r="O891" s="140"/>
      <c r="P891" s="140"/>
      <c r="Q891" s="140"/>
      <c r="R891" s="140"/>
      <c r="S891" s="140"/>
      <c r="T891" s="140"/>
    </row>
    <row r="892" spans="1:20" ht="13">
      <c r="A892" s="140"/>
      <c r="B892" s="140"/>
      <c r="C892" s="140"/>
      <c r="D892" s="140"/>
      <c r="E892" s="140"/>
      <c r="F892" s="140"/>
      <c r="G892" s="140"/>
      <c r="H892" s="140"/>
      <c r="I892" s="140"/>
      <c r="J892" s="140"/>
      <c r="K892" s="140"/>
      <c r="L892" s="140"/>
      <c r="M892" s="140"/>
      <c r="N892" s="140"/>
      <c r="O892" s="140"/>
      <c r="P892" s="140"/>
      <c r="Q892" s="140"/>
      <c r="R892" s="140"/>
      <c r="S892" s="140"/>
      <c r="T892" s="140"/>
    </row>
    <row r="893" spans="1:20" ht="13">
      <c r="A893" s="140"/>
      <c r="B893" s="140"/>
      <c r="C893" s="140"/>
      <c r="D893" s="140"/>
      <c r="E893" s="140"/>
      <c r="F893" s="140"/>
      <c r="G893" s="140"/>
      <c r="H893" s="140"/>
      <c r="I893" s="140"/>
      <c r="J893" s="140"/>
      <c r="K893" s="140"/>
      <c r="L893" s="140"/>
      <c r="M893" s="140"/>
      <c r="N893" s="140"/>
      <c r="O893" s="140"/>
      <c r="P893" s="140"/>
      <c r="Q893" s="140"/>
      <c r="R893" s="140"/>
      <c r="S893" s="140"/>
      <c r="T893" s="140"/>
    </row>
    <row r="894" spans="1:20" ht="13">
      <c r="A894" s="140"/>
      <c r="B894" s="140"/>
      <c r="C894" s="140"/>
      <c r="D894" s="140"/>
      <c r="E894" s="140"/>
      <c r="F894" s="140"/>
      <c r="G894" s="140"/>
      <c r="H894" s="140"/>
      <c r="I894" s="140"/>
      <c r="J894" s="140"/>
      <c r="K894" s="140"/>
      <c r="L894" s="140"/>
      <c r="M894" s="140"/>
      <c r="N894" s="140"/>
      <c r="O894" s="140"/>
      <c r="P894" s="140"/>
      <c r="Q894" s="140"/>
      <c r="R894" s="140"/>
      <c r="S894" s="140"/>
      <c r="T894" s="140"/>
    </row>
    <row r="895" spans="1:20" ht="13">
      <c r="A895" s="140"/>
      <c r="B895" s="140"/>
      <c r="C895" s="140"/>
      <c r="D895" s="140"/>
      <c r="E895" s="140"/>
      <c r="F895" s="140"/>
      <c r="G895" s="140"/>
      <c r="H895" s="140"/>
      <c r="I895" s="140"/>
      <c r="J895" s="140"/>
      <c r="K895" s="140"/>
      <c r="L895" s="140"/>
      <c r="M895" s="140"/>
      <c r="N895" s="140"/>
      <c r="O895" s="140"/>
      <c r="P895" s="140"/>
      <c r="Q895" s="140"/>
      <c r="R895" s="140"/>
      <c r="S895" s="140"/>
      <c r="T895" s="140"/>
    </row>
    <row r="896" spans="1:20" ht="13">
      <c r="A896" s="140"/>
      <c r="B896" s="140"/>
      <c r="C896" s="140"/>
      <c r="D896" s="140"/>
      <c r="E896" s="140"/>
      <c r="F896" s="140"/>
      <c r="G896" s="140"/>
      <c r="H896" s="140"/>
      <c r="I896" s="140"/>
      <c r="J896" s="140"/>
      <c r="K896" s="140"/>
      <c r="L896" s="140"/>
      <c r="M896" s="140"/>
      <c r="N896" s="140"/>
      <c r="O896" s="140"/>
      <c r="P896" s="140"/>
      <c r="Q896" s="140"/>
      <c r="R896" s="140"/>
      <c r="S896" s="140"/>
      <c r="T896" s="140"/>
    </row>
    <row r="897" spans="1:20" ht="13">
      <c r="A897" s="140"/>
      <c r="B897" s="140"/>
      <c r="C897" s="140"/>
      <c r="D897" s="140"/>
      <c r="E897" s="140"/>
      <c r="F897" s="140"/>
      <c r="G897" s="140"/>
      <c r="H897" s="140"/>
      <c r="I897" s="140"/>
      <c r="J897" s="140"/>
      <c r="K897" s="140"/>
      <c r="L897" s="140"/>
      <c r="M897" s="140"/>
      <c r="N897" s="140"/>
      <c r="O897" s="140"/>
      <c r="P897" s="140"/>
      <c r="Q897" s="140"/>
      <c r="R897" s="140"/>
      <c r="S897" s="140"/>
      <c r="T897" s="140"/>
    </row>
    <row r="898" spans="1:20" ht="13">
      <c r="A898" s="140"/>
      <c r="B898" s="140"/>
      <c r="C898" s="140"/>
      <c r="D898" s="140"/>
      <c r="E898" s="140"/>
      <c r="F898" s="140"/>
      <c r="G898" s="140"/>
      <c r="H898" s="140"/>
      <c r="I898" s="140"/>
      <c r="J898" s="140"/>
      <c r="K898" s="140"/>
      <c r="L898" s="140"/>
      <c r="M898" s="140"/>
      <c r="N898" s="140"/>
      <c r="O898" s="140"/>
      <c r="P898" s="140"/>
      <c r="Q898" s="140"/>
      <c r="R898" s="140"/>
      <c r="S898" s="140"/>
      <c r="T898" s="140"/>
    </row>
    <row r="899" spans="1:20" ht="13">
      <c r="A899" s="140"/>
      <c r="B899" s="140"/>
      <c r="C899" s="140"/>
      <c r="D899" s="140"/>
      <c r="E899" s="140"/>
      <c r="F899" s="140"/>
      <c r="G899" s="140"/>
      <c r="H899" s="140"/>
      <c r="I899" s="140"/>
      <c r="J899" s="140"/>
      <c r="K899" s="140"/>
      <c r="L899" s="140"/>
      <c r="M899" s="140"/>
      <c r="N899" s="140"/>
      <c r="O899" s="140"/>
      <c r="P899" s="140"/>
      <c r="Q899" s="140"/>
      <c r="R899" s="140"/>
      <c r="S899" s="140"/>
      <c r="T899" s="140"/>
    </row>
    <row r="900" spans="1:20" ht="13">
      <c r="A900" s="140"/>
      <c r="B900" s="140"/>
      <c r="C900" s="140"/>
      <c r="D900" s="140"/>
      <c r="E900" s="140"/>
      <c r="F900" s="140"/>
      <c r="G900" s="140"/>
      <c r="H900" s="140"/>
      <c r="I900" s="140"/>
      <c r="J900" s="140"/>
      <c r="K900" s="140"/>
      <c r="L900" s="140"/>
      <c r="M900" s="140"/>
      <c r="N900" s="140"/>
      <c r="O900" s="140"/>
      <c r="P900" s="140"/>
      <c r="Q900" s="140"/>
      <c r="R900" s="140"/>
      <c r="S900" s="140"/>
      <c r="T900" s="140"/>
    </row>
    <row r="901" spans="1:20" ht="13">
      <c r="A901" s="140"/>
      <c r="B901" s="140"/>
      <c r="C901" s="140"/>
      <c r="D901" s="140"/>
      <c r="E901" s="140"/>
      <c r="F901" s="140"/>
      <c r="G901" s="140"/>
      <c r="H901" s="140"/>
      <c r="I901" s="140"/>
      <c r="J901" s="140"/>
      <c r="K901" s="140"/>
      <c r="L901" s="140"/>
      <c r="M901" s="140"/>
      <c r="N901" s="140"/>
      <c r="O901" s="140"/>
      <c r="P901" s="140"/>
      <c r="Q901" s="140"/>
      <c r="R901" s="140"/>
      <c r="S901" s="140"/>
      <c r="T901" s="140"/>
    </row>
    <row r="902" spans="1:20" ht="13">
      <c r="A902" s="140"/>
      <c r="B902" s="140"/>
      <c r="C902" s="140"/>
      <c r="D902" s="140"/>
      <c r="E902" s="140"/>
      <c r="F902" s="140"/>
      <c r="G902" s="140"/>
      <c r="H902" s="140"/>
      <c r="I902" s="140"/>
      <c r="J902" s="140"/>
      <c r="K902" s="140"/>
      <c r="L902" s="140"/>
      <c r="M902" s="140"/>
      <c r="N902" s="140"/>
      <c r="O902" s="140"/>
      <c r="P902" s="140"/>
      <c r="Q902" s="140"/>
      <c r="R902" s="140"/>
      <c r="S902" s="140"/>
      <c r="T902" s="140"/>
    </row>
    <row r="903" spans="1:20" ht="13">
      <c r="A903" s="140"/>
      <c r="B903" s="140"/>
      <c r="C903" s="140"/>
      <c r="D903" s="140"/>
      <c r="E903" s="140"/>
      <c r="F903" s="140"/>
      <c r="G903" s="140"/>
      <c r="H903" s="140"/>
      <c r="I903" s="140"/>
      <c r="J903" s="140"/>
      <c r="K903" s="140"/>
      <c r="L903" s="140"/>
      <c r="M903" s="140"/>
      <c r="N903" s="140"/>
      <c r="O903" s="140"/>
      <c r="P903" s="140"/>
      <c r="Q903" s="140"/>
      <c r="R903" s="140"/>
      <c r="S903" s="140"/>
      <c r="T903" s="140"/>
    </row>
    <row r="904" spans="1:20" ht="13">
      <c r="A904" s="140"/>
      <c r="B904" s="140"/>
      <c r="C904" s="140"/>
      <c r="D904" s="140"/>
      <c r="E904" s="140"/>
      <c r="F904" s="140"/>
      <c r="G904" s="140"/>
      <c r="H904" s="140"/>
      <c r="I904" s="140"/>
      <c r="J904" s="140"/>
      <c r="K904" s="140"/>
      <c r="L904" s="140"/>
      <c r="M904" s="140"/>
      <c r="N904" s="140"/>
      <c r="O904" s="140"/>
      <c r="P904" s="140"/>
      <c r="Q904" s="140"/>
      <c r="R904" s="140"/>
      <c r="S904" s="140"/>
      <c r="T904" s="140"/>
    </row>
    <row r="905" spans="1:20" ht="13">
      <c r="A905" s="140"/>
      <c r="B905" s="140"/>
      <c r="C905" s="140"/>
      <c r="D905" s="140"/>
      <c r="E905" s="140"/>
      <c r="F905" s="140"/>
      <c r="G905" s="140"/>
      <c r="H905" s="140"/>
      <c r="I905" s="140"/>
      <c r="J905" s="140"/>
      <c r="K905" s="140"/>
      <c r="L905" s="140"/>
      <c r="M905" s="140"/>
      <c r="N905" s="140"/>
      <c r="O905" s="140"/>
      <c r="P905" s="140"/>
      <c r="Q905" s="140"/>
      <c r="R905" s="140"/>
      <c r="S905" s="140"/>
      <c r="T905" s="140"/>
    </row>
    <row r="906" spans="1:20" ht="13">
      <c r="A906" s="140"/>
      <c r="B906" s="140"/>
      <c r="C906" s="140"/>
      <c r="D906" s="140"/>
      <c r="E906" s="140"/>
      <c r="F906" s="140"/>
      <c r="G906" s="140"/>
      <c r="H906" s="140"/>
      <c r="I906" s="140"/>
      <c r="J906" s="140"/>
      <c r="K906" s="140"/>
      <c r="L906" s="140"/>
      <c r="M906" s="140"/>
      <c r="N906" s="140"/>
      <c r="O906" s="140"/>
      <c r="P906" s="140"/>
      <c r="Q906" s="140"/>
      <c r="R906" s="140"/>
      <c r="S906" s="140"/>
      <c r="T906" s="140"/>
    </row>
    <row r="907" spans="1:20" ht="13">
      <c r="A907" s="140"/>
      <c r="B907" s="140"/>
      <c r="C907" s="140"/>
      <c r="D907" s="140"/>
      <c r="E907" s="140"/>
      <c r="F907" s="140"/>
      <c r="G907" s="140"/>
      <c r="H907" s="140"/>
      <c r="I907" s="140"/>
      <c r="J907" s="140"/>
      <c r="K907" s="140"/>
      <c r="L907" s="140"/>
      <c r="M907" s="140"/>
      <c r="N907" s="140"/>
      <c r="O907" s="140"/>
      <c r="P907" s="140"/>
      <c r="Q907" s="140"/>
      <c r="R907" s="140"/>
      <c r="S907" s="140"/>
      <c r="T907" s="140"/>
    </row>
    <row r="908" spans="1:20" ht="13">
      <c r="A908" s="140"/>
      <c r="B908" s="140"/>
      <c r="C908" s="140"/>
      <c r="D908" s="140"/>
      <c r="E908" s="140"/>
      <c r="F908" s="140"/>
      <c r="G908" s="140"/>
      <c r="H908" s="140"/>
      <c r="I908" s="140"/>
      <c r="J908" s="140"/>
      <c r="K908" s="140"/>
      <c r="L908" s="140"/>
      <c r="M908" s="140"/>
      <c r="N908" s="140"/>
      <c r="O908" s="140"/>
      <c r="P908" s="140"/>
      <c r="Q908" s="140"/>
      <c r="R908" s="140"/>
      <c r="S908" s="140"/>
      <c r="T908" s="140"/>
    </row>
    <row r="909" spans="1:20" ht="13">
      <c r="A909" s="140"/>
      <c r="B909" s="140"/>
      <c r="C909" s="140"/>
      <c r="D909" s="140"/>
      <c r="E909" s="140"/>
      <c r="F909" s="140"/>
      <c r="G909" s="140"/>
      <c r="H909" s="140"/>
      <c r="I909" s="140"/>
      <c r="J909" s="140"/>
      <c r="K909" s="140"/>
      <c r="L909" s="140"/>
      <c r="M909" s="140"/>
      <c r="N909" s="140"/>
      <c r="O909" s="140"/>
      <c r="P909" s="140"/>
      <c r="Q909" s="140"/>
      <c r="R909" s="140"/>
      <c r="S909" s="140"/>
      <c r="T909" s="140"/>
    </row>
    <row r="910" spans="1:20" ht="13">
      <c r="A910" s="140"/>
      <c r="B910" s="140"/>
      <c r="C910" s="140"/>
      <c r="D910" s="140"/>
      <c r="E910" s="140"/>
      <c r="F910" s="140"/>
      <c r="G910" s="140"/>
      <c r="H910" s="140"/>
      <c r="I910" s="140"/>
      <c r="J910" s="140"/>
      <c r="K910" s="140"/>
      <c r="L910" s="140"/>
      <c r="M910" s="140"/>
      <c r="N910" s="140"/>
      <c r="O910" s="140"/>
      <c r="P910" s="140"/>
      <c r="Q910" s="140"/>
      <c r="R910" s="140"/>
      <c r="S910" s="140"/>
      <c r="T910" s="140"/>
    </row>
    <row r="911" spans="1:20" ht="13">
      <c r="A911" s="140"/>
      <c r="B911" s="140"/>
      <c r="C911" s="140"/>
      <c r="D911" s="140"/>
      <c r="E911" s="140"/>
      <c r="F911" s="140"/>
      <c r="G911" s="140"/>
      <c r="H911" s="140"/>
      <c r="I911" s="140"/>
      <c r="J911" s="140"/>
      <c r="K911" s="140"/>
      <c r="L911" s="140"/>
      <c r="M911" s="140"/>
      <c r="N911" s="140"/>
      <c r="O911" s="140"/>
      <c r="P911" s="140"/>
      <c r="Q911" s="140"/>
      <c r="R911" s="140"/>
      <c r="S911" s="140"/>
      <c r="T911" s="140"/>
    </row>
    <row r="912" spans="1:20" ht="13">
      <c r="A912" s="140"/>
      <c r="B912" s="140"/>
      <c r="C912" s="140"/>
      <c r="D912" s="140"/>
      <c r="E912" s="140"/>
      <c r="F912" s="140"/>
      <c r="G912" s="140"/>
      <c r="H912" s="140"/>
      <c r="I912" s="140"/>
      <c r="J912" s="140"/>
      <c r="K912" s="140"/>
      <c r="L912" s="140"/>
      <c r="M912" s="140"/>
      <c r="N912" s="140"/>
      <c r="O912" s="140"/>
      <c r="P912" s="140"/>
      <c r="Q912" s="140"/>
      <c r="R912" s="140"/>
      <c r="S912" s="140"/>
      <c r="T912" s="140"/>
    </row>
    <row r="913" spans="1:20" ht="13">
      <c r="A913" s="140"/>
      <c r="B913" s="140"/>
      <c r="C913" s="140"/>
      <c r="D913" s="140"/>
      <c r="E913" s="140"/>
      <c r="F913" s="140"/>
      <c r="G913" s="140"/>
      <c r="H913" s="140"/>
      <c r="I913" s="140"/>
      <c r="J913" s="140"/>
      <c r="K913" s="140"/>
      <c r="L913" s="140"/>
      <c r="M913" s="140"/>
      <c r="N913" s="140"/>
      <c r="O913" s="140"/>
      <c r="P913" s="140"/>
      <c r="Q913" s="140"/>
      <c r="R913" s="140"/>
      <c r="S913" s="140"/>
      <c r="T913" s="140"/>
    </row>
    <row r="914" spans="1:20" ht="13">
      <c r="A914" s="140"/>
      <c r="B914" s="140"/>
      <c r="C914" s="140"/>
      <c r="D914" s="140"/>
      <c r="E914" s="140"/>
      <c r="F914" s="140"/>
      <c r="G914" s="140"/>
      <c r="H914" s="140"/>
      <c r="I914" s="140"/>
      <c r="J914" s="140"/>
      <c r="K914" s="140"/>
      <c r="L914" s="140"/>
      <c r="M914" s="140"/>
      <c r="N914" s="140"/>
      <c r="O914" s="140"/>
      <c r="P914" s="140"/>
      <c r="Q914" s="140"/>
      <c r="R914" s="140"/>
      <c r="S914" s="140"/>
      <c r="T914" s="140"/>
    </row>
    <row r="915" spans="1:20" ht="13">
      <c r="A915" s="140"/>
      <c r="B915" s="140"/>
      <c r="C915" s="140"/>
      <c r="D915" s="140"/>
      <c r="E915" s="140"/>
      <c r="F915" s="140"/>
      <c r="G915" s="140"/>
      <c r="H915" s="140"/>
      <c r="I915" s="140"/>
      <c r="J915" s="140"/>
      <c r="K915" s="140"/>
      <c r="L915" s="140"/>
      <c r="M915" s="140"/>
      <c r="N915" s="140"/>
      <c r="O915" s="140"/>
      <c r="P915" s="140"/>
      <c r="Q915" s="140"/>
      <c r="R915" s="140"/>
      <c r="S915" s="140"/>
      <c r="T915" s="140"/>
    </row>
    <row r="916" spans="1:20" ht="13">
      <c r="A916" s="140"/>
      <c r="B916" s="140"/>
      <c r="C916" s="140"/>
      <c r="D916" s="140"/>
      <c r="E916" s="140"/>
      <c r="F916" s="140"/>
      <c r="G916" s="140"/>
      <c r="H916" s="140"/>
      <c r="I916" s="140"/>
      <c r="J916" s="140"/>
      <c r="K916" s="140"/>
      <c r="L916" s="140"/>
      <c r="M916" s="140"/>
      <c r="N916" s="140"/>
      <c r="O916" s="140"/>
      <c r="P916" s="140"/>
      <c r="Q916" s="140"/>
      <c r="R916" s="140"/>
      <c r="S916" s="140"/>
      <c r="T916" s="140"/>
    </row>
    <row r="917" spans="1:20" ht="13">
      <c r="A917" s="140"/>
      <c r="B917" s="140"/>
      <c r="C917" s="140"/>
      <c r="D917" s="140"/>
      <c r="E917" s="140"/>
      <c r="F917" s="140"/>
      <c r="G917" s="140"/>
      <c r="H917" s="140"/>
      <c r="I917" s="140"/>
      <c r="J917" s="140"/>
      <c r="K917" s="140"/>
      <c r="L917" s="140"/>
      <c r="M917" s="140"/>
      <c r="N917" s="140"/>
      <c r="O917" s="140"/>
      <c r="P917" s="140"/>
      <c r="Q917" s="140"/>
      <c r="R917" s="140"/>
      <c r="S917" s="140"/>
      <c r="T917" s="140"/>
    </row>
    <row r="918" spans="1:20" ht="13">
      <c r="A918" s="140"/>
      <c r="B918" s="140"/>
      <c r="C918" s="140"/>
      <c r="D918" s="140"/>
      <c r="E918" s="140"/>
      <c r="F918" s="140"/>
      <c r="G918" s="140"/>
      <c r="H918" s="140"/>
      <c r="I918" s="140"/>
      <c r="J918" s="140"/>
      <c r="K918" s="140"/>
      <c r="L918" s="140"/>
      <c r="M918" s="140"/>
      <c r="N918" s="140"/>
      <c r="O918" s="140"/>
      <c r="P918" s="140"/>
      <c r="Q918" s="140"/>
      <c r="R918" s="140"/>
      <c r="S918" s="140"/>
      <c r="T918" s="140"/>
    </row>
    <row r="919" spans="1:20" ht="13">
      <c r="A919" s="140"/>
      <c r="B919" s="140"/>
      <c r="C919" s="140"/>
      <c r="D919" s="140"/>
      <c r="E919" s="140"/>
      <c r="F919" s="140"/>
      <c r="G919" s="140"/>
      <c r="H919" s="140"/>
      <c r="I919" s="140"/>
      <c r="J919" s="140"/>
      <c r="K919" s="140"/>
      <c r="L919" s="140"/>
      <c r="M919" s="140"/>
      <c r="N919" s="140"/>
      <c r="O919" s="140"/>
      <c r="P919" s="140"/>
      <c r="Q919" s="140"/>
      <c r="R919" s="140"/>
      <c r="S919" s="140"/>
      <c r="T919" s="140"/>
    </row>
    <row r="920" spans="1:20" ht="13">
      <c r="A920" s="140"/>
      <c r="B920" s="140"/>
      <c r="C920" s="140"/>
      <c r="D920" s="140"/>
      <c r="E920" s="140"/>
      <c r="F920" s="140"/>
      <c r="G920" s="140"/>
      <c r="H920" s="140"/>
      <c r="I920" s="140"/>
      <c r="J920" s="140"/>
      <c r="K920" s="140"/>
      <c r="L920" s="140"/>
      <c r="M920" s="140"/>
      <c r="N920" s="140"/>
      <c r="O920" s="140"/>
      <c r="P920" s="140"/>
      <c r="Q920" s="140"/>
      <c r="R920" s="140"/>
      <c r="S920" s="140"/>
      <c r="T920" s="140"/>
    </row>
    <row r="921" spans="1:20" ht="13">
      <c r="A921" s="140"/>
      <c r="B921" s="140"/>
      <c r="C921" s="140"/>
      <c r="D921" s="140"/>
      <c r="E921" s="140"/>
      <c r="F921" s="140"/>
      <c r="G921" s="140"/>
      <c r="H921" s="140"/>
      <c r="I921" s="140"/>
      <c r="J921" s="140"/>
      <c r="K921" s="140"/>
      <c r="L921" s="140"/>
      <c r="M921" s="140"/>
      <c r="N921" s="140"/>
      <c r="O921" s="140"/>
      <c r="P921" s="140"/>
      <c r="Q921" s="140"/>
      <c r="R921" s="140"/>
      <c r="S921" s="140"/>
      <c r="T921" s="140"/>
    </row>
    <row r="922" spans="1:20" ht="13">
      <c r="A922" s="140"/>
      <c r="B922" s="140"/>
      <c r="C922" s="140"/>
      <c r="D922" s="140"/>
      <c r="E922" s="140"/>
      <c r="F922" s="140"/>
      <c r="G922" s="140"/>
      <c r="H922" s="140"/>
      <c r="I922" s="140"/>
      <c r="J922" s="140"/>
      <c r="K922" s="140"/>
      <c r="L922" s="140"/>
      <c r="M922" s="140"/>
      <c r="N922" s="140"/>
      <c r="O922" s="140"/>
      <c r="P922" s="140"/>
      <c r="Q922" s="140"/>
      <c r="R922" s="140"/>
      <c r="S922" s="140"/>
      <c r="T922" s="140"/>
    </row>
    <row r="923" spans="1:20" ht="13">
      <c r="A923" s="140"/>
      <c r="B923" s="140"/>
      <c r="C923" s="140"/>
      <c r="D923" s="140"/>
      <c r="E923" s="140"/>
      <c r="F923" s="140"/>
      <c r="G923" s="140"/>
      <c r="H923" s="140"/>
      <c r="I923" s="140"/>
      <c r="J923" s="140"/>
      <c r="K923" s="140"/>
      <c r="L923" s="140"/>
      <c r="M923" s="140"/>
      <c r="N923" s="140"/>
      <c r="O923" s="140"/>
      <c r="P923" s="140"/>
      <c r="Q923" s="140"/>
      <c r="R923" s="140"/>
      <c r="S923" s="140"/>
      <c r="T923" s="140"/>
    </row>
    <row r="924" spans="1:20" ht="13">
      <c r="A924" s="140"/>
      <c r="B924" s="140"/>
      <c r="C924" s="140"/>
      <c r="D924" s="140"/>
      <c r="E924" s="140"/>
      <c r="F924" s="140"/>
      <c r="G924" s="140"/>
      <c r="H924" s="140"/>
      <c r="I924" s="140"/>
      <c r="J924" s="140"/>
      <c r="K924" s="140"/>
      <c r="L924" s="140"/>
      <c r="M924" s="140"/>
      <c r="N924" s="140"/>
      <c r="O924" s="140"/>
      <c r="P924" s="140"/>
      <c r="Q924" s="140"/>
      <c r="R924" s="140"/>
      <c r="S924" s="140"/>
      <c r="T924" s="140"/>
    </row>
    <row r="925" spans="1:20" ht="13">
      <c r="A925" s="140"/>
      <c r="B925" s="140"/>
      <c r="C925" s="140"/>
      <c r="D925" s="140"/>
      <c r="E925" s="140"/>
      <c r="F925" s="140"/>
      <c r="G925" s="140"/>
      <c r="H925" s="140"/>
      <c r="I925" s="140"/>
      <c r="J925" s="140"/>
      <c r="K925" s="140"/>
      <c r="L925" s="140"/>
      <c r="M925" s="140"/>
      <c r="N925" s="140"/>
      <c r="O925" s="140"/>
      <c r="P925" s="140"/>
      <c r="Q925" s="140"/>
      <c r="R925" s="140"/>
      <c r="S925" s="140"/>
      <c r="T925" s="140"/>
    </row>
    <row r="926" spans="1:20" ht="13">
      <c r="A926" s="140"/>
      <c r="B926" s="140"/>
      <c r="C926" s="140"/>
      <c r="D926" s="140"/>
      <c r="E926" s="140"/>
      <c r="F926" s="140"/>
      <c r="G926" s="140"/>
      <c r="H926" s="140"/>
      <c r="I926" s="140"/>
      <c r="J926" s="140"/>
      <c r="K926" s="140"/>
      <c r="L926" s="140"/>
      <c r="M926" s="140"/>
      <c r="N926" s="140"/>
      <c r="O926" s="140"/>
      <c r="P926" s="140"/>
      <c r="Q926" s="140"/>
      <c r="R926" s="140"/>
      <c r="S926" s="140"/>
      <c r="T926" s="140"/>
    </row>
    <row r="927" spans="1:20" ht="13">
      <c r="A927" s="140"/>
      <c r="B927" s="140"/>
      <c r="C927" s="140"/>
      <c r="D927" s="140"/>
      <c r="E927" s="140"/>
      <c r="F927" s="140"/>
      <c r="G927" s="140"/>
      <c r="H927" s="140"/>
      <c r="I927" s="140"/>
      <c r="J927" s="140"/>
      <c r="K927" s="140"/>
      <c r="L927" s="140"/>
      <c r="M927" s="140"/>
      <c r="N927" s="140"/>
      <c r="O927" s="140"/>
      <c r="P927" s="140"/>
      <c r="Q927" s="140"/>
      <c r="R927" s="140"/>
      <c r="S927" s="140"/>
      <c r="T927" s="140"/>
    </row>
    <row r="928" spans="1:20" ht="13">
      <c r="A928" s="140"/>
      <c r="B928" s="140"/>
      <c r="C928" s="140"/>
      <c r="D928" s="140"/>
      <c r="E928" s="140"/>
      <c r="F928" s="140"/>
      <c r="G928" s="140"/>
      <c r="H928" s="140"/>
      <c r="I928" s="140"/>
      <c r="J928" s="140"/>
      <c r="K928" s="140"/>
      <c r="L928" s="140"/>
      <c r="M928" s="140"/>
      <c r="N928" s="140"/>
      <c r="O928" s="140"/>
      <c r="P928" s="140"/>
      <c r="Q928" s="140"/>
      <c r="R928" s="140"/>
      <c r="S928" s="140"/>
      <c r="T928" s="140"/>
    </row>
    <row r="929" spans="1:20" ht="13">
      <c r="A929" s="140"/>
      <c r="B929" s="140"/>
      <c r="C929" s="140"/>
      <c r="D929" s="140"/>
      <c r="E929" s="140"/>
      <c r="F929" s="140"/>
      <c r="G929" s="140"/>
      <c r="H929" s="140"/>
      <c r="I929" s="140"/>
      <c r="J929" s="140"/>
      <c r="K929" s="140"/>
      <c r="L929" s="140"/>
      <c r="M929" s="140"/>
      <c r="N929" s="140"/>
      <c r="O929" s="140"/>
      <c r="P929" s="140"/>
      <c r="Q929" s="140"/>
      <c r="R929" s="140"/>
      <c r="S929" s="140"/>
      <c r="T929" s="140"/>
    </row>
    <row r="930" spans="1:20" ht="13">
      <c r="A930" s="140"/>
      <c r="B930" s="140"/>
      <c r="C930" s="140"/>
      <c r="D930" s="140"/>
      <c r="E930" s="140"/>
      <c r="F930" s="140"/>
      <c r="G930" s="140"/>
      <c r="H930" s="140"/>
      <c r="I930" s="140"/>
      <c r="J930" s="140"/>
      <c r="K930" s="140"/>
      <c r="L930" s="140"/>
      <c r="M930" s="140"/>
      <c r="N930" s="140"/>
      <c r="O930" s="140"/>
      <c r="P930" s="140"/>
      <c r="Q930" s="140"/>
      <c r="R930" s="140"/>
      <c r="S930" s="140"/>
      <c r="T930" s="140"/>
    </row>
    <row r="931" spans="1:20" ht="13">
      <c r="A931" s="140"/>
      <c r="B931" s="140"/>
      <c r="C931" s="140"/>
      <c r="D931" s="140"/>
      <c r="E931" s="140"/>
      <c r="F931" s="140"/>
      <c r="G931" s="140"/>
      <c r="H931" s="140"/>
      <c r="I931" s="140"/>
      <c r="J931" s="140"/>
      <c r="K931" s="140"/>
      <c r="L931" s="140"/>
      <c r="M931" s="140"/>
      <c r="N931" s="140"/>
      <c r="O931" s="140"/>
      <c r="P931" s="140"/>
      <c r="Q931" s="140"/>
      <c r="R931" s="140"/>
      <c r="S931" s="140"/>
      <c r="T931" s="140"/>
    </row>
    <row r="932" spans="1:20" ht="13">
      <c r="A932" s="140"/>
      <c r="B932" s="140"/>
      <c r="C932" s="140"/>
      <c r="D932" s="140"/>
      <c r="E932" s="140"/>
      <c r="F932" s="140"/>
      <c r="G932" s="140"/>
      <c r="H932" s="140"/>
      <c r="I932" s="140"/>
      <c r="J932" s="140"/>
      <c r="K932" s="140"/>
      <c r="L932" s="140"/>
      <c r="M932" s="140"/>
      <c r="N932" s="140"/>
      <c r="O932" s="140"/>
      <c r="P932" s="140"/>
      <c r="Q932" s="140"/>
      <c r="R932" s="140"/>
      <c r="S932" s="140"/>
      <c r="T932" s="140"/>
    </row>
    <row r="933" spans="1:20" ht="13">
      <c r="A933" s="140"/>
      <c r="B933" s="140"/>
      <c r="C933" s="140"/>
      <c r="D933" s="140"/>
      <c r="E933" s="140"/>
      <c r="F933" s="140"/>
      <c r="G933" s="140"/>
      <c r="H933" s="140"/>
      <c r="I933" s="140"/>
      <c r="J933" s="140"/>
      <c r="K933" s="140"/>
      <c r="L933" s="140"/>
      <c r="M933" s="140"/>
      <c r="N933" s="140"/>
      <c r="O933" s="140"/>
      <c r="P933" s="140"/>
      <c r="Q933" s="140"/>
      <c r="R933" s="140"/>
      <c r="S933" s="140"/>
      <c r="T933" s="140"/>
    </row>
    <row r="934" spans="1:20" ht="13">
      <c r="A934" s="140"/>
      <c r="B934" s="140"/>
      <c r="C934" s="140"/>
      <c r="D934" s="140"/>
      <c r="E934" s="140"/>
      <c r="F934" s="140"/>
      <c r="G934" s="140"/>
      <c r="H934" s="140"/>
      <c r="I934" s="140"/>
      <c r="J934" s="140"/>
      <c r="K934" s="140"/>
      <c r="L934" s="140"/>
      <c r="M934" s="140"/>
      <c r="N934" s="140"/>
      <c r="O934" s="140"/>
      <c r="P934" s="140"/>
      <c r="Q934" s="140"/>
      <c r="R934" s="140"/>
      <c r="S934" s="140"/>
      <c r="T934" s="140"/>
    </row>
    <row r="935" spans="1:20" ht="13">
      <c r="A935" s="140"/>
      <c r="B935" s="140"/>
      <c r="C935" s="140"/>
      <c r="D935" s="140"/>
      <c r="E935" s="140"/>
      <c r="F935" s="140"/>
      <c r="G935" s="140"/>
      <c r="H935" s="140"/>
      <c r="I935" s="140"/>
      <c r="J935" s="140"/>
      <c r="K935" s="140"/>
      <c r="L935" s="140"/>
      <c r="M935" s="140"/>
      <c r="N935" s="140"/>
      <c r="O935" s="140"/>
      <c r="P935" s="140"/>
      <c r="Q935" s="140"/>
      <c r="R935" s="140"/>
      <c r="S935" s="140"/>
      <c r="T935" s="140"/>
    </row>
    <row r="936" spans="1:20" ht="13">
      <c r="A936" s="140"/>
      <c r="B936" s="140"/>
      <c r="C936" s="140"/>
      <c r="D936" s="140"/>
      <c r="E936" s="140"/>
      <c r="F936" s="140"/>
      <c r="G936" s="140"/>
      <c r="H936" s="140"/>
      <c r="I936" s="140"/>
      <c r="J936" s="140"/>
      <c r="K936" s="140"/>
      <c r="L936" s="140"/>
      <c r="M936" s="140"/>
      <c r="N936" s="140"/>
      <c r="O936" s="140"/>
      <c r="P936" s="140"/>
      <c r="Q936" s="140"/>
      <c r="R936" s="140"/>
      <c r="S936" s="140"/>
      <c r="T936" s="140"/>
    </row>
    <row r="937" spans="1:20" ht="13">
      <c r="A937" s="140"/>
      <c r="B937" s="140"/>
      <c r="C937" s="140"/>
      <c r="D937" s="140"/>
      <c r="E937" s="140"/>
      <c r="F937" s="140"/>
      <c r="G937" s="140"/>
      <c r="H937" s="140"/>
      <c r="I937" s="140"/>
      <c r="J937" s="140"/>
      <c r="K937" s="140"/>
      <c r="L937" s="140"/>
      <c r="M937" s="140"/>
      <c r="N937" s="140"/>
      <c r="O937" s="140"/>
      <c r="P937" s="140"/>
      <c r="Q937" s="140"/>
      <c r="R937" s="140"/>
      <c r="S937" s="140"/>
      <c r="T937" s="140"/>
    </row>
    <row r="938" spans="1:20" ht="13">
      <c r="A938" s="140"/>
      <c r="B938" s="140"/>
      <c r="C938" s="140"/>
      <c r="D938" s="140"/>
      <c r="E938" s="140"/>
      <c r="F938" s="140"/>
      <c r="G938" s="140"/>
      <c r="H938" s="140"/>
      <c r="I938" s="140"/>
      <c r="J938" s="140"/>
      <c r="K938" s="140"/>
      <c r="L938" s="140"/>
      <c r="M938" s="140"/>
      <c r="N938" s="140"/>
      <c r="O938" s="140"/>
      <c r="P938" s="140"/>
      <c r="Q938" s="140"/>
      <c r="R938" s="140"/>
      <c r="S938" s="140"/>
      <c r="T938" s="140"/>
    </row>
    <row r="939" spans="1:20" ht="13">
      <c r="A939" s="140"/>
      <c r="B939" s="140"/>
      <c r="C939" s="140"/>
      <c r="D939" s="140"/>
      <c r="E939" s="140"/>
      <c r="F939" s="140"/>
      <c r="G939" s="140"/>
      <c r="H939" s="140"/>
      <c r="I939" s="140"/>
      <c r="J939" s="140"/>
      <c r="K939" s="140"/>
      <c r="L939" s="140"/>
      <c r="M939" s="140"/>
      <c r="N939" s="140"/>
      <c r="O939" s="140"/>
      <c r="P939" s="140"/>
      <c r="Q939" s="140"/>
      <c r="R939" s="140"/>
      <c r="S939" s="140"/>
      <c r="T939" s="140"/>
    </row>
    <row r="940" spans="1:20" ht="13">
      <c r="A940" s="140"/>
      <c r="B940" s="140"/>
      <c r="C940" s="140"/>
      <c r="D940" s="140"/>
      <c r="E940" s="140"/>
      <c r="F940" s="140"/>
      <c r="G940" s="140"/>
      <c r="H940" s="140"/>
      <c r="I940" s="140"/>
      <c r="J940" s="140"/>
      <c r="K940" s="140"/>
      <c r="L940" s="140"/>
      <c r="M940" s="140"/>
      <c r="N940" s="140"/>
      <c r="O940" s="140"/>
      <c r="P940" s="140"/>
      <c r="Q940" s="140"/>
      <c r="R940" s="140"/>
      <c r="S940" s="140"/>
      <c r="T940" s="140"/>
    </row>
    <row r="941" spans="1:20" ht="13">
      <c r="A941" s="140"/>
      <c r="B941" s="140"/>
      <c r="C941" s="140"/>
      <c r="D941" s="140"/>
      <c r="E941" s="140"/>
      <c r="F941" s="140"/>
      <c r="G941" s="140"/>
      <c r="H941" s="140"/>
      <c r="I941" s="140"/>
      <c r="J941" s="140"/>
      <c r="K941" s="140"/>
      <c r="L941" s="140"/>
      <c r="M941" s="140"/>
      <c r="N941" s="140"/>
      <c r="O941" s="140"/>
      <c r="P941" s="140"/>
      <c r="Q941" s="140"/>
      <c r="R941" s="140"/>
      <c r="S941" s="140"/>
      <c r="T941" s="140"/>
    </row>
    <row r="942" spans="1:20" ht="13">
      <c r="A942" s="140"/>
      <c r="B942" s="140"/>
      <c r="C942" s="140"/>
      <c r="D942" s="140"/>
      <c r="E942" s="140"/>
      <c r="F942" s="140"/>
      <c r="G942" s="140"/>
      <c r="H942" s="140"/>
      <c r="I942" s="140"/>
      <c r="J942" s="140"/>
      <c r="K942" s="140"/>
      <c r="L942" s="140"/>
      <c r="M942" s="140"/>
      <c r="N942" s="140"/>
      <c r="O942" s="140"/>
      <c r="P942" s="140"/>
      <c r="Q942" s="140"/>
      <c r="R942" s="140"/>
      <c r="S942" s="140"/>
      <c r="T942" s="140"/>
    </row>
    <row r="943" spans="1:20" ht="13">
      <c r="A943" s="140"/>
      <c r="B943" s="140"/>
      <c r="C943" s="140"/>
      <c r="D943" s="140"/>
      <c r="E943" s="140"/>
      <c r="F943" s="140"/>
      <c r="G943" s="140"/>
      <c r="H943" s="140"/>
      <c r="I943" s="140"/>
      <c r="J943" s="140"/>
      <c r="K943" s="140"/>
      <c r="L943" s="140"/>
      <c r="M943" s="140"/>
      <c r="N943" s="140"/>
      <c r="O943" s="140"/>
      <c r="P943" s="140"/>
      <c r="Q943" s="140"/>
      <c r="R943" s="140"/>
      <c r="S943" s="140"/>
      <c r="T943" s="140"/>
    </row>
    <row r="944" spans="1:20" ht="13">
      <c r="A944" s="140"/>
      <c r="B944" s="140"/>
      <c r="C944" s="140"/>
      <c r="D944" s="140"/>
      <c r="E944" s="140"/>
      <c r="F944" s="140"/>
      <c r="G944" s="140"/>
      <c r="H944" s="140"/>
      <c r="I944" s="140"/>
      <c r="J944" s="140"/>
      <c r="K944" s="140"/>
      <c r="L944" s="140"/>
      <c r="M944" s="140"/>
      <c r="N944" s="140"/>
      <c r="O944" s="140"/>
      <c r="P944" s="140"/>
      <c r="Q944" s="140"/>
      <c r="R944" s="140"/>
      <c r="S944" s="140"/>
      <c r="T944" s="140"/>
    </row>
    <row r="945" spans="1:20" ht="13">
      <c r="A945" s="140"/>
      <c r="B945" s="140"/>
      <c r="C945" s="140"/>
      <c r="D945" s="140"/>
      <c r="E945" s="140"/>
      <c r="F945" s="140"/>
      <c r="G945" s="140"/>
      <c r="H945" s="140"/>
      <c r="I945" s="140"/>
      <c r="J945" s="140"/>
      <c r="K945" s="140"/>
      <c r="L945" s="140"/>
      <c r="M945" s="140"/>
      <c r="N945" s="140"/>
      <c r="O945" s="140"/>
      <c r="P945" s="140"/>
      <c r="Q945" s="140"/>
      <c r="R945" s="140"/>
      <c r="S945" s="140"/>
      <c r="T945" s="140"/>
    </row>
    <row r="946" spans="1:20" ht="13">
      <c r="A946" s="140"/>
      <c r="B946" s="140"/>
      <c r="C946" s="140"/>
      <c r="D946" s="140"/>
      <c r="E946" s="140"/>
      <c r="F946" s="140"/>
      <c r="G946" s="140"/>
      <c r="H946" s="140"/>
      <c r="I946" s="140"/>
      <c r="J946" s="140"/>
      <c r="K946" s="140"/>
      <c r="L946" s="140"/>
      <c r="M946" s="140"/>
      <c r="N946" s="140"/>
      <c r="O946" s="140"/>
      <c r="P946" s="140"/>
      <c r="Q946" s="140"/>
      <c r="R946" s="140"/>
      <c r="S946" s="140"/>
      <c r="T946" s="140"/>
    </row>
    <row r="947" spans="1:20" ht="13">
      <c r="A947" s="140"/>
      <c r="B947" s="140"/>
      <c r="C947" s="140"/>
      <c r="D947" s="140"/>
      <c r="E947" s="140"/>
      <c r="F947" s="140"/>
      <c r="G947" s="140"/>
      <c r="H947" s="140"/>
      <c r="I947" s="140"/>
      <c r="J947" s="140"/>
      <c r="K947" s="140"/>
      <c r="L947" s="140"/>
      <c r="M947" s="140"/>
      <c r="N947" s="140"/>
      <c r="O947" s="140"/>
      <c r="P947" s="140"/>
      <c r="Q947" s="140"/>
      <c r="R947" s="140"/>
      <c r="S947" s="140"/>
      <c r="T947" s="140"/>
    </row>
    <row r="948" spans="1:20" ht="13">
      <c r="A948" s="140"/>
      <c r="B948" s="140"/>
      <c r="C948" s="140"/>
      <c r="D948" s="140"/>
      <c r="E948" s="140"/>
      <c r="F948" s="140"/>
      <c r="G948" s="140"/>
      <c r="H948" s="140"/>
      <c r="I948" s="140"/>
      <c r="J948" s="140"/>
      <c r="K948" s="140"/>
      <c r="L948" s="140"/>
      <c r="M948" s="140"/>
      <c r="N948" s="140"/>
      <c r="O948" s="140"/>
      <c r="P948" s="140"/>
      <c r="Q948" s="140"/>
      <c r="R948" s="140"/>
      <c r="S948" s="140"/>
      <c r="T948" s="140"/>
    </row>
    <row r="949" spans="1:20" ht="13">
      <c r="A949" s="140"/>
      <c r="B949" s="140"/>
      <c r="C949" s="140"/>
      <c r="D949" s="140"/>
      <c r="E949" s="140"/>
      <c r="F949" s="140"/>
      <c r="G949" s="140"/>
      <c r="H949" s="140"/>
      <c r="I949" s="140"/>
      <c r="J949" s="140"/>
      <c r="K949" s="140"/>
      <c r="L949" s="140"/>
      <c r="M949" s="140"/>
      <c r="N949" s="140"/>
      <c r="O949" s="140"/>
      <c r="P949" s="140"/>
      <c r="Q949" s="140"/>
      <c r="R949" s="140"/>
      <c r="S949" s="140"/>
      <c r="T949" s="140"/>
    </row>
    <row r="950" spans="1:20" ht="13">
      <c r="A950" s="140"/>
      <c r="B950" s="140"/>
      <c r="C950" s="140"/>
      <c r="D950" s="140"/>
      <c r="E950" s="140"/>
      <c r="F950" s="140"/>
      <c r="G950" s="140"/>
      <c r="H950" s="140"/>
      <c r="I950" s="140"/>
      <c r="J950" s="140"/>
      <c r="K950" s="140"/>
      <c r="L950" s="140"/>
      <c r="M950" s="140"/>
      <c r="N950" s="140"/>
      <c r="O950" s="140"/>
      <c r="P950" s="140"/>
      <c r="Q950" s="140"/>
      <c r="R950" s="140"/>
      <c r="S950" s="140"/>
      <c r="T950" s="140"/>
    </row>
    <row r="951" spans="1:20" ht="13">
      <c r="A951" s="140"/>
      <c r="B951" s="140"/>
      <c r="C951" s="140"/>
      <c r="D951" s="140"/>
      <c r="E951" s="140"/>
      <c r="F951" s="140"/>
      <c r="G951" s="140"/>
      <c r="H951" s="140"/>
      <c r="I951" s="140"/>
      <c r="J951" s="140"/>
      <c r="K951" s="140"/>
      <c r="L951" s="140"/>
      <c r="M951" s="140"/>
      <c r="N951" s="140"/>
      <c r="O951" s="140"/>
      <c r="P951" s="140"/>
      <c r="Q951" s="140"/>
      <c r="R951" s="140"/>
      <c r="S951" s="140"/>
      <c r="T951" s="140"/>
    </row>
    <row r="952" spans="1:20" ht="13">
      <c r="A952" s="140"/>
      <c r="B952" s="140"/>
      <c r="C952" s="140"/>
      <c r="D952" s="140"/>
      <c r="E952" s="140"/>
      <c r="F952" s="140"/>
      <c r="G952" s="140"/>
      <c r="H952" s="140"/>
      <c r="I952" s="140"/>
      <c r="J952" s="140"/>
      <c r="K952" s="140"/>
      <c r="L952" s="140"/>
      <c r="M952" s="140"/>
      <c r="N952" s="140"/>
      <c r="O952" s="140"/>
      <c r="P952" s="140"/>
      <c r="Q952" s="140"/>
      <c r="R952" s="140"/>
      <c r="S952" s="140"/>
      <c r="T952" s="140"/>
    </row>
    <row r="953" spans="1:20" ht="13">
      <c r="A953" s="140"/>
      <c r="B953" s="140"/>
      <c r="C953" s="140"/>
      <c r="D953" s="140"/>
      <c r="E953" s="140"/>
      <c r="F953" s="140"/>
      <c r="G953" s="140"/>
      <c r="H953" s="140"/>
      <c r="I953" s="140"/>
      <c r="J953" s="140"/>
      <c r="K953" s="140"/>
      <c r="L953" s="140"/>
      <c r="M953" s="140"/>
      <c r="N953" s="140"/>
      <c r="O953" s="140"/>
      <c r="P953" s="140"/>
      <c r="Q953" s="140"/>
      <c r="R953" s="140"/>
      <c r="S953" s="140"/>
      <c r="T953" s="140"/>
    </row>
    <row r="954" spans="1:20" ht="13">
      <c r="A954" s="140"/>
      <c r="B954" s="140"/>
      <c r="C954" s="140"/>
      <c r="D954" s="140"/>
      <c r="E954" s="140"/>
      <c r="F954" s="140"/>
      <c r="G954" s="140"/>
      <c r="H954" s="140"/>
      <c r="I954" s="140"/>
      <c r="J954" s="140"/>
      <c r="K954" s="140"/>
      <c r="L954" s="140"/>
      <c r="M954" s="140"/>
      <c r="N954" s="140"/>
      <c r="O954" s="140"/>
      <c r="P954" s="140"/>
      <c r="Q954" s="140"/>
      <c r="R954" s="140"/>
      <c r="S954" s="140"/>
      <c r="T954" s="140"/>
    </row>
    <row r="955" spans="1:20" ht="13">
      <c r="A955" s="140"/>
      <c r="B955" s="140"/>
      <c r="C955" s="140"/>
      <c r="D955" s="140"/>
      <c r="E955" s="140"/>
      <c r="F955" s="140"/>
      <c r="G955" s="140"/>
      <c r="H955" s="140"/>
      <c r="I955" s="140"/>
      <c r="J955" s="140"/>
      <c r="K955" s="140"/>
      <c r="L955" s="140"/>
      <c r="M955" s="140"/>
      <c r="N955" s="140"/>
      <c r="O955" s="140"/>
      <c r="P955" s="140"/>
      <c r="Q955" s="140"/>
      <c r="R955" s="140"/>
      <c r="S955" s="140"/>
      <c r="T955" s="140"/>
    </row>
    <row r="956" spans="1:20" ht="13">
      <c r="A956" s="140"/>
      <c r="B956" s="140"/>
      <c r="C956" s="140"/>
      <c r="D956" s="140"/>
      <c r="E956" s="140"/>
      <c r="F956" s="140"/>
      <c r="G956" s="140"/>
      <c r="H956" s="140"/>
      <c r="I956" s="140"/>
      <c r="J956" s="140"/>
      <c r="K956" s="140"/>
      <c r="L956" s="140"/>
      <c r="M956" s="140"/>
      <c r="N956" s="140"/>
      <c r="O956" s="140"/>
      <c r="P956" s="140"/>
      <c r="Q956" s="140"/>
      <c r="R956" s="140"/>
      <c r="S956" s="140"/>
      <c r="T956" s="140"/>
    </row>
    <row r="957" spans="1:20" ht="13">
      <c r="A957" s="140"/>
      <c r="B957" s="140"/>
      <c r="C957" s="140"/>
      <c r="D957" s="140"/>
      <c r="E957" s="140"/>
      <c r="F957" s="140"/>
      <c r="G957" s="140"/>
      <c r="H957" s="140"/>
      <c r="I957" s="140"/>
      <c r="J957" s="140"/>
      <c r="K957" s="140"/>
      <c r="L957" s="140"/>
      <c r="M957" s="140"/>
      <c r="N957" s="140"/>
      <c r="O957" s="140"/>
      <c r="P957" s="140"/>
      <c r="Q957" s="140"/>
      <c r="R957" s="140"/>
      <c r="S957" s="140"/>
      <c r="T957" s="140"/>
    </row>
    <row r="958" spans="1:20" ht="13">
      <c r="A958" s="140"/>
      <c r="B958" s="140"/>
      <c r="C958" s="140"/>
      <c r="D958" s="140"/>
      <c r="E958" s="140"/>
      <c r="F958" s="140"/>
      <c r="G958" s="140"/>
      <c r="H958" s="140"/>
      <c r="I958" s="140"/>
      <c r="J958" s="140"/>
      <c r="K958" s="140"/>
      <c r="L958" s="140"/>
      <c r="M958" s="140"/>
      <c r="N958" s="140"/>
      <c r="O958" s="140"/>
      <c r="P958" s="140"/>
      <c r="Q958" s="140"/>
      <c r="R958" s="140"/>
      <c r="S958" s="140"/>
      <c r="T958" s="140"/>
    </row>
    <row r="959" spans="1:20" ht="13">
      <c r="A959" s="140"/>
      <c r="B959" s="140"/>
      <c r="C959" s="140"/>
      <c r="D959" s="140"/>
      <c r="E959" s="140"/>
      <c r="F959" s="140"/>
      <c r="G959" s="140"/>
      <c r="H959" s="140"/>
      <c r="I959" s="140"/>
      <c r="J959" s="140"/>
      <c r="K959" s="140"/>
      <c r="L959" s="140"/>
      <c r="M959" s="140"/>
      <c r="N959" s="140"/>
      <c r="O959" s="140"/>
      <c r="P959" s="140"/>
      <c r="Q959" s="140"/>
      <c r="R959" s="140"/>
      <c r="S959" s="140"/>
      <c r="T959" s="140"/>
    </row>
    <row r="960" spans="1:20" ht="13">
      <c r="A960" s="140"/>
      <c r="B960" s="140"/>
      <c r="C960" s="140"/>
      <c r="D960" s="140"/>
      <c r="E960" s="140"/>
      <c r="F960" s="140"/>
      <c r="G960" s="140"/>
      <c r="H960" s="140"/>
      <c r="I960" s="140"/>
      <c r="J960" s="140"/>
      <c r="K960" s="140"/>
      <c r="L960" s="140"/>
      <c r="M960" s="140"/>
      <c r="N960" s="140"/>
      <c r="O960" s="140"/>
      <c r="P960" s="140"/>
      <c r="Q960" s="140"/>
      <c r="R960" s="140"/>
      <c r="S960" s="140"/>
      <c r="T960" s="140"/>
    </row>
    <row r="961" spans="1:20" ht="13">
      <c r="A961" s="140"/>
      <c r="B961" s="140"/>
      <c r="C961" s="140"/>
      <c r="D961" s="140"/>
      <c r="E961" s="140"/>
      <c r="F961" s="140"/>
      <c r="G961" s="140"/>
      <c r="H961" s="140"/>
      <c r="I961" s="140"/>
      <c r="J961" s="140"/>
      <c r="K961" s="140"/>
      <c r="L961" s="140"/>
      <c r="M961" s="140"/>
      <c r="N961" s="140"/>
      <c r="O961" s="140"/>
      <c r="P961" s="140"/>
      <c r="Q961" s="140"/>
      <c r="R961" s="140"/>
      <c r="S961" s="140"/>
      <c r="T961" s="140"/>
    </row>
    <row r="962" spans="1:20" ht="13">
      <c r="A962" s="140"/>
      <c r="B962" s="140"/>
      <c r="C962" s="140"/>
      <c r="D962" s="140"/>
      <c r="E962" s="140"/>
      <c r="F962" s="140"/>
      <c r="G962" s="140"/>
      <c r="H962" s="140"/>
      <c r="I962" s="140"/>
      <c r="J962" s="140"/>
      <c r="K962" s="140"/>
      <c r="L962" s="140"/>
      <c r="M962" s="140"/>
      <c r="N962" s="140"/>
      <c r="O962" s="140"/>
      <c r="P962" s="140"/>
      <c r="Q962" s="140"/>
      <c r="R962" s="140"/>
      <c r="S962" s="140"/>
      <c r="T962" s="140"/>
    </row>
    <row r="963" spans="1:20" ht="13">
      <c r="A963" s="140"/>
      <c r="B963" s="140"/>
      <c r="C963" s="140"/>
      <c r="D963" s="140"/>
      <c r="E963" s="140"/>
      <c r="F963" s="140"/>
      <c r="G963" s="140"/>
      <c r="H963" s="140"/>
      <c r="I963" s="140"/>
      <c r="J963" s="140"/>
      <c r="K963" s="140"/>
      <c r="L963" s="140"/>
      <c r="M963" s="140"/>
      <c r="N963" s="140"/>
      <c r="O963" s="140"/>
      <c r="P963" s="140"/>
      <c r="Q963" s="140"/>
      <c r="R963" s="140"/>
      <c r="S963" s="140"/>
      <c r="T963" s="140"/>
    </row>
    <row r="964" spans="1:20" ht="13">
      <c r="A964" s="140"/>
      <c r="B964" s="140"/>
      <c r="C964" s="140"/>
      <c r="D964" s="140"/>
      <c r="E964" s="140"/>
      <c r="F964" s="140"/>
      <c r="G964" s="140"/>
      <c r="H964" s="140"/>
      <c r="I964" s="140"/>
      <c r="J964" s="140"/>
      <c r="K964" s="140"/>
      <c r="L964" s="140"/>
      <c r="M964" s="140"/>
      <c r="N964" s="140"/>
      <c r="O964" s="140"/>
      <c r="P964" s="140"/>
      <c r="Q964" s="140"/>
      <c r="R964" s="140"/>
      <c r="S964" s="140"/>
      <c r="T964" s="140"/>
    </row>
    <row r="965" spans="1:20" ht="13">
      <c r="A965" s="140"/>
      <c r="B965" s="140"/>
      <c r="C965" s="140"/>
      <c r="D965" s="140"/>
      <c r="E965" s="140"/>
      <c r="F965" s="140"/>
      <c r="G965" s="140"/>
      <c r="H965" s="140"/>
      <c r="I965" s="140"/>
      <c r="J965" s="140"/>
      <c r="K965" s="140"/>
      <c r="L965" s="140"/>
      <c r="M965" s="140"/>
      <c r="N965" s="140"/>
      <c r="O965" s="140"/>
      <c r="P965" s="140"/>
      <c r="Q965" s="140"/>
      <c r="R965" s="140"/>
      <c r="S965" s="140"/>
      <c r="T965" s="140"/>
    </row>
    <row r="966" spans="1:20" ht="13">
      <c r="A966" s="140"/>
      <c r="B966" s="140"/>
      <c r="C966" s="140"/>
      <c r="D966" s="140"/>
      <c r="E966" s="140"/>
      <c r="F966" s="140"/>
      <c r="G966" s="140"/>
      <c r="H966" s="140"/>
      <c r="I966" s="140"/>
      <c r="J966" s="140"/>
      <c r="K966" s="140"/>
      <c r="L966" s="140"/>
      <c r="M966" s="140"/>
      <c r="N966" s="140"/>
      <c r="O966" s="140"/>
      <c r="P966" s="140"/>
      <c r="Q966" s="140"/>
      <c r="R966" s="140"/>
      <c r="S966" s="140"/>
      <c r="T966" s="140"/>
    </row>
    <row r="967" spans="1:20" ht="13">
      <c r="A967" s="140"/>
      <c r="B967" s="140"/>
      <c r="C967" s="140"/>
      <c r="D967" s="140"/>
      <c r="E967" s="140"/>
      <c r="F967" s="140"/>
      <c r="G967" s="140"/>
      <c r="H967" s="140"/>
      <c r="I967" s="140"/>
      <c r="J967" s="140"/>
      <c r="K967" s="140"/>
      <c r="L967" s="140"/>
      <c r="M967" s="140"/>
      <c r="N967" s="140"/>
      <c r="O967" s="140"/>
      <c r="P967" s="140"/>
      <c r="Q967" s="140"/>
      <c r="R967" s="140"/>
      <c r="S967" s="140"/>
      <c r="T967" s="140"/>
    </row>
    <row r="968" spans="1:20" ht="13">
      <c r="A968" s="140"/>
      <c r="B968" s="140"/>
      <c r="C968" s="140"/>
      <c r="D968" s="140"/>
      <c r="E968" s="140"/>
      <c r="F968" s="140"/>
      <c r="G968" s="140"/>
      <c r="H968" s="140"/>
      <c r="I968" s="140"/>
      <c r="J968" s="140"/>
      <c r="K968" s="140"/>
      <c r="L968" s="140"/>
      <c r="M968" s="140"/>
      <c r="N968" s="140"/>
      <c r="O968" s="140"/>
      <c r="P968" s="140"/>
      <c r="Q968" s="140"/>
      <c r="R968" s="140"/>
      <c r="S968" s="140"/>
      <c r="T968" s="140"/>
    </row>
    <row r="969" spans="1:20" ht="13">
      <c r="A969" s="140"/>
      <c r="B969" s="140"/>
      <c r="C969" s="140"/>
      <c r="D969" s="140"/>
      <c r="E969" s="140"/>
      <c r="F969" s="140"/>
      <c r="G969" s="140"/>
      <c r="H969" s="140"/>
      <c r="I969" s="140"/>
      <c r="J969" s="140"/>
      <c r="K969" s="140"/>
      <c r="L969" s="140"/>
      <c r="M969" s="140"/>
      <c r="N969" s="140"/>
      <c r="O969" s="140"/>
      <c r="P969" s="140"/>
      <c r="Q969" s="140"/>
      <c r="R969" s="140"/>
      <c r="S969" s="140"/>
      <c r="T969" s="140"/>
    </row>
    <row r="970" spans="1:20" ht="13">
      <c r="A970" s="140"/>
      <c r="B970" s="140"/>
      <c r="C970" s="140"/>
      <c r="D970" s="140"/>
      <c r="E970" s="140"/>
      <c r="F970" s="140"/>
      <c r="G970" s="140"/>
      <c r="H970" s="140"/>
      <c r="I970" s="140"/>
      <c r="J970" s="140"/>
      <c r="K970" s="140"/>
      <c r="L970" s="140"/>
      <c r="M970" s="140"/>
      <c r="N970" s="140"/>
      <c r="O970" s="140"/>
      <c r="P970" s="140"/>
      <c r="Q970" s="140"/>
      <c r="R970" s="140"/>
      <c r="S970" s="140"/>
      <c r="T970" s="140"/>
    </row>
    <row r="971" spans="1:20" ht="13">
      <c r="A971" s="140"/>
      <c r="B971" s="140"/>
      <c r="C971" s="140"/>
      <c r="D971" s="140"/>
      <c r="E971" s="140"/>
      <c r="F971" s="140"/>
      <c r="G971" s="140"/>
      <c r="H971" s="140"/>
      <c r="I971" s="140"/>
      <c r="J971" s="140"/>
      <c r="K971" s="140"/>
      <c r="L971" s="140"/>
      <c r="M971" s="140"/>
      <c r="N971" s="140"/>
      <c r="O971" s="140"/>
      <c r="P971" s="140"/>
      <c r="Q971" s="140"/>
      <c r="R971" s="140"/>
      <c r="S971" s="140"/>
      <c r="T971" s="140"/>
    </row>
    <row r="972" spans="1:20" ht="13">
      <c r="A972" s="140"/>
      <c r="B972" s="140"/>
      <c r="C972" s="140"/>
      <c r="D972" s="140"/>
      <c r="E972" s="140"/>
      <c r="F972" s="140"/>
      <c r="G972" s="140"/>
      <c r="H972" s="140"/>
      <c r="I972" s="140"/>
      <c r="J972" s="140"/>
      <c r="K972" s="140"/>
      <c r="L972" s="140"/>
      <c r="M972" s="140"/>
      <c r="N972" s="140"/>
      <c r="O972" s="140"/>
      <c r="P972" s="140"/>
      <c r="Q972" s="140"/>
      <c r="R972" s="140"/>
      <c r="S972" s="140"/>
      <c r="T972" s="140"/>
    </row>
    <row r="973" spans="1:20" ht="13">
      <c r="A973" s="140"/>
      <c r="B973" s="140"/>
      <c r="C973" s="140"/>
      <c r="D973" s="140"/>
      <c r="E973" s="140"/>
      <c r="F973" s="140"/>
      <c r="G973" s="140"/>
      <c r="H973" s="140"/>
      <c r="I973" s="140"/>
      <c r="J973" s="140"/>
      <c r="K973" s="140"/>
      <c r="L973" s="140"/>
      <c r="M973" s="140"/>
      <c r="N973" s="140"/>
      <c r="O973" s="140"/>
      <c r="P973" s="140"/>
      <c r="Q973" s="140"/>
      <c r="R973" s="140"/>
      <c r="S973" s="140"/>
      <c r="T973" s="140"/>
    </row>
    <row r="974" spans="1:20" ht="13">
      <c r="A974" s="140"/>
      <c r="B974" s="140"/>
      <c r="C974" s="140"/>
      <c r="D974" s="140"/>
      <c r="E974" s="140"/>
      <c r="F974" s="140"/>
      <c r="G974" s="140"/>
      <c r="H974" s="140"/>
      <c r="I974" s="140"/>
      <c r="J974" s="140"/>
      <c r="K974" s="140"/>
      <c r="L974" s="140"/>
      <c r="M974" s="140"/>
      <c r="N974" s="140"/>
      <c r="O974" s="140"/>
      <c r="P974" s="140"/>
      <c r="Q974" s="140"/>
      <c r="R974" s="140"/>
      <c r="S974" s="140"/>
      <c r="T974" s="140"/>
    </row>
    <row r="975" spans="1:20" ht="13">
      <c r="A975" s="140"/>
      <c r="B975" s="140"/>
      <c r="C975" s="140"/>
      <c r="D975" s="140"/>
      <c r="E975" s="140"/>
      <c r="F975" s="140"/>
      <c r="G975" s="140"/>
      <c r="H975" s="140"/>
      <c r="I975" s="140"/>
      <c r="J975" s="140"/>
      <c r="K975" s="140"/>
      <c r="L975" s="140"/>
      <c r="M975" s="140"/>
      <c r="N975" s="140"/>
      <c r="O975" s="140"/>
      <c r="P975" s="140"/>
      <c r="Q975" s="140"/>
      <c r="R975" s="140"/>
      <c r="S975" s="140"/>
      <c r="T975" s="140"/>
    </row>
    <row r="976" spans="1:20" ht="13">
      <c r="A976" s="140"/>
      <c r="B976" s="140"/>
      <c r="C976" s="140"/>
      <c r="D976" s="140"/>
      <c r="E976" s="140"/>
      <c r="F976" s="140"/>
      <c r="G976" s="140"/>
      <c r="H976" s="140"/>
      <c r="I976" s="140"/>
      <c r="J976" s="140"/>
      <c r="K976" s="140"/>
      <c r="L976" s="140"/>
      <c r="M976" s="140"/>
      <c r="N976" s="140"/>
      <c r="O976" s="140"/>
      <c r="P976" s="140"/>
      <c r="Q976" s="140"/>
      <c r="R976" s="140"/>
      <c r="S976" s="140"/>
      <c r="T976" s="140"/>
    </row>
    <row r="977" spans="1:20" ht="13">
      <c r="A977" s="140"/>
      <c r="B977" s="140"/>
      <c r="C977" s="140"/>
      <c r="D977" s="140"/>
      <c r="E977" s="140"/>
      <c r="F977" s="140"/>
      <c r="G977" s="140"/>
      <c r="H977" s="140"/>
      <c r="I977" s="140"/>
      <c r="J977" s="140"/>
      <c r="K977" s="140"/>
      <c r="L977" s="140"/>
      <c r="M977" s="140"/>
      <c r="N977" s="140"/>
      <c r="O977" s="140"/>
      <c r="P977" s="140"/>
      <c r="Q977" s="140"/>
      <c r="R977" s="140"/>
      <c r="S977" s="140"/>
      <c r="T977" s="140"/>
    </row>
    <row r="978" spans="1:20" ht="13">
      <c r="A978" s="140"/>
      <c r="B978" s="140"/>
      <c r="C978" s="140"/>
      <c r="D978" s="140"/>
      <c r="E978" s="140"/>
      <c r="F978" s="140"/>
      <c r="G978" s="140"/>
      <c r="H978" s="140"/>
      <c r="I978" s="140"/>
      <c r="J978" s="140"/>
      <c r="K978" s="140"/>
      <c r="L978" s="140"/>
      <c r="M978" s="140"/>
      <c r="N978" s="140"/>
      <c r="O978" s="140"/>
      <c r="P978" s="140"/>
      <c r="Q978" s="140"/>
      <c r="R978" s="140"/>
      <c r="S978" s="140"/>
      <c r="T978" s="140"/>
    </row>
    <row r="979" spans="1:20" ht="13">
      <c r="A979" s="140"/>
      <c r="B979" s="140"/>
      <c r="C979" s="140"/>
      <c r="D979" s="140"/>
      <c r="E979" s="140"/>
      <c r="F979" s="140"/>
      <c r="G979" s="140"/>
      <c r="H979" s="140"/>
      <c r="I979" s="140"/>
      <c r="J979" s="140"/>
      <c r="K979" s="140"/>
      <c r="L979" s="140"/>
      <c r="M979" s="140"/>
      <c r="N979" s="140"/>
      <c r="O979" s="140"/>
      <c r="P979" s="140"/>
      <c r="Q979" s="140"/>
      <c r="R979" s="140"/>
      <c r="S979" s="140"/>
      <c r="T979" s="140"/>
    </row>
    <row r="980" spans="1:20" ht="13">
      <c r="A980" s="140"/>
      <c r="B980" s="140"/>
      <c r="C980" s="140"/>
      <c r="D980" s="140"/>
      <c r="E980" s="140"/>
      <c r="F980" s="140"/>
      <c r="G980" s="140"/>
      <c r="H980" s="140"/>
      <c r="I980" s="140"/>
      <c r="J980" s="140"/>
      <c r="K980" s="140"/>
      <c r="L980" s="140"/>
      <c r="M980" s="140"/>
      <c r="N980" s="140"/>
      <c r="O980" s="140"/>
      <c r="P980" s="140"/>
      <c r="Q980" s="140"/>
      <c r="R980" s="140"/>
      <c r="S980" s="140"/>
      <c r="T980" s="140"/>
    </row>
    <row r="981" spans="1:20" ht="13">
      <c r="A981" s="140"/>
      <c r="B981" s="140"/>
      <c r="C981" s="140"/>
      <c r="D981" s="140"/>
      <c r="E981" s="140"/>
      <c r="F981" s="140"/>
      <c r="G981" s="140"/>
      <c r="H981" s="140"/>
      <c r="I981" s="140"/>
      <c r="J981" s="140"/>
      <c r="K981" s="140"/>
      <c r="L981" s="140"/>
      <c r="M981" s="140"/>
      <c r="N981" s="140"/>
      <c r="O981" s="140"/>
      <c r="P981" s="140"/>
      <c r="Q981" s="140"/>
      <c r="R981" s="140"/>
      <c r="S981" s="140"/>
      <c r="T981" s="140"/>
    </row>
    <row r="982" spans="1:20" ht="13">
      <c r="A982" s="140"/>
      <c r="B982" s="140"/>
      <c r="C982" s="140"/>
      <c r="D982" s="140"/>
      <c r="E982" s="140"/>
      <c r="F982" s="140"/>
      <c r="G982" s="140"/>
      <c r="H982" s="140"/>
      <c r="I982" s="140"/>
      <c r="J982" s="140"/>
      <c r="K982" s="140"/>
      <c r="L982" s="140"/>
      <c r="M982" s="140"/>
      <c r="N982" s="140"/>
      <c r="O982" s="140"/>
      <c r="P982" s="140"/>
      <c r="Q982" s="140"/>
      <c r="R982" s="140"/>
      <c r="S982" s="140"/>
      <c r="T982" s="140"/>
    </row>
    <row r="983" spans="1:20" ht="13">
      <c r="A983" s="140"/>
      <c r="B983" s="140"/>
      <c r="C983" s="140"/>
      <c r="D983" s="140"/>
      <c r="E983" s="140"/>
      <c r="F983" s="140"/>
      <c r="G983" s="140"/>
      <c r="H983" s="140"/>
      <c r="I983" s="140"/>
      <c r="J983" s="140"/>
      <c r="K983" s="140"/>
      <c r="L983" s="140"/>
      <c r="M983" s="140"/>
      <c r="N983" s="140"/>
      <c r="O983" s="140"/>
      <c r="P983" s="140"/>
      <c r="Q983" s="140"/>
      <c r="R983" s="140"/>
      <c r="S983" s="140"/>
      <c r="T983" s="140"/>
    </row>
    <row r="984" spans="1:20" ht="13">
      <c r="A984" s="140"/>
      <c r="B984" s="140"/>
      <c r="C984" s="140"/>
      <c r="D984" s="140"/>
      <c r="E984" s="140"/>
      <c r="F984" s="140"/>
      <c r="G984" s="140"/>
      <c r="H984" s="140"/>
      <c r="I984" s="140"/>
      <c r="J984" s="140"/>
      <c r="K984" s="140"/>
      <c r="L984" s="140"/>
      <c r="M984" s="140"/>
      <c r="N984" s="140"/>
      <c r="O984" s="140"/>
      <c r="P984" s="140"/>
      <c r="Q984" s="140"/>
      <c r="R984" s="140"/>
      <c r="S984" s="140"/>
      <c r="T984" s="140"/>
    </row>
    <row r="985" spans="1:20" ht="13">
      <c r="A985" s="140"/>
      <c r="B985" s="140"/>
      <c r="C985" s="140"/>
      <c r="D985" s="140"/>
      <c r="E985" s="140"/>
      <c r="F985" s="140"/>
      <c r="G985" s="140"/>
      <c r="H985" s="140"/>
      <c r="I985" s="140"/>
      <c r="J985" s="140"/>
      <c r="K985" s="140"/>
      <c r="L985" s="140"/>
      <c r="M985" s="140"/>
      <c r="N985" s="140"/>
      <c r="O985" s="140"/>
      <c r="P985" s="140"/>
      <c r="Q985" s="140"/>
      <c r="R985" s="140"/>
      <c r="S985" s="140"/>
      <c r="T985" s="140"/>
    </row>
    <row r="986" spans="1:20" ht="13">
      <c r="A986" s="140"/>
      <c r="B986" s="140"/>
      <c r="C986" s="140"/>
      <c r="D986" s="140"/>
      <c r="E986" s="140"/>
      <c r="F986" s="140"/>
      <c r="G986" s="140"/>
      <c r="H986" s="140"/>
      <c r="I986" s="140"/>
      <c r="J986" s="140"/>
      <c r="K986" s="140"/>
      <c r="L986" s="140"/>
      <c r="M986" s="140"/>
      <c r="N986" s="140"/>
      <c r="O986" s="140"/>
      <c r="P986" s="140"/>
      <c r="Q986" s="140"/>
      <c r="R986" s="140"/>
      <c r="S986" s="140"/>
      <c r="T986" s="140"/>
    </row>
    <row r="987" spans="1:20" ht="13">
      <c r="A987" s="140"/>
      <c r="B987" s="140"/>
      <c r="C987" s="140"/>
      <c r="D987" s="140"/>
      <c r="E987" s="140"/>
      <c r="F987" s="140"/>
      <c r="G987" s="140"/>
      <c r="H987" s="140"/>
      <c r="I987" s="140"/>
      <c r="J987" s="140"/>
      <c r="K987" s="140"/>
      <c r="L987" s="140"/>
      <c r="M987" s="140"/>
      <c r="N987" s="140"/>
      <c r="O987" s="140"/>
      <c r="P987" s="140"/>
      <c r="Q987" s="140"/>
      <c r="R987" s="140"/>
      <c r="S987" s="140"/>
      <c r="T987" s="140"/>
    </row>
    <row r="988" spans="1:20" ht="13">
      <c r="A988" s="140"/>
      <c r="B988" s="140"/>
      <c r="C988" s="140"/>
      <c r="D988" s="140"/>
      <c r="E988" s="140"/>
      <c r="F988" s="140"/>
      <c r="G988" s="140"/>
      <c r="H988" s="140"/>
      <c r="I988" s="140"/>
      <c r="J988" s="140"/>
      <c r="K988" s="140"/>
      <c r="L988" s="140"/>
      <c r="M988" s="140"/>
      <c r="N988" s="140"/>
      <c r="O988" s="140"/>
      <c r="P988" s="140"/>
      <c r="Q988" s="140"/>
      <c r="R988" s="140"/>
      <c r="S988" s="140"/>
      <c r="T988" s="140"/>
    </row>
    <row r="989" spans="1:20" ht="13">
      <c r="A989" s="140"/>
      <c r="B989" s="140"/>
      <c r="C989" s="140"/>
      <c r="D989" s="140"/>
      <c r="E989" s="140"/>
      <c r="F989" s="140"/>
      <c r="G989" s="140"/>
      <c r="H989" s="140"/>
      <c r="I989" s="140"/>
      <c r="J989" s="140"/>
      <c r="K989" s="140"/>
      <c r="L989" s="140"/>
      <c r="M989" s="140"/>
      <c r="N989" s="140"/>
      <c r="O989" s="140"/>
      <c r="P989" s="140"/>
      <c r="Q989" s="140"/>
      <c r="R989" s="140"/>
      <c r="S989" s="140"/>
      <c r="T989" s="140"/>
    </row>
    <row r="990" spans="1:20" ht="13">
      <c r="A990" s="140"/>
      <c r="B990" s="140"/>
      <c r="C990" s="140"/>
      <c r="D990" s="140"/>
      <c r="E990" s="140"/>
      <c r="F990" s="140"/>
      <c r="G990" s="140"/>
      <c r="H990" s="140"/>
      <c r="I990" s="140"/>
      <c r="J990" s="140"/>
      <c r="K990" s="140"/>
      <c r="L990" s="140"/>
      <c r="M990" s="140"/>
      <c r="N990" s="140"/>
      <c r="O990" s="140"/>
      <c r="P990" s="140"/>
      <c r="Q990" s="140"/>
      <c r="R990" s="140"/>
      <c r="S990" s="140"/>
      <c r="T990" s="140"/>
    </row>
    <row r="991" spans="1:20" ht="13">
      <c r="A991" s="140"/>
      <c r="B991" s="140"/>
      <c r="C991" s="140"/>
      <c r="D991" s="140"/>
      <c r="E991" s="140"/>
      <c r="F991" s="140"/>
      <c r="G991" s="140"/>
      <c r="H991" s="140"/>
      <c r="I991" s="140"/>
      <c r="J991" s="140"/>
      <c r="K991" s="140"/>
      <c r="L991" s="140"/>
      <c r="M991" s="140"/>
      <c r="N991" s="140"/>
      <c r="O991" s="140"/>
      <c r="P991" s="140"/>
      <c r="Q991" s="140"/>
      <c r="R991" s="140"/>
      <c r="S991" s="140"/>
      <c r="T991" s="140"/>
    </row>
    <row r="992" spans="1:20" ht="13">
      <c r="A992" s="140"/>
      <c r="B992" s="140"/>
      <c r="C992" s="140"/>
      <c r="D992" s="140"/>
      <c r="E992" s="140"/>
      <c r="F992" s="140"/>
      <c r="G992" s="140"/>
      <c r="H992" s="140"/>
      <c r="I992" s="140"/>
      <c r="J992" s="140"/>
      <c r="K992" s="140"/>
      <c r="L992" s="140"/>
      <c r="M992" s="140"/>
      <c r="N992" s="140"/>
      <c r="O992" s="140"/>
      <c r="P992" s="140"/>
      <c r="Q992" s="140"/>
      <c r="R992" s="140"/>
      <c r="S992" s="140"/>
      <c r="T992" s="140"/>
    </row>
    <row r="993" spans="1:20" ht="13">
      <c r="A993" s="140"/>
      <c r="B993" s="140"/>
      <c r="C993" s="140"/>
      <c r="D993" s="140"/>
      <c r="E993" s="140"/>
      <c r="F993" s="140"/>
      <c r="G993" s="140"/>
      <c r="H993" s="140"/>
      <c r="I993" s="140"/>
      <c r="J993" s="140"/>
      <c r="K993" s="140"/>
      <c r="L993" s="140"/>
      <c r="M993" s="140"/>
      <c r="N993" s="140"/>
      <c r="O993" s="140"/>
      <c r="P993" s="140"/>
      <c r="Q993" s="140"/>
      <c r="R993" s="140"/>
      <c r="S993" s="140"/>
      <c r="T993" s="140"/>
    </row>
    <row r="994" spans="1:20" ht="13">
      <c r="A994" s="140"/>
      <c r="B994" s="140"/>
      <c r="C994" s="140"/>
      <c r="D994" s="140"/>
      <c r="E994" s="140"/>
      <c r="F994" s="140"/>
      <c r="G994" s="140"/>
      <c r="H994" s="140"/>
      <c r="I994" s="140"/>
      <c r="J994" s="140"/>
      <c r="K994" s="140"/>
      <c r="L994" s="140"/>
      <c r="M994" s="140"/>
      <c r="N994" s="140"/>
      <c r="O994" s="140"/>
      <c r="P994" s="140"/>
      <c r="Q994" s="140"/>
      <c r="R994" s="140"/>
      <c r="S994" s="140"/>
      <c r="T994" s="140"/>
    </row>
    <row r="995" spans="1:20" ht="13">
      <c r="A995" s="140"/>
      <c r="B995" s="140"/>
      <c r="C995" s="140"/>
      <c r="D995" s="140"/>
      <c r="E995" s="140"/>
      <c r="F995" s="140"/>
      <c r="G995" s="140"/>
      <c r="H995" s="140"/>
      <c r="I995" s="140"/>
      <c r="J995" s="140"/>
      <c r="K995" s="140"/>
      <c r="L995" s="140"/>
      <c r="M995" s="140"/>
      <c r="N995" s="140"/>
      <c r="O995" s="140"/>
      <c r="P995" s="140"/>
      <c r="Q995" s="140"/>
      <c r="R995" s="140"/>
      <c r="S995" s="140"/>
      <c r="T995" s="140"/>
    </row>
    <row r="996" spans="1:20" ht="13">
      <c r="A996" s="140"/>
      <c r="B996" s="140"/>
      <c r="C996" s="140"/>
      <c r="D996" s="140"/>
      <c r="E996" s="140"/>
      <c r="F996" s="140"/>
      <c r="G996" s="140"/>
      <c r="H996" s="140"/>
      <c r="I996" s="140"/>
      <c r="J996" s="140"/>
      <c r="K996" s="140"/>
      <c r="L996" s="140"/>
      <c r="M996" s="140"/>
      <c r="N996" s="140"/>
      <c r="O996" s="140"/>
      <c r="P996" s="140"/>
      <c r="Q996" s="140"/>
      <c r="R996" s="140"/>
      <c r="S996" s="140"/>
      <c r="T996" s="140"/>
    </row>
    <row r="997" spans="1:20" ht="13">
      <c r="A997" s="140"/>
      <c r="B997" s="140"/>
      <c r="C997" s="140"/>
      <c r="D997" s="140"/>
      <c r="E997" s="140"/>
      <c r="F997" s="140"/>
      <c r="G997" s="140"/>
      <c r="H997" s="140"/>
      <c r="I997" s="140"/>
      <c r="J997" s="140"/>
      <c r="K997" s="140"/>
      <c r="L997" s="140"/>
      <c r="M997" s="140"/>
      <c r="N997" s="140"/>
      <c r="O997" s="140"/>
      <c r="P997" s="140"/>
      <c r="Q997" s="140"/>
      <c r="R997" s="140"/>
      <c r="S997" s="140"/>
      <c r="T997" s="140"/>
    </row>
    <row r="998" spans="1:20" ht="13">
      <c r="A998" s="140"/>
      <c r="B998" s="140"/>
      <c r="C998" s="140"/>
      <c r="D998" s="140"/>
      <c r="E998" s="140"/>
      <c r="F998" s="140"/>
      <c r="G998" s="140"/>
      <c r="H998" s="140"/>
      <c r="I998" s="140"/>
      <c r="J998" s="140"/>
      <c r="K998" s="140"/>
      <c r="L998" s="140"/>
      <c r="M998" s="140"/>
      <c r="N998" s="140"/>
      <c r="O998" s="140"/>
      <c r="P998" s="140"/>
      <c r="Q998" s="140"/>
      <c r="R998" s="140"/>
      <c r="S998" s="140"/>
      <c r="T998" s="140"/>
    </row>
    <row r="999" spans="1:20" ht="13">
      <c r="A999" s="140"/>
      <c r="B999" s="140"/>
      <c r="C999" s="140"/>
      <c r="D999" s="140"/>
      <c r="E999" s="140"/>
      <c r="F999" s="140"/>
      <c r="G999" s="140"/>
      <c r="H999" s="140"/>
      <c r="I999" s="140"/>
      <c r="J999" s="140"/>
      <c r="K999" s="140"/>
      <c r="L999" s="140"/>
      <c r="M999" s="140"/>
      <c r="N999" s="140"/>
      <c r="O999" s="140"/>
      <c r="P999" s="140"/>
      <c r="Q999" s="140"/>
      <c r="R999" s="140"/>
      <c r="S999" s="140"/>
      <c r="T999" s="140"/>
    </row>
    <row r="1000" spans="1:20" ht="13">
      <c r="A1000" s="140"/>
      <c r="B1000" s="140"/>
      <c r="C1000" s="140"/>
      <c r="D1000" s="140"/>
      <c r="E1000" s="140"/>
      <c r="F1000" s="140"/>
      <c r="G1000" s="140"/>
      <c r="H1000" s="140"/>
      <c r="I1000" s="140"/>
      <c r="J1000" s="140"/>
      <c r="K1000" s="140"/>
      <c r="L1000" s="140"/>
      <c r="M1000" s="140"/>
      <c r="N1000" s="140"/>
      <c r="O1000" s="140"/>
      <c r="P1000" s="140"/>
      <c r="Q1000" s="140"/>
      <c r="R1000" s="140"/>
      <c r="S1000" s="140"/>
      <c r="T1000" s="140"/>
    </row>
    <row r="1001" spans="1:20" ht="13">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row>
    <row r="1002" spans="1:20" ht="13">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row>
    <row r="1003" spans="1:20" ht="1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row>
    <row r="1004" spans="1:20" ht="15.75" customHeight="1">
      <c r="N1004" s="140"/>
      <c r="O1004" s="140"/>
      <c r="P1004" s="140"/>
      <c r="Q1004" s="140"/>
    </row>
  </sheetData>
  <mergeCells count="108">
    <mergeCell ref="H34:I34"/>
    <mergeCell ref="H35:I35"/>
    <mergeCell ref="H36:I36"/>
    <mergeCell ref="H37:I37"/>
    <mergeCell ref="H38:I38"/>
    <mergeCell ref="H29:I29"/>
    <mergeCell ref="H30:I30"/>
    <mergeCell ref="H31:I31"/>
    <mergeCell ref="H32:I32"/>
    <mergeCell ref="H33:I33"/>
    <mergeCell ref="A25:C25"/>
    <mergeCell ref="A26:C26"/>
    <mergeCell ref="H27:I27"/>
    <mergeCell ref="H28:I28"/>
    <mergeCell ref="A1:C1"/>
    <mergeCell ref="E1:O3"/>
    <mergeCell ref="A2:C2"/>
    <mergeCell ref="A3:C3"/>
    <mergeCell ref="A4:B4"/>
    <mergeCell ref="L4:M4"/>
    <mergeCell ref="N4:Q4"/>
    <mergeCell ref="A6:C6"/>
    <mergeCell ref="F6:H6"/>
    <mergeCell ref="I6:J6"/>
    <mergeCell ref="L6:M6"/>
    <mergeCell ref="N6:Q6"/>
    <mergeCell ref="A5:C5"/>
    <mergeCell ref="F5:H5"/>
    <mergeCell ref="I5:J5"/>
    <mergeCell ref="L5:M5"/>
    <mergeCell ref="N5:Q5"/>
    <mergeCell ref="A7:B7"/>
    <mergeCell ref="F7:H7"/>
    <mergeCell ref="I7:J7"/>
    <mergeCell ref="L7:M7"/>
    <mergeCell ref="A8:B8"/>
    <mergeCell ref="L8:M8"/>
    <mergeCell ref="A13:C13"/>
    <mergeCell ref="L13:M13"/>
    <mergeCell ref="N13:Q13"/>
    <mergeCell ref="N8:Q8"/>
    <mergeCell ref="A9:B9"/>
    <mergeCell ref="L9:M9"/>
    <mergeCell ref="N9:Q9"/>
    <mergeCell ref="A10:B10"/>
    <mergeCell ref="L10:M10"/>
    <mergeCell ref="N10:Q10"/>
    <mergeCell ref="L11:M11"/>
    <mergeCell ref="N11:Q11"/>
    <mergeCell ref="A12:C12"/>
    <mergeCell ref="L12:M12"/>
    <mergeCell ref="N12:Q12"/>
    <mergeCell ref="A14:C14"/>
    <mergeCell ref="L14:M14"/>
    <mergeCell ref="N14:Q14"/>
    <mergeCell ref="A15:C15"/>
    <mergeCell ref="L15:M15"/>
    <mergeCell ref="N15:Q15"/>
    <mergeCell ref="A16:C16"/>
    <mergeCell ref="L16:M16"/>
    <mergeCell ref="N16:Q16"/>
    <mergeCell ref="A17:C17"/>
    <mergeCell ref="L17:M17"/>
    <mergeCell ref="N17:Q17"/>
    <mergeCell ref="F23:L23"/>
    <mergeCell ref="N23:Q23"/>
    <mergeCell ref="A18:C18"/>
    <mergeCell ref="L18:M18"/>
    <mergeCell ref="N18:Q18"/>
    <mergeCell ref="A19:C19"/>
    <mergeCell ref="L19:M19"/>
    <mergeCell ref="N19:Q19"/>
    <mergeCell ref="A23:C23"/>
    <mergeCell ref="A20:C20"/>
    <mergeCell ref="L20:M20"/>
    <mergeCell ref="N20:Q20"/>
    <mergeCell ref="N21:Q21"/>
    <mergeCell ref="N22:Q22"/>
    <mergeCell ref="J28:K28"/>
    <mergeCell ref="N28:Q28"/>
    <mergeCell ref="H24:I24"/>
    <mergeCell ref="J24:K24"/>
    <mergeCell ref="N24:Q24"/>
    <mergeCell ref="H25:I25"/>
    <mergeCell ref="J25:K25"/>
    <mergeCell ref="N25:Q25"/>
    <mergeCell ref="H26:I26"/>
    <mergeCell ref="J26:K26"/>
    <mergeCell ref="N26:Q26"/>
    <mergeCell ref="J27:K27"/>
    <mergeCell ref="N27:Q27"/>
    <mergeCell ref="J34:K34"/>
    <mergeCell ref="N34:Q34"/>
    <mergeCell ref="J35:K35"/>
    <mergeCell ref="N35:Q35"/>
    <mergeCell ref="J36:K36"/>
    <mergeCell ref="J37:K37"/>
    <mergeCell ref="J38:K38"/>
    <mergeCell ref="J29:K29"/>
    <mergeCell ref="N29:Q29"/>
    <mergeCell ref="J30:K30"/>
    <mergeCell ref="N30:Q30"/>
    <mergeCell ref="J31:K31"/>
    <mergeCell ref="N31:Q31"/>
    <mergeCell ref="J32:K32"/>
    <mergeCell ref="N32:Q32"/>
    <mergeCell ref="J33:K33"/>
    <mergeCell ref="N33:Q33"/>
  </mergeCells>
  <conditionalFormatting sqref="I6:J7 C8:C9 C21:D21">
    <cfRule type="cellIs" dxfId="22" priority="1" operator="greaterThan">
      <formula>0</formula>
    </cfRule>
    <cfRule type="cellIs" dxfId="21" priority="2" operator="lessThan">
      <formula>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4B8C-C4AA-AA48-BBEA-E7E1C41D73A5}">
  <dimension ref="A1:AC1019"/>
  <sheetViews>
    <sheetView showGridLines="0" topLeftCell="A2" zoomScale="120" zoomScaleNormal="120" workbookViewId="0">
      <selection activeCell="D35" sqref="D35"/>
    </sheetView>
  </sheetViews>
  <sheetFormatPr baseColWidth="10" defaultColWidth="12.6640625" defaultRowHeight="15.75" customHeight="1"/>
  <cols>
    <col min="1" max="1" width="3.1640625" customWidth="1"/>
    <col min="2" max="2" width="9.6640625" customWidth="1"/>
    <col min="3" max="3" width="12.1640625" customWidth="1"/>
    <col min="4" max="4" width="10.6640625" customWidth="1"/>
    <col min="5" max="6" width="11.1640625" customWidth="1"/>
    <col min="7" max="7" width="10.6640625" style="190" customWidth="1"/>
    <col min="9" max="9" width="13" customWidth="1"/>
    <col min="10" max="10" width="13.1640625" customWidth="1"/>
    <col min="12" max="12" width="11.33203125" style="87" customWidth="1"/>
    <col min="13" max="14" width="19.6640625" customWidth="1"/>
    <col min="15" max="15" width="15.6640625" customWidth="1"/>
    <col min="16" max="16" width="30.33203125" customWidth="1"/>
    <col min="17" max="17" width="33.83203125" customWidth="1"/>
  </cols>
  <sheetData>
    <row r="1" spans="1:29" ht="15.75" customHeight="1">
      <c r="A1" s="140"/>
      <c r="B1" s="140"/>
      <c r="C1" s="156"/>
      <c r="D1" s="156"/>
      <c r="E1" s="156"/>
      <c r="F1" s="156"/>
      <c r="G1" s="185"/>
      <c r="H1" s="416" t="s">
        <v>362</v>
      </c>
      <c r="I1" s="407"/>
      <c r="J1" s="407"/>
      <c r="K1" s="407"/>
      <c r="L1" s="407"/>
      <c r="M1" s="409"/>
      <c r="N1" s="156"/>
      <c r="O1" s="156"/>
      <c r="P1" s="156"/>
      <c r="Q1" s="156"/>
      <c r="R1" s="156"/>
      <c r="S1" s="156"/>
      <c r="T1" s="156"/>
      <c r="U1" s="156"/>
      <c r="V1" s="156"/>
      <c r="W1" s="156"/>
      <c r="X1" s="156"/>
      <c r="Y1" s="156"/>
      <c r="Z1" s="156"/>
      <c r="AA1" s="156"/>
      <c r="AB1" s="156"/>
      <c r="AC1" s="156"/>
    </row>
    <row r="2" spans="1:29" ht="15.75" customHeight="1">
      <c r="A2" s="140"/>
      <c r="B2" s="140"/>
      <c r="C2" s="156"/>
      <c r="D2" s="156"/>
      <c r="E2" s="156"/>
      <c r="F2" s="156"/>
      <c r="G2" s="185"/>
      <c r="H2" s="417"/>
      <c r="I2" s="413"/>
      <c r="J2" s="413"/>
      <c r="K2" s="413"/>
      <c r="L2" s="413"/>
      <c r="M2" s="415"/>
      <c r="N2" s="156"/>
      <c r="O2" s="156"/>
      <c r="P2" s="156"/>
      <c r="Q2" s="156"/>
      <c r="R2" s="156"/>
      <c r="S2" s="156"/>
      <c r="T2" s="156"/>
      <c r="U2" s="156"/>
      <c r="V2" s="156"/>
      <c r="W2" s="156"/>
      <c r="X2" s="156"/>
      <c r="Y2" s="156"/>
      <c r="Z2" s="156"/>
      <c r="AA2" s="156"/>
      <c r="AB2" s="156"/>
      <c r="AC2" s="156"/>
    </row>
    <row r="3" spans="1:29" ht="15.75" customHeight="1">
      <c r="A3" s="140"/>
      <c r="B3" s="140"/>
      <c r="C3" s="156"/>
      <c r="D3" s="156"/>
      <c r="E3" s="156"/>
      <c r="F3" s="156"/>
      <c r="G3" s="185"/>
      <c r="H3" s="156"/>
      <c r="I3" s="156"/>
      <c r="J3" s="156"/>
      <c r="K3" s="156"/>
      <c r="L3" s="157"/>
      <c r="M3" s="156"/>
      <c r="N3" s="156"/>
      <c r="O3" s="156"/>
      <c r="P3" s="156"/>
      <c r="Q3" s="156"/>
      <c r="R3" s="156"/>
      <c r="S3" s="156"/>
      <c r="T3" s="156"/>
      <c r="U3" s="156"/>
      <c r="V3" s="156"/>
      <c r="W3" s="156"/>
      <c r="X3" s="156"/>
      <c r="Y3" s="156"/>
      <c r="Z3" s="156"/>
      <c r="AA3" s="156"/>
      <c r="AB3" s="156"/>
      <c r="AC3" s="156"/>
    </row>
    <row r="4" spans="1:29" ht="15.75" customHeight="1">
      <c r="A4" s="158"/>
      <c r="B4" s="158"/>
      <c r="C4" s="159"/>
      <c r="D4" s="159"/>
      <c r="E4" s="159"/>
      <c r="F4" s="159"/>
      <c r="G4" s="186"/>
      <c r="H4" s="159"/>
      <c r="I4" s="159"/>
      <c r="J4" s="159"/>
      <c r="K4" s="159"/>
      <c r="L4" s="160"/>
      <c r="M4" s="159"/>
      <c r="N4" s="159"/>
      <c r="O4" s="159"/>
      <c r="P4" s="159"/>
      <c r="Q4" s="161"/>
      <c r="R4" s="161"/>
      <c r="S4" s="161"/>
      <c r="T4" s="161"/>
      <c r="U4" s="161"/>
      <c r="V4" s="161"/>
      <c r="W4" s="161"/>
      <c r="X4" s="161"/>
      <c r="Y4" s="161"/>
      <c r="Z4" s="161"/>
      <c r="AA4" s="161"/>
      <c r="AB4" s="161"/>
      <c r="AC4" s="161"/>
    </row>
    <row r="5" spans="1:29" ht="15.75" customHeight="1">
      <c r="A5" s="158"/>
      <c r="B5" s="158"/>
      <c r="C5" s="159"/>
      <c r="D5" s="159"/>
      <c r="E5" s="159"/>
      <c r="F5" s="159"/>
      <c r="G5" s="186"/>
      <c r="H5" s="159"/>
      <c r="I5" s="159"/>
      <c r="J5" s="159"/>
      <c r="K5" s="159"/>
      <c r="L5" s="160"/>
      <c r="M5" s="159"/>
      <c r="N5" s="159"/>
      <c r="O5" s="159"/>
      <c r="P5" s="159"/>
      <c r="Q5" s="161"/>
      <c r="R5" s="161"/>
      <c r="S5" s="161"/>
      <c r="T5" s="161"/>
      <c r="U5" s="161"/>
      <c r="V5" s="161"/>
      <c r="W5" s="161"/>
      <c r="X5" s="161"/>
      <c r="Y5" s="161"/>
      <c r="Z5" s="161"/>
      <c r="AA5" s="161"/>
      <c r="AB5" s="161"/>
      <c r="AC5" s="161"/>
    </row>
    <row r="6" spans="1:29" ht="15.75" customHeight="1">
      <c r="A6" s="158"/>
      <c r="B6" s="158"/>
      <c r="C6" s="159"/>
      <c r="D6" s="159"/>
      <c r="E6" s="159"/>
      <c r="F6" s="159"/>
      <c r="G6" s="186"/>
      <c r="H6" s="159"/>
      <c r="I6" s="159"/>
      <c r="J6" s="159"/>
      <c r="K6" s="159"/>
      <c r="L6" s="160"/>
      <c r="M6" s="159"/>
      <c r="N6" s="159"/>
      <c r="O6" s="159"/>
      <c r="P6" s="159"/>
      <c r="Q6" s="161"/>
      <c r="R6" s="161"/>
      <c r="S6" s="161"/>
      <c r="T6" s="161"/>
      <c r="U6" s="161"/>
      <c r="V6" s="161"/>
      <c r="W6" s="161"/>
      <c r="X6" s="161"/>
      <c r="Y6" s="161"/>
      <c r="Z6" s="161"/>
      <c r="AA6" s="161"/>
      <c r="AB6" s="161"/>
      <c r="AC6" s="161"/>
    </row>
    <row r="7" spans="1:29" ht="15.75" customHeight="1">
      <c r="A7" s="158"/>
      <c r="B7" s="158"/>
      <c r="C7" s="159"/>
      <c r="D7" s="159"/>
      <c r="E7" s="159"/>
      <c r="F7" s="159"/>
      <c r="G7" s="186"/>
      <c r="H7" s="159"/>
      <c r="I7" s="159"/>
      <c r="J7" s="159"/>
      <c r="K7" s="159"/>
      <c r="L7" s="160"/>
      <c r="M7" s="159"/>
      <c r="N7" s="159"/>
      <c r="O7" s="159"/>
      <c r="P7" s="159"/>
      <c r="Q7" s="161"/>
      <c r="R7" s="161"/>
      <c r="S7" s="161"/>
      <c r="T7" s="161"/>
      <c r="U7" s="161"/>
      <c r="V7" s="161"/>
      <c r="W7" s="161"/>
      <c r="X7" s="161"/>
      <c r="Y7" s="161"/>
      <c r="Z7" s="161"/>
      <c r="AA7" s="161"/>
      <c r="AB7" s="161"/>
      <c r="AC7" s="161"/>
    </row>
    <row r="8" spans="1:29" ht="15.75" customHeight="1">
      <c r="A8" s="158"/>
      <c r="B8" s="158"/>
      <c r="C8" s="159"/>
      <c r="D8" s="159"/>
      <c r="E8" s="159"/>
      <c r="F8" s="159"/>
      <c r="G8" s="186"/>
      <c r="H8" s="159"/>
      <c r="I8" s="159"/>
      <c r="J8" s="159"/>
      <c r="K8" s="159"/>
      <c r="L8" s="160"/>
      <c r="M8" s="159"/>
      <c r="N8" s="159"/>
      <c r="O8" s="159"/>
      <c r="P8" s="159"/>
      <c r="Q8" s="161"/>
      <c r="R8" s="161"/>
      <c r="S8" s="161"/>
      <c r="T8" s="161"/>
      <c r="U8" s="161"/>
      <c r="V8" s="161"/>
      <c r="W8" s="161"/>
      <c r="X8" s="161"/>
      <c r="Y8" s="161"/>
      <c r="Z8" s="161"/>
      <c r="AA8" s="161"/>
      <c r="AB8" s="161"/>
      <c r="AC8" s="161"/>
    </row>
    <row r="9" spans="1:29" ht="15.75" customHeight="1">
      <c r="A9" s="158"/>
      <c r="B9" s="158"/>
      <c r="C9" s="159"/>
      <c r="D9" s="159"/>
      <c r="E9" s="159"/>
      <c r="F9" s="159"/>
      <c r="G9" s="186"/>
      <c r="H9" s="159"/>
      <c r="I9" s="159"/>
      <c r="J9" s="159"/>
      <c r="K9" s="159"/>
      <c r="L9" s="160"/>
      <c r="M9" s="159"/>
      <c r="N9" s="159"/>
      <c r="O9" s="159"/>
      <c r="P9" s="159"/>
      <c r="Q9" s="161"/>
      <c r="R9" s="161"/>
      <c r="S9" s="161"/>
      <c r="T9" s="161"/>
      <c r="U9" s="161"/>
      <c r="V9" s="161"/>
      <c r="W9" s="161"/>
      <c r="X9" s="161"/>
      <c r="Y9" s="161"/>
      <c r="Z9" s="161"/>
      <c r="AA9" s="161"/>
      <c r="AB9" s="161"/>
      <c r="AC9" s="161"/>
    </row>
    <row r="10" spans="1:29" ht="15.75" customHeight="1">
      <c r="A10" s="158"/>
      <c r="B10" s="158"/>
      <c r="C10" s="159"/>
      <c r="D10" s="159"/>
      <c r="E10" s="159"/>
      <c r="F10" s="159"/>
      <c r="G10" s="186"/>
      <c r="H10" s="159"/>
      <c r="I10" s="159"/>
      <c r="J10" s="159"/>
      <c r="K10" s="159"/>
      <c r="L10" s="160"/>
      <c r="M10" s="159"/>
      <c r="N10" s="159"/>
      <c r="O10" s="159"/>
      <c r="P10" s="159"/>
      <c r="Q10" s="161"/>
      <c r="R10" s="161"/>
      <c r="S10" s="161"/>
      <c r="T10" s="161"/>
      <c r="U10" s="161"/>
      <c r="V10" s="161"/>
      <c r="W10" s="161"/>
      <c r="X10" s="161"/>
      <c r="Y10" s="161"/>
      <c r="Z10" s="161"/>
      <c r="AA10" s="161"/>
      <c r="AB10" s="161"/>
      <c r="AC10" s="161"/>
    </row>
    <row r="11" spans="1:29" ht="15.75" customHeight="1">
      <c r="A11" s="158"/>
      <c r="B11" s="158"/>
      <c r="C11" s="159"/>
      <c r="D11" s="159"/>
      <c r="E11" s="159"/>
      <c r="F11" s="159"/>
      <c r="G11" s="186"/>
      <c r="H11" s="159"/>
      <c r="I11" s="159"/>
      <c r="J11" s="159"/>
      <c r="K11" s="159"/>
      <c r="L11" s="160"/>
      <c r="M11" s="159"/>
      <c r="N11" s="159"/>
      <c r="O11" s="159"/>
      <c r="P11" s="159"/>
      <c r="Q11" s="161"/>
      <c r="R11" s="161"/>
      <c r="S11" s="161"/>
      <c r="T11" s="161"/>
      <c r="U11" s="161"/>
      <c r="V11" s="161"/>
      <c r="W11" s="161"/>
      <c r="X11" s="161"/>
      <c r="Y11" s="161"/>
      <c r="Z11" s="161"/>
      <c r="AA11" s="161"/>
      <c r="AB11" s="161"/>
      <c r="AC11" s="161"/>
    </row>
    <row r="12" spans="1:29" ht="15.75" customHeight="1">
      <c r="A12" s="158"/>
      <c r="B12" s="158"/>
      <c r="C12" s="159"/>
      <c r="D12" s="159"/>
      <c r="E12" s="159"/>
      <c r="F12" s="159"/>
      <c r="G12" s="186"/>
      <c r="H12" s="159"/>
      <c r="I12" s="159"/>
      <c r="J12" s="159"/>
      <c r="K12" s="159"/>
      <c r="L12" s="160"/>
      <c r="M12" s="159"/>
      <c r="N12" s="159"/>
      <c r="O12" s="159"/>
      <c r="P12" s="159"/>
      <c r="Q12" s="161"/>
      <c r="R12" s="161"/>
      <c r="S12" s="161"/>
      <c r="T12" s="161"/>
      <c r="U12" s="161"/>
      <c r="V12" s="161"/>
      <c r="W12" s="161"/>
      <c r="X12" s="161"/>
      <c r="Y12" s="161"/>
      <c r="Z12" s="161"/>
      <c r="AA12" s="161"/>
      <c r="AB12" s="161"/>
      <c r="AC12" s="161"/>
    </row>
    <row r="13" spans="1:29" ht="15.75" customHeight="1">
      <c r="A13" s="158"/>
      <c r="B13" s="158"/>
      <c r="C13" s="159"/>
      <c r="D13" s="159"/>
      <c r="E13" s="159"/>
      <c r="F13" s="159"/>
      <c r="G13" s="186"/>
      <c r="H13" s="159"/>
      <c r="I13" s="159"/>
      <c r="J13" s="159"/>
      <c r="K13" s="159"/>
      <c r="L13" s="160"/>
      <c r="M13" s="159"/>
      <c r="N13" s="159"/>
      <c r="O13" s="159"/>
      <c r="P13" s="159"/>
      <c r="Q13" s="161"/>
      <c r="R13" s="161"/>
      <c r="S13" s="161"/>
      <c r="T13" s="161"/>
      <c r="U13" s="161"/>
      <c r="V13" s="161"/>
      <c r="W13" s="161"/>
      <c r="X13" s="161"/>
      <c r="Y13" s="161"/>
      <c r="Z13" s="161"/>
      <c r="AA13" s="161"/>
      <c r="AB13" s="161"/>
      <c r="AC13" s="161"/>
    </row>
    <row r="14" spans="1:29" ht="15.75" customHeight="1">
      <c r="A14" s="158"/>
      <c r="B14" s="158"/>
      <c r="C14" s="159"/>
      <c r="D14" s="159"/>
      <c r="E14" s="159"/>
      <c r="F14" s="159"/>
      <c r="G14" s="186"/>
      <c r="H14" s="159"/>
      <c r="I14" s="159"/>
      <c r="J14" s="159"/>
      <c r="K14" s="159"/>
      <c r="L14" s="160"/>
      <c r="M14" s="159"/>
      <c r="N14" s="159"/>
      <c r="O14" s="159"/>
      <c r="P14" s="159"/>
      <c r="Q14" s="161"/>
      <c r="R14" s="161"/>
      <c r="S14" s="161"/>
      <c r="T14" s="161"/>
      <c r="U14" s="161"/>
      <c r="V14" s="161"/>
      <c r="W14" s="161"/>
      <c r="X14" s="161"/>
      <c r="Y14" s="161"/>
      <c r="Z14" s="161"/>
      <c r="AA14" s="161"/>
      <c r="AB14" s="161"/>
      <c r="AC14" s="161"/>
    </row>
    <row r="15" spans="1:29" ht="15.75" customHeight="1">
      <c r="A15" s="158"/>
      <c r="B15" s="158"/>
      <c r="C15" s="159"/>
      <c r="D15" s="159"/>
      <c r="E15" s="159"/>
      <c r="F15" s="159"/>
      <c r="G15" s="186"/>
      <c r="H15" s="159"/>
      <c r="I15" s="159"/>
      <c r="J15" s="159"/>
      <c r="K15" s="159"/>
      <c r="L15" s="160"/>
      <c r="M15" s="159"/>
      <c r="N15" s="159"/>
      <c r="O15" s="159"/>
      <c r="P15" s="159"/>
      <c r="Q15" s="161"/>
      <c r="R15" s="161"/>
      <c r="S15" s="161"/>
      <c r="T15" s="161"/>
      <c r="U15" s="161"/>
      <c r="V15" s="161"/>
      <c r="W15" s="161"/>
      <c r="X15" s="161"/>
      <c r="Y15" s="161"/>
      <c r="Z15" s="161"/>
      <c r="AA15" s="161"/>
      <c r="AB15" s="161"/>
      <c r="AC15" s="161"/>
    </row>
    <row r="16" spans="1:29" ht="15.75" customHeight="1">
      <c r="A16" s="158"/>
      <c r="B16" s="158"/>
      <c r="C16" s="159"/>
      <c r="D16" s="159"/>
      <c r="E16" s="159"/>
      <c r="F16" s="159"/>
      <c r="G16" s="186"/>
      <c r="H16" s="159"/>
      <c r="I16" s="159"/>
      <c r="J16" s="159"/>
      <c r="K16" s="159"/>
      <c r="L16" s="160"/>
      <c r="M16" s="159"/>
      <c r="N16" s="159"/>
      <c r="O16" s="159"/>
      <c r="P16" s="159"/>
      <c r="Q16" s="161"/>
      <c r="R16" s="161"/>
      <c r="S16" s="161"/>
      <c r="T16" s="161"/>
      <c r="U16" s="161"/>
      <c r="V16" s="161"/>
      <c r="W16" s="161"/>
      <c r="X16" s="161"/>
      <c r="Y16" s="161"/>
      <c r="Z16" s="161"/>
      <c r="AA16" s="161"/>
      <c r="AB16" s="161"/>
      <c r="AC16" s="161"/>
    </row>
    <row r="17" spans="1:29" ht="15.75" customHeight="1">
      <c r="A17" s="158"/>
      <c r="B17" s="158"/>
      <c r="C17" s="159"/>
      <c r="D17" s="159"/>
      <c r="E17" s="159"/>
      <c r="F17" s="159"/>
      <c r="G17" s="186"/>
      <c r="H17" s="159"/>
      <c r="I17" s="159"/>
      <c r="J17" s="159"/>
      <c r="K17" s="159"/>
      <c r="L17" s="160"/>
      <c r="M17" s="159"/>
      <c r="N17" s="159"/>
      <c r="O17" s="159"/>
      <c r="P17" s="159"/>
      <c r="Q17" s="161"/>
      <c r="R17" s="161"/>
      <c r="S17" s="161"/>
      <c r="T17" s="161"/>
      <c r="U17" s="161"/>
      <c r="V17" s="161"/>
      <c r="W17" s="161"/>
      <c r="X17" s="161"/>
      <c r="Y17" s="161"/>
      <c r="Z17" s="161"/>
      <c r="AA17" s="161"/>
      <c r="AB17" s="161"/>
      <c r="AC17" s="161"/>
    </row>
    <row r="18" spans="1:29" ht="15.75" customHeight="1">
      <c r="A18" s="158"/>
      <c r="B18" s="158"/>
      <c r="C18" s="159"/>
      <c r="D18" s="159"/>
      <c r="E18" s="159"/>
      <c r="F18" s="159"/>
      <c r="G18" s="186"/>
      <c r="H18" s="159"/>
      <c r="I18" s="159"/>
      <c r="J18" s="159"/>
      <c r="K18" s="159"/>
      <c r="L18" s="160"/>
      <c r="M18" s="159"/>
      <c r="N18" s="159"/>
      <c r="O18" s="159"/>
      <c r="P18" s="159"/>
      <c r="Q18" s="161"/>
      <c r="R18" s="161"/>
      <c r="S18" s="161"/>
      <c r="T18" s="161"/>
      <c r="U18" s="161"/>
      <c r="V18" s="161"/>
      <c r="W18" s="161"/>
      <c r="X18" s="161"/>
      <c r="Y18" s="161"/>
      <c r="Z18" s="161"/>
      <c r="AA18" s="161"/>
      <c r="AB18" s="161"/>
      <c r="AC18" s="161"/>
    </row>
    <row r="19" spans="1:29" ht="15.75" customHeight="1">
      <c r="A19" s="158"/>
      <c r="B19" s="158"/>
      <c r="C19" s="159"/>
      <c r="D19" s="159"/>
      <c r="E19" s="159"/>
      <c r="F19" s="159"/>
      <c r="G19" s="186"/>
      <c r="H19" s="159"/>
      <c r="I19" s="159"/>
      <c r="J19" s="159"/>
      <c r="K19" s="159"/>
      <c r="L19" s="160"/>
      <c r="M19" s="159"/>
      <c r="N19" s="159"/>
      <c r="O19" s="159"/>
      <c r="P19" s="159"/>
      <c r="Q19" s="161"/>
      <c r="R19" s="161"/>
      <c r="S19" s="161"/>
      <c r="T19" s="161"/>
      <c r="U19" s="161"/>
      <c r="V19" s="161"/>
      <c r="W19" s="161"/>
      <c r="X19" s="161"/>
      <c r="Y19" s="161"/>
      <c r="Z19" s="161"/>
      <c r="AA19" s="161"/>
      <c r="AB19" s="161"/>
      <c r="AC19" s="161"/>
    </row>
    <row r="20" spans="1:29" ht="15.75" customHeight="1">
      <c r="A20" s="158"/>
      <c r="B20" s="158"/>
      <c r="C20" s="159"/>
      <c r="D20" s="159"/>
      <c r="E20" s="159"/>
      <c r="F20" s="159"/>
      <c r="G20" s="186"/>
      <c r="H20" s="159"/>
      <c r="I20" s="159"/>
      <c r="J20" s="159"/>
      <c r="K20" s="159"/>
      <c r="L20" s="160"/>
      <c r="M20" s="159"/>
      <c r="N20" s="159"/>
      <c r="O20" s="159"/>
      <c r="P20" s="159"/>
      <c r="Q20" s="161"/>
      <c r="R20" s="161"/>
      <c r="S20" s="161"/>
      <c r="T20" s="161"/>
      <c r="U20" s="161"/>
      <c r="V20" s="161"/>
      <c r="W20" s="161"/>
      <c r="X20" s="161"/>
      <c r="Y20" s="161"/>
      <c r="Z20" s="161"/>
      <c r="AA20" s="161"/>
      <c r="AB20" s="161"/>
      <c r="AC20" s="161"/>
    </row>
    <row r="21" spans="1:29" ht="15.75" customHeight="1">
      <c r="A21" s="158"/>
      <c r="B21" s="158"/>
      <c r="C21" s="159"/>
      <c r="D21" s="159"/>
      <c r="E21" s="159"/>
      <c r="F21" s="159"/>
      <c r="G21" s="186"/>
      <c r="H21" s="159"/>
      <c r="I21" s="159"/>
      <c r="J21" s="159"/>
      <c r="K21" s="159"/>
      <c r="L21" s="160"/>
      <c r="M21" s="159"/>
      <c r="N21" s="159"/>
      <c r="O21" s="159"/>
      <c r="P21" s="159"/>
      <c r="Q21" s="161"/>
      <c r="R21" s="161"/>
      <c r="S21" s="161"/>
      <c r="T21" s="161"/>
      <c r="U21" s="161"/>
      <c r="V21" s="161"/>
      <c r="W21" s="161"/>
      <c r="X21" s="161"/>
      <c r="Y21" s="161"/>
      <c r="Z21" s="161"/>
      <c r="AA21" s="161"/>
      <c r="AB21" s="161"/>
      <c r="AC21" s="161"/>
    </row>
    <row r="22" spans="1:29" ht="15.75" customHeight="1">
      <c r="A22" s="162"/>
      <c r="B22" s="162" t="s">
        <v>363</v>
      </c>
      <c r="C22" s="163" t="s">
        <v>364</v>
      </c>
      <c r="D22" s="163" t="s">
        <v>243</v>
      </c>
      <c r="E22" s="163" t="s">
        <v>365</v>
      </c>
      <c r="F22" s="163" t="s">
        <v>334</v>
      </c>
      <c r="G22" s="187" t="s">
        <v>366</v>
      </c>
      <c r="H22" s="163" t="s">
        <v>367</v>
      </c>
      <c r="I22" s="163" t="s">
        <v>356</v>
      </c>
      <c r="J22" s="164" t="s">
        <v>354</v>
      </c>
      <c r="K22" s="165" t="s">
        <v>3</v>
      </c>
      <c r="L22" s="166" t="s">
        <v>368</v>
      </c>
      <c r="M22" s="161"/>
      <c r="N22" s="161"/>
      <c r="O22" s="161"/>
      <c r="P22" s="161"/>
      <c r="Q22" s="161"/>
      <c r="R22" s="161"/>
      <c r="S22" s="161"/>
      <c r="T22" s="161"/>
      <c r="U22" s="161"/>
      <c r="V22" s="161"/>
      <c r="W22" s="161"/>
    </row>
    <row r="23" spans="1:29" ht="13">
      <c r="A23" s="167"/>
      <c r="B23" s="168" t="e" vm="2">
        <v>#VALUE!</v>
      </c>
      <c r="C23" s="169" t="str" cm="1">
        <f t="array" aca="1" ref="C23" ca="1">IFERROR(_FV(B23,"Ticker symbol",TRUE),"")</f>
        <v>AAPL</v>
      </c>
      <c r="D23" s="193">
        <v>100</v>
      </c>
      <c r="E23" s="193">
        <v>180</v>
      </c>
      <c r="F23" s="170" cm="1">
        <f t="array" aca="1" ref="F23" ca="1">IFERROR(_FV(B23,"Price"),"")</f>
        <v>213.90979999999999</v>
      </c>
      <c r="G23" s="188">
        <f>IFERROR(D23*E23,"")</f>
        <v>18000</v>
      </c>
      <c r="H23" s="170">
        <f ca="1">IFERROR(D23*F23,"")</f>
        <v>21390.98</v>
      </c>
      <c r="I23" s="171">
        <f ca="1">IFERROR(H23-G23,"")</f>
        <v>3390.9799999999996</v>
      </c>
      <c r="J23" s="172">
        <f ca="1">IFERROR((F23-E23)/E23,"")</f>
        <v>0.18838777777777771</v>
      </c>
      <c r="K23" s="173" cm="1">
        <f t="array" aca="1" ref="K23" ca="1">IFERROR(_FV(B23,"Beta"),"")</f>
        <v>1.1671</v>
      </c>
      <c r="L23" s="174">
        <f ca="1">IFERROR(H23/Portfolio!$C$7,"")</f>
        <v>3.6239394946049011E-2</v>
      </c>
      <c r="M23" s="175"/>
      <c r="N23" s="161" t="s">
        <v>378</v>
      </c>
      <c r="O23" s="161"/>
      <c r="P23" s="161"/>
      <c r="Q23" s="161"/>
      <c r="R23" s="161"/>
      <c r="S23" s="161"/>
      <c r="T23" s="161"/>
      <c r="U23" s="161"/>
      <c r="V23" s="161"/>
      <c r="W23" s="161"/>
    </row>
    <row r="24" spans="1:29" ht="13">
      <c r="A24" s="176"/>
      <c r="B24" s="177" t="e" vm="3">
        <v>#VALUE!</v>
      </c>
      <c r="C24" s="169" t="str" cm="1">
        <f t="array" aca="1" ref="C24" ca="1">IFERROR(_FV(B24,"Ticker symbol",TRUE),"")</f>
        <v>GOOG</v>
      </c>
      <c r="D24" s="193">
        <v>100</v>
      </c>
      <c r="E24" s="194">
        <v>200</v>
      </c>
      <c r="F24" s="170" cm="1">
        <f t="array" aca="1" ref="F24" ca="1">IFERROR(_FV(B24,"Price"),"")</f>
        <v>193.04</v>
      </c>
      <c r="G24" s="188">
        <f t="shared" ref="G24:G33" si="0">IFERROR(D24*E24,"")</f>
        <v>20000</v>
      </c>
      <c r="H24" s="170">
        <f t="shared" ref="H24" ca="1" si="1">IFERROR(D24*F24,"")</f>
        <v>19304</v>
      </c>
      <c r="I24" s="171">
        <f t="shared" ref="I24:I87" ca="1" si="2">IFERROR(H24-G24,"")</f>
        <v>-696</v>
      </c>
      <c r="J24" s="172">
        <f t="shared" ref="J24:J87" ca="1" si="3">IFERROR((F24-E24)/E24,"")</f>
        <v>-3.4800000000000039E-2</v>
      </c>
      <c r="K24" s="173" cm="1">
        <f t="array" aca="1" ref="K24" ca="1">IFERROR(_FV(B24,"Beta"),"")</f>
        <v>1.0173000000000001</v>
      </c>
      <c r="L24" s="174">
        <f ca="1">IFERROR(H24/Portfolio!$C$7,"")</f>
        <v>3.2703750835096392E-2</v>
      </c>
      <c r="M24" s="175"/>
      <c r="N24" s="156"/>
      <c r="O24" s="156"/>
      <c r="P24" s="156"/>
      <c r="Q24" s="156"/>
      <c r="R24" s="156"/>
      <c r="S24" s="156"/>
      <c r="T24" s="156"/>
      <c r="U24" s="156"/>
      <c r="V24" s="156"/>
      <c r="W24" s="156"/>
    </row>
    <row r="25" spans="1:29" ht="13">
      <c r="A25" s="176"/>
      <c r="B25" s="177" t="e" vm="4">
        <v>#VALUE!</v>
      </c>
      <c r="C25" s="169" t="str" cm="1">
        <f t="array" aca="1" ref="C25" ca="1">IFERROR(_FV(B25,"Ticker symbol",TRUE),"")</f>
        <v>SPY</v>
      </c>
      <c r="D25" s="194">
        <v>50</v>
      </c>
      <c r="E25" s="194">
        <v>500</v>
      </c>
      <c r="F25" s="170" cm="1">
        <f t="array" aca="1" ref="F25" ca="1">IFERROR(_FV(B25,"Price"),"")</f>
        <v>636.62</v>
      </c>
      <c r="G25" s="188">
        <f t="shared" si="0"/>
        <v>25000</v>
      </c>
      <c r="H25" s="170">
        <f ca="1">IFERROR(D25*F25,"")</f>
        <v>31831</v>
      </c>
      <c r="I25" s="171">
        <f t="shared" ca="1" si="2"/>
        <v>6831</v>
      </c>
      <c r="J25" s="172">
        <f t="shared" ca="1" si="3"/>
        <v>0.27323999999999998</v>
      </c>
      <c r="K25" s="173" cm="1">
        <f t="array" aca="1" ref="K25" ca="1">IFERROR(_FV(B25,"Beta"),"")</f>
        <v>0.99850000000000005</v>
      </c>
      <c r="L25" s="174">
        <f ca="1">IFERROR(H25/Portfolio!$C$7,"")</f>
        <v>5.3926289516781661E-2</v>
      </c>
      <c r="M25" s="175"/>
      <c r="N25" s="156"/>
      <c r="O25" s="156"/>
      <c r="P25" s="156"/>
      <c r="Q25" s="156"/>
      <c r="R25" s="156"/>
      <c r="S25" s="156"/>
      <c r="T25" s="156"/>
      <c r="U25" s="156"/>
      <c r="V25" s="156"/>
      <c r="W25" s="156"/>
    </row>
    <row r="26" spans="1:29" ht="14">
      <c r="A26" s="178"/>
      <c r="B26" s="179" t="e" vm="5">
        <v>#VALUE!</v>
      </c>
      <c r="C26" s="169" t="str" cm="1">
        <f t="array" aca="1" ref="C26" ca="1">IFERROR(_FV(B26,"Ticker symbol",TRUE),"")</f>
        <v>MSFT</v>
      </c>
      <c r="D26" s="194">
        <v>100</v>
      </c>
      <c r="E26" s="194">
        <v>600</v>
      </c>
      <c r="F26" s="170" cm="1">
        <f t="array" aca="1" ref="F26" ca="1">IFERROR(_FV(B26,"Price"),"")</f>
        <v>511.59500000000003</v>
      </c>
      <c r="G26" s="188">
        <f t="shared" si="0"/>
        <v>60000</v>
      </c>
      <c r="H26" s="170">
        <f t="shared" ref="H26:H89" ca="1" si="4">IFERROR(D26*F26,"")</f>
        <v>51159.5</v>
      </c>
      <c r="I26" s="171">
        <f t="shared" ca="1" si="2"/>
        <v>-8840.5</v>
      </c>
      <c r="J26" s="172">
        <f t="shared" ca="1" si="3"/>
        <v>-0.14734166666666662</v>
      </c>
      <c r="K26" s="173" cm="1">
        <f t="array" aca="1" ref="K26" ca="1">IFERROR(_FV(B26,"Beta"),"")</f>
        <v>1.0508</v>
      </c>
      <c r="L26" s="174">
        <f ca="1">IFERROR(H26/Portfolio!$C$7,"")</f>
        <v>8.6671546873607216E-2</v>
      </c>
      <c r="M26" s="175"/>
      <c r="N26" s="156"/>
      <c r="O26" s="156"/>
      <c r="P26" s="156"/>
      <c r="Q26" s="156"/>
      <c r="R26" s="156"/>
      <c r="S26" s="156"/>
      <c r="T26" s="156"/>
      <c r="U26" s="156"/>
      <c r="V26" s="156"/>
      <c r="W26" s="156"/>
    </row>
    <row r="27" spans="1:29" ht="13">
      <c r="A27" s="180"/>
      <c r="B27" s="181" t="e" vm="6">
        <v>#VALUE!</v>
      </c>
      <c r="C27" s="169" t="str" cm="1">
        <f t="array" aca="1" ref="C27" ca="1">IFERROR(_FV(B27,"Ticker symbol",TRUE),"")</f>
        <v>JNJ</v>
      </c>
      <c r="D27" s="194">
        <v>100</v>
      </c>
      <c r="E27" s="194">
        <v>100</v>
      </c>
      <c r="F27" s="170" cm="1">
        <f t="array" aca="1" ref="F27" ca="1">IFERROR(_FV(B27,"Price"),"")</f>
        <v>166.46</v>
      </c>
      <c r="G27" s="188">
        <f t="shared" si="0"/>
        <v>10000</v>
      </c>
      <c r="H27" s="170">
        <f t="shared" ca="1" si="4"/>
        <v>16646</v>
      </c>
      <c r="I27" s="171">
        <f t="shared" ca="1" si="2"/>
        <v>6646</v>
      </c>
      <c r="J27" s="172">
        <f t="shared" ca="1" si="3"/>
        <v>0.66460000000000008</v>
      </c>
      <c r="K27" s="173" cm="1">
        <f t="array" aca="1" ref="K27" ca="1">IFERROR(_FV(B27,"Beta"),"")</f>
        <v>0.40670000000000001</v>
      </c>
      <c r="L27" s="174">
        <f ca="1">IFERROR(H27/Portfolio!$C$7,"")</f>
        <v>2.820071676341766E-2</v>
      </c>
      <c r="M27" s="175"/>
      <c r="N27" s="156"/>
      <c r="O27" s="156"/>
      <c r="P27" s="156"/>
      <c r="Q27" s="156"/>
      <c r="R27" s="156"/>
      <c r="S27" s="156"/>
      <c r="T27" s="156"/>
      <c r="U27" s="156"/>
      <c r="V27" s="156"/>
      <c r="W27" s="156"/>
    </row>
    <row r="28" spans="1:29" ht="14">
      <c r="A28" s="178"/>
      <c r="B28" s="179" t="e" vm="7">
        <v>#VALUE!</v>
      </c>
      <c r="C28" s="169" t="str" cm="1">
        <f t="array" aca="1" ref="C28" ca="1">IFERROR(_FV(B28,"Ticker symbol",TRUE),"")</f>
        <v>NVDA</v>
      </c>
      <c r="D28" s="194">
        <v>100</v>
      </c>
      <c r="E28" s="194">
        <v>120</v>
      </c>
      <c r="F28" s="170" cm="1">
        <f t="array" aca="1" ref="F28" ca="1">IFERROR(_FV(B28,"Price"),"")</f>
        <v>175.56809999999999</v>
      </c>
      <c r="G28" s="188">
        <f t="shared" si="0"/>
        <v>12000</v>
      </c>
      <c r="H28" s="170">
        <f t="shared" ca="1" si="4"/>
        <v>17556.809999999998</v>
      </c>
      <c r="I28" s="171">
        <f t="shared" ca="1" si="2"/>
        <v>5556.8099999999977</v>
      </c>
      <c r="J28" s="172">
        <f t="shared" ca="1" si="3"/>
        <v>0.46306749999999991</v>
      </c>
      <c r="K28" s="173" cm="1">
        <f t="array" aca="1" ref="K28" ca="1">IFERROR(_FV(B28,"Beta"),"")</f>
        <v>2.1412</v>
      </c>
      <c r="L28" s="174">
        <f ca="1">IFERROR(H28/Portfolio!$C$7,"")</f>
        <v>2.9743759826933721E-2</v>
      </c>
      <c r="M28" s="175"/>
      <c r="N28" s="156"/>
      <c r="O28" s="156"/>
      <c r="P28" s="156"/>
      <c r="Q28" s="156"/>
      <c r="R28" s="156"/>
      <c r="S28" s="156"/>
      <c r="T28" s="156"/>
      <c r="U28" s="156"/>
      <c r="V28" s="156"/>
      <c r="W28" s="156"/>
    </row>
    <row r="29" spans="1:29" ht="13">
      <c r="A29" s="167"/>
      <c r="B29" s="168" t="e" vm="8">
        <v>#VALUE!</v>
      </c>
      <c r="C29" s="169" t="str" cm="1">
        <f t="array" aca="1" ref="C29" ca="1">IFERROR(_FV(B29,"Ticker symbol",TRUE),"")</f>
        <v>UNH</v>
      </c>
      <c r="D29" s="194">
        <v>100</v>
      </c>
      <c r="E29" s="193">
        <v>300</v>
      </c>
      <c r="F29" s="170" cm="1">
        <f t="array" aca="1" ref="F29" ca="1">IFERROR(_FV(B29,"Price"),"")</f>
        <v>281.24</v>
      </c>
      <c r="G29" s="188">
        <f t="shared" si="0"/>
        <v>30000</v>
      </c>
      <c r="H29" s="170">
        <f t="shared" ca="1" si="4"/>
        <v>28124</v>
      </c>
      <c r="I29" s="171">
        <f t="shared" ca="1" si="2"/>
        <v>-1876</v>
      </c>
      <c r="J29" s="172">
        <f t="shared" ca="1" si="3"/>
        <v>-6.2533333333333302E-2</v>
      </c>
      <c r="K29" s="173" cm="1">
        <f t="array" aca="1" ref="K29" ca="1">IFERROR(_FV(B29,"Beta"),"")</f>
        <v>0.44080000000000003</v>
      </c>
      <c r="L29" s="174">
        <f ca="1">IFERROR(H29/Portfolio!$C$7,"")</f>
        <v>4.7646098657596919E-2</v>
      </c>
      <c r="M29" s="175"/>
      <c r="N29" s="156"/>
      <c r="O29" s="156"/>
      <c r="P29" s="156"/>
      <c r="Q29" s="156"/>
      <c r="R29" s="156"/>
      <c r="S29" s="156"/>
      <c r="T29" s="156"/>
      <c r="U29" s="156"/>
      <c r="V29" s="156"/>
      <c r="W29" s="156"/>
    </row>
    <row r="30" spans="1:29" ht="13">
      <c r="A30" s="167"/>
      <c r="B30" s="168" t="e" vm="9">
        <v>#VALUE!</v>
      </c>
      <c r="C30" s="169" t="str" cm="1">
        <f t="array" aca="1" ref="C30" ca="1">IFERROR(_FV(B30,"Ticker symbol",TRUE),"")</f>
        <v>JPM</v>
      </c>
      <c r="D30" s="194">
        <v>110</v>
      </c>
      <c r="E30" s="194">
        <v>200</v>
      </c>
      <c r="F30" s="170" cm="1">
        <f t="array" aca="1" ref="F30" ca="1">IFERROR(_FV(B30,"Price"),"")</f>
        <v>297.73</v>
      </c>
      <c r="G30" s="188">
        <f t="shared" si="0"/>
        <v>22000</v>
      </c>
      <c r="H30" s="170">
        <f t="shared" ca="1" si="4"/>
        <v>32750.300000000003</v>
      </c>
      <c r="I30" s="171">
        <f t="shared" ca="1" si="2"/>
        <v>10750.300000000003</v>
      </c>
      <c r="J30" s="172">
        <f t="shared" ca="1" si="3"/>
        <v>0.48865000000000008</v>
      </c>
      <c r="K30" s="173" cm="1">
        <f t="array" aca="1" ref="K30" ca="1">IFERROR(_FV(B30,"Beta"),"")</f>
        <v>1.1063000000000001</v>
      </c>
      <c r="L30" s="174">
        <f ca="1">IFERROR(H30/Portfolio!$C$7,"")</f>
        <v>5.54837158606847E-2</v>
      </c>
      <c r="M30" s="175"/>
      <c r="N30" s="156"/>
      <c r="O30" s="156"/>
      <c r="P30" s="156"/>
      <c r="Q30" s="156"/>
      <c r="R30" s="156"/>
      <c r="S30" s="156"/>
      <c r="T30" s="156"/>
      <c r="U30" s="156"/>
      <c r="V30" s="156"/>
      <c r="W30" s="156"/>
    </row>
    <row r="31" spans="1:29" ht="13">
      <c r="A31" s="180"/>
      <c r="B31" s="181" t="e" vm="10">
        <v>#VALUE!</v>
      </c>
      <c r="C31" s="169" t="str" cm="1">
        <f t="array" aca="1" ref="C31" ca="1">IFERROR(_FV(B31,"Ticker symbol",TRUE),"")</f>
        <v>XOM</v>
      </c>
      <c r="D31" s="194">
        <v>50</v>
      </c>
      <c r="E31" s="194">
        <v>150</v>
      </c>
      <c r="F31" s="170" cm="1">
        <f t="array" aca="1" ref="F31" ca="1">IFERROR(_FV(B31,"Price"),"")</f>
        <v>111.55</v>
      </c>
      <c r="G31" s="188">
        <f t="shared" si="0"/>
        <v>7500</v>
      </c>
      <c r="H31" s="170">
        <f t="shared" ca="1" si="4"/>
        <v>5577.5</v>
      </c>
      <c r="I31" s="171">
        <f t="shared" ca="1" si="2"/>
        <v>-1922.5</v>
      </c>
      <c r="J31" s="172">
        <f t="shared" ca="1" si="3"/>
        <v>-0.25633333333333336</v>
      </c>
      <c r="K31" s="173" cm="1">
        <f t="array" aca="1" ref="K31" ca="1">IFERROR(_FV(B31,"Beta"),"")</f>
        <v>0.50090000000000001</v>
      </c>
      <c r="L31" s="174">
        <f ca="1">IFERROR(H31/Portfolio!$C$7,"")</f>
        <v>9.4490867324259278E-3</v>
      </c>
      <c r="M31" s="175"/>
      <c r="N31" s="156"/>
      <c r="O31" s="156"/>
      <c r="P31" s="156"/>
      <c r="Q31" s="156"/>
      <c r="R31" s="156"/>
      <c r="S31" s="156"/>
      <c r="T31" s="156"/>
      <c r="U31" s="156"/>
      <c r="V31" s="156"/>
      <c r="W31" s="156"/>
    </row>
    <row r="32" spans="1:29" ht="14">
      <c r="A32" s="178"/>
      <c r="B32" s="179" t="e" vm="11">
        <v>#VALUE!</v>
      </c>
      <c r="C32" s="169" t="str" cm="1">
        <f t="array" aca="1" ref="C32" ca="1">IFERROR(_FV(B32,"Ticker symbol",TRUE),"")</f>
        <v>SNAP</v>
      </c>
      <c r="D32" s="194">
        <v>1000</v>
      </c>
      <c r="E32" s="194">
        <v>10</v>
      </c>
      <c r="F32" s="170" cm="1">
        <f t="array" aca="1" ref="F32" ca="1">IFERROR(_FV(B32,"Price"),"")</f>
        <v>9.6301000000000005</v>
      </c>
      <c r="G32" s="188">
        <f t="shared" si="0"/>
        <v>10000</v>
      </c>
      <c r="H32" s="170">
        <f t="shared" ca="1" si="4"/>
        <v>9630.1</v>
      </c>
      <c r="I32" s="171">
        <f t="shared" ca="1" si="2"/>
        <v>-369.89999999999964</v>
      </c>
      <c r="J32" s="172">
        <f t="shared" ca="1" si="3"/>
        <v>-3.6989999999999947E-2</v>
      </c>
      <c r="K32" s="173" cm="1">
        <f t="array" aca="1" ref="K32" ca="1">IFERROR(_FV(B32,"Beta"),"")</f>
        <v>0.63109999999999999</v>
      </c>
      <c r="L32" s="174">
        <f ca="1">IFERROR(H32/Portfolio!$C$7,"")</f>
        <v>1.6314773669553553E-2</v>
      </c>
      <c r="M32" s="175"/>
      <c r="N32" s="156"/>
      <c r="O32" s="156"/>
      <c r="P32" s="156"/>
      <c r="Q32" s="156"/>
      <c r="R32" s="156"/>
      <c r="S32" s="156"/>
      <c r="T32" s="156"/>
      <c r="U32" s="156"/>
      <c r="V32" s="156"/>
      <c r="W32" s="156"/>
    </row>
    <row r="33" spans="1:23" ht="13">
      <c r="A33" s="167"/>
      <c r="B33" s="168" t="e" vm="12">
        <v>#VALUE!</v>
      </c>
      <c r="C33" s="169" t="str" cm="1">
        <f t="array" aca="1" ref="C33" ca="1">IFERROR(_FV(B33,"Ticker symbol",TRUE),"")</f>
        <v>META</v>
      </c>
      <c r="D33" s="193">
        <v>50</v>
      </c>
      <c r="E33" s="193">
        <v>500</v>
      </c>
      <c r="F33" s="191" cm="1">
        <f t="array" aca="1" ref="F33" ca="1">IFERROR(_FV(B33,"Price"),"")</f>
        <v>714.98990000000003</v>
      </c>
      <c r="G33" s="192">
        <f t="shared" si="0"/>
        <v>25000</v>
      </c>
      <c r="H33" s="191">
        <f t="shared" ca="1" si="4"/>
        <v>35749.495000000003</v>
      </c>
      <c r="I33" s="182">
        <f t="shared" ca="1" si="2"/>
        <v>10749.495000000003</v>
      </c>
      <c r="J33" s="172">
        <f t="shared" ca="1" si="3"/>
        <v>0.42997980000000008</v>
      </c>
      <c r="K33" s="173" cm="1">
        <f t="array" aca="1" ref="K33" ca="1">IFERROR(_FV(B33,"Beta"),"")</f>
        <v>1.2614000000000001</v>
      </c>
      <c r="L33" s="174">
        <f ca="1">IFERROR(H33/Portfolio!$C$7,"")</f>
        <v>6.0564783307113776E-2</v>
      </c>
      <c r="M33" s="175"/>
      <c r="N33" s="156"/>
      <c r="O33" s="156"/>
      <c r="P33" s="156"/>
      <c r="Q33" s="156"/>
      <c r="R33" s="156"/>
      <c r="S33" s="156"/>
      <c r="T33" s="156"/>
      <c r="U33" s="156"/>
      <c r="V33" s="156"/>
      <c r="W33" s="156"/>
    </row>
    <row r="34" spans="1:23" ht="13">
      <c r="A34" s="167"/>
      <c r="B34" s="168" t="e" vm="1">
        <v>#VALUE!</v>
      </c>
      <c r="C34" s="169" t="str" cm="1">
        <f t="array" aca="1" ref="C34" ca="1">IFERROR(_FV(B34,"Ticker symbol",TRUE),"")</f>
        <v>DG</v>
      </c>
      <c r="D34" s="193">
        <v>100</v>
      </c>
      <c r="E34" s="193">
        <v>99</v>
      </c>
      <c r="F34" s="191" cm="1">
        <f t="array" aca="1" ref="F34" ca="1">IFERROR(_FV(B34,"Price"),"")</f>
        <v>105.49</v>
      </c>
      <c r="G34" s="192">
        <f t="shared" ref="G34:G97" si="5">IFERROR(D34*E34,"")</f>
        <v>9900</v>
      </c>
      <c r="H34" s="191">
        <f t="shared" ca="1" si="4"/>
        <v>10549</v>
      </c>
      <c r="I34" s="171">
        <f t="shared" ca="1" si="2"/>
        <v>649</v>
      </c>
      <c r="J34" s="172">
        <f t="shared" ca="1" si="3"/>
        <v>6.5555555555555506E-2</v>
      </c>
      <c r="K34" s="173" cm="1">
        <f t="array" aca="1" ref="K34" ca="1">IFERROR(_FV(B34,"Beta"),"")</f>
        <v>0.30990000000000001</v>
      </c>
      <c r="L34" s="174">
        <f ca="1">IFERROR(H34/Portfolio!$C$7,"")</f>
        <v>1.7871522355958964E-2</v>
      </c>
      <c r="M34" s="175"/>
      <c r="N34" s="156"/>
      <c r="O34" s="156"/>
      <c r="P34" s="156"/>
      <c r="Q34" s="156"/>
      <c r="R34" s="156"/>
      <c r="S34" s="156"/>
      <c r="T34" s="156"/>
      <c r="U34" s="156"/>
      <c r="V34" s="156"/>
      <c r="W34" s="156"/>
    </row>
    <row r="35" spans="1:23" ht="13">
      <c r="A35" s="140"/>
      <c r="B35" s="153" t="e" vm="13">
        <v>#VALUE!</v>
      </c>
      <c r="C35" s="169" t="str" cm="1">
        <f t="array" aca="1" ref="C35" ca="1">IFERROR(_FV(B35,"Ticker symbol",TRUE),"")</f>
        <v>GME</v>
      </c>
      <c r="D35" s="193">
        <v>100000</v>
      </c>
      <c r="E35" s="193">
        <v>1.8</v>
      </c>
      <c r="F35" s="191" cm="1">
        <f t="array" aca="1" ref="F35" ca="1">IFERROR(_FV(B35,"Price"),"")</f>
        <v>3.1</v>
      </c>
      <c r="G35" s="192">
        <f t="shared" si="5"/>
        <v>180000</v>
      </c>
      <c r="H35" s="191">
        <f t="shared" ca="1" si="4"/>
        <v>310000</v>
      </c>
      <c r="I35" s="171">
        <f t="shared" ca="1" si="2"/>
        <v>130000</v>
      </c>
      <c r="J35" s="172">
        <f t="shared" ca="1" si="3"/>
        <v>0.72222222222222221</v>
      </c>
      <c r="K35" s="173" cm="1">
        <f t="array" aca="1" ref="K35" ca="1">IFERROR(_FV(B35,"Beta"),"")</f>
        <v>0.55510000000000004</v>
      </c>
      <c r="L35" s="174">
        <f ca="1">IFERROR(H35/Portfolio!$C$7,"")</f>
        <v>0.52518456065478036</v>
      </c>
      <c r="M35" s="175"/>
      <c r="N35" s="156"/>
      <c r="O35" s="156"/>
      <c r="P35" s="156"/>
      <c r="Q35" s="156"/>
      <c r="R35" s="156"/>
      <c r="S35" s="156"/>
      <c r="T35" s="156"/>
      <c r="U35" s="156"/>
      <c r="V35" s="156"/>
      <c r="W35" s="156"/>
    </row>
    <row r="36" spans="1:23" ht="13">
      <c r="A36" s="140"/>
      <c r="B36" s="153"/>
      <c r="C36" s="169" t="str" cm="1">
        <f t="array" ref="C36">IFERROR(_FV(B36,"Ticker symbol",TRUE),"")</f>
        <v/>
      </c>
      <c r="D36" s="193"/>
      <c r="E36" s="193"/>
      <c r="F36" s="191" t="str" cm="1">
        <f t="array" ref="F36">IFERROR(_FV(B36,"Price"),"")</f>
        <v/>
      </c>
      <c r="G36" s="192">
        <f t="shared" si="5"/>
        <v>0</v>
      </c>
      <c r="H36" s="191" t="str">
        <f t="shared" si="4"/>
        <v/>
      </c>
      <c r="I36" s="171" t="str">
        <f t="shared" si="2"/>
        <v/>
      </c>
      <c r="J36" s="172" t="str">
        <f t="shared" si="3"/>
        <v/>
      </c>
      <c r="K36" s="173" t="str" cm="1">
        <f t="array" ref="K36">IFERROR(_FV(B36,"Beta"),"")</f>
        <v/>
      </c>
      <c r="L36" s="174" t="str">
        <f ca="1">IFERROR(H36/Portfolio!$C$7,"")</f>
        <v/>
      </c>
      <c r="M36" s="175"/>
      <c r="N36" s="156"/>
      <c r="O36" s="156"/>
      <c r="P36" s="156"/>
      <c r="Q36" s="156"/>
      <c r="R36" s="156"/>
      <c r="S36" s="156"/>
      <c r="T36" s="156"/>
      <c r="U36" s="156"/>
      <c r="V36" s="156"/>
      <c r="W36" s="156"/>
    </row>
    <row r="37" spans="1:23" ht="13">
      <c r="A37" s="140"/>
      <c r="B37" s="153"/>
      <c r="C37" s="169" t="str" cm="1">
        <f t="array" ref="C37">IFERROR(_FV(B37,"Ticker symbol",TRUE),"")</f>
        <v/>
      </c>
      <c r="D37" s="193"/>
      <c r="E37" s="193"/>
      <c r="F37" s="191" t="str" cm="1">
        <f t="array" ref="F37">IFERROR(_FV(B37,"Price"),"")</f>
        <v/>
      </c>
      <c r="G37" s="192">
        <f t="shared" si="5"/>
        <v>0</v>
      </c>
      <c r="H37" s="191" t="str">
        <f t="shared" si="4"/>
        <v/>
      </c>
      <c r="I37" s="171" t="str">
        <f t="shared" si="2"/>
        <v/>
      </c>
      <c r="J37" s="172" t="str">
        <f t="shared" si="3"/>
        <v/>
      </c>
      <c r="K37" s="173" t="str" cm="1">
        <f t="array" ref="K37">IFERROR(_FV(B37,"Beta"),"")</f>
        <v/>
      </c>
      <c r="L37" s="174" t="str">
        <f ca="1">IFERROR(H37/Portfolio!$C$7,"")</f>
        <v/>
      </c>
      <c r="M37" s="175"/>
      <c r="N37" s="156"/>
      <c r="O37" s="156"/>
      <c r="P37" s="156"/>
      <c r="Q37" s="156"/>
      <c r="R37" s="156"/>
      <c r="S37" s="156"/>
      <c r="T37" s="156"/>
      <c r="U37" s="156"/>
      <c r="V37" s="156"/>
      <c r="W37" s="156"/>
    </row>
    <row r="38" spans="1:23" ht="13">
      <c r="A38" s="140"/>
      <c r="B38" s="153"/>
      <c r="C38" s="169" t="str" cm="1">
        <f t="array" ref="C38">IFERROR(_FV(B38,"Ticker symbol",TRUE),"")</f>
        <v/>
      </c>
      <c r="D38" s="193"/>
      <c r="E38" s="193"/>
      <c r="F38" s="191" t="str" cm="1">
        <f t="array" ref="F38">IFERROR(_FV(B38,"Price"),"")</f>
        <v/>
      </c>
      <c r="G38" s="192">
        <f t="shared" si="5"/>
        <v>0</v>
      </c>
      <c r="H38" s="191" t="str">
        <f t="shared" si="4"/>
        <v/>
      </c>
      <c r="I38" s="171" t="str">
        <f t="shared" si="2"/>
        <v/>
      </c>
      <c r="J38" s="172" t="str">
        <f t="shared" si="3"/>
        <v/>
      </c>
      <c r="K38" s="173" t="str" cm="1">
        <f t="array" ref="K38">IFERROR(_FV(B38,"Beta"),"")</f>
        <v/>
      </c>
      <c r="L38" s="174" t="str">
        <f ca="1">IFERROR(H38/Portfolio!$C$7,"")</f>
        <v/>
      </c>
      <c r="M38" s="175"/>
      <c r="N38" s="156"/>
      <c r="O38" s="156"/>
      <c r="P38" s="156"/>
      <c r="Q38" s="156"/>
      <c r="R38" s="156"/>
      <c r="S38" s="156"/>
      <c r="T38" s="156"/>
      <c r="U38" s="156"/>
      <c r="V38" s="156"/>
      <c r="W38" s="156"/>
    </row>
    <row r="39" spans="1:23" ht="13">
      <c r="A39" s="140"/>
      <c r="B39" s="153"/>
      <c r="C39" s="169" t="str" cm="1">
        <f t="array" ref="C39">IFERROR(_FV(B39,"Ticker symbol",TRUE),"")</f>
        <v/>
      </c>
      <c r="D39" s="193"/>
      <c r="E39" s="193"/>
      <c r="F39" s="191" t="str" cm="1">
        <f t="array" ref="F39">IFERROR(_FV(B39,"Price"),"")</f>
        <v/>
      </c>
      <c r="G39" s="192">
        <f t="shared" si="5"/>
        <v>0</v>
      </c>
      <c r="H39" s="191" t="str">
        <f t="shared" si="4"/>
        <v/>
      </c>
      <c r="I39" s="171" t="str">
        <f t="shared" si="2"/>
        <v/>
      </c>
      <c r="J39" s="172" t="str">
        <f t="shared" si="3"/>
        <v/>
      </c>
      <c r="K39" s="173" t="str" cm="1">
        <f t="array" ref="K39">IFERROR(_FV(B39,"Beta"),"")</f>
        <v/>
      </c>
      <c r="L39" s="174" t="str">
        <f ca="1">IFERROR(H39/Portfolio!$C$7,"")</f>
        <v/>
      </c>
      <c r="M39" s="175"/>
      <c r="N39" s="156"/>
      <c r="O39" s="156"/>
      <c r="P39" s="156"/>
      <c r="Q39" s="156"/>
      <c r="R39" s="156"/>
      <c r="S39" s="156"/>
      <c r="T39" s="156"/>
      <c r="U39" s="156"/>
      <c r="V39" s="156"/>
      <c r="W39" s="156"/>
    </row>
    <row r="40" spans="1:23" ht="13">
      <c r="A40" s="140"/>
      <c r="B40" s="153"/>
      <c r="C40" s="169" t="str" cm="1">
        <f t="array" ref="C40">IFERROR(_FV(B40,"Ticker symbol",TRUE),"")</f>
        <v/>
      </c>
      <c r="D40" s="193"/>
      <c r="E40" s="193"/>
      <c r="F40" s="191" t="str" cm="1">
        <f t="array" ref="F40">IFERROR(_FV(B40,"Price"),"")</f>
        <v/>
      </c>
      <c r="G40" s="192">
        <f t="shared" si="5"/>
        <v>0</v>
      </c>
      <c r="H40" s="191" t="str">
        <f t="shared" si="4"/>
        <v/>
      </c>
      <c r="I40" s="171" t="str">
        <f t="shared" si="2"/>
        <v/>
      </c>
      <c r="J40" s="172" t="str">
        <f t="shared" si="3"/>
        <v/>
      </c>
      <c r="K40" s="173" t="str" cm="1">
        <f t="array" ref="K40">IFERROR(_FV(B40,"Beta"),"")</f>
        <v/>
      </c>
      <c r="L40" s="174" t="str">
        <f ca="1">IFERROR(H40/Portfolio!$C$7,"")</f>
        <v/>
      </c>
      <c r="M40" s="175"/>
      <c r="N40" s="156"/>
      <c r="O40" s="156"/>
      <c r="P40" s="156"/>
      <c r="Q40" s="156"/>
      <c r="R40" s="156"/>
      <c r="S40" s="156"/>
      <c r="T40" s="156"/>
      <c r="U40" s="156"/>
      <c r="V40" s="156"/>
      <c r="W40" s="156"/>
    </row>
    <row r="41" spans="1:23" ht="13">
      <c r="A41" s="140"/>
      <c r="B41" s="153"/>
      <c r="C41" s="169" t="str" cm="1">
        <f t="array" ref="C41">IFERROR(_FV(B41,"Ticker symbol",TRUE),"")</f>
        <v/>
      </c>
      <c r="D41" s="193"/>
      <c r="E41" s="193"/>
      <c r="F41" s="191" t="str" cm="1">
        <f t="array" ref="F41">IFERROR(_FV(B41,"Price"),"")</f>
        <v/>
      </c>
      <c r="G41" s="192">
        <f t="shared" si="5"/>
        <v>0</v>
      </c>
      <c r="H41" s="191" t="str">
        <f t="shared" si="4"/>
        <v/>
      </c>
      <c r="I41" s="171" t="str">
        <f t="shared" si="2"/>
        <v/>
      </c>
      <c r="J41" s="172" t="str">
        <f t="shared" si="3"/>
        <v/>
      </c>
      <c r="K41" s="173" t="str" cm="1">
        <f t="array" ref="K41">IFERROR(_FV(B41,"Beta"),"")</f>
        <v/>
      </c>
      <c r="L41" s="174" t="str">
        <f ca="1">IFERROR(H41/Portfolio!$C$7,"")</f>
        <v/>
      </c>
      <c r="M41" s="175"/>
      <c r="N41" s="156"/>
      <c r="O41" s="156"/>
      <c r="P41" s="156"/>
      <c r="Q41" s="156"/>
      <c r="R41" s="156"/>
      <c r="S41" s="156"/>
      <c r="T41" s="156"/>
      <c r="U41" s="156"/>
      <c r="V41" s="156"/>
      <c r="W41" s="156"/>
    </row>
    <row r="42" spans="1:23" ht="13">
      <c r="A42" s="140"/>
      <c r="B42" s="153"/>
      <c r="C42" s="169" t="str" cm="1">
        <f t="array" ref="C42">IFERROR(_FV(B42,"Ticker symbol",TRUE),"")</f>
        <v/>
      </c>
      <c r="D42" s="193"/>
      <c r="E42" s="193"/>
      <c r="F42" s="191" t="str" cm="1">
        <f t="array" ref="F42">IFERROR(_FV(B42,"Price"),"")</f>
        <v/>
      </c>
      <c r="G42" s="192">
        <f t="shared" si="5"/>
        <v>0</v>
      </c>
      <c r="H42" s="191" t="str">
        <f t="shared" si="4"/>
        <v/>
      </c>
      <c r="I42" s="171" t="str">
        <f t="shared" si="2"/>
        <v/>
      </c>
      <c r="J42" s="172" t="str">
        <f t="shared" si="3"/>
        <v/>
      </c>
      <c r="K42" s="173" t="str" cm="1">
        <f t="array" ref="K42">IFERROR(_FV(B42,"Beta"),"")</f>
        <v/>
      </c>
      <c r="L42" s="174" t="str">
        <f ca="1">IFERROR(H42/Portfolio!$C$7,"")</f>
        <v/>
      </c>
      <c r="M42" s="175"/>
      <c r="N42" s="156"/>
      <c r="O42" s="156"/>
      <c r="P42" s="156"/>
      <c r="Q42" s="156"/>
      <c r="R42" s="156"/>
      <c r="S42" s="156"/>
      <c r="T42" s="156"/>
      <c r="U42" s="156"/>
      <c r="V42" s="156"/>
      <c r="W42" s="156"/>
    </row>
    <row r="43" spans="1:23" ht="13">
      <c r="A43" s="140"/>
      <c r="B43" s="153"/>
      <c r="C43" s="169" t="str" cm="1">
        <f t="array" ref="C43">IFERROR(_FV(B43,"Ticker symbol",TRUE),"")</f>
        <v/>
      </c>
      <c r="D43" s="193"/>
      <c r="E43" s="193"/>
      <c r="F43" s="191" t="str" cm="1">
        <f t="array" ref="F43">IFERROR(_FV(B43,"Price"),"")</f>
        <v/>
      </c>
      <c r="G43" s="192">
        <f t="shared" si="5"/>
        <v>0</v>
      </c>
      <c r="H43" s="191" t="str">
        <f t="shared" si="4"/>
        <v/>
      </c>
      <c r="I43" s="171" t="str">
        <f t="shared" si="2"/>
        <v/>
      </c>
      <c r="J43" s="172" t="str">
        <f t="shared" si="3"/>
        <v/>
      </c>
      <c r="K43" s="173" t="str" cm="1">
        <f t="array" ref="K43">IFERROR(_FV(B43,"Beta"),"")</f>
        <v/>
      </c>
      <c r="L43" s="174" t="str">
        <f ca="1">IFERROR(H43/Portfolio!$C$7,"")</f>
        <v/>
      </c>
      <c r="M43" s="175"/>
      <c r="N43" s="156"/>
      <c r="O43" s="156"/>
      <c r="P43" s="156"/>
      <c r="Q43" s="156"/>
      <c r="R43" s="156"/>
      <c r="S43" s="156"/>
      <c r="T43" s="156"/>
      <c r="U43" s="156"/>
      <c r="V43" s="156"/>
      <c r="W43" s="156"/>
    </row>
    <row r="44" spans="1:23" ht="13">
      <c r="A44" s="140"/>
      <c r="B44" s="153"/>
      <c r="C44" s="169" t="str" cm="1">
        <f t="array" ref="C44">IFERROR(_FV(B44,"Ticker symbol",TRUE),"")</f>
        <v/>
      </c>
      <c r="D44" s="193"/>
      <c r="E44" s="193"/>
      <c r="F44" s="191" t="str" cm="1">
        <f t="array" ref="F44">IFERROR(_FV(B44,"Price"),"")</f>
        <v/>
      </c>
      <c r="G44" s="192">
        <f t="shared" si="5"/>
        <v>0</v>
      </c>
      <c r="H44" s="191" t="str">
        <f t="shared" si="4"/>
        <v/>
      </c>
      <c r="I44" s="171" t="str">
        <f t="shared" si="2"/>
        <v/>
      </c>
      <c r="J44" s="172" t="str">
        <f t="shared" si="3"/>
        <v/>
      </c>
      <c r="K44" s="173" t="str" cm="1">
        <f t="array" ref="K44">IFERROR(_FV(B44,"Beta"),"")</f>
        <v/>
      </c>
      <c r="L44" s="174" t="str">
        <f ca="1">IFERROR(H44/Portfolio!$C$7,"")</f>
        <v/>
      </c>
      <c r="M44" s="175"/>
      <c r="N44" s="156"/>
      <c r="O44" s="156"/>
      <c r="P44" s="156"/>
      <c r="Q44" s="156"/>
      <c r="R44" s="156"/>
      <c r="S44" s="156"/>
      <c r="T44" s="156"/>
      <c r="U44" s="156"/>
      <c r="V44" s="156"/>
      <c r="W44" s="156"/>
    </row>
    <row r="45" spans="1:23" ht="13">
      <c r="A45" s="140"/>
      <c r="B45" s="153"/>
      <c r="C45" s="169" t="str" cm="1">
        <f t="array" ref="C45">IFERROR(_FV(B45,"Ticker symbol",TRUE),"")</f>
        <v/>
      </c>
      <c r="D45" s="193"/>
      <c r="E45" s="193"/>
      <c r="F45" s="191" t="str" cm="1">
        <f t="array" ref="F45">IFERROR(_FV(B45,"Price"),"")</f>
        <v/>
      </c>
      <c r="G45" s="192">
        <f t="shared" si="5"/>
        <v>0</v>
      </c>
      <c r="H45" s="191" t="str">
        <f t="shared" si="4"/>
        <v/>
      </c>
      <c r="I45" s="171" t="str">
        <f t="shared" si="2"/>
        <v/>
      </c>
      <c r="J45" s="172" t="str">
        <f t="shared" si="3"/>
        <v/>
      </c>
      <c r="K45" s="173" t="str" cm="1">
        <f t="array" ref="K45">IFERROR(_FV(B45,"Beta"),"")</f>
        <v/>
      </c>
      <c r="L45" s="174" t="str">
        <f ca="1">IFERROR(H45/Portfolio!$C$7,"")</f>
        <v/>
      </c>
      <c r="M45" s="175"/>
      <c r="N45" s="156"/>
      <c r="O45" s="156"/>
      <c r="P45" s="156"/>
      <c r="Q45" s="156"/>
      <c r="R45" s="156"/>
      <c r="S45" s="156"/>
      <c r="T45" s="156"/>
      <c r="U45" s="156"/>
      <c r="V45" s="156"/>
      <c r="W45" s="156"/>
    </row>
    <row r="46" spans="1:23" ht="13">
      <c r="A46" s="140"/>
      <c r="B46" s="153"/>
      <c r="C46" s="169" t="str" cm="1">
        <f t="array" ref="C46">IFERROR(_FV(B46,"Ticker symbol",TRUE),"")</f>
        <v/>
      </c>
      <c r="D46" s="193"/>
      <c r="E46" s="193"/>
      <c r="F46" s="191" t="str" cm="1">
        <f t="array" ref="F46">IFERROR(_FV(B46,"Price"),"")</f>
        <v/>
      </c>
      <c r="G46" s="192">
        <f t="shared" si="5"/>
        <v>0</v>
      </c>
      <c r="H46" s="191" t="str">
        <f t="shared" si="4"/>
        <v/>
      </c>
      <c r="I46" s="171" t="str">
        <f t="shared" si="2"/>
        <v/>
      </c>
      <c r="J46" s="172" t="str">
        <f t="shared" si="3"/>
        <v/>
      </c>
      <c r="K46" s="173" t="str" cm="1">
        <f t="array" ref="K46">IFERROR(_FV(B46,"Beta"),"")</f>
        <v/>
      </c>
      <c r="L46" s="174" t="str">
        <f ca="1">IFERROR(H46/Portfolio!$C$7,"")</f>
        <v/>
      </c>
      <c r="M46" s="175"/>
      <c r="N46" s="156"/>
      <c r="O46" s="156"/>
      <c r="P46" s="156"/>
      <c r="Q46" s="156"/>
      <c r="R46" s="156"/>
      <c r="S46" s="156"/>
      <c r="T46" s="156"/>
      <c r="U46" s="156"/>
      <c r="V46" s="156"/>
      <c r="W46" s="156"/>
    </row>
    <row r="47" spans="1:23" ht="13">
      <c r="A47" s="140"/>
      <c r="B47" s="153"/>
      <c r="C47" s="169" t="str" cm="1">
        <f t="array" ref="C47">IFERROR(_FV(B47,"Ticker symbol",TRUE),"")</f>
        <v/>
      </c>
      <c r="D47" s="193"/>
      <c r="E47" s="193"/>
      <c r="F47" s="191" t="str" cm="1">
        <f t="array" ref="F47">IFERROR(_FV(B47,"Price"),"")</f>
        <v/>
      </c>
      <c r="G47" s="192">
        <f t="shared" si="5"/>
        <v>0</v>
      </c>
      <c r="H47" s="191" t="str">
        <f t="shared" si="4"/>
        <v/>
      </c>
      <c r="I47" s="171" t="str">
        <f t="shared" si="2"/>
        <v/>
      </c>
      <c r="J47" s="172" t="str">
        <f t="shared" si="3"/>
        <v/>
      </c>
      <c r="K47" s="173" t="str" cm="1">
        <f t="array" ref="K47">IFERROR(_FV(B47,"Beta"),"")</f>
        <v/>
      </c>
      <c r="L47" s="174" t="str">
        <f ca="1">IFERROR(H47/Portfolio!$C$7,"")</f>
        <v/>
      </c>
      <c r="M47" s="175"/>
      <c r="N47" s="156"/>
      <c r="O47" s="156"/>
      <c r="P47" s="156"/>
      <c r="Q47" s="156"/>
      <c r="R47" s="156"/>
      <c r="S47" s="156"/>
      <c r="T47" s="156"/>
      <c r="U47" s="156"/>
      <c r="V47" s="156"/>
      <c r="W47" s="156"/>
    </row>
    <row r="48" spans="1:23" ht="13">
      <c r="A48" s="140"/>
      <c r="B48" s="153"/>
      <c r="C48" s="169" t="str" cm="1">
        <f t="array" ref="C48">IFERROR(_FV(B48,"Ticker symbol",TRUE),"")</f>
        <v/>
      </c>
      <c r="D48" s="193"/>
      <c r="E48" s="193"/>
      <c r="F48" s="191" t="str" cm="1">
        <f t="array" ref="F48">IFERROR(_FV(B48,"Price"),"")</f>
        <v/>
      </c>
      <c r="G48" s="192">
        <f t="shared" si="5"/>
        <v>0</v>
      </c>
      <c r="H48" s="191" t="str">
        <f t="shared" si="4"/>
        <v/>
      </c>
      <c r="I48" s="171" t="str">
        <f t="shared" si="2"/>
        <v/>
      </c>
      <c r="J48" s="172" t="str">
        <f t="shared" si="3"/>
        <v/>
      </c>
      <c r="K48" s="173" t="str" cm="1">
        <f t="array" ref="K48">IFERROR(_FV(B48,"Beta"),"")</f>
        <v/>
      </c>
      <c r="L48" s="174" t="str">
        <f ca="1">IFERROR(H48/Portfolio!$C$7,"")</f>
        <v/>
      </c>
      <c r="M48" s="175"/>
      <c r="N48" s="156"/>
      <c r="O48" s="156"/>
      <c r="P48" s="156"/>
      <c r="Q48" s="156"/>
      <c r="R48" s="156"/>
      <c r="S48" s="156"/>
      <c r="T48" s="156"/>
      <c r="U48" s="156"/>
      <c r="V48" s="156"/>
      <c r="W48" s="156"/>
    </row>
    <row r="49" spans="1:23" ht="13">
      <c r="A49" s="140"/>
      <c r="B49" s="153"/>
      <c r="C49" s="169" t="str" cm="1">
        <f t="array" ref="C49">IFERROR(_FV(B49,"Ticker symbol",TRUE),"")</f>
        <v/>
      </c>
      <c r="D49" s="193"/>
      <c r="E49" s="193"/>
      <c r="F49" s="191" t="str" cm="1">
        <f t="array" ref="F49">IFERROR(_FV(B49,"Price"),"")</f>
        <v/>
      </c>
      <c r="G49" s="192">
        <f t="shared" si="5"/>
        <v>0</v>
      </c>
      <c r="H49" s="191" t="str">
        <f t="shared" si="4"/>
        <v/>
      </c>
      <c r="I49" s="171" t="str">
        <f t="shared" si="2"/>
        <v/>
      </c>
      <c r="J49" s="172" t="str">
        <f t="shared" si="3"/>
        <v/>
      </c>
      <c r="K49" s="173" t="str" cm="1">
        <f t="array" ref="K49">IFERROR(_FV(B49,"Beta"),"")</f>
        <v/>
      </c>
      <c r="L49" s="174" t="str">
        <f ca="1">IFERROR(H49/Portfolio!$C$7,"")</f>
        <v/>
      </c>
      <c r="M49" s="175"/>
      <c r="N49" s="156"/>
      <c r="O49" s="156"/>
      <c r="P49" s="156"/>
      <c r="Q49" s="156"/>
      <c r="R49" s="156"/>
      <c r="S49" s="156"/>
      <c r="T49" s="156"/>
      <c r="U49" s="156"/>
      <c r="V49" s="156"/>
      <c r="W49" s="156"/>
    </row>
    <row r="50" spans="1:23" ht="13">
      <c r="A50" s="140"/>
      <c r="B50" s="153"/>
      <c r="C50" s="169" t="str" cm="1">
        <f t="array" ref="C50">IFERROR(_FV(B50,"Ticker symbol",TRUE),"")</f>
        <v/>
      </c>
      <c r="D50" s="193"/>
      <c r="E50" s="193"/>
      <c r="F50" s="191" t="str" cm="1">
        <f t="array" ref="F50">IFERROR(_FV(B50,"Price"),"")</f>
        <v/>
      </c>
      <c r="G50" s="192">
        <f t="shared" si="5"/>
        <v>0</v>
      </c>
      <c r="H50" s="191" t="str">
        <f t="shared" si="4"/>
        <v/>
      </c>
      <c r="I50" s="171" t="str">
        <f t="shared" si="2"/>
        <v/>
      </c>
      <c r="J50" s="172" t="str">
        <f t="shared" si="3"/>
        <v/>
      </c>
      <c r="K50" s="173" t="str" cm="1">
        <f t="array" ref="K50">IFERROR(_FV(B50,"Beta"),"")</f>
        <v/>
      </c>
      <c r="L50" s="174" t="str">
        <f ca="1">IFERROR(H50/Portfolio!$C$7,"")</f>
        <v/>
      </c>
      <c r="M50" s="175"/>
      <c r="N50" s="156"/>
      <c r="O50" s="156"/>
      <c r="P50" s="156"/>
      <c r="Q50" s="156"/>
      <c r="R50" s="156"/>
      <c r="S50" s="156"/>
      <c r="T50" s="156"/>
      <c r="U50" s="156"/>
      <c r="V50" s="156"/>
      <c r="W50" s="156"/>
    </row>
    <row r="51" spans="1:23" ht="13">
      <c r="A51" s="140"/>
      <c r="B51" s="153"/>
      <c r="C51" s="169" t="str" cm="1">
        <f t="array" ref="C51">IFERROR(_FV(B51,"Ticker symbol",TRUE),"")</f>
        <v/>
      </c>
      <c r="D51" s="193"/>
      <c r="E51" s="193"/>
      <c r="F51" s="191" t="str" cm="1">
        <f t="array" ref="F51">IFERROR(_FV(B51,"Price"),"")</f>
        <v/>
      </c>
      <c r="G51" s="192">
        <f t="shared" si="5"/>
        <v>0</v>
      </c>
      <c r="H51" s="191" t="str">
        <f t="shared" si="4"/>
        <v/>
      </c>
      <c r="I51" s="171" t="str">
        <f t="shared" si="2"/>
        <v/>
      </c>
      <c r="J51" s="172" t="str">
        <f t="shared" si="3"/>
        <v/>
      </c>
      <c r="K51" s="173" t="str" cm="1">
        <f t="array" ref="K51">IFERROR(_FV(B51,"Beta"),"")</f>
        <v/>
      </c>
      <c r="L51" s="174" t="str">
        <f ca="1">IFERROR(H51/Portfolio!$C$7,"")</f>
        <v/>
      </c>
      <c r="M51" s="175"/>
      <c r="N51" s="156"/>
      <c r="O51" s="156"/>
      <c r="P51" s="156"/>
      <c r="Q51" s="156"/>
      <c r="R51" s="156"/>
      <c r="S51" s="156"/>
      <c r="T51" s="156"/>
      <c r="U51" s="156"/>
      <c r="V51" s="156"/>
      <c r="W51" s="156"/>
    </row>
    <row r="52" spans="1:23" ht="13">
      <c r="A52" s="140"/>
      <c r="B52" s="153"/>
      <c r="C52" s="169" t="str" cm="1">
        <f t="array" ref="C52">IFERROR(_FV(B52,"Ticker symbol",TRUE),"")</f>
        <v/>
      </c>
      <c r="D52" s="193"/>
      <c r="E52" s="193"/>
      <c r="F52" s="191" t="str" cm="1">
        <f t="array" ref="F52">IFERROR(_FV(B52,"Price"),"")</f>
        <v/>
      </c>
      <c r="G52" s="192">
        <f t="shared" si="5"/>
        <v>0</v>
      </c>
      <c r="H52" s="191" t="str">
        <f t="shared" si="4"/>
        <v/>
      </c>
      <c r="I52" s="171" t="str">
        <f t="shared" si="2"/>
        <v/>
      </c>
      <c r="J52" s="172" t="str">
        <f t="shared" si="3"/>
        <v/>
      </c>
      <c r="K52" s="173" t="str" cm="1">
        <f t="array" ref="K52">IFERROR(_FV(B52,"Beta"),"")</f>
        <v/>
      </c>
      <c r="L52" s="174" t="str">
        <f ca="1">IFERROR(H52/Portfolio!$C$7,"")</f>
        <v/>
      </c>
      <c r="M52" s="175"/>
      <c r="N52" s="156"/>
      <c r="O52" s="156"/>
      <c r="P52" s="156"/>
      <c r="Q52" s="156"/>
      <c r="R52" s="156"/>
      <c r="S52" s="156"/>
      <c r="T52" s="156"/>
      <c r="U52" s="156"/>
      <c r="V52" s="156"/>
      <c r="W52" s="156"/>
    </row>
    <row r="53" spans="1:23" ht="13">
      <c r="A53" s="140"/>
      <c r="B53" s="153"/>
      <c r="C53" s="169" t="str" cm="1">
        <f t="array" ref="C53">IFERROR(_FV(B53,"Ticker symbol",TRUE),"")</f>
        <v/>
      </c>
      <c r="D53" s="193"/>
      <c r="E53" s="193"/>
      <c r="F53" s="191" t="str" cm="1">
        <f t="array" ref="F53">IFERROR(_FV(B53,"Price"),"")</f>
        <v/>
      </c>
      <c r="G53" s="192">
        <f t="shared" si="5"/>
        <v>0</v>
      </c>
      <c r="H53" s="191" t="str">
        <f t="shared" si="4"/>
        <v/>
      </c>
      <c r="I53" s="171" t="str">
        <f t="shared" si="2"/>
        <v/>
      </c>
      <c r="J53" s="172" t="str">
        <f t="shared" si="3"/>
        <v/>
      </c>
      <c r="K53" s="173" t="str" cm="1">
        <f t="array" ref="K53">IFERROR(_FV(B53,"Beta"),"")</f>
        <v/>
      </c>
      <c r="L53" s="174" t="str">
        <f ca="1">IFERROR(H53/Portfolio!$C$7,"")</f>
        <v/>
      </c>
      <c r="M53" s="175"/>
      <c r="N53" s="156"/>
      <c r="O53" s="156"/>
      <c r="P53" s="156"/>
      <c r="Q53" s="156"/>
      <c r="R53" s="156"/>
      <c r="S53" s="156"/>
      <c r="T53" s="156"/>
      <c r="U53" s="156"/>
      <c r="V53" s="156"/>
      <c r="W53" s="156"/>
    </row>
    <row r="54" spans="1:23" ht="13">
      <c r="A54" s="140"/>
      <c r="B54" s="153"/>
      <c r="C54" s="169" t="str" cm="1">
        <f t="array" ref="C54">IFERROR(_FV(B54,"Ticker symbol",TRUE),"")</f>
        <v/>
      </c>
      <c r="D54" s="193"/>
      <c r="E54" s="193"/>
      <c r="F54" s="191" t="str" cm="1">
        <f t="array" ref="F54">IFERROR(_FV(B54,"Price"),"")</f>
        <v/>
      </c>
      <c r="G54" s="192">
        <f t="shared" si="5"/>
        <v>0</v>
      </c>
      <c r="H54" s="191" t="str">
        <f t="shared" si="4"/>
        <v/>
      </c>
      <c r="I54" s="171" t="str">
        <f t="shared" si="2"/>
        <v/>
      </c>
      <c r="J54" s="172" t="str">
        <f t="shared" si="3"/>
        <v/>
      </c>
      <c r="K54" s="173" t="str" cm="1">
        <f t="array" ref="K54">IFERROR(_FV(B54,"Beta"),"")</f>
        <v/>
      </c>
      <c r="L54" s="174" t="str">
        <f ca="1">IFERROR(H54/Portfolio!$C$7,"")</f>
        <v/>
      </c>
      <c r="M54" s="175"/>
      <c r="N54" s="156"/>
      <c r="O54" s="156"/>
      <c r="P54" s="156"/>
      <c r="Q54" s="156"/>
      <c r="R54" s="156"/>
      <c r="S54" s="156"/>
      <c r="T54" s="156"/>
      <c r="U54" s="156"/>
      <c r="V54" s="156"/>
      <c r="W54" s="156"/>
    </row>
    <row r="55" spans="1:23" ht="13">
      <c r="A55" s="140"/>
      <c r="B55" s="153"/>
      <c r="C55" s="169" t="str" cm="1">
        <f t="array" ref="C55">IFERROR(_FV(B55,"Ticker symbol",TRUE),"")</f>
        <v/>
      </c>
      <c r="D55" s="193"/>
      <c r="E55" s="193"/>
      <c r="F55" s="191" t="str" cm="1">
        <f t="array" ref="F55">IFERROR(_FV(B55,"Price"),"")</f>
        <v/>
      </c>
      <c r="G55" s="192">
        <f t="shared" si="5"/>
        <v>0</v>
      </c>
      <c r="H55" s="191" t="str">
        <f t="shared" si="4"/>
        <v/>
      </c>
      <c r="I55" s="171" t="str">
        <f t="shared" si="2"/>
        <v/>
      </c>
      <c r="J55" s="172" t="str">
        <f t="shared" si="3"/>
        <v/>
      </c>
      <c r="K55" s="173" t="str" cm="1">
        <f t="array" ref="K55">IFERROR(_FV(B55,"Beta"),"")</f>
        <v/>
      </c>
      <c r="L55" s="174" t="str">
        <f ca="1">IFERROR(H55/Portfolio!$C$7,"")</f>
        <v/>
      </c>
      <c r="M55" s="175"/>
      <c r="N55" s="156"/>
      <c r="O55" s="156"/>
      <c r="P55" s="156"/>
      <c r="Q55" s="156"/>
      <c r="R55" s="156"/>
      <c r="S55" s="156"/>
      <c r="T55" s="156"/>
      <c r="U55" s="156"/>
      <c r="V55" s="156"/>
      <c r="W55" s="156"/>
    </row>
    <row r="56" spans="1:23" ht="13">
      <c r="A56" s="140"/>
      <c r="B56" s="153"/>
      <c r="C56" s="169" t="str" cm="1">
        <f t="array" ref="C56">IFERROR(_FV(B56,"Ticker symbol",TRUE),"")</f>
        <v/>
      </c>
      <c r="D56" s="193"/>
      <c r="E56" s="193"/>
      <c r="F56" s="191" t="str" cm="1">
        <f t="array" ref="F56">IFERROR(_FV(B56,"Price"),"")</f>
        <v/>
      </c>
      <c r="G56" s="192">
        <f t="shared" si="5"/>
        <v>0</v>
      </c>
      <c r="H56" s="191" t="str">
        <f t="shared" si="4"/>
        <v/>
      </c>
      <c r="I56" s="171" t="str">
        <f t="shared" si="2"/>
        <v/>
      </c>
      <c r="J56" s="172" t="str">
        <f t="shared" si="3"/>
        <v/>
      </c>
      <c r="K56" s="173" t="str" cm="1">
        <f t="array" ref="K56">IFERROR(_FV(B56,"Beta"),"")</f>
        <v/>
      </c>
      <c r="L56" s="174" t="str">
        <f ca="1">IFERROR(H56/Portfolio!$C$7,"")</f>
        <v/>
      </c>
      <c r="M56" s="175"/>
      <c r="N56" s="156"/>
      <c r="O56" s="156"/>
      <c r="P56" s="156"/>
      <c r="Q56" s="156"/>
      <c r="R56" s="156"/>
      <c r="S56" s="156"/>
      <c r="T56" s="156"/>
      <c r="U56" s="156"/>
      <c r="V56" s="156"/>
      <c r="W56" s="156"/>
    </row>
    <row r="57" spans="1:23" ht="13">
      <c r="A57" s="140"/>
      <c r="B57" s="153"/>
      <c r="C57" s="169" t="str" cm="1">
        <f t="array" ref="C57">IFERROR(_FV(B57,"Ticker symbol",TRUE),"")</f>
        <v/>
      </c>
      <c r="D57" s="193"/>
      <c r="E57" s="193"/>
      <c r="F57" s="191" t="str" cm="1">
        <f t="array" ref="F57">IFERROR(_FV(B57,"Price"),"")</f>
        <v/>
      </c>
      <c r="G57" s="192">
        <f t="shared" si="5"/>
        <v>0</v>
      </c>
      <c r="H57" s="191" t="str">
        <f t="shared" si="4"/>
        <v/>
      </c>
      <c r="I57" s="171" t="str">
        <f t="shared" si="2"/>
        <v/>
      </c>
      <c r="J57" s="172" t="str">
        <f t="shared" si="3"/>
        <v/>
      </c>
      <c r="K57" s="173" t="str" cm="1">
        <f t="array" ref="K57">IFERROR(_FV(B57,"Beta"),"")</f>
        <v/>
      </c>
      <c r="L57" s="174" t="str">
        <f ca="1">IFERROR(H57/Portfolio!$C$7,"")</f>
        <v/>
      </c>
      <c r="M57" s="175"/>
      <c r="N57" s="156"/>
      <c r="O57" s="156"/>
      <c r="P57" s="156"/>
      <c r="Q57" s="156"/>
      <c r="R57" s="156"/>
      <c r="S57" s="156"/>
      <c r="T57" s="156"/>
      <c r="U57" s="156"/>
      <c r="V57" s="156"/>
      <c r="W57" s="156"/>
    </row>
    <row r="58" spans="1:23" ht="13">
      <c r="A58" s="140"/>
      <c r="B58" s="153"/>
      <c r="C58" s="169" t="str" cm="1">
        <f t="array" ref="C58">IFERROR(_FV(B58,"Ticker symbol",TRUE),"")</f>
        <v/>
      </c>
      <c r="D58" s="193"/>
      <c r="E58" s="193"/>
      <c r="F58" s="191" t="str" cm="1">
        <f t="array" ref="F58">IFERROR(_FV(B58,"Price"),"")</f>
        <v/>
      </c>
      <c r="G58" s="192">
        <f t="shared" si="5"/>
        <v>0</v>
      </c>
      <c r="H58" s="191" t="str">
        <f t="shared" si="4"/>
        <v/>
      </c>
      <c r="I58" s="171" t="str">
        <f t="shared" si="2"/>
        <v/>
      </c>
      <c r="J58" s="172" t="str">
        <f t="shared" si="3"/>
        <v/>
      </c>
      <c r="K58" s="173" t="str" cm="1">
        <f t="array" ref="K58">IFERROR(_FV(B58,"Beta"),"")</f>
        <v/>
      </c>
      <c r="L58" s="174" t="str">
        <f ca="1">IFERROR(H58/Portfolio!$C$7,"")</f>
        <v/>
      </c>
      <c r="M58" s="175"/>
      <c r="N58" s="156"/>
      <c r="O58" s="156"/>
      <c r="P58" s="156"/>
      <c r="Q58" s="156"/>
      <c r="R58" s="156"/>
      <c r="S58" s="156"/>
      <c r="T58" s="156"/>
      <c r="U58" s="156"/>
      <c r="V58" s="156"/>
      <c r="W58" s="156"/>
    </row>
    <row r="59" spans="1:23" ht="13">
      <c r="A59" s="140"/>
      <c r="B59" s="153"/>
      <c r="C59" s="169" t="str" cm="1">
        <f t="array" ref="C59">IFERROR(_FV(B59,"Ticker symbol",TRUE),"")</f>
        <v/>
      </c>
      <c r="D59" s="193"/>
      <c r="E59" s="193"/>
      <c r="F59" s="191" t="str" cm="1">
        <f t="array" ref="F59">IFERROR(_FV(B59,"Price"),"")</f>
        <v/>
      </c>
      <c r="G59" s="192">
        <f t="shared" si="5"/>
        <v>0</v>
      </c>
      <c r="H59" s="191" t="str">
        <f t="shared" si="4"/>
        <v/>
      </c>
      <c r="I59" s="171" t="str">
        <f t="shared" si="2"/>
        <v/>
      </c>
      <c r="J59" s="172" t="str">
        <f t="shared" si="3"/>
        <v/>
      </c>
      <c r="K59" s="173" t="str" cm="1">
        <f t="array" ref="K59">IFERROR(_FV(B59,"Beta"),"")</f>
        <v/>
      </c>
      <c r="L59" s="174" t="str">
        <f ca="1">IFERROR(H59/Portfolio!$C$7,"")</f>
        <v/>
      </c>
      <c r="M59" s="175"/>
      <c r="N59" s="156"/>
      <c r="O59" s="156"/>
      <c r="P59" s="156"/>
      <c r="Q59" s="156"/>
      <c r="R59" s="156"/>
      <c r="S59" s="156"/>
      <c r="T59" s="156"/>
      <c r="U59" s="156"/>
      <c r="V59" s="156"/>
      <c r="W59" s="156"/>
    </row>
    <row r="60" spans="1:23" ht="13">
      <c r="A60" s="140"/>
      <c r="B60" s="153"/>
      <c r="C60" s="169" t="str" cm="1">
        <f t="array" ref="C60">IFERROR(_FV(B60,"Ticker symbol",TRUE),"")</f>
        <v/>
      </c>
      <c r="D60" s="193"/>
      <c r="E60" s="193"/>
      <c r="F60" s="191" t="str" cm="1">
        <f t="array" ref="F60">IFERROR(_FV(B60,"Price"),"")</f>
        <v/>
      </c>
      <c r="G60" s="192">
        <f t="shared" si="5"/>
        <v>0</v>
      </c>
      <c r="H60" s="191" t="str">
        <f t="shared" si="4"/>
        <v/>
      </c>
      <c r="I60" s="171" t="str">
        <f t="shared" si="2"/>
        <v/>
      </c>
      <c r="J60" s="172" t="str">
        <f t="shared" si="3"/>
        <v/>
      </c>
      <c r="K60" s="173" t="str" cm="1">
        <f t="array" ref="K60">IFERROR(_FV(B60,"Beta"),"")</f>
        <v/>
      </c>
      <c r="L60" s="174" t="str">
        <f ca="1">IFERROR(H60/Portfolio!$C$7,"")</f>
        <v/>
      </c>
      <c r="M60" s="175"/>
      <c r="N60" s="156"/>
      <c r="O60" s="156"/>
      <c r="P60" s="156"/>
      <c r="Q60" s="156"/>
      <c r="R60" s="156"/>
      <c r="S60" s="156"/>
      <c r="T60" s="156"/>
      <c r="U60" s="156"/>
      <c r="V60" s="156"/>
      <c r="W60" s="156"/>
    </row>
    <row r="61" spans="1:23" ht="13">
      <c r="A61" s="140"/>
      <c r="B61" s="153"/>
      <c r="C61" s="169" t="str" cm="1">
        <f t="array" ref="C61">IFERROR(_FV(B61,"Ticker symbol",TRUE),"")</f>
        <v/>
      </c>
      <c r="D61" s="193"/>
      <c r="E61" s="193"/>
      <c r="F61" s="191" t="str" cm="1">
        <f t="array" ref="F61">IFERROR(_FV(B61,"Price"),"")</f>
        <v/>
      </c>
      <c r="G61" s="192">
        <f t="shared" si="5"/>
        <v>0</v>
      </c>
      <c r="H61" s="191" t="str">
        <f t="shared" si="4"/>
        <v/>
      </c>
      <c r="I61" s="171" t="str">
        <f t="shared" si="2"/>
        <v/>
      </c>
      <c r="J61" s="172" t="str">
        <f t="shared" si="3"/>
        <v/>
      </c>
      <c r="K61" s="173" t="str" cm="1">
        <f t="array" ref="K61">IFERROR(_FV(B61,"Beta"),"")</f>
        <v/>
      </c>
      <c r="L61" s="174" t="str">
        <f ca="1">IFERROR(H61/Portfolio!$C$7,"")</f>
        <v/>
      </c>
      <c r="M61" s="175"/>
      <c r="N61" s="156"/>
      <c r="O61" s="156"/>
      <c r="P61" s="156"/>
      <c r="Q61" s="156"/>
      <c r="R61" s="156"/>
      <c r="S61" s="156"/>
      <c r="T61" s="156"/>
      <c r="U61" s="156"/>
      <c r="V61" s="156"/>
      <c r="W61" s="156"/>
    </row>
    <row r="62" spans="1:23" ht="13">
      <c r="A62" s="140"/>
      <c r="B62" s="153"/>
      <c r="C62" s="169" t="str" cm="1">
        <f t="array" ref="C62">IFERROR(_FV(B62,"Ticker symbol",TRUE),"")</f>
        <v/>
      </c>
      <c r="D62" s="193"/>
      <c r="E62" s="193"/>
      <c r="F62" s="191" t="str" cm="1">
        <f t="array" ref="F62">IFERROR(_FV(B62,"Price"),"")</f>
        <v/>
      </c>
      <c r="G62" s="192">
        <f t="shared" si="5"/>
        <v>0</v>
      </c>
      <c r="H62" s="191" t="str">
        <f t="shared" si="4"/>
        <v/>
      </c>
      <c r="I62" s="171" t="str">
        <f t="shared" si="2"/>
        <v/>
      </c>
      <c r="J62" s="172" t="str">
        <f t="shared" si="3"/>
        <v/>
      </c>
      <c r="K62" s="173" t="str" cm="1">
        <f t="array" ref="K62">IFERROR(_FV(B62,"Beta"),"")</f>
        <v/>
      </c>
      <c r="L62" s="174" t="str">
        <f ca="1">IFERROR(H62/Portfolio!$C$7,"")</f>
        <v/>
      </c>
      <c r="M62" s="175"/>
      <c r="N62" s="156"/>
      <c r="O62" s="156"/>
      <c r="P62" s="156"/>
      <c r="Q62" s="156"/>
      <c r="R62" s="156"/>
      <c r="S62" s="156"/>
      <c r="T62" s="156"/>
      <c r="U62" s="156"/>
      <c r="V62" s="156"/>
      <c r="W62" s="156"/>
    </row>
    <row r="63" spans="1:23" ht="13">
      <c r="A63" s="140"/>
      <c r="B63" s="153"/>
      <c r="C63" s="169" t="str" cm="1">
        <f t="array" ref="C63">IFERROR(_FV(B63,"Ticker symbol",TRUE),"")</f>
        <v/>
      </c>
      <c r="D63" s="193"/>
      <c r="E63" s="193"/>
      <c r="F63" s="191" t="str" cm="1">
        <f t="array" ref="F63">IFERROR(_FV(B63,"Price"),"")</f>
        <v/>
      </c>
      <c r="G63" s="192">
        <f t="shared" si="5"/>
        <v>0</v>
      </c>
      <c r="H63" s="191" t="str">
        <f t="shared" si="4"/>
        <v/>
      </c>
      <c r="I63" s="171" t="str">
        <f t="shared" si="2"/>
        <v/>
      </c>
      <c r="J63" s="172" t="str">
        <f t="shared" si="3"/>
        <v/>
      </c>
      <c r="K63" s="173" t="str" cm="1">
        <f t="array" ref="K63">IFERROR(_FV(B63,"Beta"),"")</f>
        <v/>
      </c>
      <c r="L63" s="174" t="str">
        <f ca="1">IFERROR(H63/Portfolio!$C$7,"")</f>
        <v/>
      </c>
      <c r="M63" s="175"/>
      <c r="N63" s="156"/>
      <c r="O63" s="156"/>
      <c r="P63" s="156"/>
      <c r="Q63" s="156"/>
      <c r="R63" s="156"/>
      <c r="S63" s="156"/>
      <c r="T63" s="156"/>
      <c r="U63" s="156"/>
      <c r="V63" s="156"/>
      <c r="W63" s="156"/>
    </row>
    <row r="64" spans="1:23" ht="13">
      <c r="A64" s="140"/>
      <c r="B64" s="153"/>
      <c r="C64" s="169" t="str" cm="1">
        <f t="array" ref="C64">IFERROR(_FV(B64,"Ticker symbol",TRUE),"")</f>
        <v/>
      </c>
      <c r="D64" s="193"/>
      <c r="E64" s="193"/>
      <c r="F64" s="191" t="str" cm="1">
        <f t="array" ref="F64">IFERROR(_FV(B64,"Price"),"")</f>
        <v/>
      </c>
      <c r="G64" s="192">
        <f t="shared" si="5"/>
        <v>0</v>
      </c>
      <c r="H64" s="191" t="str">
        <f t="shared" si="4"/>
        <v/>
      </c>
      <c r="I64" s="171" t="str">
        <f t="shared" si="2"/>
        <v/>
      </c>
      <c r="J64" s="172" t="str">
        <f t="shared" si="3"/>
        <v/>
      </c>
      <c r="K64" s="173" t="str" cm="1">
        <f t="array" ref="K64">IFERROR(_FV(B64,"Beta"),"")</f>
        <v/>
      </c>
      <c r="L64" s="174" t="str">
        <f ca="1">IFERROR(H64/Portfolio!$C$7,"")</f>
        <v/>
      </c>
      <c r="M64" s="175"/>
      <c r="N64" s="156"/>
      <c r="O64" s="156"/>
      <c r="P64" s="156"/>
      <c r="Q64" s="156"/>
      <c r="R64" s="156"/>
      <c r="S64" s="156"/>
      <c r="T64" s="156"/>
      <c r="U64" s="156"/>
      <c r="V64" s="156"/>
      <c r="W64" s="156"/>
    </row>
    <row r="65" spans="1:23" ht="13">
      <c r="A65" s="140"/>
      <c r="B65" s="153"/>
      <c r="C65" s="169" t="str" cm="1">
        <f t="array" ref="C65">IFERROR(_FV(B65,"Ticker symbol",TRUE),"")</f>
        <v/>
      </c>
      <c r="D65" s="193"/>
      <c r="E65" s="193"/>
      <c r="F65" s="191" t="str" cm="1">
        <f t="array" ref="F65">IFERROR(_FV(B65,"Price"),"")</f>
        <v/>
      </c>
      <c r="G65" s="192">
        <f t="shared" si="5"/>
        <v>0</v>
      </c>
      <c r="H65" s="191" t="str">
        <f t="shared" si="4"/>
        <v/>
      </c>
      <c r="I65" s="171" t="str">
        <f t="shared" si="2"/>
        <v/>
      </c>
      <c r="J65" s="172" t="str">
        <f t="shared" si="3"/>
        <v/>
      </c>
      <c r="K65" s="173" t="str" cm="1">
        <f t="array" ref="K65">IFERROR(_FV(B65,"Beta"),"")</f>
        <v/>
      </c>
      <c r="L65" s="174" t="str">
        <f ca="1">IFERROR(H65/Portfolio!$C$7,"")</f>
        <v/>
      </c>
      <c r="M65" s="175"/>
      <c r="N65" s="156"/>
      <c r="O65" s="156"/>
      <c r="P65" s="156"/>
      <c r="Q65" s="156"/>
      <c r="R65" s="156"/>
      <c r="S65" s="156"/>
      <c r="T65" s="156"/>
      <c r="U65" s="156"/>
      <c r="V65" s="156"/>
      <c r="W65" s="156"/>
    </row>
    <row r="66" spans="1:23" ht="13">
      <c r="A66" s="140"/>
      <c r="B66" s="153"/>
      <c r="C66" s="169" t="str" cm="1">
        <f t="array" ref="C66">IFERROR(_FV(B66,"Ticker symbol",TRUE),"")</f>
        <v/>
      </c>
      <c r="D66" s="193"/>
      <c r="E66" s="193"/>
      <c r="F66" s="191" t="str" cm="1">
        <f t="array" ref="F66">IFERROR(_FV(B66,"Price"),"")</f>
        <v/>
      </c>
      <c r="G66" s="192">
        <f t="shared" si="5"/>
        <v>0</v>
      </c>
      <c r="H66" s="191" t="str">
        <f t="shared" si="4"/>
        <v/>
      </c>
      <c r="I66" s="171" t="str">
        <f t="shared" si="2"/>
        <v/>
      </c>
      <c r="J66" s="172" t="str">
        <f t="shared" si="3"/>
        <v/>
      </c>
      <c r="K66" s="173" t="str" cm="1">
        <f t="array" ref="K66">IFERROR(_FV(B66,"Beta"),"")</f>
        <v/>
      </c>
      <c r="L66" s="174" t="str">
        <f ca="1">IFERROR(H66/Portfolio!$C$7,"")</f>
        <v/>
      </c>
      <c r="M66" s="175"/>
      <c r="N66" s="156"/>
      <c r="O66" s="156"/>
      <c r="P66" s="156"/>
      <c r="Q66" s="156"/>
      <c r="R66" s="156"/>
      <c r="S66" s="156"/>
      <c r="T66" s="156"/>
      <c r="U66" s="156"/>
      <c r="V66" s="156"/>
      <c r="W66" s="156"/>
    </row>
    <row r="67" spans="1:23" ht="13">
      <c r="A67" s="140"/>
      <c r="B67" s="153"/>
      <c r="C67" s="169" t="str" cm="1">
        <f t="array" ref="C67">IFERROR(_FV(B67,"Ticker symbol",TRUE),"")</f>
        <v/>
      </c>
      <c r="D67" s="193"/>
      <c r="E67" s="193"/>
      <c r="F67" s="191" t="str" cm="1">
        <f t="array" ref="F67">IFERROR(_FV(B67,"Price"),"")</f>
        <v/>
      </c>
      <c r="G67" s="192">
        <f t="shared" si="5"/>
        <v>0</v>
      </c>
      <c r="H67" s="191" t="str">
        <f t="shared" si="4"/>
        <v/>
      </c>
      <c r="I67" s="171" t="str">
        <f t="shared" si="2"/>
        <v/>
      </c>
      <c r="J67" s="172" t="str">
        <f t="shared" si="3"/>
        <v/>
      </c>
      <c r="K67" s="173" t="str" cm="1">
        <f t="array" ref="K67">IFERROR(_FV(B67,"Beta"),"")</f>
        <v/>
      </c>
      <c r="L67" s="174" t="str">
        <f ca="1">IFERROR(H67/Portfolio!$C$7,"")</f>
        <v/>
      </c>
      <c r="M67" s="175"/>
      <c r="N67" s="156"/>
      <c r="O67" s="156"/>
      <c r="P67" s="156"/>
      <c r="Q67" s="156"/>
      <c r="R67" s="156"/>
      <c r="S67" s="156"/>
      <c r="T67" s="156"/>
      <c r="U67" s="156"/>
      <c r="V67" s="156"/>
      <c r="W67" s="156"/>
    </row>
    <row r="68" spans="1:23" ht="13">
      <c r="A68" s="140"/>
      <c r="B68" s="153"/>
      <c r="C68" s="169" t="str" cm="1">
        <f t="array" ref="C68">IFERROR(_FV(B68,"Ticker symbol",TRUE),"")</f>
        <v/>
      </c>
      <c r="D68" s="193"/>
      <c r="E68" s="193"/>
      <c r="F68" s="191" t="str" cm="1">
        <f t="array" ref="F68">IFERROR(_FV(B68,"Price"),"")</f>
        <v/>
      </c>
      <c r="G68" s="192">
        <f t="shared" si="5"/>
        <v>0</v>
      </c>
      <c r="H68" s="191" t="str">
        <f t="shared" si="4"/>
        <v/>
      </c>
      <c r="I68" s="171" t="str">
        <f t="shared" si="2"/>
        <v/>
      </c>
      <c r="J68" s="172" t="str">
        <f t="shared" si="3"/>
        <v/>
      </c>
      <c r="K68" s="173" t="str" cm="1">
        <f t="array" ref="K68">IFERROR(_FV(B68,"Beta"),"")</f>
        <v/>
      </c>
      <c r="L68" s="174" t="str">
        <f ca="1">IFERROR(H68/Portfolio!$C$7,"")</f>
        <v/>
      </c>
      <c r="M68" s="175"/>
      <c r="N68" s="156"/>
      <c r="O68" s="156"/>
      <c r="P68" s="156"/>
      <c r="Q68" s="156"/>
      <c r="R68" s="156"/>
      <c r="S68" s="156"/>
      <c r="T68" s="156"/>
      <c r="U68" s="156"/>
      <c r="V68" s="156"/>
      <c r="W68" s="156"/>
    </row>
    <row r="69" spans="1:23" ht="13">
      <c r="A69" s="140"/>
      <c r="B69" s="153"/>
      <c r="C69" s="169" t="str" cm="1">
        <f t="array" ref="C69">IFERROR(_FV(B69,"Ticker symbol",TRUE),"")</f>
        <v/>
      </c>
      <c r="D69" s="193"/>
      <c r="E69" s="193"/>
      <c r="F69" s="191" t="str" cm="1">
        <f t="array" ref="F69">IFERROR(_FV(B69,"Price"),"")</f>
        <v/>
      </c>
      <c r="G69" s="192">
        <f t="shared" si="5"/>
        <v>0</v>
      </c>
      <c r="H69" s="191" t="str">
        <f t="shared" si="4"/>
        <v/>
      </c>
      <c r="I69" s="171" t="str">
        <f t="shared" si="2"/>
        <v/>
      </c>
      <c r="J69" s="172" t="str">
        <f t="shared" si="3"/>
        <v/>
      </c>
      <c r="K69" s="173" t="str" cm="1">
        <f t="array" ref="K69">IFERROR(_FV(B69,"Beta"),"")</f>
        <v/>
      </c>
      <c r="L69" s="174" t="str">
        <f ca="1">IFERROR(H69/Portfolio!$C$7,"")</f>
        <v/>
      </c>
      <c r="M69" s="175"/>
      <c r="N69" s="156"/>
      <c r="O69" s="156"/>
      <c r="P69" s="156"/>
      <c r="Q69" s="156"/>
      <c r="R69" s="156"/>
      <c r="S69" s="156"/>
      <c r="T69" s="156"/>
      <c r="U69" s="156"/>
      <c r="V69" s="156"/>
      <c r="W69" s="156"/>
    </row>
    <row r="70" spans="1:23" ht="13">
      <c r="A70" s="140"/>
      <c r="B70" s="153"/>
      <c r="C70" s="169" t="str" cm="1">
        <f t="array" ref="C70">IFERROR(_FV(B70,"Ticker symbol",TRUE),"")</f>
        <v/>
      </c>
      <c r="D70" s="193"/>
      <c r="E70" s="193"/>
      <c r="F70" s="191" t="str" cm="1">
        <f t="array" ref="F70">IFERROR(_FV(B70,"Price"),"")</f>
        <v/>
      </c>
      <c r="G70" s="192">
        <f t="shared" si="5"/>
        <v>0</v>
      </c>
      <c r="H70" s="191" t="str">
        <f t="shared" si="4"/>
        <v/>
      </c>
      <c r="I70" s="171" t="str">
        <f t="shared" si="2"/>
        <v/>
      </c>
      <c r="J70" s="172" t="str">
        <f t="shared" si="3"/>
        <v/>
      </c>
      <c r="K70" s="173" t="str" cm="1">
        <f t="array" ref="K70">IFERROR(_FV(B70,"Beta"),"")</f>
        <v/>
      </c>
      <c r="L70" s="174" t="str">
        <f ca="1">IFERROR(H70/Portfolio!$C$7,"")</f>
        <v/>
      </c>
      <c r="M70" s="175"/>
      <c r="N70" s="156"/>
      <c r="O70" s="156"/>
      <c r="P70" s="156"/>
      <c r="Q70" s="156"/>
      <c r="R70" s="156"/>
      <c r="S70" s="156"/>
      <c r="T70" s="156"/>
      <c r="U70" s="156"/>
      <c r="V70" s="156"/>
      <c r="W70" s="156"/>
    </row>
    <row r="71" spans="1:23" ht="13">
      <c r="A71" s="140"/>
      <c r="B71" s="153"/>
      <c r="C71" s="169" t="str" cm="1">
        <f t="array" ref="C71">IFERROR(_FV(B71,"Ticker symbol",TRUE),"")</f>
        <v/>
      </c>
      <c r="D71" s="193"/>
      <c r="E71" s="193"/>
      <c r="F71" s="191" t="str" cm="1">
        <f t="array" ref="F71">IFERROR(_FV(B71,"Price"),"")</f>
        <v/>
      </c>
      <c r="G71" s="192">
        <f t="shared" si="5"/>
        <v>0</v>
      </c>
      <c r="H71" s="191" t="str">
        <f t="shared" si="4"/>
        <v/>
      </c>
      <c r="I71" s="171" t="str">
        <f t="shared" si="2"/>
        <v/>
      </c>
      <c r="J71" s="172" t="str">
        <f t="shared" si="3"/>
        <v/>
      </c>
      <c r="K71" s="173" t="str" cm="1">
        <f t="array" ref="K71">IFERROR(_FV(B71,"Beta"),"")</f>
        <v/>
      </c>
      <c r="L71" s="174" t="str">
        <f ca="1">IFERROR(H71/Portfolio!$C$7,"")</f>
        <v/>
      </c>
      <c r="M71" s="175"/>
      <c r="N71" s="156"/>
      <c r="O71" s="156"/>
      <c r="P71" s="156"/>
      <c r="Q71" s="156"/>
      <c r="R71" s="156"/>
      <c r="S71" s="156"/>
      <c r="T71" s="156"/>
      <c r="U71" s="156"/>
      <c r="V71" s="156"/>
      <c r="W71" s="156"/>
    </row>
    <row r="72" spans="1:23" ht="13">
      <c r="A72" s="140"/>
      <c r="B72" s="153"/>
      <c r="C72" s="169" t="str" cm="1">
        <f t="array" ref="C72">IFERROR(_FV(B72,"Ticker symbol",TRUE),"")</f>
        <v/>
      </c>
      <c r="D72" s="193"/>
      <c r="E72" s="193"/>
      <c r="F72" s="191" t="str" cm="1">
        <f t="array" ref="F72">IFERROR(_FV(B72,"Price"),"")</f>
        <v/>
      </c>
      <c r="G72" s="192">
        <f t="shared" si="5"/>
        <v>0</v>
      </c>
      <c r="H72" s="191" t="str">
        <f t="shared" si="4"/>
        <v/>
      </c>
      <c r="I72" s="171" t="str">
        <f t="shared" si="2"/>
        <v/>
      </c>
      <c r="J72" s="172" t="str">
        <f t="shared" si="3"/>
        <v/>
      </c>
      <c r="K72" s="173" t="str" cm="1">
        <f t="array" ref="K72">IFERROR(_FV(B72,"Beta"),"")</f>
        <v/>
      </c>
      <c r="L72" s="174" t="str">
        <f ca="1">IFERROR(H72/Portfolio!$C$7,"")</f>
        <v/>
      </c>
      <c r="M72" s="175"/>
      <c r="N72" s="156"/>
      <c r="O72" s="156"/>
      <c r="P72" s="156"/>
      <c r="Q72" s="156"/>
      <c r="R72" s="156"/>
      <c r="S72" s="156"/>
      <c r="T72" s="156"/>
      <c r="U72" s="156"/>
      <c r="V72" s="156"/>
      <c r="W72" s="156"/>
    </row>
    <row r="73" spans="1:23" ht="13">
      <c r="A73" s="140"/>
      <c r="B73" s="153"/>
      <c r="C73" s="169" t="str" cm="1">
        <f t="array" ref="C73">IFERROR(_FV(B73,"Ticker symbol",TRUE),"")</f>
        <v/>
      </c>
      <c r="D73" s="193"/>
      <c r="E73" s="193"/>
      <c r="F73" s="191" t="str" cm="1">
        <f t="array" ref="F73">IFERROR(_FV(B73,"Price"),"")</f>
        <v/>
      </c>
      <c r="G73" s="192">
        <f t="shared" si="5"/>
        <v>0</v>
      </c>
      <c r="H73" s="191" t="str">
        <f t="shared" si="4"/>
        <v/>
      </c>
      <c r="I73" s="171" t="str">
        <f t="shared" si="2"/>
        <v/>
      </c>
      <c r="J73" s="172" t="str">
        <f t="shared" si="3"/>
        <v/>
      </c>
      <c r="K73" s="173" t="str" cm="1">
        <f t="array" ref="K73">IFERROR(_FV(B73,"Beta"),"")</f>
        <v/>
      </c>
      <c r="L73" s="174" t="str">
        <f ca="1">IFERROR(H73/Portfolio!$C$7,"")</f>
        <v/>
      </c>
      <c r="M73" s="175"/>
      <c r="N73" s="156"/>
      <c r="O73" s="156"/>
      <c r="P73" s="156"/>
      <c r="Q73" s="156"/>
      <c r="R73" s="156"/>
      <c r="S73" s="156"/>
      <c r="T73" s="156"/>
      <c r="U73" s="156"/>
      <c r="V73" s="156"/>
      <c r="W73" s="156"/>
    </row>
    <row r="74" spans="1:23" ht="13">
      <c r="A74" s="140"/>
      <c r="B74" s="153"/>
      <c r="C74" s="169" t="str" cm="1">
        <f t="array" ref="C74">IFERROR(_FV(B74,"Ticker symbol",TRUE),"")</f>
        <v/>
      </c>
      <c r="D74" s="193"/>
      <c r="E74" s="193"/>
      <c r="F74" s="191" t="str" cm="1">
        <f t="array" ref="F74">IFERROR(_FV(B74,"Price"),"")</f>
        <v/>
      </c>
      <c r="G74" s="192">
        <f t="shared" si="5"/>
        <v>0</v>
      </c>
      <c r="H74" s="191" t="str">
        <f t="shared" si="4"/>
        <v/>
      </c>
      <c r="I74" s="171" t="str">
        <f t="shared" si="2"/>
        <v/>
      </c>
      <c r="J74" s="172" t="str">
        <f t="shared" si="3"/>
        <v/>
      </c>
      <c r="K74" s="173" t="str" cm="1">
        <f t="array" ref="K74">IFERROR(_FV(B74,"Beta"),"")</f>
        <v/>
      </c>
      <c r="L74" s="174" t="str">
        <f ca="1">IFERROR(H74/Portfolio!$C$7,"")</f>
        <v/>
      </c>
      <c r="M74" s="175"/>
      <c r="N74" s="156"/>
      <c r="O74" s="156"/>
      <c r="P74" s="156"/>
      <c r="Q74" s="156"/>
      <c r="R74" s="156"/>
      <c r="S74" s="156"/>
      <c r="T74" s="156"/>
      <c r="U74" s="156"/>
      <c r="V74" s="156"/>
      <c r="W74" s="156"/>
    </row>
    <row r="75" spans="1:23" ht="13">
      <c r="A75" s="140"/>
      <c r="B75" s="153"/>
      <c r="C75" s="169" t="str" cm="1">
        <f t="array" ref="C75">IFERROR(_FV(B75,"Ticker symbol",TRUE),"")</f>
        <v/>
      </c>
      <c r="D75" s="193"/>
      <c r="E75" s="193"/>
      <c r="F75" s="191" t="str" cm="1">
        <f t="array" ref="F75">IFERROR(_FV(B75,"Price"),"")</f>
        <v/>
      </c>
      <c r="G75" s="192">
        <f t="shared" si="5"/>
        <v>0</v>
      </c>
      <c r="H75" s="191" t="str">
        <f t="shared" si="4"/>
        <v/>
      </c>
      <c r="I75" s="171" t="str">
        <f t="shared" si="2"/>
        <v/>
      </c>
      <c r="J75" s="172" t="str">
        <f t="shared" si="3"/>
        <v/>
      </c>
      <c r="K75" s="173" t="str" cm="1">
        <f t="array" ref="K75">IFERROR(_FV(B75,"Beta"),"")</f>
        <v/>
      </c>
      <c r="L75" s="174" t="str">
        <f ca="1">IFERROR(H75/Portfolio!$C$7,"")</f>
        <v/>
      </c>
      <c r="M75" s="175"/>
      <c r="N75" s="156"/>
      <c r="O75" s="156"/>
      <c r="P75" s="156"/>
      <c r="Q75" s="156"/>
      <c r="R75" s="156"/>
      <c r="S75" s="156"/>
      <c r="T75" s="156"/>
      <c r="U75" s="156"/>
      <c r="V75" s="156"/>
      <c r="W75" s="156"/>
    </row>
    <row r="76" spans="1:23" ht="13">
      <c r="A76" s="140"/>
      <c r="B76" s="153"/>
      <c r="C76" s="169" t="str" cm="1">
        <f t="array" ref="C76">IFERROR(_FV(B76,"Ticker symbol",TRUE),"")</f>
        <v/>
      </c>
      <c r="D76" s="193"/>
      <c r="E76" s="193"/>
      <c r="F76" s="191" t="str" cm="1">
        <f t="array" ref="F76">IFERROR(_FV(B76,"Price"),"")</f>
        <v/>
      </c>
      <c r="G76" s="192">
        <f t="shared" si="5"/>
        <v>0</v>
      </c>
      <c r="H76" s="191" t="str">
        <f t="shared" si="4"/>
        <v/>
      </c>
      <c r="I76" s="171" t="str">
        <f t="shared" si="2"/>
        <v/>
      </c>
      <c r="J76" s="172" t="str">
        <f t="shared" si="3"/>
        <v/>
      </c>
      <c r="K76" s="173" t="str" cm="1">
        <f t="array" ref="K76">IFERROR(_FV(B76,"Beta"),"")</f>
        <v/>
      </c>
      <c r="L76" s="174" t="str">
        <f ca="1">IFERROR(H76/Portfolio!$C$7,"")</f>
        <v/>
      </c>
      <c r="M76" s="175"/>
      <c r="N76" s="156"/>
      <c r="O76" s="156"/>
      <c r="P76" s="156"/>
      <c r="Q76" s="156"/>
      <c r="R76" s="156"/>
      <c r="S76" s="156"/>
      <c r="T76" s="156"/>
      <c r="U76" s="156"/>
      <c r="V76" s="156"/>
      <c r="W76" s="156"/>
    </row>
    <row r="77" spans="1:23" ht="13">
      <c r="A77" s="140"/>
      <c r="B77" s="153"/>
      <c r="C77" s="169" t="str" cm="1">
        <f t="array" ref="C77">IFERROR(_FV(B77,"Ticker symbol",TRUE),"")</f>
        <v/>
      </c>
      <c r="D77" s="193"/>
      <c r="E77" s="193"/>
      <c r="F77" s="191" t="str" cm="1">
        <f t="array" ref="F77">IFERROR(_FV(B77,"Price"),"")</f>
        <v/>
      </c>
      <c r="G77" s="192">
        <f t="shared" si="5"/>
        <v>0</v>
      </c>
      <c r="H77" s="191" t="str">
        <f t="shared" si="4"/>
        <v/>
      </c>
      <c r="I77" s="171" t="str">
        <f t="shared" si="2"/>
        <v/>
      </c>
      <c r="J77" s="172" t="str">
        <f t="shared" si="3"/>
        <v/>
      </c>
      <c r="K77" s="173" t="str" cm="1">
        <f t="array" ref="K77">IFERROR(_FV(B77,"Beta"),"")</f>
        <v/>
      </c>
      <c r="L77" s="174" t="str">
        <f ca="1">IFERROR(H77/Portfolio!$C$7,"")</f>
        <v/>
      </c>
      <c r="M77" s="175"/>
      <c r="N77" s="156"/>
      <c r="O77" s="156"/>
      <c r="P77" s="156"/>
      <c r="Q77" s="156"/>
      <c r="R77" s="156"/>
      <c r="S77" s="156"/>
      <c r="T77" s="156"/>
      <c r="U77" s="156"/>
      <c r="V77" s="156"/>
      <c r="W77" s="156"/>
    </row>
    <row r="78" spans="1:23" ht="13">
      <c r="A78" s="140"/>
      <c r="B78" s="153"/>
      <c r="C78" s="169" t="str" cm="1">
        <f t="array" ref="C78">IFERROR(_FV(B78,"Ticker symbol",TRUE),"")</f>
        <v/>
      </c>
      <c r="D78" s="193"/>
      <c r="E78" s="193"/>
      <c r="F78" s="191" t="str" cm="1">
        <f t="array" ref="F78">IFERROR(_FV(B78,"Price"),"")</f>
        <v/>
      </c>
      <c r="G78" s="192">
        <f t="shared" si="5"/>
        <v>0</v>
      </c>
      <c r="H78" s="191" t="str">
        <f t="shared" si="4"/>
        <v/>
      </c>
      <c r="I78" s="171" t="str">
        <f t="shared" si="2"/>
        <v/>
      </c>
      <c r="J78" s="172" t="str">
        <f t="shared" si="3"/>
        <v/>
      </c>
      <c r="K78" s="173" t="str" cm="1">
        <f t="array" ref="K78">IFERROR(_FV(B78,"Beta"),"")</f>
        <v/>
      </c>
      <c r="L78" s="174" t="str">
        <f ca="1">IFERROR(H78/Portfolio!$C$7,"")</f>
        <v/>
      </c>
      <c r="M78" s="175"/>
      <c r="N78" s="156"/>
      <c r="O78" s="156"/>
      <c r="P78" s="156"/>
      <c r="Q78" s="156"/>
      <c r="R78" s="156"/>
      <c r="S78" s="156"/>
      <c r="T78" s="156"/>
      <c r="U78" s="156"/>
      <c r="V78" s="156"/>
      <c r="W78" s="156"/>
    </row>
    <row r="79" spans="1:23" ht="13">
      <c r="A79" s="140"/>
      <c r="B79" s="153"/>
      <c r="C79" s="169" t="str" cm="1">
        <f t="array" ref="C79">IFERROR(_FV(B79,"Ticker symbol",TRUE),"")</f>
        <v/>
      </c>
      <c r="D79" s="193"/>
      <c r="E79" s="193"/>
      <c r="F79" s="191" t="str" cm="1">
        <f t="array" ref="F79">IFERROR(_FV(B79,"Price"),"")</f>
        <v/>
      </c>
      <c r="G79" s="192">
        <f t="shared" si="5"/>
        <v>0</v>
      </c>
      <c r="H79" s="191" t="str">
        <f t="shared" si="4"/>
        <v/>
      </c>
      <c r="I79" s="171" t="str">
        <f t="shared" si="2"/>
        <v/>
      </c>
      <c r="J79" s="172" t="str">
        <f t="shared" si="3"/>
        <v/>
      </c>
      <c r="K79" s="173" t="str" cm="1">
        <f t="array" ref="K79">IFERROR(_FV(B79,"Beta"),"")</f>
        <v/>
      </c>
      <c r="L79" s="174" t="str">
        <f ca="1">IFERROR(H79/Portfolio!$C$7,"")</f>
        <v/>
      </c>
      <c r="M79" s="175"/>
      <c r="N79" s="156"/>
      <c r="O79" s="156"/>
      <c r="P79" s="156"/>
      <c r="Q79" s="156"/>
      <c r="R79" s="156"/>
      <c r="S79" s="156"/>
      <c r="T79" s="156"/>
      <c r="U79" s="156"/>
      <c r="V79" s="156"/>
      <c r="W79" s="156"/>
    </row>
    <row r="80" spans="1:23" ht="13">
      <c r="A80" s="140"/>
      <c r="B80" s="153"/>
      <c r="C80" s="169" t="str" cm="1">
        <f t="array" ref="C80">IFERROR(_FV(B80,"Ticker symbol",TRUE),"")</f>
        <v/>
      </c>
      <c r="D80" s="193"/>
      <c r="E80" s="193"/>
      <c r="F80" s="191" t="str" cm="1">
        <f t="array" ref="F80">IFERROR(_FV(B80,"Price"),"")</f>
        <v/>
      </c>
      <c r="G80" s="192">
        <f t="shared" si="5"/>
        <v>0</v>
      </c>
      <c r="H80" s="191" t="str">
        <f t="shared" si="4"/>
        <v/>
      </c>
      <c r="I80" s="171" t="str">
        <f t="shared" si="2"/>
        <v/>
      </c>
      <c r="J80" s="172" t="str">
        <f t="shared" si="3"/>
        <v/>
      </c>
      <c r="K80" s="173" t="str" cm="1">
        <f t="array" ref="K80">IFERROR(_FV(B80,"Beta"),"")</f>
        <v/>
      </c>
      <c r="L80" s="174" t="str">
        <f ca="1">IFERROR(H80/Portfolio!$C$7,"")</f>
        <v/>
      </c>
      <c r="M80" s="175"/>
      <c r="N80" s="156"/>
      <c r="O80" s="156"/>
      <c r="P80" s="156"/>
      <c r="Q80" s="156"/>
      <c r="R80" s="156"/>
      <c r="S80" s="156"/>
      <c r="T80" s="156"/>
      <c r="U80" s="156"/>
      <c r="V80" s="156"/>
      <c r="W80" s="156"/>
    </row>
    <row r="81" spans="1:23" ht="13">
      <c r="A81" s="140"/>
      <c r="B81" s="153"/>
      <c r="C81" s="169" t="str" cm="1">
        <f t="array" ref="C81">IFERROR(_FV(B81,"Ticker symbol",TRUE),"")</f>
        <v/>
      </c>
      <c r="D81" s="193"/>
      <c r="E81" s="193"/>
      <c r="F81" s="191" t="str" cm="1">
        <f t="array" ref="F81">IFERROR(_FV(B81,"Price"),"")</f>
        <v/>
      </c>
      <c r="G81" s="192">
        <f t="shared" si="5"/>
        <v>0</v>
      </c>
      <c r="H81" s="191" t="str">
        <f t="shared" si="4"/>
        <v/>
      </c>
      <c r="I81" s="171" t="str">
        <f t="shared" si="2"/>
        <v/>
      </c>
      <c r="J81" s="172" t="str">
        <f t="shared" si="3"/>
        <v/>
      </c>
      <c r="K81" s="173" t="str" cm="1">
        <f t="array" ref="K81">IFERROR(_FV(B81,"Beta"),"")</f>
        <v/>
      </c>
      <c r="L81" s="174" t="str">
        <f ca="1">IFERROR(H81/Portfolio!$C$7,"")</f>
        <v/>
      </c>
      <c r="M81" s="175"/>
      <c r="N81" s="156"/>
      <c r="O81" s="156"/>
      <c r="P81" s="156"/>
      <c r="Q81" s="156"/>
      <c r="R81" s="156"/>
      <c r="S81" s="156"/>
      <c r="T81" s="156"/>
      <c r="U81" s="156"/>
      <c r="V81" s="156"/>
      <c r="W81" s="156"/>
    </row>
    <row r="82" spans="1:23" ht="13">
      <c r="A82" s="140"/>
      <c r="B82" s="153"/>
      <c r="C82" s="169" t="str" cm="1">
        <f t="array" ref="C82">IFERROR(_FV(B82,"Ticker symbol",TRUE),"")</f>
        <v/>
      </c>
      <c r="D82" s="193"/>
      <c r="E82" s="193"/>
      <c r="F82" s="191" t="str" cm="1">
        <f t="array" ref="F82">IFERROR(_FV(B82,"Price"),"")</f>
        <v/>
      </c>
      <c r="G82" s="192">
        <f t="shared" si="5"/>
        <v>0</v>
      </c>
      <c r="H82" s="191" t="str">
        <f t="shared" si="4"/>
        <v/>
      </c>
      <c r="I82" s="171" t="str">
        <f t="shared" si="2"/>
        <v/>
      </c>
      <c r="J82" s="172" t="str">
        <f t="shared" si="3"/>
        <v/>
      </c>
      <c r="K82" s="173" t="str" cm="1">
        <f t="array" ref="K82">IFERROR(_FV(B82,"Beta"),"")</f>
        <v/>
      </c>
      <c r="L82" s="174" t="str">
        <f ca="1">IFERROR(H82/Portfolio!$C$7,"")</f>
        <v/>
      </c>
      <c r="M82" s="175"/>
      <c r="N82" s="156"/>
      <c r="O82" s="156"/>
      <c r="P82" s="156"/>
      <c r="Q82" s="156"/>
      <c r="R82" s="156"/>
      <c r="S82" s="156"/>
      <c r="T82" s="156"/>
      <c r="U82" s="156"/>
      <c r="V82" s="156"/>
      <c r="W82" s="156"/>
    </row>
    <row r="83" spans="1:23" ht="13">
      <c r="A83" s="140"/>
      <c r="B83" s="153"/>
      <c r="C83" s="169" t="str" cm="1">
        <f t="array" ref="C83">IFERROR(_FV(B83,"Ticker symbol",TRUE),"")</f>
        <v/>
      </c>
      <c r="D83" s="193"/>
      <c r="E83" s="193"/>
      <c r="F83" s="191" t="str" cm="1">
        <f t="array" ref="F83">IFERROR(_FV(B83,"Price"),"")</f>
        <v/>
      </c>
      <c r="G83" s="192">
        <f t="shared" si="5"/>
        <v>0</v>
      </c>
      <c r="H83" s="191" t="str">
        <f t="shared" si="4"/>
        <v/>
      </c>
      <c r="I83" s="171" t="str">
        <f t="shared" si="2"/>
        <v/>
      </c>
      <c r="J83" s="172" t="str">
        <f t="shared" si="3"/>
        <v/>
      </c>
      <c r="K83" s="173" t="str" cm="1">
        <f t="array" ref="K83">IFERROR(_FV(B83,"Beta"),"")</f>
        <v/>
      </c>
      <c r="L83" s="174" t="str">
        <f ca="1">IFERROR(H83/Portfolio!$C$7,"")</f>
        <v/>
      </c>
      <c r="M83" s="175"/>
      <c r="N83" s="156"/>
      <c r="O83" s="156"/>
      <c r="P83" s="156"/>
      <c r="Q83" s="156"/>
      <c r="R83" s="156"/>
      <c r="S83" s="156"/>
      <c r="T83" s="156"/>
      <c r="U83" s="156"/>
      <c r="V83" s="156"/>
      <c r="W83" s="156"/>
    </row>
    <row r="84" spans="1:23" ht="13">
      <c r="A84" s="140"/>
      <c r="B84" s="153"/>
      <c r="C84" s="169" t="str" cm="1">
        <f t="array" ref="C84">IFERROR(_FV(B84,"Ticker symbol",TRUE),"")</f>
        <v/>
      </c>
      <c r="D84" s="193"/>
      <c r="E84" s="193"/>
      <c r="F84" s="191" t="str" cm="1">
        <f t="array" ref="F84">IFERROR(_FV(B84,"Price"),"")</f>
        <v/>
      </c>
      <c r="G84" s="192">
        <f t="shared" si="5"/>
        <v>0</v>
      </c>
      <c r="H84" s="191" t="str">
        <f t="shared" si="4"/>
        <v/>
      </c>
      <c r="I84" s="171" t="str">
        <f t="shared" si="2"/>
        <v/>
      </c>
      <c r="J84" s="172" t="str">
        <f t="shared" si="3"/>
        <v/>
      </c>
      <c r="K84" s="173" t="str" cm="1">
        <f t="array" ref="K84">IFERROR(_FV(B84,"Beta"),"")</f>
        <v/>
      </c>
      <c r="L84" s="174" t="str">
        <f ca="1">IFERROR(H84/Portfolio!$C$7,"")</f>
        <v/>
      </c>
      <c r="M84" s="175"/>
      <c r="N84" s="156"/>
      <c r="O84" s="156"/>
      <c r="P84" s="156"/>
      <c r="Q84" s="156"/>
      <c r="R84" s="156"/>
      <c r="S84" s="156"/>
      <c r="T84" s="156"/>
      <c r="U84" s="156"/>
      <c r="V84" s="156"/>
      <c r="W84" s="156"/>
    </row>
    <row r="85" spans="1:23" ht="13">
      <c r="A85" s="140"/>
      <c r="B85" s="153"/>
      <c r="C85" s="169" t="str" cm="1">
        <f t="array" ref="C85">IFERROR(_FV(B85,"Ticker symbol",TRUE),"")</f>
        <v/>
      </c>
      <c r="D85" s="193"/>
      <c r="E85" s="193"/>
      <c r="F85" s="191" t="str" cm="1">
        <f t="array" ref="F85">IFERROR(_FV(B85,"Price"),"")</f>
        <v/>
      </c>
      <c r="G85" s="192">
        <f t="shared" si="5"/>
        <v>0</v>
      </c>
      <c r="H85" s="191" t="str">
        <f t="shared" si="4"/>
        <v/>
      </c>
      <c r="I85" s="171" t="str">
        <f t="shared" si="2"/>
        <v/>
      </c>
      <c r="J85" s="172" t="str">
        <f t="shared" si="3"/>
        <v/>
      </c>
      <c r="K85" s="173" t="str" cm="1">
        <f t="array" ref="K85">IFERROR(_FV(B85,"Beta"),"")</f>
        <v/>
      </c>
      <c r="L85" s="174" t="str">
        <f ca="1">IFERROR(H85/Portfolio!$C$7,"")</f>
        <v/>
      </c>
      <c r="M85" s="175"/>
      <c r="N85" s="156"/>
      <c r="O85" s="156"/>
      <c r="P85" s="156"/>
      <c r="Q85" s="156"/>
      <c r="R85" s="156"/>
      <c r="S85" s="156"/>
      <c r="T85" s="156"/>
      <c r="U85" s="156"/>
      <c r="V85" s="156"/>
      <c r="W85" s="156"/>
    </row>
    <row r="86" spans="1:23" ht="13">
      <c r="A86" s="140"/>
      <c r="B86" s="153"/>
      <c r="C86" s="169" t="str" cm="1">
        <f t="array" ref="C86">IFERROR(_FV(B86,"Ticker symbol",TRUE),"")</f>
        <v/>
      </c>
      <c r="D86" s="193"/>
      <c r="E86" s="193"/>
      <c r="F86" s="191" t="str" cm="1">
        <f t="array" ref="F86">IFERROR(_FV(B86,"Price"),"")</f>
        <v/>
      </c>
      <c r="G86" s="192">
        <f t="shared" si="5"/>
        <v>0</v>
      </c>
      <c r="H86" s="191" t="str">
        <f t="shared" si="4"/>
        <v/>
      </c>
      <c r="I86" s="171" t="str">
        <f t="shared" si="2"/>
        <v/>
      </c>
      <c r="J86" s="172" t="str">
        <f t="shared" si="3"/>
        <v/>
      </c>
      <c r="K86" s="173" t="str" cm="1">
        <f t="array" ref="K86">IFERROR(_FV(B86,"Beta"),"")</f>
        <v/>
      </c>
      <c r="L86" s="174" t="str">
        <f ca="1">IFERROR(H86/Portfolio!$C$7,"")</f>
        <v/>
      </c>
      <c r="M86" s="175"/>
      <c r="N86" s="156"/>
      <c r="O86" s="156"/>
      <c r="P86" s="156"/>
      <c r="Q86" s="156"/>
      <c r="R86" s="156"/>
      <c r="S86" s="156"/>
      <c r="T86" s="156"/>
      <c r="U86" s="156"/>
      <c r="V86" s="156"/>
      <c r="W86" s="156"/>
    </row>
    <row r="87" spans="1:23" ht="13">
      <c r="A87" s="140"/>
      <c r="B87" s="153"/>
      <c r="C87" s="169" t="str" cm="1">
        <f t="array" ref="C87">IFERROR(_FV(B87,"Ticker symbol",TRUE),"")</f>
        <v/>
      </c>
      <c r="D87" s="193"/>
      <c r="E87" s="193"/>
      <c r="F87" s="191" t="str" cm="1">
        <f t="array" ref="F87">IFERROR(_FV(B87,"Price"),"")</f>
        <v/>
      </c>
      <c r="G87" s="192">
        <f t="shared" si="5"/>
        <v>0</v>
      </c>
      <c r="H87" s="191" t="str">
        <f t="shared" si="4"/>
        <v/>
      </c>
      <c r="I87" s="171" t="str">
        <f t="shared" si="2"/>
        <v/>
      </c>
      <c r="J87" s="172" t="str">
        <f t="shared" si="3"/>
        <v/>
      </c>
      <c r="K87" s="173" t="str" cm="1">
        <f t="array" ref="K87">IFERROR(_FV(B87,"Beta"),"")</f>
        <v/>
      </c>
      <c r="L87" s="174" t="str">
        <f ca="1">IFERROR(H87/Portfolio!$C$7,"")</f>
        <v/>
      </c>
      <c r="M87" s="175"/>
      <c r="N87" s="156"/>
      <c r="O87" s="156"/>
      <c r="P87" s="156"/>
      <c r="Q87" s="156"/>
      <c r="R87" s="156"/>
      <c r="S87" s="156"/>
      <c r="T87" s="156"/>
      <c r="U87" s="156"/>
      <c r="V87" s="156"/>
      <c r="W87" s="156"/>
    </row>
    <row r="88" spans="1:23" ht="13">
      <c r="A88" s="140"/>
      <c r="B88" s="153"/>
      <c r="C88" s="169" t="str" cm="1">
        <f t="array" ref="C88">IFERROR(_FV(B88,"Ticker symbol",TRUE),"")</f>
        <v/>
      </c>
      <c r="D88" s="193"/>
      <c r="E88" s="193"/>
      <c r="F88" s="191" t="str" cm="1">
        <f t="array" ref="F88">IFERROR(_FV(B88,"Price"),"")</f>
        <v/>
      </c>
      <c r="G88" s="192">
        <f t="shared" si="5"/>
        <v>0</v>
      </c>
      <c r="H88" s="191" t="str">
        <f t="shared" si="4"/>
        <v/>
      </c>
      <c r="I88" s="171" t="str">
        <f t="shared" ref="I88:I120" si="6">IFERROR(H88-G88,"")</f>
        <v/>
      </c>
      <c r="J88" s="172" t="str">
        <f t="shared" ref="J88:J120" si="7">IFERROR((F88-E88)/E88,"")</f>
        <v/>
      </c>
      <c r="K88" s="173" t="str" cm="1">
        <f t="array" ref="K88">IFERROR(_FV(B88,"Beta"),"")</f>
        <v/>
      </c>
      <c r="L88" s="174" t="str">
        <f ca="1">IFERROR(H88/Portfolio!$C$7,"")</f>
        <v/>
      </c>
      <c r="M88" s="175"/>
      <c r="N88" s="156"/>
      <c r="O88" s="156"/>
      <c r="P88" s="156"/>
      <c r="Q88" s="156"/>
      <c r="R88" s="156"/>
      <c r="S88" s="156"/>
      <c r="T88" s="156"/>
      <c r="U88" s="156"/>
      <c r="V88" s="156"/>
      <c r="W88" s="156"/>
    </row>
    <row r="89" spans="1:23" ht="13">
      <c r="A89" s="140"/>
      <c r="B89" s="153"/>
      <c r="C89" s="169" t="str" cm="1">
        <f t="array" ref="C89">IFERROR(_FV(B89,"Ticker symbol",TRUE),"")</f>
        <v/>
      </c>
      <c r="D89" s="193"/>
      <c r="E89" s="193"/>
      <c r="F89" s="191" t="str" cm="1">
        <f t="array" ref="F89">IFERROR(_FV(B89,"Price"),"")</f>
        <v/>
      </c>
      <c r="G89" s="192">
        <f t="shared" si="5"/>
        <v>0</v>
      </c>
      <c r="H89" s="191" t="str">
        <f t="shared" si="4"/>
        <v/>
      </c>
      <c r="I89" s="171" t="str">
        <f t="shared" si="6"/>
        <v/>
      </c>
      <c r="J89" s="172" t="str">
        <f t="shared" si="7"/>
        <v/>
      </c>
      <c r="K89" s="173" t="str" cm="1">
        <f t="array" ref="K89">IFERROR(_FV(B89,"Beta"),"")</f>
        <v/>
      </c>
      <c r="L89" s="174" t="str">
        <f ca="1">IFERROR(H89/Portfolio!$C$7,"")</f>
        <v/>
      </c>
      <c r="M89" s="175"/>
      <c r="N89" s="156"/>
      <c r="O89" s="156"/>
      <c r="P89" s="156"/>
      <c r="Q89" s="156"/>
      <c r="R89" s="156"/>
      <c r="S89" s="156"/>
      <c r="T89" s="156"/>
      <c r="U89" s="156"/>
      <c r="V89" s="156"/>
      <c r="W89" s="156"/>
    </row>
    <row r="90" spans="1:23" ht="13">
      <c r="A90" s="140"/>
      <c r="B90" s="153"/>
      <c r="C90" s="169" t="str" cm="1">
        <f t="array" ref="C90">IFERROR(_FV(B90,"Ticker symbol",TRUE),"")</f>
        <v/>
      </c>
      <c r="D90" s="193"/>
      <c r="E90" s="193"/>
      <c r="F90" s="191" t="str" cm="1">
        <f t="array" ref="F90">IFERROR(_FV(B90,"Price"),"")</f>
        <v/>
      </c>
      <c r="G90" s="192">
        <f t="shared" si="5"/>
        <v>0</v>
      </c>
      <c r="H90" s="191" t="str">
        <f t="shared" ref="H90:H120" si="8">IFERROR(D90*F90,"")</f>
        <v/>
      </c>
      <c r="I90" s="171" t="str">
        <f t="shared" si="6"/>
        <v/>
      </c>
      <c r="J90" s="172" t="str">
        <f t="shared" si="7"/>
        <v/>
      </c>
      <c r="K90" s="173" t="str" cm="1">
        <f t="array" ref="K90">IFERROR(_FV(B90,"Beta"),"")</f>
        <v/>
      </c>
      <c r="L90" s="174" t="str">
        <f ca="1">IFERROR(H90/Portfolio!$C$7,"")</f>
        <v/>
      </c>
      <c r="M90" s="175"/>
      <c r="N90" s="156"/>
      <c r="O90" s="156"/>
      <c r="P90" s="156"/>
      <c r="Q90" s="156"/>
      <c r="R90" s="156"/>
      <c r="S90" s="156"/>
      <c r="T90" s="156"/>
      <c r="U90" s="156"/>
      <c r="V90" s="156"/>
      <c r="W90" s="156"/>
    </row>
    <row r="91" spans="1:23" ht="13">
      <c r="A91" s="140"/>
      <c r="B91" s="153"/>
      <c r="C91" s="169" t="str" cm="1">
        <f t="array" ref="C91">IFERROR(_FV(B91,"Ticker symbol",TRUE),"")</f>
        <v/>
      </c>
      <c r="D91" s="193"/>
      <c r="E91" s="193"/>
      <c r="F91" s="191" t="str" cm="1">
        <f t="array" ref="F91">IFERROR(_FV(B91,"Price"),"")</f>
        <v/>
      </c>
      <c r="G91" s="192">
        <f t="shared" si="5"/>
        <v>0</v>
      </c>
      <c r="H91" s="191" t="str">
        <f t="shared" si="8"/>
        <v/>
      </c>
      <c r="I91" s="171" t="str">
        <f t="shared" si="6"/>
        <v/>
      </c>
      <c r="J91" s="172" t="str">
        <f t="shared" si="7"/>
        <v/>
      </c>
      <c r="K91" s="173" t="str" cm="1">
        <f t="array" ref="K91">IFERROR(_FV(B91,"Beta"),"")</f>
        <v/>
      </c>
      <c r="L91" s="174" t="str">
        <f ca="1">IFERROR(H91/Portfolio!$C$7,"")</f>
        <v/>
      </c>
      <c r="M91" s="175"/>
      <c r="N91" s="156"/>
      <c r="O91" s="156"/>
      <c r="P91" s="156"/>
      <c r="Q91" s="156"/>
      <c r="R91" s="156"/>
      <c r="S91" s="156"/>
      <c r="T91" s="156"/>
      <c r="U91" s="156"/>
      <c r="V91" s="156"/>
      <c r="W91" s="156"/>
    </row>
    <row r="92" spans="1:23" ht="13">
      <c r="A92" s="140"/>
      <c r="B92" s="153"/>
      <c r="C92" s="169" t="str" cm="1">
        <f t="array" ref="C92">IFERROR(_FV(B92,"Ticker symbol",TRUE),"")</f>
        <v/>
      </c>
      <c r="D92" s="193"/>
      <c r="E92" s="193"/>
      <c r="F92" s="191" t="str" cm="1">
        <f t="array" ref="F92">IFERROR(_FV(B92,"Price"),"")</f>
        <v/>
      </c>
      <c r="G92" s="192">
        <f t="shared" si="5"/>
        <v>0</v>
      </c>
      <c r="H92" s="191" t="str">
        <f t="shared" si="8"/>
        <v/>
      </c>
      <c r="I92" s="171" t="str">
        <f t="shared" si="6"/>
        <v/>
      </c>
      <c r="J92" s="172" t="str">
        <f t="shared" si="7"/>
        <v/>
      </c>
      <c r="K92" s="173" t="str" cm="1">
        <f t="array" ref="K92">IFERROR(_FV(B92,"Beta"),"")</f>
        <v/>
      </c>
      <c r="L92" s="174" t="str">
        <f ca="1">IFERROR(H92/Portfolio!$C$7,"")</f>
        <v/>
      </c>
      <c r="M92" s="175"/>
      <c r="N92" s="156"/>
      <c r="O92" s="156"/>
      <c r="P92" s="156"/>
      <c r="Q92" s="156"/>
      <c r="R92" s="156"/>
      <c r="S92" s="156"/>
      <c r="T92" s="156"/>
      <c r="U92" s="156"/>
      <c r="V92" s="156"/>
      <c r="W92" s="156"/>
    </row>
    <row r="93" spans="1:23" ht="13">
      <c r="A93" s="140"/>
      <c r="B93" s="153"/>
      <c r="C93" s="169" t="str" cm="1">
        <f t="array" ref="C93">IFERROR(_FV(B93,"Ticker symbol",TRUE),"")</f>
        <v/>
      </c>
      <c r="D93" s="193"/>
      <c r="E93" s="193"/>
      <c r="F93" s="191" t="str" cm="1">
        <f t="array" ref="F93">IFERROR(_FV(B93,"Price"),"")</f>
        <v/>
      </c>
      <c r="G93" s="192">
        <f t="shared" si="5"/>
        <v>0</v>
      </c>
      <c r="H93" s="191" t="str">
        <f t="shared" si="8"/>
        <v/>
      </c>
      <c r="I93" s="171" t="str">
        <f t="shared" si="6"/>
        <v/>
      </c>
      <c r="J93" s="172" t="str">
        <f t="shared" si="7"/>
        <v/>
      </c>
      <c r="K93" s="173" t="str" cm="1">
        <f t="array" ref="K93">IFERROR(_FV(B93,"Beta"),"")</f>
        <v/>
      </c>
      <c r="L93" s="174" t="str">
        <f ca="1">IFERROR(H93/Portfolio!$C$7,"")</f>
        <v/>
      </c>
      <c r="M93" s="175"/>
      <c r="N93" s="156"/>
      <c r="O93" s="156"/>
      <c r="P93" s="156"/>
      <c r="Q93" s="156"/>
      <c r="R93" s="156"/>
      <c r="S93" s="156"/>
      <c r="T93" s="156"/>
      <c r="U93" s="156"/>
      <c r="V93" s="156"/>
      <c r="W93" s="156"/>
    </row>
    <row r="94" spans="1:23" ht="13">
      <c r="A94" s="140"/>
      <c r="B94" s="153"/>
      <c r="C94" s="169" t="str" cm="1">
        <f t="array" ref="C94">IFERROR(_FV(B94,"Ticker symbol",TRUE),"")</f>
        <v/>
      </c>
      <c r="D94" s="193"/>
      <c r="E94" s="193"/>
      <c r="F94" s="191" t="str" cm="1">
        <f t="array" ref="F94">IFERROR(_FV(B94,"Price"),"")</f>
        <v/>
      </c>
      <c r="G94" s="192">
        <f t="shared" si="5"/>
        <v>0</v>
      </c>
      <c r="H94" s="191" t="str">
        <f t="shared" si="8"/>
        <v/>
      </c>
      <c r="I94" s="171" t="str">
        <f t="shared" si="6"/>
        <v/>
      </c>
      <c r="J94" s="172" t="str">
        <f t="shared" si="7"/>
        <v/>
      </c>
      <c r="K94" s="173" t="str" cm="1">
        <f t="array" ref="K94">IFERROR(_FV(B94,"Beta"),"")</f>
        <v/>
      </c>
      <c r="L94" s="174" t="str">
        <f ca="1">IFERROR(H94/Portfolio!$C$7,"")</f>
        <v/>
      </c>
      <c r="M94" s="175"/>
      <c r="N94" s="156"/>
      <c r="O94" s="156"/>
      <c r="P94" s="156"/>
      <c r="Q94" s="156"/>
      <c r="R94" s="156"/>
      <c r="S94" s="156"/>
      <c r="T94" s="156"/>
      <c r="U94" s="156"/>
      <c r="V94" s="156"/>
      <c r="W94" s="156"/>
    </row>
    <row r="95" spans="1:23" ht="13">
      <c r="A95" s="140"/>
      <c r="B95" s="153"/>
      <c r="C95" s="169" t="str" cm="1">
        <f t="array" ref="C95">IFERROR(_FV(B95,"Ticker symbol",TRUE),"")</f>
        <v/>
      </c>
      <c r="D95" s="193"/>
      <c r="E95" s="193"/>
      <c r="F95" s="191" t="str" cm="1">
        <f t="array" ref="F95">IFERROR(_FV(B95,"Price"),"")</f>
        <v/>
      </c>
      <c r="G95" s="192">
        <f t="shared" si="5"/>
        <v>0</v>
      </c>
      <c r="H95" s="191" t="str">
        <f t="shared" si="8"/>
        <v/>
      </c>
      <c r="I95" s="171" t="str">
        <f t="shared" si="6"/>
        <v/>
      </c>
      <c r="J95" s="172" t="str">
        <f t="shared" si="7"/>
        <v/>
      </c>
      <c r="K95" s="173" t="str" cm="1">
        <f t="array" ref="K95">IFERROR(_FV(B95,"Beta"),"")</f>
        <v/>
      </c>
      <c r="L95" s="174" t="str">
        <f ca="1">IFERROR(H95/Portfolio!$C$7,"")</f>
        <v/>
      </c>
      <c r="M95" s="175"/>
      <c r="N95" s="156"/>
      <c r="O95" s="156"/>
      <c r="P95" s="156"/>
      <c r="Q95" s="156"/>
      <c r="R95" s="156"/>
      <c r="S95" s="156"/>
      <c r="T95" s="156"/>
      <c r="U95" s="156"/>
      <c r="V95" s="156"/>
      <c r="W95" s="156"/>
    </row>
    <row r="96" spans="1:23" ht="13">
      <c r="A96" s="140"/>
      <c r="B96" s="153"/>
      <c r="C96" s="169" t="str" cm="1">
        <f t="array" ref="C96">IFERROR(_FV(B96,"Ticker symbol",TRUE),"")</f>
        <v/>
      </c>
      <c r="D96" s="193"/>
      <c r="E96" s="193"/>
      <c r="F96" s="191" t="str" cm="1">
        <f t="array" ref="F96">IFERROR(_FV(B96,"Price"),"")</f>
        <v/>
      </c>
      <c r="G96" s="192">
        <f t="shared" si="5"/>
        <v>0</v>
      </c>
      <c r="H96" s="191" t="str">
        <f t="shared" si="8"/>
        <v/>
      </c>
      <c r="I96" s="171" t="str">
        <f t="shared" si="6"/>
        <v/>
      </c>
      <c r="J96" s="172" t="str">
        <f t="shared" si="7"/>
        <v/>
      </c>
      <c r="K96" s="173" t="str" cm="1">
        <f t="array" ref="K96">IFERROR(_FV(B96,"Beta"),"")</f>
        <v/>
      </c>
      <c r="L96" s="174" t="str">
        <f ca="1">IFERROR(H96/Portfolio!$C$7,"")</f>
        <v/>
      </c>
      <c r="M96" s="175"/>
      <c r="N96" s="156"/>
      <c r="O96" s="156"/>
      <c r="P96" s="156"/>
      <c r="Q96" s="156"/>
      <c r="R96" s="156"/>
      <c r="S96" s="156"/>
      <c r="T96" s="156"/>
      <c r="U96" s="156"/>
      <c r="V96" s="156"/>
      <c r="W96" s="156"/>
    </row>
    <row r="97" spans="1:23" ht="13">
      <c r="A97" s="140"/>
      <c r="B97" s="153"/>
      <c r="C97" s="169" t="str" cm="1">
        <f t="array" ref="C97">IFERROR(_FV(B97,"Ticker symbol",TRUE),"")</f>
        <v/>
      </c>
      <c r="D97" s="193"/>
      <c r="E97" s="193"/>
      <c r="F97" s="191" t="str" cm="1">
        <f t="array" ref="F97">IFERROR(_FV(B97,"Price"),"")</f>
        <v/>
      </c>
      <c r="G97" s="192">
        <f t="shared" si="5"/>
        <v>0</v>
      </c>
      <c r="H97" s="191" t="str">
        <f t="shared" si="8"/>
        <v/>
      </c>
      <c r="I97" s="171" t="str">
        <f t="shared" si="6"/>
        <v/>
      </c>
      <c r="J97" s="172" t="str">
        <f t="shared" si="7"/>
        <v/>
      </c>
      <c r="K97" s="173" t="str" cm="1">
        <f t="array" ref="K97">IFERROR(_FV(B97,"Beta"),"")</f>
        <v/>
      </c>
      <c r="L97" s="174" t="str">
        <f ca="1">IFERROR(H97/Portfolio!$C$7,"")</f>
        <v/>
      </c>
      <c r="M97" s="175"/>
      <c r="N97" s="156"/>
      <c r="O97" s="156"/>
      <c r="P97" s="156"/>
      <c r="Q97" s="156"/>
      <c r="R97" s="156"/>
      <c r="S97" s="156"/>
      <c r="T97" s="156"/>
      <c r="U97" s="156"/>
      <c r="V97" s="156"/>
      <c r="W97" s="156"/>
    </row>
    <row r="98" spans="1:23" ht="13">
      <c r="A98" s="140"/>
      <c r="B98" s="153"/>
      <c r="C98" s="169" t="str" cm="1">
        <f t="array" ref="C98">IFERROR(_FV(B98,"Ticker symbol",TRUE),"")</f>
        <v/>
      </c>
      <c r="D98" s="193"/>
      <c r="E98" s="193"/>
      <c r="F98" s="191" t="str" cm="1">
        <f t="array" ref="F98">IFERROR(_FV(B98,"Price"),"")</f>
        <v/>
      </c>
      <c r="G98" s="192">
        <f t="shared" ref="G98:G120" si="9">IFERROR(D98*E98,"")</f>
        <v>0</v>
      </c>
      <c r="H98" s="191" t="str">
        <f t="shared" si="8"/>
        <v/>
      </c>
      <c r="I98" s="171" t="str">
        <f t="shared" si="6"/>
        <v/>
      </c>
      <c r="J98" s="172" t="str">
        <f t="shared" si="7"/>
        <v/>
      </c>
      <c r="K98" s="173" t="str" cm="1">
        <f t="array" ref="K98">IFERROR(_FV(B98,"Beta"),"")</f>
        <v/>
      </c>
      <c r="L98" s="174" t="str">
        <f ca="1">IFERROR(H98/Portfolio!$C$7,"")</f>
        <v/>
      </c>
      <c r="M98" s="175"/>
      <c r="N98" s="156"/>
      <c r="O98" s="156"/>
      <c r="P98" s="156"/>
      <c r="Q98" s="156"/>
      <c r="R98" s="156"/>
      <c r="S98" s="156"/>
      <c r="T98" s="156"/>
      <c r="U98" s="156"/>
      <c r="V98" s="156"/>
      <c r="W98" s="156"/>
    </row>
    <row r="99" spans="1:23" ht="13">
      <c r="A99" s="140"/>
      <c r="B99" s="153"/>
      <c r="C99" s="169" t="str" cm="1">
        <f t="array" ref="C99">IFERROR(_FV(B99,"Ticker symbol",TRUE),"")</f>
        <v/>
      </c>
      <c r="D99" s="193"/>
      <c r="E99" s="193"/>
      <c r="F99" s="191" t="str" cm="1">
        <f t="array" ref="F99">IFERROR(_FV(B99,"Price"),"")</f>
        <v/>
      </c>
      <c r="G99" s="192">
        <f t="shared" si="9"/>
        <v>0</v>
      </c>
      <c r="H99" s="191" t="str">
        <f t="shared" si="8"/>
        <v/>
      </c>
      <c r="I99" s="171" t="str">
        <f t="shared" si="6"/>
        <v/>
      </c>
      <c r="J99" s="172" t="str">
        <f t="shared" si="7"/>
        <v/>
      </c>
      <c r="K99" s="173" t="str" cm="1">
        <f t="array" ref="K99">IFERROR(_FV(B99,"Beta"),"")</f>
        <v/>
      </c>
      <c r="L99" s="174" t="str">
        <f ca="1">IFERROR(H99/Portfolio!$C$7,"")</f>
        <v/>
      </c>
      <c r="M99" s="175"/>
      <c r="N99" s="156"/>
      <c r="O99" s="156"/>
      <c r="P99" s="156"/>
      <c r="Q99" s="156"/>
      <c r="R99" s="156"/>
      <c r="S99" s="156"/>
      <c r="T99" s="156"/>
      <c r="U99" s="156"/>
      <c r="V99" s="156"/>
      <c r="W99" s="156"/>
    </row>
    <row r="100" spans="1:23" ht="13">
      <c r="A100" s="140"/>
      <c r="B100" s="153"/>
      <c r="C100" s="169" t="str" cm="1">
        <f t="array" ref="C100">IFERROR(_FV(B100,"Ticker symbol",TRUE),"")</f>
        <v/>
      </c>
      <c r="D100" s="193"/>
      <c r="E100" s="193"/>
      <c r="F100" s="191" t="str" cm="1">
        <f t="array" ref="F100">IFERROR(_FV(B100,"Price"),"")</f>
        <v/>
      </c>
      <c r="G100" s="192">
        <f t="shared" si="9"/>
        <v>0</v>
      </c>
      <c r="H100" s="191" t="str">
        <f t="shared" si="8"/>
        <v/>
      </c>
      <c r="I100" s="171" t="str">
        <f t="shared" si="6"/>
        <v/>
      </c>
      <c r="J100" s="172" t="str">
        <f t="shared" si="7"/>
        <v/>
      </c>
      <c r="K100" s="173" t="str" cm="1">
        <f t="array" ref="K100">IFERROR(_FV(B100,"Beta"),"")</f>
        <v/>
      </c>
      <c r="L100" s="174" t="str">
        <f ca="1">IFERROR(H100/Portfolio!$C$7,"")</f>
        <v/>
      </c>
      <c r="M100" s="175"/>
      <c r="N100" s="156"/>
      <c r="O100" s="156"/>
      <c r="P100" s="156"/>
      <c r="Q100" s="156"/>
      <c r="R100" s="156"/>
      <c r="S100" s="156"/>
      <c r="T100" s="156"/>
      <c r="U100" s="156"/>
      <c r="V100" s="156"/>
      <c r="W100" s="156"/>
    </row>
    <row r="101" spans="1:23" ht="13">
      <c r="A101" s="140"/>
      <c r="B101" s="153"/>
      <c r="C101" s="169" t="str" cm="1">
        <f t="array" ref="C101">IFERROR(_FV(B101,"Ticker symbol",TRUE),"")</f>
        <v/>
      </c>
      <c r="D101" s="193"/>
      <c r="E101" s="193"/>
      <c r="F101" s="191" t="str" cm="1">
        <f t="array" ref="F101">IFERROR(_FV(B101,"Price"),"")</f>
        <v/>
      </c>
      <c r="G101" s="192">
        <f t="shared" si="9"/>
        <v>0</v>
      </c>
      <c r="H101" s="191" t="str">
        <f t="shared" si="8"/>
        <v/>
      </c>
      <c r="I101" s="171" t="str">
        <f t="shared" si="6"/>
        <v/>
      </c>
      <c r="J101" s="172" t="str">
        <f t="shared" si="7"/>
        <v/>
      </c>
      <c r="K101" s="173" t="str" cm="1">
        <f t="array" ref="K101">IFERROR(_FV(B101,"Beta"),"")</f>
        <v/>
      </c>
      <c r="L101" s="174" t="str">
        <f ca="1">IFERROR(H101/Portfolio!$C$7,"")</f>
        <v/>
      </c>
      <c r="M101" s="175"/>
      <c r="N101" s="156"/>
      <c r="O101" s="156"/>
      <c r="P101" s="156"/>
      <c r="Q101" s="156"/>
      <c r="R101" s="156"/>
      <c r="S101" s="156"/>
      <c r="T101" s="156"/>
      <c r="U101" s="156"/>
      <c r="V101" s="156"/>
      <c r="W101" s="156"/>
    </row>
    <row r="102" spans="1:23" ht="13">
      <c r="A102" s="140"/>
      <c r="B102" s="153"/>
      <c r="C102" s="169" t="str" cm="1">
        <f t="array" ref="C102">IFERROR(_FV(B102,"Ticker symbol",TRUE),"")</f>
        <v/>
      </c>
      <c r="D102" s="193"/>
      <c r="E102" s="193"/>
      <c r="F102" s="191" t="str" cm="1">
        <f t="array" ref="F102">IFERROR(_FV(B102,"Price"),"")</f>
        <v/>
      </c>
      <c r="G102" s="192">
        <f t="shared" si="9"/>
        <v>0</v>
      </c>
      <c r="H102" s="191" t="str">
        <f t="shared" si="8"/>
        <v/>
      </c>
      <c r="I102" s="171" t="str">
        <f t="shared" si="6"/>
        <v/>
      </c>
      <c r="J102" s="172" t="str">
        <f t="shared" si="7"/>
        <v/>
      </c>
      <c r="K102" s="173" t="str" cm="1">
        <f t="array" ref="K102">IFERROR(_FV(B102,"Beta"),"")</f>
        <v/>
      </c>
      <c r="L102" s="174" t="str">
        <f ca="1">IFERROR(H102/Portfolio!$C$7,"")</f>
        <v/>
      </c>
      <c r="M102" s="175"/>
      <c r="N102" s="156"/>
      <c r="O102" s="156"/>
      <c r="P102" s="156"/>
      <c r="Q102" s="156"/>
      <c r="R102" s="156"/>
      <c r="S102" s="156"/>
      <c r="T102" s="156"/>
      <c r="U102" s="156"/>
      <c r="V102" s="156"/>
      <c r="W102" s="156"/>
    </row>
    <row r="103" spans="1:23" ht="13">
      <c r="A103" s="140"/>
      <c r="B103" s="153"/>
      <c r="C103" s="169" t="str" cm="1">
        <f t="array" ref="C103">IFERROR(_FV(B103,"Ticker symbol",TRUE),"")</f>
        <v/>
      </c>
      <c r="D103" s="193"/>
      <c r="E103" s="193"/>
      <c r="F103" s="191" t="str" cm="1">
        <f t="array" ref="F103">IFERROR(_FV(B103,"Price"),"")</f>
        <v/>
      </c>
      <c r="G103" s="192">
        <f t="shared" si="9"/>
        <v>0</v>
      </c>
      <c r="H103" s="191" t="str">
        <f t="shared" si="8"/>
        <v/>
      </c>
      <c r="I103" s="171" t="str">
        <f t="shared" si="6"/>
        <v/>
      </c>
      <c r="J103" s="172" t="str">
        <f t="shared" si="7"/>
        <v/>
      </c>
      <c r="K103" s="173" t="str" cm="1">
        <f t="array" ref="K103">IFERROR(_FV(B103,"Beta"),"")</f>
        <v/>
      </c>
      <c r="L103" s="174" t="str">
        <f ca="1">IFERROR(H103/Portfolio!$C$7,"")</f>
        <v/>
      </c>
      <c r="M103" s="175"/>
      <c r="N103" s="156"/>
      <c r="O103" s="156"/>
      <c r="P103" s="156"/>
      <c r="Q103" s="156"/>
      <c r="R103" s="156"/>
      <c r="S103" s="156"/>
      <c r="T103" s="156"/>
      <c r="U103" s="156"/>
      <c r="V103" s="156"/>
      <c r="W103" s="156"/>
    </row>
    <row r="104" spans="1:23" ht="13">
      <c r="A104" s="140"/>
      <c r="B104" s="153"/>
      <c r="C104" s="169" t="str" cm="1">
        <f t="array" ref="C104">IFERROR(_FV(B104,"Ticker symbol",TRUE),"")</f>
        <v/>
      </c>
      <c r="D104" s="193"/>
      <c r="E104" s="193"/>
      <c r="F104" s="191" t="str" cm="1">
        <f t="array" ref="F104">IFERROR(_FV(B104,"Price"),"")</f>
        <v/>
      </c>
      <c r="G104" s="192">
        <f t="shared" si="9"/>
        <v>0</v>
      </c>
      <c r="H104" s="191" t="str">
        <f t="shared" si="8"/>
        <v/>
      </c>
      <c r="I104" s="171" t="str">
        <f t="shared" si="6"/>
        <v/>
      </c>
      <c r="J104" s="172" t="str">
        <f t="shared" si="7"/>
        <v/>
      </c>
      <c r="K104" s="173" t="str" cm="1">
        <f t="array" ref="K104">IFERROR(_FV(B104,"Beta"),"")</f>
        <v/>
      </c>
      <c r="L104" s="174" t="str">
        <f ca="1">IFERROR(H104/Portfolio!$C$7,"")</f>
        <v/>
      </c>
      <c r="M104" s="156"/>
      <c r="N104" s="156"/>
      <c r="O104" s="156"/>
      <c r="P104" s="156"/>
      <c r="Q104" s="156"/>
      <c r="R104" s="156"/>
      <c r="S104" s="156"/>
      <c r="T104" s="156"/>
      <c r="U104" s="156"/>
      <c r="V104" s="156"/>
      <c r="W104" s="156"/>
    </row>
    <row r="105" spans="1:23" ht="13">
      <c r="A105" s="140"/>
      <c r="B105" s="153"/>
      <c r="C105" s="152"/>
      <c r="D105" s="193"/>
      <c r="E105" s="193"/>
      <c r="F105" s="191" t="str" cm="1">
        <f t="array" ref="F105">IFERROR(_FV(B105,"Price"),"")</f>
        <v/>
      </c>
      <c r="G105" s="192">
        <f t="shared" si="9"/>
        <v>0</v>
      </c>
      <c r="H105" s="191" t="str">
        <f t="shared" si="8"/>
        <v/>
      </c>
      <c r="I105" s="171" t="str">
        <f t="shared" si="6"/>
        <v/>
      </c>
      <c r="J105" s="172" t="str">
        <f t="shared" si="7"/>
        <v/>
      </c>
      <c r="K105" s="173" t="str" cm="1">
        <f t="array" ref="K105">IFERROR(_FV(B105,"Beta"),"")</f>
        <v/>
      </c>
      <c r="L105" s="174" t="str">
        <f ca="1">IFERROR(H105/Portfolio!$C$7,"")</f>
        <v/>
      </c>
      <c r="M105" s="156"/>
      <c r="N105" s="156"/>
      <c r="O105" s="156"/>
      <c r="P105" s="156"/>
      <c r="Q105" s="156"/>
      <c r="R105" s="156"/>
      <c r="S105" s="156"/>
      <c r="T105" s="156"/>
      <c r="U105" s="156"/>
      <c r="V105" s="156"/>
      <c r="W105" s="156"/>
    </row>
    <row r="106" spans="1:23" ht="13">
      <c r="A106" s="140"/>
      <c r="B106" s="153"/>
      <c r="C106" s="152"/>
      <c r="D106" s="193"/>
      <c r="E106" s="193"/>
      <c r="F106" s="191" t="str" cm="1">
        <f t="array" ref="F106">IFERROR(_FV(B106,"Price"),"")</f>
        <v/>
      </c>
      <c r="G106" s="192">
        <f t="shared" si="9"/>
        <v>0</v>
      </c>
      <c r="H106" s="191" t="str">
        <f t="shared" si="8"/>
        <v/>
      </c>
      <c r="I106" s="171" t="str">
        <f t="shared" si="6"/>
        <v/>
      </c>
      <c r="J106" s="172" t="str">
        <f t="shared" si="7"/>
        <v/>
      </c>
      <c r="K106" s="173" t="str" cm="1">
        <f t="array" ref="K106">IFERROR(_FV(B106,"Beta"),"")</f>
        <v/>
      </c>
      <c r="L106" s="174" t="str">
        <f ca="1">IFERROR(H106/Portfolio!$C$7,"")</f>
        <v/>
      </c>
      <c r="M106" s="156"/>
      <c r="N106" s="156"/>
      <c r="O106" s="156"/>
      <c r="P106" s="156"/>
      <c r="Q106" s="156"/>
      <c r="R106" s="156"/>
      <c r="S106" s="156"/>
      <c r="T106" s="156"/>
      <c r="U106" s="156"/>
      <c r="V106" s="156"/>
      <c r="W106" s="156"/>
    </row>
    <row r="107" spans="1:23" ht="13">
      <c r="A107" s="140"/>
      <c r="B107" s="153"/>
      <c r="C107" s="152"/>
      <c r="D107" s="193"/>
      <c r="E107" s="193"/>
      <c r="F107" s="191" t="str" cm="1">
        <f t="array" ref="F107">IFERROR(_FV(B107,"Price"),"")</f>
        <v/>
      </c>
      <c r="G107" s="192">
        <f t="shared" si="9"/>
        <v>0</v>
      </c>
      <c r="H107" s="191" t="str">
        <f t="shared" si="8"/>
        <v/>
      </c>
      <c r="I107" s="171" t="str">
        <f t="shared" si="6"/>
        <v/>
      </c>
      <c r="J107" s="172" t="str">
        <f t="shared" si="7"/>
        <v/>
      </c>
      <c r="K107" s="173" t="str" cm="1">
        <f t="array" ref="K107">IFERROR(_FV(B107,"Beta"),"")</f>
        <v/>
      </c>
      <c r="L107" s="174" t="str">
        <f ca="1">IFERROR(H107/Portfolio!$C$7,"")</f>
        <v/>
      </c>
      <c r="M107" s="156"/>
      <c r="N107" s="156"/>
      <c r="O107" s="156"/>
      <c r="P107" s="156"/>
      <c r="Q107" s="156"/>
      <c r="R107" s="156"/>
      <c r="S107" s="156"/>
      <c r="T107" s="156"/>
      <c r="U107" s="156"/>
      <c r="V107" s="156"/>
      <c r="W107" s="156"/>
    </row>
    <row r="108" spans="1:23" ht="13">
      <c r="A108" s="140"/>
      <c r="B108" s="153"/>
      <c r="C108" s="152"/>
      <c r="D108" s="193"/>
      <c r="E108" s="193"/>
      <c r="F108" s="191" t="str" cm="1">
        <f t="array" ref="F108">IFERROR(_FV(B108,"Price"),"")</f>
        <v/>
      </c>
      <c r="G108" s="192">
        <f t="shared" si="9"/>
        <v>0</v>
      </c>
      <c r="H108" s="191" t="str">
        <f t="shared" si="8"/>
        <v/>
      </c>
      <c r="I108" s="171" t="str">
        <f t="shared" si="6"/>
        <v/>
      </c>
      <c r="J108" s="172" t="str">
        <f t="shared" si="7"/>
        <v/>
      </c>
      <c r="K108" s="173" t="str" cm="1">
        <f t="array" ref="K108">IFERROR(_FV(B108,"Beta"),"")</f>
        <v/>
      </c>
      <c r="L108" s="174" t="str">
        <f ca="1">IFERROR(H108/Portfolio!$C$7,"")</f>
        <v/>
      </c>
      <c r="M108" s="156"/>
      <c r="N108" s="156"/>
      <c r="O108" s="156"/>
      <c r="P108" s="156"/>
      <c r="Q108" s="156"/>
      <c r="R108" s="156"/>
      <c r="S108" s="156"/>
      <c r="T108" s="156"/>
      <c r="U108" s="156"/>
      <c r="V108" s="156"/>
      <c r="W108" s="156"/>
    </row>
    <row r="109" spans="1:23" ht="13">
      <c r="A109" s="140"/>
      <c r="B109" s="153"/>
      <c r="C109" s="152"/>
      <c r="D109" s="193"/>
      <c r="E109" s="193"/>
      <c r="F109" s="191" t="str" cm="1">
        <f t="array" ref="F109">IFERROR(_FV(B109,"Price"),"")</f>
        <v/>
      </c>
      <c r="G109" s="192">
        <f t="shared" si="9"/>
        <v>0</v>
      </c>
      <c r="H109" s="191" t="str">
        <f t="shared" si="8"/>
        <v/>
      </c>
      <c r="I109" s="171" t="str">
        <f t="shared" si="6"/>
        <v/>
      </c>
      <c r="J109" s="172" t="str">
        <f t="shared" si="7"/>
        <v/>
      </c>
      <c r="K109" s="173" t="str" cm="1">
        <f t="array" ref="K109">IFERROR(_FV(B109,"Beta"),"")</f>
        <v/>
      </c>
      <c r="L109" s="174" t="str">
        <f ca="1">IFERROR(H109/Portfolio!$C$7,"")</f>
        <v/>
      </c>
      <c r="M109" s="156"/>
      <c r="N109" s="156"/>
      <c r="O109" s="156"/>
      <c r="P109" s="156"/>
      <c r="Q109" s="156"/>
      <c r="R109" s="156"/>
      <c r="S109" s="156"/>
      <c r="T109" s="156"/>
      <c r="U109" s="156"/>
      <c r="V109" s="156"/>
      <c r="W109" s="156"/>
    </row>
    <row r="110" spans="1:23" ht="13">
      <c r="A110" s="140"/>
      <c r="B110" s="153"/>
      <c r="C110" s="152"/>
      <c r="D110" s="193"/>
      <c r="E110" s="193"/>
      <c r="F110" s="191" t="str" cm="1">
        <f t="array" ref="F110">IFERROR(_FV(B110,"Price"),"")</f>
        <v/>
      </c>
      <c r="G110" s="192">
        <f t="shared" si="9"/>
        <v>0</v>
      </c>
      <c r="H110" s="191" t="str">
        <f t="shared" si="8"/>
        <v/>
      </c>
      <c r="I110" s="171" t="str">
        <f t="shared" si="6"/>
        <v/>
      </c>
      <c r="J110" s="172" t="str">
        <f t="shared" si="7"/>
        <v/>
      </c>
      <c r="K110" s="173" t="str" cm="1">
        <f t="array" ref="K110">IFERROR(_FV(B110,"Beta"),"")</f>
        <v/>
      </c>
      <c r="L110" s="174" t="str">
        <f ca="1">IFERROR(H110/Portfolio!$C$7,"")</f>
        <v/>
      </c>
      <c r="M110" s="156"/>
      <c r="N110" s="156"/>
      <c r="O110" s="156"/>
      <c r="P110" s="156"/>
      <c r="Q110" s="156"/>
      <c r="R110" s="156"/>
      <c r="S110" s="156"/>
      <c r="T110" s="156"/>
      <c r="U110" s="156"/>
      <c r="V110" s="156"/>
      <c r="W110" s="156"/>
    </row>
    <row r="111" spans="1:23" ht="13">
      <c r="A111" s="140"/>
      <c r="B111" s="153"/>
      <c r="C111" s="152"/>
      <c r="D111" s="193"/>
      <c r="E111" s="193"/>
      <c r="F111" s="191" t="str" cm="1">
        <f t="array" ref="F111">IFERROR(_FV(B111,"Price"),"")</f>
        <v/>
      </c>
      <c r="G111" s="192">
        <f t="shared" si="9"/>
        <v>0</v>
      </c>
      <c r="H111" s="191" t="str">
        <f t="shared" si="8"/>
        <v/>
      </c>
      <c r="I111" s="171" t="str">
        <f t="shared" si="6"/>
        <v/>
      </c>
      <c r="J111" s="172" t="str">
        <f t="shared" si="7"/>
        <v/>
      </c>
      <c r="K111" s="173" t="str" cm="1">
        <f t="array" ref="K111">IFERROR(_FV(B111,"Beta"),"")</f>
        <v/>
      </c>
      <c r="L111" s="174" t="str">
        <f ca="1">IFERROR(H111/Portfolio!$C$7,"")</f>
        <v/>
      </c>
      <c r="M111" s="156"/>
      <c r="N111" s="156"/>
      <c r="O111" s="156"/>
      <c r="P111" s="156"/>
      <c r="Q111" s="156"/>
      <c r="R111" s="156"/>
      <c r="S111" s="156"/>
      <c r="T111" s="156"/>
      <c r="U111" s="156"/>
      <c r="V111" s="156"/>
      <c r="W111" s="156"/>
    </row>
    <row r="112" spans="1:23" ht="13">
      <c r="A112" s="140"/>
      <c r="B112" s="153"/>
      <c r="C112" s="152"/>
      <c r="D112" s="193"/>
      <c r="E112" s="193"/>
      <c r="F112" s="191" t="str" cm="1">
        <f t="array" ref="F112">IFERROR(_FV(B112,"Price"),"")</f>
        <v/>
      </c>
      <c r="G112" s="192">
        <f t="shared" si="9"/>
        <v>0</v>
      </c>
      <c r="H112" s="191" t="str">
        <f t="shared" si="8"/>
        <v/>
      </c>
      <c r="I112" s="171" t="str">
        <f t="shared" si="6"/>
        <v/>
      </c>
      <c r="J112" s="172" t="str">
        <f t="shared" si="7"/>
        <v/>
      </c>
      <c r="K112" s="173" t="str" cm="1">
        <f t="array" ref="K112">IFERROR(_FV(B112,"Beta"),"")</f>
        <v/>
      </c>
      <c r="L112" s="174" t="str">
        <f ca="1">IFERROR(H112/Portfolio!$C$7,"")</f>
        <v/>
      </c>
      <c r="M112" s="156"/>
      <c r="N112" s="156"/>
      <c r="O112" s="156"/>
      <c r="P112" s="156"/>
      <c r="Q112" s="156"/>
      <c r="R112" s="156"/>
      <c r="S112" s="156"/>
      <c r="T112" s="156"/>
      <c r="U112" s="156"/>
      <c r="V112" s="156"/>
      <c r="W112" s="156"/>
    </row>
    <row r="113" spans="1:29" ht="13">
      <c r="A113" s="140"/>
      <c r="B113" s="153"/>
      <c r="C113" s="152"/>
      <c r="D113" s="193"/>
      <c r="E113" s="193"/>
      <c r="F113" s="191" t="str" cm="1">
        <f t="array" ref="F113">IFERROR(_FV(B113,"Price"),"")</f>
        <v/>
      </c>
      <c r="G113" s="192">
        <f t="shared" si="9"/>
        <v>0</v>
      </c>
      <c r="H113" s="191" t="str">
        <f t="shared" si="8"/>
        <v/>
      </c>
      <c r="I113" s="171" t="str">
        <f t="shared" si="6"/>
        <v/>
      </c>
      <c r="J113" s="172" t="str">
        <f t="shared" si="7"/>
        <v/>
      </c>
      <c r="K113" s="173" t="str" cm="1">
        <f t="array" ref="K113">IFERROR(_FV(B113,"Beta"),"")</f>
        <v/>
      </c>
      <c r="L113" s="174" t="str">
        <f ca="1">IFERROR(H113/Portfolio!$C$7,"")</f>
        <v/>
      </c>
      <c r="M113" s="156"/>
      <c r="N113" s="156"/>
      <c r="O113" s="156"/>
      <c r="P113" s="156"/>
      <c r="Q113" s="156"/>
      <c r="R113" s="156"/>
      <c r="S113" s="156"/>
      <c r="T113" s="156"/>
      <c r="U113" s="156"/>
      <c r="V113" s="156"/>
      <c r="W113" s="156"/>
    </row>
    <row r="114" spans="1:29" ht="13">
      <c r="A114" s="140"/>
      <c r="B114" s="153"/>
      <c r="C114" s="152"/>
      <c r="D114" s="193"/>
      <c r="E114" s="193"/>
      <c r="F114" s="191" t="str" cm="1">
        <f t="array" ref="F114">IFERROR(_FV(B114,"Price"),"")</f>
        <v/>
      </c>
      <c r="G114" s="192">
        <f t="shared" si="9"/>
        <v>0</v>
      </c>
      <c r="H114" s="191" t="str">
        <f t="shared" si="8"/>
        <v/>
      </c>
      <c r="I114" s="171" t="str">
        <f t="shared" si="6"/>
        <v/>
      </c>
      <c r="J114" s="172" t="str">
        <f t="shared" si="7"/>
        <v/>
      </c>
      <c r="K114" s="173" t="str" cm="1">
        <f t="array" ref="K114">IFERROR(_FV(B114,"Beta"),"")</f>
        <v/>
      </c>
      <c r="L114" s="174" t="str">
        <f ca="1">IFERROR(H114/Portfolio!$C$7,"")</f>
        <v/>
      </c>
      <c r="M114" s="156"/>
      <c r="N114" s="156"/>
      <c r="O114" s="156"/>
      <c r="P114" s="156"/>
      <c r="Q114" s="156"/>
      <c r="R114" s="156"/>
      <c r="S114" s="156"/>
      <c r="T114" s="156"/>
      <c r="U114" s="156"/>
      <c r="V114" s="156"/>
      <c r="W114" s="156"/>
    </row>
    <row r="115" spans="1:29" ht="13">
      <c r="A115" s="140"/>
      <c r="B115" s="153"/>
      <c r="C115" s="152"/>
      <c r="D115" s="193"/>
      <c r="E115" s="193"/>
      <c r="F115" s="191" t="str" cm="1">
        <f t="array" ref="F115">IFERROR(_FV(B115,"Price"),"")</f>
        <v/>
      </c>
      <c r="G115" s="192">
        <f t="shared" si="9"/>
        <v>0</v>
      </c>
      <c r="H115" s="191" t="str">
        <f t="shared" si="8"/>
        <v/>
      </c>
      <c r="I115" s="171" t="str">
        <f t="shared" si="6"/>
        <v/>
      </c>
      <c r="J115" s="172" t="str">
        <f t="shared" si="7"/>
        <v/>
      </c>
      <c r="K115" s="173" t="str" cm="1">
        <f t="array" ref="K115">IFERROR(_FV(B115,"Beta"),"")</f>
        <v/>
      </c>
      <c r="L115" s="174" t="str">
        <f ca="1">IFERROR(H115/Portfolio!$C$7,"")</f>
        <v/>
      </c>
      <c r="M115" s="156"/>
      <c r="N115" s="156"/>
      <c r="O115" s="156"/>
      <c r="P115" s="156"/>
      <c r="Q115" s="156"/>
      <c r="R115" s="156"/>
      <c r="S115" s="156"/>
      <c r="T115" s="156"/>
      <c r="U115" s="156"/>
      <c r="V115" s="156"/>
      <c r="W115" s="156"/>
    </row>
    <row r="116" spans="1:29" ht="13">
      <c r="A116" s="140"/>
      <c r="B116" s="153"/>
      <c r="C116" s="152"/>
      <c r="D116" s="193"/>
      <c r="E116" s="193"/>
      <c r="F116" s="191" t="str" cm="1">
        <f t="array" ref="F116">IFERROR(_FV(B116,"Price"),"")</f>
        <v/>
      </c>
      <c r="G116" s="192">
        <f t="shared" si="9"/>
        <v>0</v>
      </c>
      <c r="H116" s="191" t="str">
        <f t="shared" si="8"/>
        <v/>
      </c>
      <c r="I116" s="171" t="str">
        <f t="shared" si="6"/>
        <v/>
      </c>
      <c r="J116" s="172" t="str">
        <f t="shared" si="7"/>
        <v/>
      </c>
      <c r="K116" s="173" t="str" cm="1">
        <f t="array" ref="K116">IFERROR(_FV(B116,"Beta"),"")</f>
        <v/>
      </c>
      <c r="L116" s="174" t="str">
        <f ca="1">IFERROR(H116/Portfolio!$C$7,"")</f>
        <v/>
      </c>
      <c r="M116" s="156"/>
      <c r="N116" s="156"/>
      <c r="O116" s="156"/>
      <c r="P116" s="156"/>
      <c r="Q116" s="156"/>
      <c r="R116" s="156"/>
      <c r="S116" s="156"/>
      <c r="T116" s="156"/>
      <c r="U116" s="156"/>
      <c r="V116" s="156"/>
      <c r="W116" s="156"/>
    </row>
    <row r="117" spans="1:29" ht="13">
      <c r="A117" s="140"/>
      <c r="B117" s="153"/>
      <c r="C117" s="152"/>
      <c r="D117" s="193"/>
      <c r="E117" s="193"/>
      <c r="F117" s="191" t="str" cm="1">
        <f t="array" ref="F117">IFERROR(_FV(B117,"Price"),"")</f>
        <v/>
      </c>
      <c r="G117" s="192">
        <f t="shared" si="9"/>
        <v>0</v>
      </c>
      <c r="H117" s="191" t="str">
        <f t="shared" si="8"/>
        <v/>
      </c>
      <c r="I117" s="171" t="str">
        <f t="shared" si="6"/>
        <v/>
      </c>
      <c r="J117" s="172" t="str">
        <f t="shared" si="7"/>
        <v/>
      </c>
      <c r="K117" s="173" t="str" cm="1">
        <f t="array" ref="K117">IFERROR(_FV(B117,"Beta"),"")</f>
        <v/>
      </c>
      <c r="L117" s="174" t="str">
        <f ca="1">IFERROR(H117/Portfolio!$C$7,"")</f>
        <v/>
      </c>
      <c r="M117" s="156"/>
      <c r="N117" s="156"/>
      <c r="O117" s="156"/>
      <c r="P117" s="156"/>
      <c r="Q117" s="156"/>
      <c r="R117" s="156"/>
      <c r="S117" s="156"/>
      <c r="T117" s="156"/>
      <c r="U117" s="156"/>
      <c r="V117" s="156"/>
      <c r="W117" s="156"/>
    </row>
    <row r="118" spans="1:29" ht="13">
      <c r="A118" s="140"/>
      <c r="B118" s="153"/>
      <c r="C118" s="152"/>
      <c r="D118" s="193"/>
      <c r="E118" s="193"/>
      <c r="F118" s="191" t="str" cm="1">
        <f t="array" ref="F118">IFERROR(_FV(B118,"Price"),"")</f>
        <v/>
      </c>
      <c r="G118" s="192">
        <f t="shared" si="9"/>
        <v>0</v>
      </c>
      <c r="H118" s="191" t="str">
        <f t="shared" si="8"/>
        <v/>
      </c>
      <c r="I118" s="171" t="str">
        <f t="shared" si="6"/>
        <v/>
      </c>
      <c r="J118" s="172" t="str">
        <f t="shared" si="7"/>
        <v/>
      </c>
      <c r="K118" s="173" t="str" cm="1">
        <f t="array" ref="K118">IFERROR(_FV(B118,"Beta"),"")</f>
        <v/>
      </c>
      <c r="L118" s="174" t="str">
        <f ca="1">IFERROR(H118/Portfolio!$C$7,"")</f>
        <v/>
      </c>
      <c r="M118" s="156"/>
      <c r="N118" s="156"/>
      <c r="O118" s="156"/>
      <c r="P118" s="156"/>
      <c r="Q118" s="156"/>
      <c r="R118" s="156"/>
      <c r="S118" s="156"/>
      <c r="T118" s="156"/>
      <c r="U118" s="156"/>
      <c r="V118" s="156"/>
      <c r="W118" s="156"/>
    </row>
    <row r="119" spans="1:29" ht="13">
      <c r="A119" s="140"/>
      <c r="B119" s="153"/>
      <c r="C119" s="152"/>
      <c r="D119" s="193"/>
      <c r="E119" s="193"/>
      <c r="F119" s="191" t="str" cm="1">
        <f t="array" ref="F119">IFERROR(_FV(B119,"Price"),"")</f>
        <v/>
      </c>
      <c r="G119" s="192">
        <f t="shared" si="9"/>
        <v>0</v>
      </c>
      <c r="H119" s="191" t="str">
        <f t="shared" si="8"/>
        <v/>
      </c>
      <c r="I119" s="171" t="str">
        <f t="shared" si="6"/>
        <v/>
      </c>
      <c r="J119" s="172" t="str">
        <f t="shared" si="7"/>
        <v/>
      </c>
      <c r="K119" s="173" t="str" cm="1">
        <f t="array" ref="K119">IFERROR(_FV(B119,"Beta"),"")</f>
        <v/>
      </c>
      <c r="L119" s="174" t="str">
        <f ca="1">IFERROR(H119/Portfolio!$C$7,"")</f>
        <v/>
      </c>
      <c r="M119" s="156"/>
      <c r="N119" s="156"/>
      <c r="O119" s="156"/>
      <c r="P119" s="156"/>
      <c r="Q119" s="156"/>
      <c r="R119" s="156"/>
      <c r="S119" s="156"/>
      <c r="T119" s="156"/>
      <c r="U119" s="156"/>
      <c r="V119" s="156"/>
      <c r="W119" s="156"/>
    </row>
    <row r="120" spans="1:29" ht="13">
      <c r="A120" s="140"/>
      <c r="B120" s="153"/>
      <c r="C120" s="152"/>
      <c r="D120" s="193"/>
      <c r="E120" s="193"/>
      <c r="F120" s="191" t="str" cm="1">
        <f t="array" ref="F120">IFERROR(_FV(B120,"Price"),"")</f>
        <v/>
      </c>
      <c r="G120" s="192">
        <f t="shared" si="9"/>
        <v>0</v>
      </c>
      <c r="H120" s="191" t="str">
        <f t="shared" si="8"/>
        <v/>
      </c>
      <c r="I120" s="171" t="str">
        <f t="shared" si="6"/>
        <v/>
      </c>
      <c r="J120" s="172" t="str">
        <f t="shared" si="7"/>
        <v/>
      </c>
      <c r="K120" s="173" t="str" cm="1">
        <f t="array" ref="K120">IFERROR(_FV(B120,"Beta"),"")</f>
        <v/>
      </c>
      <c r="L120" s="174" t="str">
        <f ca="1">IFERROR(H120/Portfolio!$C$7,"")</f>
        <v/>
      </c>
      <c r="M120" s="156"/>
      <c r="N120" s="156"/>
      <c r="O120" s="156"/>
      <c r="P120" s="156"/>
      <c r="Q120" s="156"/>
      <c r="R120" s="156"/>
      <c r="S120" s="156"/>
      <c r="T120" s="156"/>
      <c r="U120" s="156"/>
      <c r="V120" s="156"/>
      <c r="W120" s="156"/>
    </row>
    <row r="121" spans="1:29" ht="13">
      <c r="A121" s="140"/>
      <c r="B121" s="140"/>
      <c r="C121" s="156"/>
      <c r="D121" s="156"/>
      <c r="E121" s="156"/>
      <c r="F121" s="183"/>
      <c r="G121" s="189"/>
      <c r="H121" s="184"/>
      <c r="I121" s="156"/>
      <c r="J121" s="156"/>
      <c r="K121" s="156"/>
      <c r="L121" s="157"/>
      <c r="M121" s="156"/>
      <c r="N121" s="156"/>
      <c r="O121" s="156"/>
      <c r="P121" s="156"/>
      <c r="Q121" s="156"/>
      <c r="R121" s="156"/>
      <c r="S121" s="156"/>
      <c r="T121" s="156"/>
      <c r="U121" s="156"/>
      <c r="V121" s="156"/>
      <c r="W121" s="156"/>
    </row>
    <row r="122" spans="1:29" ht="13">
      <c r="A122" s="140"/>
      <c r="B122" s="140"/>
      <c r="C122" s="156"/>
      <c r="D122" s="156"/>
      <c r="E122" s="156"/>
      <c r="F122" s="183"/>
      <c r="G122" s="189"/>
      <c r="H122" s="184"/>
      <c r="I122" s="156"/>
      <c r="J122" s="156"/>
      <c r="K122" s="156"/>
      <c r="L122" s="157"/>
      <c r="M122" s="156"/>
      <c r="N122" s="156"/>
      <c r="O122" s="156"/>
      <c r="P122" s="156"/>
      <c r="Q122" s="156"/>
      <c r="R122" s="156"/>
      <c r="S122" s="156"/>
      <c r="T122" s="156"/>
      <c r="U122" s="156"/>
      <c r="V122" s="156"/>
      <c r="W122" s="156"/>
    </row>
    <row r="123" spans="1:29" ht="13">
      <c r="A123" s="140"/>
      <c r="B123" s="140"/>
      <c r="C123" s="156"/>
      <c r="D123" s="156"/>
      <c r="E123" s="156"/>
      <c r="F123" s="183"/>
      <c r="G123" s="189"/>
      <c r="H123" s="184"/>
      <c r="I123" s="156"/>
      <c r="J123" s="156"/>
      <c r="K123" s="156"/>
      <c r="L123" s="157"/>
      <c r="M123" s="156"/>
      <c r="N123" s="156"/>
      <c r="O123" s="156"/>
      <c r="P123" s="156"/>
      <c r="Q123" s="156"/>
      <c r="R123" s="156"/>
      <c r="S123" s="156"/>
      <c r="T123" s="156"/>
      <c r="U123" s="156"/>
      <c r="V123" s="156"/>
      <c r="W123" s="156"/>
    </row>
    <row r="124" spans="1:29" ht="13">
      <c r="A124" s="140"/>
      <c r="B124" s="140"/>
      <c r="C124" s="156"/>
      <c r="D124" s="156"/>
      <c r="E124" s="156"/>
      <c r="F124" s="183"/>
      <c r="G124" s="189"/>
      <c r="H124" s="184"/>
      <c r="I124" s="156"/>
      <c r="J124" s="156"/>
      <c r="K124" s="156"/>
      <c r="L124" s="157"/>
      <c r="M124" s="156"/>
      <c r="N124" s="156"/>
      <c r="O124" s="156"/>
      <c r="P124" s="156"/>
      <c r="Q124" s="156"/>
      <c r="R124" s="156"/>
      <c r="S124" s="156"/>
      <c r="T124" s="156"/>
      <c r="U124" s="156"/>
      <c r="V124" s="156"/>
      <c r="W124" s="156"/>
      <c r="X124" s="156"/>
      <c r="Y124" s="156"/>
      <c r="Z124" s="156"/>
      <c r="AA124" s="156"/>
      <c r="AB124" s="156"/>
      <c r="AC124" s="156"/>
    </row>
    <row r="125" spans="1:29" ht="13">
      <c r="A125" s="140"/>
      <c r="B125" s="140"/>
      <c r="C125" s="156"/>
      <c r="D125" s="156"/>
      <c r="E125" s="156"/>
      <c r="F125" s="183"/>
      <c r="G125" s="189"/>
      <c r="H125" s="184"/>
      <c r="I125" s="156"/>
      <c r="J125" s="156"/>
      <c r="K125" s="156"/>
      <c r="L125" s="157"/>
      <c r="M125" s="156"/>
      <c r="N125" s="156"/>
      <c r="O125" s="156"/>
      <c r="P125" s="156"/>
      <c r="Q125" s="156"/>
      <c r="R125" s="156"/>
      <c r="S125" s="156"/>
      <c r="T125" s="156"/>
      <c r="U125" s="156"/>
      <c r="V125" s="156"/>
      <c r="W125" s="156"/>
      <c r="X125" s="156"/>
      <c r="Y125" s="156"/>
      <c r="Z125" s="156"/>
      <c r="AA125" s="156"/>
      <c r="AB125" s="156"/>
      <c r="AC125" s="156"/>
    </row>
    <row r="126" spans="1:29" ht="13">
      <c r="A126" s="140"/>
      <c r="B126" s="140"/>
      <c r="C126" s="156"/>
      <c r="D126" s="156"/>
      <c r="E126" s="156"/>
      <c r="F126" s="183"/>
      <c r="G126" s="189"/>
      <c r="H126" s="184"/>
      <c r="I126" s="156"/>
      <c r="J126" s="156"/>
      <c r="K126" s="156"/>
      <c r="L126" s="157"/>
      <c r="M126" s="156"/>
      <c r="N126" s="156"/>
      <c r="O126" s="156"/>
      <c r="P126" s="156"/>
      <c r="Q126" s="156"/>
      <c r="R126" s="156"/>
      <c r="S126" s="156"/>
      <c r="T126" s="156"/>
      <c r="U126" s="156"/>
      <c r="V126" s="156"/>
      <c r="W126" s="156"/>
      <c r="X126" s="156"/>
      <c r="Y126" s="156"/>
      <c r="Z126" s="156"/>
      <c r="AA126" s="156"/>
      <c r="AB126" s="156"/>
      <c r="AC126" s="156"/>
    </row>
    <row r="127" spans="1:29" ht="13">
      <c r="A127" s="140"/>
      <c r="B127" s="140"/>
      <c r="C127" s="156"/>
      <c r="D127" s="156"/>
      <c r="E127" s="156"/>
      <c r="F127" s="183"/>
      <c r="G127" s="189"/>
      <c r="H127" s="184"/>
      <c r="I127" s="156"/>
      <c r="J127" s="156"/>
      <c r="K127" s="156"/>
      <c r="L127" s="157"/>
      <c r="M127" s="156"/>
      <c r="N127" s="156"/>
      <c r="O127" s="156"/>
      <c r="P127" s="156"/>
      <c r="Q127" s="156"/>
      <c r="R127" s="156"/>
      <c r="S127" s="156"/>
      <c r="T127" s="156"/>
      <c r="U127" s="156"/>
      <c r="V127" s="156"/>
      <c r="W127" s="156"/>
      <c r="X127" s="156"/>
      <c r="Y127" s="156"/>
      <c r="Z127" s="156"/>
      <c r="AA127" s="156"/>
      <c r="AB127" s="156"/>
      <c r="AC127" s="156"/>
    </row>
    <row r="128" spans="1:29" ht="13">
      <c r="A128" s="140"/>
      <c r="B128" s="140"/>
      <c r="C128" s="156"/>
      <c r="D128" s="156"/>
      <c r="E128" s="156"/>
      <c r="F128" s="183"/>
      <c r="G128" s="189"/>
      <c r="H128" s="184"/>
      <c r="I128" s="156"/>
      <c r="J128" s="156"/>
      <c r="K128" s="156"/>
      <c r="L128" s="157"/>
      <c r="M128" s="156"/>
      <c r="N128" s="156"/>
      <c r="O128" s="156"/>
      <c r="P128" s="156"/>
      <c r="Q128" s="156"/>
      <c r="R128" s="156"/>
      <c r="S128" s="156"/>
      <c r="T128" s="156"/>
      <c r="U128" s="156"/>
      <c r="V128" s="156"/>
      <c r="W128" s="156"/>
      <c r="X128" s="156"/>
      <c r="Y128" s="156"/>
      <c r="Z128" s="156"/>
      <c r="AA128" s="156"/>
      <c r="AB128" s="156"/>
      <c r="AC128" s="156"/>
    </row>
    <row r="129" spans="1:29" ht="13">
      <c r="A129" s="140"/>
      <c r="B129" s="140"/>
      <c r="C129" s="156"/>
      <c r="D129" s="156"/>
      <c r="E129" s="156"/>
      <c r="F129" s="184"/>
      <c r="G129" s="189"/>
      <c r="H129" s="184"/>
      <c r="I129" s="156"/>
      <c r="J129" s="156"/>
      <c r="K129" s="156"/>
      <c r="L129" s="157"/>
      <c r="M129" s="156"/>
      <c r="N129" s="156"/>
      <c r="O129" s="156"/>
      <c r="P129" s="156"/>
      <c r="Q129" s="156"/>
      <c r="R129" s="156"/>
      <c r="S129" s="156"/>
      <c r="T129" s="156"/>
      <c r="U129" s="156"/>
      <c r="V129" s="156"/>
      <c r="W129" s="156"/>
      <c r="X129" s="156"/>
      <c r="Y129" s="156"/>
      <c r="Z129" s="156"/>
      <c r="AA129" s="156"/>
      <c r="AB129" s="156"/>
      <c r="AC129" s="156"/>
    </row>
    <row r="130" spans="1:29" ht="13">
      <c r="A130" s="140"/>
      <c r="B130" s="140"/>
      <c r="C130" s="156"/>
      <c r="D130" s="156"/>
      <c r="E130" s="156"/>
      <c r="F130" s="184"/>
      <c r="G130" s="189"/>
      <c r="H130" s="184"/>
      <c r="I130" s="156"/>
      <c r="J130" s="156"/>
      <c r="K130" s="156"/>
      <c r="L130" s="157"/>
      <c r="M130" s="156"/>
      <c r="N130" s="156"/>
      <c r="O130" s="156"/>
      <c r="P130" s="156"/>
      <c r="Q130" s="156"/>
      <c r="R130" s="156"/>
      <c r="S130" s="156"/>
      <c r="T130" s="156"/>
      <c r="U130" s="156"/>
      <c r="V130" s="156"/>
      <c r="W130" s="156"/>
      <c r="X130" s="156"/>
      <c r="Y130" s="156"/>
      <c r="Z130" s="156"/>
      <c r="AA130" s="156"/>
      <c r="AB130" s="156"/>
      <c r="AC130" s="156"/>
    </row>
    <row r="131" spans="1:29" ht="13">
      <c r="A131" s="140"/>
      <c r="B131" s="140"/>
      <c r="C131" s="156"/>
      <c r="D131" s="156"/>
      <c r="E131" s="156"/>
      <c r="F131" s="184"/>
      <c r="G131" s="189"/>
      <c r="H131" s="184"/>
      <c r="I131" s="156"/>
      <c r="J131" s="156"/>
      <c r="K131" s="156"/>
      <c r="L131" s="157"/>
      <c r="M131" s="156"/>
      <c r="N131" s="156"/>
      <c r="O131" s="156"/>
      <c r="P131" s="156"/>
      <c r="Q131" s="156"/>
      <c r="R131" s="156"/>
      <c r="S131" s="156"/>
      <c r="T131" s="156"/>
      <c r="U131" s="156"/>
      <c r="V131" s="156"/>
      <c r="W131" s="156"/>
      <c r="X131" s="156"/>
      <c r="Y131" s="156"/>
      <c r="Z131" s="156"/>
      <c r="AA131" s="156"/>
      <c r="AB131" s="156"/>
      <c r="AC131" s="156"/>
    </row>
    <row r="132" spans="1:29" ht="13">
      <c r="A132" s="140"/>
      <c r="B132" s="140"/>
      <c r="C132" s="156"/>
      <c r="D132" s="156"/>
      <c r="E132" s="156"/>
      <c r="F132" s="184"/>
      <c r="G132" s="189"/>
      <c r="H132" s="184"/>
      <c r="I132" s="156"/>
      <c r="J132" s="156"/>
      <c r="K132" s="156"/>
      <c r="L132" s="157"/>
      <c r="M132" s="156"/>
      <c r="N132" s="156"/>
      <c r="O132" s="156"/>
      <c r="P132" s="156"/>
      <c r="Q132" s="156"/>
      <c r="R132" s="156"/>
      <c r="S132" s="156"/>
      <c r="T132" s="156"/>
      <c r="U132" s="156"/>
      <c r="V132" s="156"/>
      <c r="W132" s="156"/>
      <c r="X132" s="156"/>
      <c r="Y132" s="156"/>
      <c r="Z132" s="156"/>
      <c r="AA132" s="156"/>
      <c r="AB132" s="156"/>
      <c r="AC132" s="156"/>
    </row>
    <row r="133" spans="1:29" ht="13">
      <c r="A133" s="140"/>
      <c r="B133" s="140"/>
      <c r="C133" s="156"/>
      <c r="D133" s="156"/>
      <c r="E133" s="156"/>
      <c r="F133" s="184"/>
      <c r="G133" s="189"/>
      <c r="H133" s="184"/>
      <c r="I133" s="156"/>
      <c r="J133" s="156"/>
      <c r="K133" s="156"/>
      <c r="L133" s="157"/>
      <c r="M133" s="156"/>
      <c r="N133" s="156"/>
      <c r="O133" s="156"/>
      <c r="P133" s="156"/>
      <c r="Q133" s="156"/>
      <c r="R133" s="156"/>
      <c r="S133" s="156"/>
      <c r="T133" s="156"/>
      <c r="U133" s="156"/>
      <c r="V133" s="156"/>
      <c r="W133" s="156"/>
      <c r="X133" s="156"/>
      <c r="Y133" s="156"/>
      <c r="Z133" s="156"/>
      <c r="AA133" s="156"/>
      <c r="AB133" s="156"/>
      <c r="AC133" s="156"/>
    </row>
    <row r="134" spans="1:29" ht="13">
      <c r="A134" s="140"/>
      <c r="B134" s="140"/>
      <c r="C134" s="156"/>
      <c r="D134" s="156"/>
      <c r="E134" s="156"/>
      <c r="F134" s="184"/>
      <c r="G134" s="189"/>
      <c r="H134" s="184"/>
      <c r="I134" s="156"/>
      <c r="J134" s="156"/>
      <c r="K134" s="156"/>
      <c r="L134" s="157"/>
      <c r="M134" s="156"/>
      <c r="N134" s="156"/>
      <c r="O134" s="156"/>
      <c r="P134" s="156"/>
      <c r="Q134" s="156"/>
      <c r="R134" s="156"/>
      <c r="S134" s="156"/>
      <c r="T134" s="156"/>
      <c r="U134" s="156"/>
      <c r="V134" s="156"/>
      <c r="W134" s="156"/>
      <c r="X134" s="156"/>
      <c r="Y134" s="156"/>
      <c r="Z134" s="156"/>
      <c r="AA134" s="156"/>
      <c r="AB134" s="156"/>
      <c r="AC134" s="156"/>
    </row>
    <row r="135" spans="1:29" ht="13">
      <c r="A135" s="140"/>
      <c r="B135" s="140"/>
      <c r="C135" s="156"/>
      <c r="D135" s="156"/>
      <c r="E135" s="156"/>
      <c r="F135" s="184"/>
      <c r="G135" s="189"/>
      <c r="H135" s="184"/>
      <c r="I135" s="156"/>
      <c r="J135" s="156"/>
      <c r="K135" s="156"/>
      <c r="L135" s="157"/>
      <c r="M135" s="156"/>
      <c r="N135" s="156"/>
      <c r="O135" s="156"/>
      <c r="P135" s="156"/>
      <c r="Q135" s="156"/>
      <c r="R135" s="156"/>
      <c r="S135" s="156"/>
      <c r="T135" s="156"/>
      <c r="U135" s="156"/>
      <c r="V135" s="156"/>
      <c r="W135" s="156"/>
      <c r="X135" s="156"/>
      <c r="Y135" s="156"/>
      <c r="Z135" s="156"/>
      <c r="AA135" s="156"/>
      <c r="AB135" s="156"/>
      <c r="AC135" s="156"/>
    </row>
    <row r="136" spans="1:29" ht="13">
      <c r="A136" s="140"/>
      <c r="B136" s="140"/>
      <c r="C136" s="156"/>
      <c r="D136" s="156"/>
      <c r="E136" s="156"/>
      <c r="F136" s="184"/>
      <c r="G136" s="189"/>
      <c r="H136" s="184"/>
      <c r="I136" s="156"/>
      <c r="J136" s="156"/>
      <c r="K136" s="156"/>
      <c r="L136" s="157"/>
      <c r="M136" s="156"/>
      <c r="N136" s="156"/>
      <c r="O136" s="156"/>
      <c r="P136" s="156"/>
      <c r="Q136" s="156"/>
      <c r="R136" s="156"/>
      <c r="S136" s="156"/>
      <c r="T136" s="156"/>
      <c r="U136" s="156"/>
      <c r="V136" s="156"/>
      <c r="W136" s="156"/>
      <c r="X136" s="156"/>
      <c r="Y136" s="156"/>
      <c r="Z136" s="156"/>
      <c r="AA136" s="156"/>
      <c r="AB136" s="156"/>
      <c r="AC136" s="156"/>
    </row>
    <row r="137" spans="1:29" ht="13">
      <c r="A137" s="140"/>
      <c r="B137" s="140"/>
      <c r="C137" s="156"/>
      <c r="D137" s="156"/>
      <c r="E137" s="156"/>
      <c r="F137" s="184"/>
      <c r="G137" s="189"/>
      <c r="H137" s="184"/>
      <c r="I137" s="156"/>
      <c r="J137" s="156"/>
      <c r="K137" s="156"/>
      <c r="L137" s="157"/>
      <c r="M137" s="156"/>
      <c r="N137" s="156"/>
      <c r="O137" s="156"/>
      <c r="P137" s="156"/>
      <c r="Q137" s="156"/>
      <c r="R137" s="156"/>
      <c r="S137" s="156"/>
      <c r="T137" s="156"/>
      <c r="U137" s="156"/>
      <c r="V137" s="156"/>
      <c r="W137" s="156"/>
      <c r="X137" s="156"/>
      <c r="Y137" s="156"/>
      <c r="Z137" s="156"/>
      <c r="AA137" s="156"/>
      <c r="AB137" s="156"/>
      <c r="AC137" s="156"/>
    </row>
    <row r="138" spans="1:29" ht="13">
      <c r="A138" s="140"/>
      <c r="B138" s="140"/>
      <c r="C138" s="156"/>
      <c r="D138" s="156"/>
      <c r="E138" s="156"/>
      <c r="F138" s="184"/>
      <c r="G138" s="189"/>
      <c r="H138" s="184"/>
      <c r="I138" s="156"/>
      <c r="J138" s="156"/>
      <c r="K138" s="156"/>
      <c r="L138" s="157"/>
      <c r="M138" s="156"/>
      <c r="N138" s="156"/>
      <c r="O138" s="156"/>
      <c r="P138" s="156"/>
      <c r="Q138" s="156"/>
      <c r="R138" s="156"/>
      <c r="S138" s="156"/>
      <c r="T138" s="156"/>
      <c r="U138" s="156"/>
      <c r="V138" s="156"/>
      <c r="W138" s="156"/>
      <c r="X138" s="156"/>
      <c r="Y138" s="156"/>
      <c r="Z138" s="156"/>
      <c r="AA138" s="156"/>
      <c r="AB138" s="156"/>
      <c r="AC138" s="156"/>
    </row>
    <row r="139" spans="1:29" ht="13">
      <c r="A139" s="140"/>
      <c r="B139" s="140"/>
      <c r="C139" s="156"/>
      <c r="D139" s="156"/>
      <c r="E139" s="156"/>
      <c r="F139" s="184"/>
      <c r="G139" s="189"/>
      <c r="H139" s="184"/>
      <c r="I139" s="156"/>
      <c r="J139" s="156"/>
      <c r="K139" s="156"/>
      <c r="L139" s="157"/>
      <c r="M139" s="156"/>
      <c r="N139" s="156"/>
      <c r="O139" s="156"/>
      <c r="P139" s="156"/>
      <c r="Q139" s="156"/>
      <c r="R139" s="156"/>
      <c r="S139" s="156"/>
      <c r="T139" s="156"/>
      <c r="U139" s="156"/>
      <c r="V139" s="156"/>
      <c r="W139" s="156"/>
      <c r="X139" s="156"/>
      <c r="Y139" s="156"/>
      <c r="Z139" s="156"/>
      <c r="AA139" s="156"/>
      <c r="AB139" s="156"/>
      <c r="AC139" s="156"/>
    </row>
    <row r="140" spans="1:29" ht="13">
      <c r="A140" s="140"/>
      <c r="B140" s="140"/>
      <c r="C140" s="156"/>
      <c r="D140" s="156"/>
      <c r="E140" s="156"/>
      <c r="F140" s="184"/>
      <c r="G140" s="189"/>
      <c r="H140" s="184"/>
      <c r="I140" s="156"/>
      <c r="J140" s="156"/>
      <c r="K140" s="156"/>
      <c r="L140" s="157"/>
      <c r="M140" s="156"/>
      <c r="N140" s="156"/>
      <c r="O140" s="156"/>
      <c r="P140" s="156"/>
      <c r="Q140" s="156"/>
      <c r="R140" s="156"/>
      <c r="S140" s="156"/>
      <c r="T140" s="156"/>
      <c r="U140" s="156"/>
      <c r="V140" s="156"/>
      <c r="W140" s="156"/>
      <c r="X140" s="156"/>
      <c r="Y140" s="156"/>
      <c r="Z140" s="156"/>
      <c r="AA140" s="156"/>
      <c r="AB140" s="156"/>
      <c r="AC140" s="156"/>
    </row>
    <row r="141" spans="1:29" ht="13">
      <c r="A141" s="140"/>
      <c r="B141" s="140"/>
      <c r="C141" s="156"/>
      <c r="D141" s="156"/>
      <c r="E141" s="156"/>
      <c r="F141" s="184"/>
      <c r="G141" s="189"/>
      <c r="H141" s="184"/>
      <c r="I141" s="156"/>
      <c r="J141" s="156"/>
      <c r="K141" s="156"/>
      <c r="L141" s="157"/>
      <c r="M141" s="156"/>
      <c r="N141" s="156"/>
      <c r="O141" s="156"/>
      <c r="P141" s="156"/>
      <c r="Q141" s="156"/>
      <c r="R141" s="156"/>
      <c r="S141" s="156"/>
      <c r="T141" s="156"/>
      <c r="U141" s="156"/>
      <c r="V141" s="156"/>
      <c r="W141" s="156"/>
      <c r="X141" s="156"/>
      <c r="Y141" s="156"/>
      <c r="Z141" s="156"/>
      <c r="AA141" s="156"/>
      <c r="AB141" s="156"/>
      <c r="AC141" s="156"/>
    </row>
    <row r="142" spans="1:29" ht="13">
      <c r="A142" s="140"/>
      <c r="B142" s="140"/>
      <c r="C142" s="156"/>
      <c r="D142" s="156"/>
      <c r="E142" s="156"/>
      <c r="F142" s="184"/>
      <c r="G142" s="189"/>
      <c r="H142" s="184"/>
      <c r="I142" s="156"/>
      <c r="J142" s="156"/>
      <c r="K142" s="156"/>
      <c r="L142" s="157"/>
      <c r="M142" s="156"/>
      <c r="N142" s="156"/>
      <c r="O142" s="156"/>
      <c r="P142" s="156"/>
      <c r="Q142" s="156"/>
      <c r="R142" s="156"/>
      <c r="S142" s="156"/>
      <c r="T142" s="156"/>
      <c r="U142" s="156"/>
      <c r="V142" s="156"/>
      <c r="W142" s="156"/>
      <c r="X142" s="156"/>
      <c r="Y142" s="156"/>
      <c r="Z142" s="156"/>
      <c r="AA142" s="156"/>
      <c r="AB142" s="156"/>
      <c r="AC142" s="156"/>
    </row>
    <row r="143" spans="1:29" ht="13">
      <c r="A143" s="140"/>
      <c r="B143" s="140"/>
      <c r="C143" s="156"/>
      <c r="D143" s="156"/>
      <c r="E143" s="156"/>
      <c r="F143" s="184"/>
      <c r="G143" s="189"/>
      <c r="H143" s="184"/>
      <c r="I143" s="156"/>
      <c r="J143" s="156"/>
      <c r="K143" s="156"/>
      <c r="L143" s="157"/>
      <c r="M143" s="156"/>
      <c r="N143" s="156"/>
      <c r="O143" s="156"/>
      <c r="P143" s="156"/>
      <c r="Q143" s="156"/>
      <c r="R143" s="156"/>
      <c r="S143" s="156"/>
      <c r="T143" s="156"/>
      <c r="U143" s="156"/>
      <c r="V143" s="156"/>
      <c r="W143" s="156"/>
      <c r="X143" s="156"/>
      <c r="Y143" s="156"/>
      <c r="Z143" s="156"/>
      <c r="AA143" s="156"/>
      <c r="AB143" s="156"/>
      <c r="AC143" s="156"/>
    </row>
    <row r="144" spans="1:29" ht="13">
      <c r="A144" s="140"/>
      <c r="B144" s="140"/>
      <c r="C144" s="156"/>
      <c r="D144" s="156"/>
      <c r="E144" s="156"/>
      <c r="F144" s="184"/>
      <c r="G144" s="189"/>
      <c r="H144" s="184"/>
      <c r="I144" s="156"/>
      <c r="J144" s="156"/>
      <c r="K144" s="156"/>
      <c r="L144" s="157"/>
      <c r="M144" s="156"/>
      <c r="N144" s="156"/>
      <c r="O144" s="156"/>
      <c r="P144" s="156"/>
      <c r="Q144" s="156"/>
      <c r="R144" s="156"/>
      <c r="S144" s="156"/>
      <c r="T144" s="156"/>
      <c r="U144" s="156"/>
      <c r="V144" s="156"/>
      <c r="W144" s="156"/>
      <c r="X144" s="156"/>
      <c r="Y144" s="156"/>
      <c r="Z144" s="156"/>
      <c r="AA144" s="156"/>
      <c r="AB144" s="156"/>
      <c r="AC144" s="156"/>
    </row>
    <row r="145" spans="1:29" ht="13">
      <c r="A145" s="140"/>
      <c r="B145" s="140"/>
      <c r="C145" s="156"/>
      <c r="D145" s="156"/>
      <c r="E145" s="156"/>
      <c r="F145" s="184"/>
      <c r="G145" s="189"/>
      <c r="H145" s="184"/>
      <c r="I145" s="156"/>
      <c r="J145" s="156"/>
      <c r="K145" s="156"/>
      <c r="L145" s="157"/>
      <c r="M145" s="156"/>
      <c r="N145" s="156"/>
      <c r="O145" s="156"/>
      <c r="P145" s="156"/>
      <c r="Q145" s="156"/>
      <c r="R145" s="156"/>
      <c r="S145" s="156"/>
      <c r="T145" s="156"/>
      <c r="U145" s="156"/>
      <c r="V145" s="156"/>
      <c r="W145" s="156"/>
      <c r="X145" s="156"/>
      <c r="Y145" s="156"/>
      <c r="Z145" s="156"/>
      <c r="AA145" s="156"/>
      <c r="AB145" s="156"/>
      <c r="AC145" s="156"/>
    </row>
    <row r="146" spans="1:29" ht="13">
      <c r="A146" s="140"/>
      <c r="B146" s="140"/>
      <c r="C146" s="156"/>
      <c r="D146" s="156"/>
      <c r="E146" s="156"/>
      <c r="F146" s="184"/>
      <c r="G146" s="189"/>
      <c r="H146" s="184"/>
      <c r="I146" s="156"/>
      <c r="J146" s="156"/>
      <c r="K146" s="156"/>
      <c r="L146" s="157"/>
      <c r="M146" s="156"/>
      <c r="N146" s="156"/>
      <c r="O146" s="156"/>
      <c r="P146" s="156"/>
      <c r="Q146" s="156"/>
      <c r="R146" s="156"/>
      <c r="S146" s="156"/>
      <c r="T146" s="156"/>
      <c r="U146" s="156"/>
      <c r="V146" s="156"/>
      <c r="W146" s="156"/>
      <c r="X146" s="156"/>
      <c r="Y146" s="156"/>
      <c r="Z146" s="156"/>
      <c r="AA146" s="156"/>
      <c r="AB146" s="156"/>
      <c r="AC146" s="156"/>
    </row>
    <row r="147" spans="1:29" ht="13">
      <c r="A147" s="140"/>
      <c r="B147" s="140"/>
      <c r="C147" s="156"/>
      <c r="D147" s="156"/>
      <c r="E147" s="156"/>
      <c r="F147" s="184"/>
      <c r="G147" s="189"/>
      <c r="H147" s="184"/>
      <c r="I147" s="156"/>
      <c r="J147" s="156"/>
      <c r="K147" s="156"/>
      <c r="L147" s="157"/>
      <c r="M147" s="156"/>
      <c r="N147" s="156"/>
      <c r="O147" s="156"/>
      <c r="P147" s="156"/>
      <c r="Q147" s="156"/>
      <c r="R147" s="156"/>
      <c r="S147" s="156"/>
      <c r="T147" s="156"/>
      <c r="U147" s="156"/>
      <c r="V147" s="156"/>
      <c r="W147" s="156"/>
      <c r="X147" s="156"/>
      <c r="Y147" s="156"/>
      <c r="Z147" s="156"/>
      <c r="AA147" s="156"/>
      <c r="AB147" s="156"/>
      <c r="AC147" s="156"/>
    </row>
    <row r="148" spans="1:29" ht="13">
      <c r="A148" s="140"/>
      <c r="B148" s="140"/>
      <c r="C148" s="156"/>
      <c r="D148" s="156"/>
      <c r="E148" s="156"/>
      <c r="F148" s="184"/>
      <c r="G148" s="189"/>
      <c r="H148" s="184"/>
      <c r="I148" s="156"/>
      <c r="J148" s="156"/>
      <c r="K148" s="156"/>
      <c r="L148" s="157"/>
      <c r="M148" s="156"/>
      <c r="N148" s="156"/>
      <c r="O148" s="156"/>
      <c r="P148" s="156"/>
      <c r="Q148" s="156"/>
      <c r="R148" s="156"/>
      <c r="S148" s="156"/>
      <c r="T148" s="156"/>
      <c r="U148" s="156"/>
      <c r="V148" s="156"/>
      <c r="W148" s="156"/>
      <c r="X148" s="156"/>
      <c r="Y148" s="156"/>
      <c r="Z148" s="156"/>
      <c r="AA148" s="156"/>
      <c r="AB148" s="156"/>
      <c r="AC148" s="156"/>
    </row>
    <row r="149" spans="1:29" ht="13">
      <c r="A149" s="140"/>
      <c r="B149" s="140"/>
      <c r="C149" s="156"/>
      <c r="D149" s="156"/>
      <c r="E149" s="156"/>
      <c r="F149" s="184"/>
      <c r="G149" s="189"/>
      <c r="H149" s="184"/>
      <c r="I149" s="156"/>
      <c r="J149" s="156"/>
      <c r="K149" s="156"/>
      <c r="L149" s="157"/>
      <c r="M149" s="156"/>
      <c r="N149" s="156"/>
      <c r="O149" s="156"/>
      <c r="P149" s="156"/>
      <c r="Q149" s="156"/>
      <c r="R149" s="156"/>
      <c r="S149" s="156"/>
      <c r="T149" s="156"/>
      <c r="U149" s="156"/>
      <c r="V149" s="156"/>
      <c r="W149" s="156"/>
      <c r="X149" s="156"/>
      <c r="Y149" s="156"/>
      <c r="Z149" s="156"/>
      <c r="AA149" s="156"/>
      <c r="AB149" s="156"/>
      <c r="AC149" s="156"/>
    </row>
    <row r="150" spans="1:29" ht="13">
      <c r="A150" s="140"/>
      <c r="B150" s="140"/>
      <c r="C150" s="156"/>
      <c r="D150" s="156"/>
      <c r="E150" s="156"/>
      <c r="F150" s="184"/>
      <c r="G150" s="189"/>
      <c r="H150" s="184"/>
      <c r="I150" s="156"/>
      <c r="J150" s="156"/>
      <c r="K150" s="156"/>
      <c r="L150" s="157"/>
      <c r="M150" s="156"/>
      <c r="N150" s="156"/>
      <c r="O150" s="156"/>
      <c r="P150" s="156"/>
      <c r="Q150" s="156"/>
      <c r="R150" s="156"/>
      <c r="S150" s="156"/>
      <c r="T150" s="156"/>
      <c r="U150" s="156"/>
      <c r="V150" s="156"/>
      <c r="W150" s="156"/>
      <c r="X150" s="156"/>
      <c r="Y150" s="156"/>
      <c r="Z150" s="156"/>
      <c r="AA150" s="156"/>
      <c r="AB150" s="156"/>
      <c r="AC150" s="156"/>
    </row>
    <row r="151" spans="1:29" ht="13">
      <c r="A151" s="140"/>
      <c r="B151" s="140"/>
      <c r="C151" s="156"/>
      <c r="D151" s="156"/>
      <c r="E151" s="156"/>
      <c r="F151" s="184"/>
      <c r="G151" s="189"/>
      <c r="H151" s="184"/>
      <c r="I151" s="156"/>
      <c r="J151" s="156"/>
      <c r="K151" s="156"/>
      <c r="L151" s="157"/>
      <c r="M151" s="156"/>
      <c r="N151" s="156"/>
      <c r="O151" s="156"/>
      <c r="P151" s="156"/>
      <c r="Q151" s="156"/>
      <c r="R151" s="156"/>
      <c r="S151" s="156"/>
      <c r="T151" s="156"/>
      <c r="U151" s="156"/>
      <c r="V151" s="156"/>
      <c r="W151" s="156"/>
      <c r="X151" s="156"/>
      <c r="Y151" s="156"/>
      <c r="Z151" s="156"/>
      <c r="AA151" s="156"/>
      <c r="AB151" s="156"/>
      <c r="AC151" s="156"/>
    </row>
    <row r="152" spans="1:29" ht="13">
      <c r="A152" s="140"/>
      <c r="B152" s="140"/>
      <c r="C152" s="156"/>
      <c r="D152" s="156"/>
      <c r="E152" s="156"/>
      <c r="F152" s="184"/>
      <c r="G152" s="189"/>
      <c r="H152" s="184"/>
      <c r="I152" s="156"/>
      <c r="J152" s="156"/>
      <c r="K152" s="156"/>
      <c r="L152" s="157"/>
      <c r="M152" s="156"/>
      <c r="N152" s="156"/>
      <c r="O152" s="156"/>
      <c r="P152" s="156"/>
      <c r="Q152" s="156"/>
      <c r="R152" s="156"/>
      <c r="S152" s="156"/>
      <c r="T152" s="156"/>
      <c r="U152" s="156"/>
      <c r="V152" s="156"/>
      <c r="W152" s="156"/>
      <c r="X152" s="156"/>
      <c r="Y152" s="156"/>
      <c r="Z152" s="156"/>
      <c r="AA152" s="156"/>
      <c r="AB152" s="156"/>
      <c r="AC152" s="156"/>
    </row>
    <row r="153" spans="1:29" ht="13">
      <c r="A153" s="140"/>
      <c r="B153" s="140"/>
      <c r="C153" s="156"/>
      <c r="D153" s="156"/>
      <c r="E153" s="156"/>
      <c r="F153" s="184"/>
      <c r="G153" s="189"/>
      <c r="H153" s="184"/>
      <c r="I153" s="156"/>
      <c r="J153" s="156"/>
      <c r="K153" s="156"/>
      <c r="L153" s="157"/>
      <c r="M153" s="156"/>
      <c r="N153" s="156"/>
      <c r="O153" s="156"/>
      <c r="P153" s="156"/>
      <c r="Q153" s="156"/>
      <c r="R153" s="156"/>
      <c r="S153" s="156"/>
      <c r="T153" s="156"/>
      <c r="U153" s="156"/>
      <c r="V153" s="156"/>
      <c r="W153" s="156"/>
      <c r="X153" s="156"/>
      <c r="Y153" s="156"/>
      <c r="Z153" s="156"/>
      <c r="AA153" s="156"/>
      <c r="AB153" s="156"/>
      <c r="AC153" s="156"/>
    </row>
    <row r="154" spans="1:29" ht="13">
      <c r="A154" s="140"/>
      <c r="B154" s="140"/>
      <c r="C154" s="156"/>
      <c r="D154" s="156"/>
      <c r="E154" s="156"/>
      <c r="F154" s="184"/>
      <c r="G154" s="189"/>
      <c r="H154" s="184"/>
      <c r="I154" s="156"/>
      <c r="J154" s="156"/>
      <c r="K154" s="156"/>
      <c r="L154" s="157"/>
      <c r="M154" s="156"/>
      <c r="N154" s="156"/>
      <c r="O154" s="156"/>
      <c r="P154" s="156"/>
      <c r="Q154" s="156"/>
      <c r="R154" s="156"/>
      <c r="S154" s="156"/>
      <c r="T154" s="156"/>
      <c r="U154" s="156"/>
      <c r="V154" s="156"/>
      <c r="W154" s="156"/>
      <c r="X154" s="156"/>
      <c r="Y154" s="156"/>
      <c r="Z154" s="156"/>
      <c r="AA154" s="156"/>
      <c r="AB154" s="156"/>
      <c r="AC154" s="156"/>
    </row>
    <row r="155" spans="1:29" ht="13">
      <c r="A155" s="140"/>
      <c r="B155" s="140"/>
      <c r="C155" s="156"/>
      <c r="D155" s="156"/>
      <c r="E155" s="156"/>
      <c r="F155" s="184"/>
      <c r="G155" s="189"/>
      <c r="H155" s="184"/>
      <c r="I155" s="156"/>
      <c r="J155" s="156"/>
      <c r="K155" s="156"/>
      <c r="L155" s="157"/>
      <c r="M155" s="156"/>
      <c r="N155" s="156"/>
      <c r="O155" s="156"/>
      <c r="P155" s="156"/>
      <c r="Q155" s="156"/>
      <c r="R155" s="156"/>
      <c r="S155" s="156"/>
      <c r="T155" s="156"/>
      <c r="U155" s="156"/>
      <c r="V155" s="156"/>
      <c r="W155" s="156"/>
      <c r="X155" s="156"/>
      <c r="Y155" s="156"/>
      <c r="Z155" s="156"/>
      <c r="AA155" s="156"/>
      <c r="AB155" s="156"/>
      <c r="AC155" s="156"/>
    </row>
    <row r="156" spans="1:29" ht="13">
      <c r="A156" s="140"/>
      <c r="B156" s="140"/>
      <c r="C156" s="156"/>
      <c r="D156" s="156"/>
      <c r="E156" s="156"/>
      <c r="F156" s="184"/>
      <c r="G156" s="189"/>
      <c r="H156" s="184"/>
      <c r="I156" s="156"/>
      <c r="J156" s="156"/>
      <c r="K156" s="156"/>
      <c r="L156" s="157"/>
      <c r="M156" s="156"/>
      <c r="N156" s="156"/>
      <c r="O156" s="156"/>
      <c r="P156" s="156"/>
      <c r="Q156" s="156"/>
      <c r="R156" s="156"/>
      <c r="S156" s="156"/>
      <c r="T156" s="156"/>
      <c r="U156" s="156"/>
      <c r="V156" s="156"/>
      <c r="W156" s="156"/>
      <c r="X156" s="156"/>
      <c r="Y156" s="156"/>
      <c r="Z156" s="156"/>
      <c r="AA156" s="156"/>
      <c r="AB156" s="156"/>
      <c r="AC156" s="156"/>
    </row>
    <row r="157" spans="1:29" ht="13">
      <c r="A157" s="140"/>
      <c r="B157" s="140"/>
      <c r="C157" s="156"/>
      <c r="D157" s="156"/>
      <c r="E157" s="156"/>
      <c r="F157" s="184"/>
      <c r="G157" s="189"/>
      <c r="H157" s="184"/>
      <c r="I157" s="156"/>
      <c r="J157" s="156"/>
      <c r="K157" s="156"/>
      <c r="L157" s="157"/>
      <c r="M157" s="156"/>
      <c r="N157" s="156"/>
      <c r="O157" s="156"/>
      <c r="P157" s="156"/>
      <c r="Q157" s="156"/>
      <c r="R157" s="156"/>
      <c r="S157" s="156"/>
      <c r="T157" s="156"/>
      <c r="U157" s="156"/>
      <c r="V157" s="156"/>
      <c r="W157" s="156"/>
      <c r="X157" s="156"/>
      <c r="Y157" s="156"/>
      <c r="Z157" s="156"/>
      <c r="AA157" s="156"/>
      <c r="AB157" s="156"/>
      <c r="AC157" s="156"/>
    </row>
    <row r="158" spans="1:29" ht="13">
      <c r="A158" s="140"/>
      <c r="B158" s="140"/>
      <c r="C158" s="156"/>
      <c r="D158" s="156"/>
      <c r="E158" s="156"/>
      <c r="F158" s="184"/>
      <c r="G158" s="189"/>
      <c r="H158" s="184"/>
      <c r="I158" s="156"/>
      <c r="J158" s="156"/>
      <c r="K158" s="156"/>
      <c r="L158" s="157"/>
      <c r="M158" s="156"/>
      <c r="N158" s="156"/>
      <c r="O158" s="156"/>
      <c r="P158" s="156"/>
      <c r="Q158" s="156"/>
      <c r="R158" s="156"/>
      <c r="S158" s="156"/>
      <c r="T158" s="156"/>
      <c r="U158" s="156"/>
      <c r="V158" s="156"/>
      <c r="W158" s="156"/>
      <c r="X158" s="156"/>
      <c r="Y158" s="156"/>
      <c r="Z158" s="156"/>
      <c r="AA158" s="156"/>
      <c r="AB158" s="156"/>
      <c r="AC158" s="156"/>
    </row>
    <row r="159" spans="1:29" ht="13">
      <c r="A159" s="140"/>
      <c r="B159" s="140"/>
      <c r="C159" s="156"/>
      <c r="D159" s="156"/>
      <c r="E159" s="156"/>
      <c r="F159" s="184"/>
      <c r="G159" s="189"/>
      <c r="H159" s="184"/>
      <c r="I159" s="156"/>
      <c r="J159" s="156"/>
      <c r="K159" s="156"/>
      <c r="L159" s="157"/>
      <c r="M159" s="156"/>
      <c r="N159" s="156"/>
      <c r="O159" s="156"/>
      <c r="P159" s="156"/>
      <c r="Q159" s="156"/>
      <c r="R159" s="156"/>
      <c r="S159" s="156"/>
      <c r="T159" s="156"/>
      <c r="U159" s="156"/>
      <c r="V159" s="156"/>
      <c r="W159" s="156"/>
      <c r="X159" s="156"/>
      <c r="Y159" s="156"/>
      <c r="Z159" s="156"/>
      <c r="AA159" s="156"/>
      <c r="AB159" s="156"/>
      <c r="AC159" s="156"/>
    </row>
    <row r="160" spans="1:29" ht="13">
      <c r="A160" s="140"/>
      <c r="B160" s="140"/>
      <c r="C160" s="156"/>
      <c r="D160" s="156"/>
      <c r="E160" s="156"/>
      <c r="F160" s="184"/>
      <c r="G160" s="189"/>
      <c r="H160" s="184"/>
      <c r="I160" s="156"/>
      <c r="J160" s="156"/>
      <c r="K160" s="156"/>
      <c r="L160" s="157"/>
      <c r="M160" s="156"/>
      <c r="N160" s="156"/>
      <c r="O160" s="156"/>
      <c r="P160" s="156"/>
      <c r="Q160" s="156"/>
      <c r="R160" s="156"/>
      <c r="S160" s="156"/>
      <c r="T160" s="156"/>
      <c r="U160" s="156"/>
      <c r="V160" s="156"/>
      <c r="W160" s="156"/>
      <c r="X160" s="156"/>
      <c r="Y160" s="156"/>
      <c r="Z160" s="156"/>
      <c r="AA160" s="156"/>
      <c r="AB160" s="156"/>
      <c r="AC160" s="156"/>
    </row>
    <row r="161" spans="1:29" ht="13">
      <c r="A161" s="140"/>
      <c r="B161" s="140"/>
      <c r="C161" s="156"/>
      <c r="D161" s="156"/>
      <c r="E161" s="156"/>
      <c r="F161" s="184"/>
      <c r="G161" s="189"/>
      <c r="H161" s="184"/>
      <c r="I161" s="156"/>
      <c r="J161" s="156"/>
      <c r="K161" s="156"/>
      <c r="L161" s="157"/>
      <c r="M161" s="156"/>
      <c r="N161" s="156"/>
      <c r="O161" s="156"/>
      <c r="P161" s="156"/>
      <c r="Q161" s="156"/>
      <c r="R161" s="156"/>
      <c r="S161" s="156"/>
      <c r="T161" s="156"/>
      <c r="U161" s="156"/>
      <c r="V161" s="156"/>
      <c r="W161" s="156"/>
      <c r="X161" s="156"/>
      <c r="Y161" s="156"/>
      <c r="Z161" s="156"/>
      <c r="AA161" s="156"/>
      <c r="AB161" s="156"/>
      <c r="AC161" s="156"/>
    </row>
    <row r="162" spans="1:29" ht="13">
      <c r="A162" s="140"/>
      <c r="B162" s="140"/>
      <c r="C162" s="156"/>
      <c r="D162" s="156"/>
      <c r="E162" s="156"/>
      <c r="F162" s="184"/>
      <c r="G162" s="189"/>
      <c r="H162" s="184"/>
      <c r="I162" s="156"/>
      <c r="J162" s="156"/>
      <c r="K162" s="156"/>
      <c r="L162" s="157"/>
      <c r="M162" s="156"/>
      <c r="N162" s="156"/>
      <c r="O162" s="156"/>
      <c r="P162" s="156"/>
      <c r="Q162" s="156"/>
      <c r="R162" s="156"/>
      <c r="S162" s="156"/>
      <c r="T162" s="156"/>
      <c r="U162" s="156"/>
      <c r="V162" s="156"/>
      <c r="W162" s="156"/>
      <c r="X162" s="156"/>
      <c r="Y162" s="156"/>
      <c r="Z162" s="156"/>
      <c r="AA162" s="156"/>
      <c r="AB162" s="156"/>
      <c r="AC162" s="156"/>
    </row>
    <row r="163" spans="1:29" ht="13">
      <c r="A163" s="140"/>
      <c r="B163" s="140"/>
      <c r="C163" s="156"/>
      <c r="D163" s="156"/>
      <c r="E163" s="156"/>
      <c r="F163" s="184"/>
      <c r="G163" s="189"/>
      <c r="H163" s="184"/>
      <c r="I163" s="156"/>
      <c r="J163" s="156"/>
      <c r="K163" s="156"/>
      <c r="L163" s="157"/>
      <c r="M163" s="156"/>
      <c r="N163" s="156"/>
      <c r="O163" s="156"/>
      <c r="P163" s="156"/>
      <c r="Q163" s="156"/>
      <c r="R163" s="156"/>
      <c r="S163" s="156"/>
      <c r="T163" s="156"/>
      <c r="U163" s="156"/>
      <c r="V163" s="156"/>
      <c r="W163" s="156"/>
      <c r="X163" s="156"/>
      <c r="Y163" s="156"/>
      <c r="Z163" s="156"/>
      <c r="AA163" s="156"/>
      <c r="AB163" s="156"/>
      <c r="AC163" s="156"/>
    </row>
    <row r="164" spans="1:29" ht="13">
      <c r="A164" s="140"/>
      <c r="B164" s="140"/>
      <c r="C164" s="156"/>
      <c r="D164" s="156"/>
      <c r="E164" s="156"/>
      <c r="F164" s="184"/>
      <c r="G164" s="189"/>
      <c r="H164" s="184"/>
      <c r="I164" s="156"/>
      <c r="J164" s="156"/>
      <c r="K164" s="156"/>
      <c r="L164" s="157"/>
      <c r="M164" s="156"/>
      <c r="N164" s="156"/>
      <c r="O164" s="156"/>
      <c r="P164" s="156"/>
      <c r="Q164" s="156"/>
      <c r="R164" s="156"/>
      <c r="S164" s="156"/>
      <c r="T164" s="156"/>
      <c r="U164" s="156"/>
      <c r="V164" s="156"/>
      <c r="W164" s="156"/>
      <c r="X164" s="156"/>
      <c r="Y164" s="156"/>
      <c r="Z164" s="156"/>
      <c r="AA164" s="156"/>
      <c r="AB164" s="156"/>
      <c r="AC164" s="156"/>
    </row>
    <row r="165" spans="1:29" ht="13">
      <c r="A165" s="140"/>
      <c r="B165" s="140"/>
      <c r="C165" s="156"/>
      <c r="D165" s="156"/>
      <c r="E165" s="156"/>
      <c r="F165" s="184"/>
      <c r="G165" s="189"/>
      <c r="H165" s="184"/>
      <c r="I165" s="156"/>
      <c r="J165" s="156"/>
      <c r="K165" s="156"/>
      <c r="L165" s="157"/>
      <c r="M165" s="156"/>
      <c r="N165" s="156"/>
      <c r="O165" s="156"/>
      <c r="P165" s="156"/>
      <c r="Q165" s="156"/>
      <c r="R165" s="156"/>
      <c r="S165" s="156"/>
      <c r="T165" s="156"/>
      <c r="U165" s="156"/>
      <c r="V165" s="156"/>
      <c r="W165" s="156"/>
      <c r="X165" s="156"/>
      <c r="Y165" s="156"/>
      <c r="Z165" s="156"/>
      <c r="AA165" s="156"/>
      <c r="AB165" s="156"/>
      <c r="AC165" s="156"/>
    </row>
    <row r="166" spans="1:29" ht="13">
      <c r="A166" s="140"/>
      <c r="B166" s="140"/>
      <c r="C166" s="156"/>
      <c r="D166" s="156"/>
      <c r="E166" s="156"/>
      <c r="F166" s="184"/>
      <c r="G166" s="189"/>
      <c r="H166" s="184"/>
      <c r="I166" s="156"/>
      <c r="J166" s="156"/>
      <c r="K166" s="156"/>
      <c r="L166" s="157"/>
      <c r="M166" s="156"/>
      <c r="N166" s="156"/>
      <c r="O166" s="156"/>
      <c r="P166" s="156"/>
      <c r="Q166" s="156"/>
      <c r="R166" s="156"/>
      <c r="S166" s="156"/>
      <c r="T166" s="156"/>
      <c r="U166" s="156"/>
      <c r="V166" s="156"/>
      <c r="W166" s="156"/>
      <c r="X166" s="156"/>
      <c r="Y166" s="156"/>
      <c r="Z166" s="156"/>
      <c r="AA166" s="156"/>
      <c r="AB166" s="156"/>
      <c r="AC166" s="156"/>
    </row>
    <row r="167" spans="1:29" ht="13">
      <c r="A167" s="140"/>
      <c r="B167" s="140"/>
      <c r="C167" s="156"/>
      <c r="D167" s="156"/>
      <c r="E167" s="156"/>
      <c r="F167" s="184"/>
      <c r="G167" s="189"/>
      <c r="H167" s="184"/>
      <c r="I167" s="156"/>
      <c r="J167" s="156"/>
      <c r="K167" s="156"/>
      <c r="L167" s="157"/>
      <c r="M167" s="156"/>
      <c r="N167" s="156"/>
      <c r="O167" s="156"/>
      <c r="P167" s="156"/>
      <c r="Q167" s="156"/>
      <c r="R167" s="156"/>
      <c r="S167" s="156"/>
      <c r="T167" s="156"/>
      <c r="U167" s="156"/>
      <c r="V167" s="156"/>
      <c r="W167" s="156"/>
      <c r="X167" s="156"/>
      <c r="Y167" s="156"/>
      <c r="Z167" s="156"/>
      <c r="AA167" s="156"/>
      <c r="AB167" s="156"/>
      <c r="AC167" s="156"/>
    </row>
    <row r="168" spans="1:29" ht="13">
      <c r="A168" s="140"/>
      <c r="B168" s="140"/>
      <c r="C168" s="156"/>
      <c r="D168" s="156"/>
      <c r="E168" s="156"/>
      <c r="F168" s="184"/>
      <c r="G168" s="189"/>
      <c r="H168" s="184"/>
      <c r="I168" s="156"/>
      <c r="J168" s="156"/>
      <c r="K168" s="156"/>
      <c r="L168" s="157"/>
      <c r="M168" s="156"/>
      <c r="N168" s="156"/>
      <c r="O168" s="156"/>
      <c r="P168" s="156"/>
      <c r="Q168" s="156"/>
      <c r="R168" s="156"/>
      <c r="S168" s="156"/>
      <c r="T168" s="156"/>
      <c r="U168" s="156"/>
      <c r="V168" s="156"/>
      <c r="W168" s="156"/>
      <c r="X168" s="156"/>
      <c r="Y168" s="156"/>
      <c r="Z168" s="156"/>
      <c r="AA168" s="156"/>
      <c r="AB168" s="156"/>
      <c r="AC168" s="156"/>
    </row>
    <row r="169" spans="1:29" ht="13">
      <c r="A169" s="140"/>
      <c r="B169" s="140"/>
      <c r="C169" s="156"/>
      <c r="D169" s="156"/>
      <c r="E169" s="156"/>
      <c r="F169" s="184"/>
      <c r="G169" s="189"/>
      <c r="H169" s="184"/>
      <c r="I169" s="156"/>
      <c r="J169" s="156"/>
      <c r="K169" s="156"/>
      <c r="L169" s="157"/>
      <c r="M169" s="156"/>
      <c r="N169" s="156"/>
      <c r="O169" s="156"/>
      <c r="P169" s="156"/>
      <c r="Q169" s="156"/>
      <c r="R169" s="156"/>
      <c r="S169" s="156"/>
      <c r="T169" s="156"/>
      <c r="U169" s="156"/>
      <c r="V169" s="156"/>
      <c r="W169" s="156"/>
      <c r="X169" s="156"/>
      <c r="Y169" s="156"/>
      <c r="Z169" s="156"/>
      <c r="AA169" s="156"/>
      <c r="AB169" s="156"/>
      <c r="AC169" s="156"/>
    </row>
    <row r="170" spans="1:29" ht="13">
      <c r="A170" s="140"/>
      <c r="B170" s="140"/>
      <c r="C170" s="156"/>
      <c r="D170" s="156"/>
      <c r="E170" s="156"/>
      <c r="F170" s="184"/>
      <c r="G170" s="189"/>
      <c r="H170" s="184"/>
      <c r="I170" s="156"/>
      <c r="J170" s="156"/>
      <c r="K170" s="156"/>
      <c r="L170" s="157"/>
      <c r="M170" s="156"/>
      <c r="N170" s="156"/>
      <c r="O170" s="156"/>
      <c r="P170" s="156"/>
      <c r="Q170" s="156"/>
      <c r="R170" s="156"/>
      <c r="S170" s="156"/>
      <c r="T170" s="156"/>
      <c r="U170" s="156"/>
      <c r="V170" s="156"/>
      <c r="W170" s="156"/>
      <c r="X170" s="156"/>
      <c r="Y170" s="156"/>
      <c r="Z170" s="156"/>
      <c r="AA170" s="156"/>
      <c r="AB170" s="156"/>
      <c r="AC170" s="156"/>
    </row>
    <row r="171" spans="1:29" ht="13">
      <c r="A171" s="140"/>
      <c r="B171" s="140"/>
      <c r="C171" s="156"/>
      <c r="D171" s="156"/>
      <c r="E171" s="156"/>
      <c r="F171" s="184"/>
      <c r="G171" s="189"/>
      <c r="H171" s="184"/>
      <c r="I171" s="156"/>
      <c r="J171" s="156"/>
      <c r="K171" s="156"/>
      <c r="L171" s="157"/>
      <c r="M171" s="156"/>
      <c r="N171" s="156"/>
      <c r="O171" s="156"/>
      <c r="P171" s="156"/>
      <c r="Q171" s="156"/>
      <c r="R171" s="156"/>
      <c r="S171" s="156"/>
      <c r="T171" s="156"/>
      <c r="U171" s="156"/>
      <c r="V171" s="156"/>
      <c r="W171" s="156"/>
      <c r="X171" s="156"/>
      <c r="Y171" s="156"/>
      <c r="Z171" s="156"/>
      <c r="AA171" s="156"/>
      <c r="AB171" s="156"/>
      <c r="AC171" s="156"/>
    </row>
    <row r="172" spans="1:29" ht="13">
      <c r="A172" s="140"/>
      <c r="B172" s="140"/>
      <c r="C172" s="156"/>
      <c r="D172" s="156"/>
      <c r="E172" s="156"/>
      <c r="F172" s="184"/>
      <c r="G172" s="189"/>
      <c r="H172" s="184"/>
      <c r="I172" s="156"/>
      <c r="J172" s="156"/>
      <c r="K172" s="156"/>
      <c r="L172" s="157"/>
      <c r="M172" s="156"/>
      <c r="N172" s="156"/>
      <c r="O172" s="156"/>
      <c r="P172" s="156"/>
      <c r="Q172" s="156"/>
      <c r="R172" s="156"/>
      <c r="S172" s="156"/>
      <c r="T172" s="156"/>
      <c r="U172" s="156"/>
      <c r="V172" s="156"/>
      <c r="W172" s="156"/>
      <c r="X172" s="156"/>
      <c r="Y172" s="156"/>
      <c r="Z172" s="156"/>
      <c r="AA172" s="156"/>
      <c r="AB172" s="156"/>
      <c r="AC172" s="156"/>
    </row>
    <row r="173" spans="1:29" ht="13">
      <c r="A173" s="140"/>
      <c r="B173" s="140"/>
      <c r="C173" s="156"/>
      <c r="D173" s="156"/>
      <c r="E173" s="156"/>
      <c r="F173" s="184"/>
      <c r="G173" s="189"/>
      <c r="H173" s="184"/>
      <c r="I173" s="156"/>
      <c r="J173" s="156"/>
      <c r="K173" s="156"/>
      <c r="L173" s="157"/>
      <c r="M173" s="156"/>
      <c r="N173" s="156"/>
      <c r="O173" s="156"/>
      <c r="P173" s="156"/>
      <c r="Q173" s="156"/>
      <c r="R173" s="156"/>
      <c r="S173" s="156"/>
      <c r="T173" s="156"/>
      <c r="U173" s="156"/>
      <c r="V173" s="156"/>
      <c r="W173" s="156"/>
      <c r="X173" s="156"/>
      <c r="Y173" s="156"/>
      <c r="Z173" s="156"/>
      <c r="AA173" s="156"/>
      <c r="AB173" s="156"/>
      <c r="AC173" s="156"/>
    </row>
    <row r="174" spans="1:29" ht="13">
      <c r="A174" s="140"/>
      <c r="B174" s="140"/>
      <c r="C174" s="156"/>
      <c r="D174" s="156"/>
      <c r="E174" s="156"/>
      <c r="F174" s="184"/>
      <c r="G174" s="189"/>
      <c r="H174" s="184"/>
      <c r="I174" s="156"/>
      <c r="J174" s="156"/>
      <c r="K174" s="156"/>
      <c r="L174" s="157"/>
      <c r="M174" s="156"/>
      <c r="N174" s="156"/>
      <c r="O174" s="156"/>
      <c r="P174" s="156"/>
      <c r="Q174" s="156"/>
      <c r="R174" s="156"/>
      <c r="S174" s="156"/>
      <c r="T174" s="156"/>
      <c r="U174" s="156"/>
      <c r="V174" s="156"/>
      <c r="W174" s="156"/>
      <c r="X174" s="156"/>
      <c r="Y174" s="156"/>
      <c r="Z174" s="156"/>
      <c r="AA174" s="156"/>
      <c r="AB174" s="156"/>
      <c r="AC174" s="156"/>
    </row>
    <row r="175" spans="1:29" ht="13">
      <c r="A175" s="140"/>
      <c r="B175" s="140"/>
      <c r="C175" s="156"/>
      <c r="D175" s="156"/>
      <c r="E175" s="156"/>
      <c r="F175" s="184"/>
      <c r="G175" s="189"/>
      <c r="H175" s="184"/>
      <c r="I175" s="156"/>
      <c r="J175" s="156"/>
      <c r="K175" s="156"/>
      <c r="L175" s="157"/>
      <c r="M175" s="156"/>
      <c r="N175" s="156"/>
      <c r="O175" s="156"/>
      <c r="P175" s="156"/>
      <c r="Q175" s="156"/>
      <c r="R175" s="156"/>
      <c r="S175" s="156"/>
      <c r="T175" s="156"/>
      <c r="U175" s="156"/>
      <c r="V175" s="156"/>
      <c r="W175" s="156"/>
      <c r="X175" s="156"/>
      <c r="Y175" s="156"/>
      <c r="Z175" s="156"/>
      <c r="AA175" s="156"/>
      <c r="AB175" s="156"/>
      <c r="AC175" s="156"/>
    </row>
    <row r="176" spans="1:29" ht="13">
      <c r="A176" s="140"/>
      <c r="B176" s="140"/>
      <c r="C176" s="156"/>
      <c r="D176" s="156"/>
      <c r="E176" s="156"/>
      <c r="F176" s="184"/>
      <c r="G176" s="189"/>
      <c r="H176" s="184"/>
      <c r="I176" s="156"/>
      <c r="J176" s="156"/>
      <c r="K176" s="156"/>
      <c r="L176" s="157"/>
      <c r="M176" s="156"/>
      <c r="N176" s="156"/>
      <c r="O176" s="156"/>
      <c r="P176" s="156"/>
      <c r="Q176" s="156"/>
      <c r="R176" s="156"/>
      <c r="S176" s="156"/>
      <c r="T176" s="156"/>
      <c r="U176" s="156"/>
      <c r="V176" s="156"/>
      <c r="W176" s="156"/>
      <c r="X176" s="156"/>
      <c r="Y176" s="156"/>
      <c r="Z176" s="156"/>
      <c r="AA176" s="156"/>
      <c r="AB176" s="156"/>
      <c r="AC176" s="156"/>
    </row>
    <row r="177" spans="1:29" ht="13">
      <c r="A177" s="140"/>
      <c r="B177" s="140"/>
      <c r="C177" s="156"/>
      <c r="D177" s="156"/>
      <c r="E177" s="156"/>
      <c r="F177" s="184"/>
      <c r="G177" s="189"/>
      <c r="H177" s="184"/>
      <c r="I177" s="156"/>
      <c r="J177" s="156"/>
      <c r="K177" s="156"/>
      <c r="L177" s="157"/>
      <c r="M177" s="156"/>
      <c r="N177" s="156"/>
      <c r="O177" s="156"/>
      <c r="P177" s="156"/>
      <c r="Q177" s="156"/>
      <c r="R177" s="156"/>
      <c r="S177" s="156"/>
      <c r="T177" s="156"/>
      <c r="U177" s="156"/>
      <c r="V177" s="156"/>
      <c r="W177" s="156"/>
      <c r="X177" s="156"/>
      <c r="Y177" s="156"/>
      <c r="Z177" s="156"/>
      <c r="AA177" s="156"/>
      <c r="AB177" s="156"/>
      <c r="AC177" s="156"/>
    </row>
    <row r="178" spans="1:29" ht="13">
      <c r="A178" s="140"/>
      <c r="B178" s="140"/>
      <c r="C178" s="156"/>
      <c r="D178" s="156"/>
      <c r="E178" s="156"/>
      <c r="F178" s="184"/>
      <c r="G178" s="189"/>
      <c r="H178" s="184"/>
      <c r="I178" s="156"/>
      <c r="J178" s="156"/>
      <c r="K178" s="156"/>
      <c r="L178" s="157"/>
      <c r="M178" s="156"/>
      <c r="N178" s="156"/>
      <c r="O178" s="156"/>
      <c r="P178" s="156"/>
      <c r="Q178" s="156"/>
      <c r="R178" s="156"/>
      <c r="S178" s="156"/>
      <c r="T178" s="156"/>
      <c r="U178" s="156"/>
      <c r="V178" s="156"/>
      <c r="W178" s="156"/>
      <c r="X178" s="156"/>
      <c r="Y178" s="156"/>
      <c r="Z178" s="156"/>
      <c r="AA178" s="156"/>
      <c r="AB178" s="156"/>
      <c r="AC178" s="156"/>
    </row>
    <row r="179" spans="1:29" ht="13">
      <c r="A179" s="140"/>
      <c r="B179" s="140"/>
      <c r="C179" s="156"/>
      <c r="D179" s="156"/>
      <c r="E179" s="156"/>
      <c r="F179" s="184"/>
      <c r="G179" s="189"/>
      <c r="H179" s="184"/>
      <c r="I179" s="156"/>
      <c r="J179" s="156"/>
      <c r="K179" s="156"/>
      <c r="L179" s="157"/>
      <c r="M179" s="156"/>
      <c r="N179" s="156"/>
      <c r="O179" s="156"/>
      <c r="P179" s="156"/>
      <c r="Q179" s="156"/>
      <c r="R179" s="156"/>
      <c r="S179" s="156"/>
      <c r="T179" s="156"/>
      <c r="U179" s="156"/>
      <c r="V179" s="156"/>
      <c r="W179" s="156"/>
      <c r="X179" s="156"/>
      <c r="Y179" s="156"/>
      <c r="Z179" s="156"/>
      <c r="AA179" s="156"/>
      <c r="AB179" s="156"/>
      <c r="AC179" s="156"/>
    </row>
    <row r="180" spans="1:29" ht="13">
      <c r="A180" s="140"/>
      <c r="B180" s="140"/>
      <c r="C180" s="156"/>
      <c r="D180" s="156"/>
      <c r="E180" s="156"/>
      <c r="F180" s="184"/>
      <c r="G180" s="189"/>
      <c r="H180" s="184"/>
      <c r="I180" s="156"/>
      <c r="J180" s="156"/>
      <c r="K180" s="156"/>
      <c r="L180" s="157"/>
      <c r="M180" s="156"/>
      <c r="N180" s="156"/>
      <c r="O180" s="156"/>
      <c r="P180" s="156"/>
      <c r="Q180" s="156"/>
      <c r="R180" s="156"/>
      <c r="S180" s="156"/>
      <c r="T180" s="156"/>
      <c r="U180" s="156"/>
      <c r="V180" s="156"/>
      <c r="W180" s="156"/>
      <c r="X180" s="156"/>
      <c r="Y180" s="156"/>
      <c r="Z180" s="156"/>
      <c r="AA180" s="156"/>
      <c r="AB180" s="156"/>
      <c r="AC180" s="156"/>
    </row>
    <row r="181" spans="1:29" ht="13">
      <c r="A181" s="140"/>
      <c r="B181" s="140"/>
      <c r="C181" s="156"/>
      <c r="D181" s="156"/>
      <c r="E181" s="156"/>
      <c r="F181" s="184"/>
      <c r="G181" s="189"/>
      <c r="H181" s="184"/>
      <c r="I181" s="156"/>
      <c r="J181" s="156"/>
      <c r="K181" s="156"/>
      <c r="L181" s="157"/>
      <c r="M181" s="156"/>
      <c r="N181" s="156"/>
      <c r="O181" s="156"/>
      <c r="P181" s="156"/>
      <c r="Q181" s="156"/>
      <c r="R181" s="156"/>
      <c r="S181" s="156"/>
      <c r="T181" s="156"/>
      <c r="U181" s="156"/>
      <c r="V181" s="156"/>
      <c r="W181" s="156"/>
      <c r="X181" s="156"/>
      <c r="Y181" s="156"/>
      <c r="Z181" s="156"/>
      <c r="AA181" s="156"/>
      <c r="AB181" s="156"/>
      <c r="AC181" s="156"/>
    </row>
    <row r="182" spans="1:29" ht="13">
      <c r="A182" s="140"/>
      <c r="B182" s="140"/>
      <c r="C182" s="156"/>
      <c r="D182" s="156"/>
      <c r="E182" s="156"/>
      <c r="F182" s="184"/>
      <c r="G182" s="189"/>
      <c r="H182" s="184"/>
      <c r="I182" s="156"/>
      <c r="J182" s="156"/>
      <c r="K182" s="156"/>
      <c r="L182" s="157"/>
      <c r="M182" s="156"/>
      <c r="N182" s="156"/>
      <c r="O182" s="156"/>
      <c r="P182" s="156"/>
      <c r="Q182" s="156"/>
      <c r="R182" s="156"/>
      <c r="S182" s="156"/>
      <c r="T182" s="156"/>
      <c r="U182" s="156"/>
      <c r="V182" s="156"/>
      <c r="W182" s="156"/>
      <c r="X182" s="156"/>
      <c r="Y182" s="156"/>
      <c r="Z182" s="156"/>
      <c r="AA182" s="156"/>
      <c r="AB182" s="156"/>
      <c r="AC182" s="156"/>
    </row>
    <row r="183" spans="1:29" ht="13">
      <c r="A183" s="140"/>
      <c r="B183" s="140"/>
      <c r="C183" s="156"/>
      <c r="D183" s="156"/>
      <c r="E183" s="156"/>
      <c r="F183" s="184"/>
      <c r="G183" s="189"/>
      <c r="H183" s="184"/>
      <c r="I183" s="156"/>
      <c r="J183" s="156"/>
      <c r="K183" s="156"/>
      <c r="L183" s="157"/>
      <c r="M183" s="156"/>
      <c r="N183" s="156"/>
      <c r="O183" s="156"/>
      <c r="P183" s="156"/>
      <c r="Q183" s="156"/>
      <c r="R183" s="156"/>
      <c r="S183" s="156"/>
      <c r="T183" s="156"/>
      <c r="U183" s="156"/>
      <c r="V183" s="156"/>
      <c r="W183" s="156"/>
      <c r="X183" s="156"/>
      <c r="Y183" s="156"/>
      <c r="Z183" s="156"/>
      <c r="AA183" s="156"/>
      <c r="AB183" s="156"/>
      <c r="AC183" s="156"/>
    </row>
    <row r="184" spans="1:29" ht="13">
      <c r="A184" s="140"/>
      <c r="B184" s="140"/>
      <c r="C184" s="156"/>
      <c r="D184" s="156"/>
      <c r="E184" s="156"/>
      <c r="F184" s="184"/>
      <c r="G184" s="189"/>
      <c r="H184" s="184"/>
      <c r="I184" s="156"/>
      <c r="J184" s="156"/>
      <c r="K184" s="156"/>
      <c r="L184" s="157"/>
      <c r="M184" s="156"/>
      <c r="N184" s="156"/>
      <c r="O184" s="156"/>
      <c r="P184" s="156"/>
      <c r="Q184" s="156"/>
      <c r="R184" s="156"/>
      <c r="S184" s="156"/>
      <c r="T184" s="156"/>
      <c r="U184" s="156"/>
      <c r="V184" s="156"/>
      <c r="W184" s="156"/>
      <c r="X184" s="156"/>
      <c r="Y184" s="156"/>
      <c r="Z184" s="156"/>
      <c r="AA184" s="156"/>
      <c r="AB184" s="156"/>
      <c r="AC184" s="156"/>
    </row>
    <row r="185" spans="1:29" ht="13">
      <c r="A185" s="140"/>
      <c r="B185" s="140"/>
      <c r="C185" s="156"/>
      <c r="D185" s="156"/>
      <c r="E185" s="156"/>
      <c r="F185" s="184"/>
      <c r="G185" s="189"/>
      <c r="H185" s="184"/>
      <c r="I185" s="156"/>
      <c r="J185" s="156"/>
      <c r="K185" s="156"/>
      <c r="L185" s="157"/>
      <c r="M185" s="156"/>
      <c r="N185" s="156"/>
      <c r="O185" s="156"/>
      <c r="P185" s="156"/>
      <c r="Q185" s="156"/>
      <c r="R185" s="156"/>
      <c r="S185" s="156"/>
      <c r="T185" s="156"/>
      <c r="U185" s="156"/>
      <c r="V185" s="156"/>
      <c r="W185" s="156"/>
      <c r="X185" s="156"/>
      <c r="Y185" s="156"/>
      <c r="Z185" s="156"/>
      <c r="AA185" s="156"/>
      <c r="AB185" s="156"/>
      <c r="AC185" s="156"/>
    </row>
    <row r="186" spans="1:29" ht="13">
      <c r="A186" s="140"/>
      <c r="B186" s="140"/>
      <c r="C186" s="156"/>
      <c r="D186" s="156"/>
      <c r="E186" s="156"/>
      <c r="F186" s="184"/>
      <c r="G186" s="189"/>
      <c r="H186" s="184"/>
      <c r="I186" s="156"/>
      <c r="J186" s="156"/>
      <c r="K186" s="156"/>
      <c r="L186" s="157"/>
      <c r="M186" s="156"/>
      <c r="N186" s="156"/>
      <c r="O186" s="156"/>
      <c r="P186" s="156"/>
      <c r="Q186" s="156"/>
      <c r="R186" s="156"/>
      <c r="S186" s="156"/>
      <c r="T186" s="156"/>
      <c r="U186" s="156"/>
      <c r="V186" s="156"/>
      <c r="W186" s="156"/>
      <c r="X186" s="156"/>
      <c r="Y186" s="156"/>
      <c r="Z186" s="156"/>
      <c r="AA186" s="156"/>
      <c r="AB186" s="156"/>
      <c r="AC186" s="156"/>
    </row>
    <row r="187" spans="1:29" ht="13">
      <c r="A187" s="140"/>
      <c r="B187" s="140"/>
      <c r="C187" s="156"/>
      <c r="D187" s="156"/>
      <c r="E187" s="156"/>
      <c r="F187" s="184"/>
      <c r="G187" s="189"/>
      <c r="H187" s="184"/>
      <c r="I187" s="156"/>
      <c r="J187" s="156"/>
      <c r="K187" s="156"/>
      <c r="L187" s="157"/>
      <c r="M187" s="156"/>
      <c r="N187" s="156"/>
      <c r="O187" s="156"/>
      <c r="P187" s="156"/>
      <c r="Q187" s="156"/>
      <c r="R187" s="156"/>
      <c r="S187" s="156"/>
      <c r="T187" s="156"/>
      <c r="U187" s="156"/>
      <c r="V187" s="156"/>
      <c r="W187" s="156"/>
      <c r="X187" s="156"/>
      <c r="Y187" s="156"/>
      <c r="Z187" s="156"/>
      <c r="AA187" s="156"/>
      <c r="AB187" s="156"/>
      <c r="AC187" s="156"/>
    </row>
    <row r="188" spans="1:29" ht="13">
      <c r="A188" s="140"/>
      <c r="B188" s="140"/>
      <c r="C188" s="156"/>
      <c r="D188" s="156"/>
      <c r="E188" s="156"/>
      <c r="F188" s="184"/>
      <c r="G188" s="189"/>
      <c r="H188" s="184"/>
      <c r="I188" s="156"/>
      <c r="J188" s="156"/>
      <c r="K188" s="156"/>
      <c r="L188" s="157"/>
      <c r="M188" s="156"/>
      <c r="N188" s="156"/>
      <c r="O188" s="156"/>
      <c r="P188" s="156"/>
      <c r="Q188" s="156"/>
      <c r="R188" s="156"/>
      <c r="S188" s="156"/>
      <c r="T188" s="156"/>
      <c r="U188" s="156"/>
      <c r="V188" s="156"/>
      <c r="W188" s="156"/>
      <c r="X188" s="156"/>
      <c r="Y188" s="156"/>
      <c r="Z188" s="156"/>
      <c r="AA188" s="156"/>
      <c r="AB188" s="156"/>
      <c r="AC188" s="156"/>
    </row>
    <row r="189" spans="1:29" ht="13">
      <c r="A189" s="140"/>
      <c r="B189" s="140"/>
      <c r="C189" s="156"/>
      <c r="D189" s="156"/>
      <c r="E189" s="156"/>
      <c r="F189" s="184"/>
      <c r="G189" s="189"/>
      <c r="H189" s="184"/>
      <c r="I189" s="156"/>
      <c r="J189" s="156"/>
      <c r="K189" s="156"/>
      <c r="L189" s="157"/>
      <c r="M189" s="156"/>
      <c r="N189" s="156"/>
      <c r="O189" s="156"/>
      <c r="P189" s="156"/>
      <c r="Q189" s="156"/>
      <c r="R189" s="156"/>
      <c r="S189" s="156"/>
      <c r="T189" s="156"/>
      <c r="U189" s="156"/>
      <c r="V189" s="156"/>
      <c r="W189" s="156"/>
      <c r="X189" s="156"/>
      <c r="Y189" s="156"/>
      <c r="Z189" s="156"/>
      <c r="AA189" s="156"/>
      <c r="AB189" s="156"/>
      <c r="AC189" s="156"/>
    </row>
    <row r="190" spans="1:29" ht="13">
      <c r="A190" s="140"/>
      <c r="B190" s="140"/>
      <c r="C190" s="156"/>
      <c r="D190" s="156"/>
      <c r="E190" s="156"/>
      <c r="F190" s="184"/>
      <c r="G190" s="189"/>
      <c r="H190" s="184"/>
      <c r="I190" s="156"/>
      <c r="J190" s="156"/>
      <c r="K190" s="156"/>
      <c r="L190" s="157"/>
      <c r="M190" s="156"/>
      <c r="N190" s="156"/>
      <c r="O190" s="156"/>
      <c r="P190" s="156"/>
      <c r="Q190" s="156"/>
      <c r="R190" s="156"/>
      <c r="S190" s="156"/>
      <c r="T190" s="156"/>
      <c r="U190" s="156"/>
      <c r="V190" s="156"/>
      <c r="W190" s="156"/>
      <c r="X190" s="156"/>
      <c r="Y190" s="156"/>
      <c r="Z190" s="156"/>
      <c r="AA190" s="156"/>
      <c r="AB190" s="156"/>
      <c r="AC190" s="156"/>
    </row>
    <row r="191" spans="1:29" ht="13">
      <c r="A191" s="140"/>
      <c r="B191" s="140"/>
      <c r="C191" s="156"/>
      <c r="D191" s="156"/>
      <c r="E191" s="156"/>
      <c r="F191" s="184"/>
      <c r="G191" s="189"/>
      <c r="H191" s="184"/>
      <c r="I191" s="156"/>
      <c r="J191" s="156"/>
      <c r="K191" s="156"/>
      <c r="L191" s="157"/>
      <c r="M191" s="156"/>
      <c r="N191" s="156"/>
      <c r="O191" s="156"/>
      <c r="P191" s="156"/>
      <c r="Q191" s="156"/>
      <c r="R191" s="156"/>
      <c r="S191" s="156"/>
      <c r="T191" s="156"/>
      <c r="U191" s="156"/>
      <c r="V191" s="156"/>
      <c r="W191" s="156"/>
      <c r="X191" s="156"/>
      <c r="Y191" s="156"/>
      <c r="Z191" s="156"/>
      <c r="AA191" s="156"/>
      <c r="AB191" s="156"/>
      <c r="AC191" s="156"/>
    </row>
    <row r="192" spans="1:29" ht="13">
      <c r="A192" s="140"/>
      <c r="B192" s="140"/>
      <c r="C192" s="156"/>
      <c r="D192" s="156"/>
      <c r="E192" s="156"/>
      <c r="F192" s="184"/>
      <c r="G192" s="189"/>
      <c r="H192" s="184"/>
      <c r="I192" s="156"/>
      <c r="J192" s="156"/>
      <c r="K192" s="156"/>
      <c r="L192" s="157"/>
      <c r="M192" s="156"/>
      <c r="N192" s="156"/>
      <c r="O192" s="156"/>
      <c r="P192" s="156"/>
      <c r="Q192" s="156"/>
      <c r="R192" s="156"/>
      <c r="S192" s="156"/>
      <c r="T192" s="156"/>
      <c r="U192" s="156"/>
      <c r="V192" s="156"/>
      <c r="W192" s="156"/>
      <c r="X192" s="156"/>
      <c r="Y192" s="156"/>
      <c r="Z192" s="156"/>
      <c r="AA192" s="156"/>
      <c r="AB192" s="156"/>
      <c r="AC192" s="156"/>
    </row>
    <row r="193" spans="1:29" ht="13">
      <c r="A193" s="140"/>
      <c r="B193" s="140"/>
      <c r="C193" s="156"/>
      <c r="D193" s="156"/>
      <c r="E193" s="156"/>
      <c r="F193" s="184"/>
      <c r="G193" s="189"/>
      <c r="H193" s="184"/>
      <c r="I193" s="156"/>
      <c r="J193" s="156"/>
      <c r="K193" s="156"/>
      <c r="L193" s="157"/>
      <c r="M193" s="156"/>
      <c r="N193" s="156"/>
      <c r="O193" s="156"/>
      <c r="P193" s="156"/>
      <c r="Q193" s="156"/>
      <c r="R193" s="156"/>
      <c r="S193" s="156"/>
      <c r="T193" s="156"/>
      <c r="U193" s="156"/>
      <c r="V193" s="156"/>
      <c r="W193" s="156"/>
      <c r="X193" s="156"/>
      <c r="Y193" s="156"/>
      <c r="Z193" s="156"/>
      <c r="AA193" s="156"/>
      <c r="AB193" s="156"/>
      <c r="AC193" s="156"/>
    </row>
    <row r="194" spans="1:29" ht="13">
      <c r="A194" s="140"/>
      <c r="B194" s="140"/>
      <c r="C194" s="156"/>
      <c r="D194" s="156"/>
      <c r="E194" s="156"/>
      <c r="F194" s="184"/>
      <c r="G194" s="189"/>
      <c r="H194" s="184"/>
      <c r="I194" s="156"/>
      <c r="J194" s="156"/>
      <c r="K194" s="156"/>
      <c r="L194" s="157"/>
      <c r="M194" s="156"/>
      <c r="N194" s="156"/>
      <c r="O194" s="156"/>
      <c r="P194" s="156"/>
      <c r="Q194" s="156"/>
      <c r="R194" s="156"/>
      <c r="S194" s="156"/>
      <c r="T194" s="156"/>
      <c r="U194" s="156"/>
      <c r="V194" s="156"/>
      <c r="W194" s="156"/>
      <c r="X194" s="156"/>
      <c r="Y194" s="156"/>
      <c r="Z194" s="156"/>
      <c r="AA194" s="156"/>
      <c r="AB194" s="156"/>
      <c r="AC194" s="156"/>
    </row>
    <row r="195" spans="1:29" ht="13">
      <c r="A195" s="140"/>
      <c r="B195" s="140"/>
      <c r="C195" s="156"/>
      <c r="D195" s="156"/>
      <c r="E195" s="156"/>
      <c r="F195" s="184"/>
      <c r="G195" s="189"/>
      <c r="H195" s="184"/>
      <c r="I195" s="156"/>
      <c r="J195" s="156"/>
      <c r="K195" s="156"/>
      <c r="L195" s="157"/>
      <c r="M195" s="156"/>
      <c r="N195" s="156"/>
      <c r="O195" s="156"/>
      <c r="P195" s="156"/>
      <c r="Q195" s="156"/>
      <c r="R195" s="156"/>
      <c r="S195" s="156"/>
      <c r="T195" s="156"/>
      <c r="U195" s="156"/>
      <c r="V195" s="156"/>
      <c r="W195" s="156"/>
      <c r="X195" s="156"/>
      <c r="Y195" s="156"/>
      <c r="Z195" s="156"/>
      <c r="AA195" s="156"/>
      <c r="AB195" s="156"/>
      <c r="AC195" s="156"/>
    </row>
    <row r="196" spans="1:29" ht="13">
      <c r="A196" s="140"/>
      <c r="B196" s="140"/>
      <c r="C196" s="156"/>
      <c r="D196" s="156"/>
      <c r="E196" s="156"/>
      <c r="F196" s="184"/>
      <c r="G196" s="189"/>
      <c r="H196" s="184"/>
      <c r="I196" s="156"/>
      <c r="J196" s="156"/>
      <c r="K196" s="156"/>
      <c r="L196" s="157"/>
      <c r="M196" s="156"/>
      <c r="N196" s="156"/>
      <c r="O196" s="156"/>
      <c r="P196" s="156"/>
      <c r="Q196" s="156"/>
      <c r="R196" s="156"/>
      <c r="S196" s="156"/>
      <c r="T196" s="156"/>
      <c r="U196" s="156"/>
      <c r="V196" s="156"/>
      <c r="W196" s="156"/>
      <c r="X196" s="156"/>
      <c r="Y196" s="156"/>
      <c r="Z196" s="156"/>
      <c r="AA196" s="156"/>
      <c r="AB196" s="156"/>
      <c r="AC196" s="156"/>
    </row>
    <row r="197" spans="1:29" ht="13">
      <c r="A197" s="140"/>
      <c r="B197" s="140"/>
      <c r="C197" s="156"/>
      <c r="D197" s="156"/>
      <c r="E197" s="156"/>
      <c r="F197" s="184"/>
      <c r="G197" s="189"/>
      <c r="H197" s="184"/>
      <c r="I197" s="156"/>
      <c r="J197" s="156"/>
      <c r="K197" s="156"/>
      <c r="L197" s="157"/>
      <c r="M197" s="156"/>
      <c r="N197" s="156"/>
      <c r="O197" s="156"/>
      <c r="P197" s="156"/>
      <c r="Q197" s="156"/>
      <c r="R197" s="156"/>
      <c r="S197" s="156"/>
      <c r="T197" s="156"/>
      <c r="U197" s="156"/>
      <c r="V197" s="156"/>
      <c r="W197" s="156"/>
      <c r="X197" s="156"/>
      <c r="Y197" s="156"/>
      <c r="Z197" s="156"/>
      <c r="AA197" s="156"/>
      <c r="AB197" s="156"/>
      <c r="AC197" s="156"/>
    </row>
    <row r="198" spans="1:29" ht="13">
      <c r="A198" s="140"/>
      <c r="B198" s="140"/>
      <c r="C198" s="156"/>
      <c r="D198" s="156"/>
      <c r="E198" s="156"/>
      <c r="F198" s="184"/>
      <c r="G198" s="189"/>
      <c r="H198" s="184"/>
      <c r="I198" s="156"/>
      <c r="J198" s="156"/>
      <c r="K198" s="156"/>
      <c r="L198" s="157"/>
      <c r="M198" s="156"/>
      <c r="N198" s="156"/>
      <c r="O198" s="156"/>
      <c r="P198" s="156"/>
      <c r="Q198" s="156"/>
      <c r="R198" s="156"/>
      <c r="S198" s="156"/>
      <c r="T198" s="156"/>
      <c r="U198" s="156"/>
      <c r="V198" s="156"/>
      <c r="W198" s="156"/>
      <c r="X198" s="156"/>
      <c r="Y198" s="156"/>
      <c r="Z198" s="156"/>
      <c r="AA198" s="156"/>
      <c r="AB198" s="156"/>
      <c r="AC198" s="156"/>
    </row>
    <row r="199" spans="1:29" ht="13">
      <c r="A199" s="140"/>
      <c r="B199" s="140"/>
      <c r="C199" s="156"/>
      <c r="D199" s="156"/>
      <c r="E199" s="156"/>
      <c r="F199" s="184"/>
      <c r="G199" s="189"/>
      <c r="H199" s="184"/>
      <c r="I199" s="156"/>
      <c r="J199" s="156"/>
      <c r="K199" s="156"/>
      <c r="L199" s="157"/>
      <c r="M199" s="156"/>
      <c r="N199" s="156"/>
      <c r="O199" s="156"/>
      <c r="P199" s="156"/>
      <c r="Q199" s="156"/>
      <c r="R199" s="156"/>
      <c r="S199" s="156"/>
      <c r="T199" s="156"/>
      <c r="U199" s="156"/>
      <c r="V199" s="156"/>
      <c r="W199" s="156"/>
      <c r="X199" s="156"/>
      <c r="Y199" s="156"/>
      <c r="Z199" s="156"/>
      <c r="AA199" s="156"/>
      <c r="AB199" s="156"/>
      <c r="AC199" s="156"/>
    </row>
    <row r="200" spans="1:29" ht="13">
      <c r="A200" s="140"/>
      <c r="B200" s="140"/>
      <c r="C200" s="156"/>
      <c r="D200" s="156"/>
      <c r="E200" s="156"/>
      <c r="F200" s="184"/>
      <c r="G200" s="189"/>
      <c r="H200" s="184"/>
      <c r="I200" s="156"/>
      <c r="J200" s="156"/>
      <c r="K200" s="156"/>
      <c r="L200" s="157"/>
      <c r="M200" s="156"/>
      <c r="N200" s="156"/>
      <c r="O200" s="156"/>
      <c r="P200" s="156"/>
      <c r="Q200" s="156"/>
      <c r="R200" s="156"/>
      <c r="S200" s="156"/>
      <c r="T200" s="156"/>
      <c r="U200" s="156"/>
      <c r="V200" s="156"/>
      <c r="W200" s="156"/>
      <c r="X200" s="156"/>
      <c r="Y200" s="156"/>
      <c r="Z200" s="156"/>
      <c r="AA200" s="156"/>
      <c r="AB200" s="156"/>
      <c r="AC200" s="156"/>
    </row>
    <row r="201" spans="1:29" ht="13">
      <c r="A201" s="140"/>
      <c r="B201" s="140"/>
      <c r="C201" s="156"/>
      <c r="D201" s="156"/>
      <c r="E201" s="156"/>
      <c r="F201" s="184"/>
      <c r="G201" s="189"/>
      <c r="H201" s="184"/>
      <c r="I201" s="156"/>
      <c r="J201" s="156"/>
      <c r="K201" s="156"/>
      <c r="L201" s="157"/>
      <c r="M201" s="156"/>
      <c r="N201" s="156"/>
      <c r="O201" s="156"/>
      <c r="P201" s="156"/>
      <c r="Q201" s="156"/>
      <c r="R201" s="156"/>
      <c r="S201" s="156"/>
      <c r="T201" s="156"/>
      <c r="U201" s="156"/>
      <c r="V201" s="156"/>
      <c r="W201" s="156"/>
      <c r="X201" s="156"/>
      <c r="Y201" s="156"/>
      <c r="Z201" s="156"/>
      <c r="AA201" s="156"/>
      <c r="AB201" s="156"/>
      <c r="AC201" s="156"/>
    </row>
    <row r="202" spans="1:29" ht="13">
      <c r="A202" s="140"/>
      <c r="B202" s="140"/>
      <c r="C202" s="156"/>
      <c r="D202" s="156"/>
      <c r="E202" s="156"/>
      <c r="F202" s="184"/>
      <c r="G202" s="189"/>
      <c r="H202" s="184"/>
      <c r="I202" s="156"/>
      <c r="J202" s="156"/>
      <c r="K202" s="156"/>
      <c r="L202" s="157"/>
      <c r="M202" s="156"/>
      <c r="N202" s="156"/>
      <c r="O202" s="156"/>
      <c r="P202" s="156"/>
      <c r="Q202" s="156"/>
      <c r="R202" s="156"/>
      <c r="S202" s="156"/>
      <c r="T202" s="156"/>
      <c r="U202" s="156"/>
      <c r="V202" s="156"/>
      <c r="W202" s="156"/>
      <c r="X202" s="156"/>
      <c r="Y202" s="156"/>
      <c r="Z202" s="156"/>
      <c r="AA202" s="156"/>
      <c r="AB202" s="156"/>
      <c r="AC202" s="156"/>
    </row>
    <row r="203" spans="1:29" ht="13">
      <c r="A203" s="140"/>
      <c r="B203" s="140"/>
      <c r="C203" s="156"/>
      <c r="D203" s="156"/>
      <c r="E203" s="156"/>
      <c r="F203" s="184"/>
      <c r="G203" s="189"/>
      <c r="H203" s="184"/>
      <c r="I203" s="156"/>
      <c r="J203" s="156"/>
      <c r="K203" s="156"/>
      <c r="L203" s="157"/>
      <c r="M203" s="156"/>
      <c r="N203" s="156"/>
      <c r="O203" s="156"/>
      <c r="P203" s="156"/>
      <c r="Q203" s="156"/>
      <c r="R203" s="156"/>
      <c r="S203" s="156"/>
      <c r="T203" s="156"/>
      <c r="U203" s="156"/>
      <c r="V203" s="156"/>
      <c r="W203" s="156"/>
      <c r="X203" s="156"/>
      <c r="Y203" s="156"/>
      <c r="Z203" s="156"/>
      <c r="AA203" s="156"/>
      <c r="AB203" s="156"/>
      <c r="AC203" s="156"/>
    </row>
    <row r="204" spans="1:29" ht="13">
      <c r="A204" s="140"/>
      <c r="B204" s="140"/>
      <c r="C204" s="156"/>
      <c r="D204" s="156"/>
      <c r="E204" s="156"/>
      <c r="F204" s="184"/>
      <c r="G204" s="189"/>
      <c r="H204" s="184"/>
      <c r="I204" s="156"/>
      <c r="J204" s="156"/>
      <c r="K204" s="156"/>
      <c r="L204" s="157"/>
      <c r="M204" s="156"/>
      <c r="N204" s="156"/>
      <c r="O204" s="156"/>
      <c r="P204" s="156"/>
      <c r="Q204" s="156"/>
      <c r="R204" s="156"/>
      <c r="S204" s="156"/>
      <c r="T204" s="156"/>
      <c r="U204" s="156"/>
      <c r="V204" s="156"/>
      <c r="W204" s="156"/>
      <c r="X204" s="156"/>
      <c r="Y204" s="156"/>
      <c r="Z204" s="156"/>
      <c r="AA204" s="156"/>
      <c r="AB204" s="156"/>
      <c r="AC204" s="156"/>
    </row>
    <row r="205" spans="1:29" ht="13">
      <c r="A205" s="140"/>
      <c r="B205" s="140"/>
      <c r="C205" s="156"/>
      <c r="D205" s="156"/>
      <c r="E205" s="156"/>
      <c r="F205" s="184"/>
      <c r="G205" s="189"/>
      <c r="H205" s="184"/>
      <c r="I205" s="156"/>
      <c r="J205" s="156"/>
      <c r="K205" s="156"/>
      <c r="L205" s="157"/>
      <c r="M205" s="156"/>
      <c r="N205" s="156"/>
      <c r="O205" s="156"/>
      <c r="P205" s="156"/>
      <c r="Q205" s="156"/>
      <c r="R205" s="156"/>
      <c r="S205" s="156"/>
      <c r="T205" s="156"/>
      <c r="U205" s="156"/>
      <c r="V205" s="156"/>
      <c r="W205" s="156"/>
      <c r="X205" s="156"/>
      <c r="Y205" s="156"/>
      <c r="Z205" s="156"/>
      <c r="AA205" s="156"/>
      <c r="AB205" s="156"/>
      <c r="AC205" s="156"/>
    </row>
    <row r="206" spans="1:29" ht="13">
      <c r="A206" s="140"/>
      <c r="B206" s="140"/>
      <c r="C206" s="156"/>
      <c r="D206" s="156"/>
      <c r="E206" s="156"/>
      <c r="F206" s="184"/>
      <c r="G206" s="189"/>
      <c r="H206" s="184"/>
      <c r="I206" s="156"/>
      <c r="J206" s="156"/>
      <c r="K206" s="156"/>
      <c r="L206" s="157"/>
      <c r="M206" s="156"/>
      <c r="N206" s="156"/>
      <c r="O206" s="156"/>
      <c r="P206" s="156"/>
      <c r="Q206" s="156"/>
      <c r="R206" s="156"/>
      <c r="S206" s="156"/>
      <c r="T206" s="156"/>
      <c r="U206" s="156"/>
      <c r="V206" s="156"/>
      <c r="W206" s="156"/>
      <c r="X206" s="156"/>
      <c r="Y206" s="156"/>
      <c r="Z206" s="156"/>
      <c r="AA206" s="156"/>
      <c r="AB206" s="156"/>
      <c r="AC206" s="156"/>
    </row>
    <row r="207" spans="1:29" ht="13">
      <c r="A207" s="140"/>
      <c r="B207" s="140"/>
      <c r="C207" s="156"/>
      <c r="D207" s="156"/>
      <c r="E207" s="156"/>
      <c r="F207" s="184"/>
      <c r="G207" s="189"/>
      <c r="H207" s="184"/>
      <c r="I207" s="156"/>
      <c r="J207" s="156"/>
      <c r="K207" s="156"/>
      <c r="L207" s="157"/>
      <c r="M207" s="156"/>
      <c r="N207" s="156"/>
      <c r="O207" s="156"/>
      <c r="P207" s="156"/>
      <c r="Q207" s="156"/>
      <c r="R207" s="156"/>
      <c r="S207" s="156"/>
      <c r="T207" s="156"/>
      <c r="U207" s="156"/>
      <c r="V207" s="156"/>
      <c r="W207" s="156"/>
      <c r="X207" s="156"/>
      <c r="Y207" s="156"/>
      <c r="Z207" s="156"/>
      <c r="AA207" s="156"/>
      <c r="AB207" s="156"/>
      <c r="AC207" s="156"/>
    </row>
    <row r="208" spans="1:29" ht="13">
      <c r="A208" s="140"/>
      <c r="B208" s="140"/>
      <c r="C208" s="156"/>
      <c r="D208" s="156"/>
      <c r="E208" s="156"/>
      <c r="F208" s="184"/>
      <c r="G208" s="189"/>
      <c r="H208" s="184"/>
      <c r="I208" s="156"/>
      <c r="J208" s="156"/>
      <c r="K208" s="156"/>
      <c r="L208" s="157"/>
      <c r="M208" s="156"/>
      <c r="N208" s="156"/>
      <c r="O208" s="156"/>
      <c r="P208" s="156"/>
      <c r="Q208" s="156"/>
      <c r="R208" s="156"/>
      <c r="S208" s="156"/>
      <c r="T208" s="156"/>
      <c r="U208" s="156"/>
      <c r="V208" s="156"/>
      <c r="W208" s="156"/>
      <c r="X208" s="156"/>
      <c r="Y208" s="156"/>
      <c r="Z208" s="156"/>
      <c r="AA208" s="156"/>
      <c r="AB208" s="156"/>
      <c r="AC208" s="156"/>
    </row>
    <row r="209" spans="1:29" ht="13">
      <c r="A209" s="140"/>
      <c r="B209" s="140"/>
      <c r="C209" s="156"/>
      <c r="D209" s="156"/>
      <c r="E209" s="156"/>
      <c r="F209" s="184"/>
      <c r="G209" s="189"/>
      <c r="H209" s="184"/>
      <c r="I209" s="156"/>
      <c r="J209" s="156"/>
      <c r="K209" s="156"/>
      <c r="L209" s="157"/>
      <c r="M209" s="156"/>
      <c r="N209" s="156"/>
      <c r="O209" s="156"/>
      <c r="P209" s="156"/>
      <c r="Q209" s="156"/>
      <c r="R209" s="156"/>
      <c r="S209" s="156"/>
      <c r="T209" s="156"/>
      <c r="U209" s="156"/>
      <c r="V209" s="156"/>
      <c r="W209" s="156"/>
      <c r="X209" s="156"/>
      <c r="Y209" s="156"/>
      <c r="Z209" s="156"/>
      <c r="AA209" s="156"/>
      <c r="AB209" s="156"/>
      <c r="AC209" s="156"/>
    </row>
    <row r="210" spans="1:29" ht="13">
      <c r="A210" s="140"/>
      <c r="B210" s="140"/>
      <c r="C210" s="156"/>
      <c r="D210" s="156"/>
      <c r="E210" s="156"/>
      <c r="F210" s="184"/>
      <c r="G210" s="189"/>
      <c r="H210" s="184"/>
      <c r="I210" s="156"/>
      <c r="J210" s="156"/>
      <c r="K210" s="156"/>
      <c r="L210" s="157"/>
      <c r="M210" s="156"/>
      <c r="N210" s="156"/>
      <c r="O210" s="156"/>
      <c r="P210" s="156"/>
      <c r="Q210" s="156"/>
      <c r="R210" s="156"/>
      <c r="S210" s="156"/>
      <c r="T210" s="156"/>
      <c r="U210" s="156"/>
      <c r="V210" s="156"/>
      <c r="W210" s="156"/>
      <c r="X210" s="156"/>
      <c r="Y210" s="156"/>
      <c r="Z210" s="156"/>
      <c r="AA210" s="156"/>
      <c r="AB210" s="156"/>
      <c r="AC210" s="156"/>
    </row>
    <row r="211" spans="1:29" ht="13">
      <c r="A211" s="140"/>
      <c r="B211" s="140"/>
      <c r="C211" s="156"/>
      <c r="D211" s="156"/>
      <c r="E211" s="156"/>
      <c r="F211" s="184"/>
      <c r="G211" s="189"/>
      <c r="H211" s="184"/>
      <c r="I211" s="156"/>
      <c r="J211" s="156"/>
      <c r="K211" s="156"/>
      <c r="L211" s="157"/>
      <c r="M211" s="156"/>
      <c r="N211" s="156"/>
      <c r="O211" s="156"/>
      <c r="P211" s="156"/>
      <c r="Q211" s="156"/>
      <c r="R211" s="156"/>
      <c r="S211" s="156"/>
      <c r="T211" s="156"/>
      <c r="U211" s="156"/>
      <c r="V211" s="156"/>
      <c r="W211" s="156"/>
      <c r="X211" s="156"/>
      <c r="Y211" s="156"/>
      <c r="Z211" s="156"/>
      <c r="AA211" s="156"/>
      <c r="AB211" s="156"/>
      <c r="AC211" s="156"/>
    </row>
    <row r="212" spans="1:29" ht="13">
      <c r="A212" s="140"/>
      <c r="B212" s="140"/>
      <c r="C212" s="156"/>
      <c r="D212" s="156"/>
      <c r="E212" s="156"/>
      <c r="F212" s="184"/>
      <c r="G212" s="189"/>
      <c r="H212" s="184"/>
      <c r="I212" s="156"/>
      <c r="J212" s="156"/>
      <c r="K212" s="156"/>
      <c r="L212" s="157"/>
      <c r="M212" s="156"/>
      <c r="N212" s="156"/>
      <c r="O212" s="156"/>
      <c r="P212" s="156"/>
      <c r="Q212" s="156"/>
      <c r="R212" s="156"/>
      <c r="S212" s="156"/>
      <c r="T212" s="156"/>
      <c r="U212" s="156"/>
      <c r="V212" s="156"/>
      <c r="W212" s="156"/>
      <c r="X212" s="156"/>
      <c r="Y212" s="156"/>
      <c r="Z212" s="156"/>
      <c r="AA212" s="156"/>
      <c r="AB212" s="156"/>
      <c r="AC212" s="156"/>
    </row>
    <row r="213" spans="1:29" ht="13">
      <c r="A213" s="140"/>
      <c r="B213" s="140"/>
      <c r="C213" s="156"/>
      <c r="D213" s="156"/>
      <c r="E213" s="156"/>
      <c r="F213" s="184"/>
      <c r="G213" s="189"/>
      <c r="H213" s="184"/>
      <c r="I213" s="156"/>
      <c r="J213" s="156"/>
      <c r="K213" s="156"/>
      <c r="L213" s="157"/>
      <c r="M213" s="156"/>
      <c r="N213" s="156"/>
      <c r="O213" s="156"/>
      <c r="P213" s="156"/>
      <c r="Q213" s="156"/>
      <c r="R213" s="156"/>
      <c r="S213" s="156"/>
      <c r="T213" s="156"/>
      <c r="U213" s="156"/>
      <c r="V213" s="156"/>
      <c r="W213" s="156"/>
      <c r="X213" s="156"/>
      <c r="Y213" s="156"/>
      <c r="Z213" s="156"/>
      <c r="AA213" s="156"/>
      <c r="AB213" s="156"/>
      <c r="AC213" s="156"/>
    </row>
    <row r="214" spans="1:29" ht="13">
      <c r="A214" s="140"/>
      <c r="B214" s="140"/>
      <c r="C214" s="156"/>
      <c r="D214" s="156"/>
      <c r="E214" s="156"/>
      <c r="F214" s="184"/>
      <c r="G214" s="189"/>
      <c r="H214" s="184"/>
      <c r="I214" s="156"/>
      <c r="J214" s="156"/>
      <c r="K214" s="156"/>
      <c r="L214" s="157"/>
      <c r="M214" s="156"/>
      <c r="N214" s="156"/>
      <c r="O214" s="156"/>
      <c r="P214" s="156"/>
      <c r="Q214" s="156"/>
      <c r="R214" s="156"/>
      <c r="S214" s="156"/>
      <c r="T214" s="156"/>
      <c r="U214" s="156"/>
      <c r="V214" s="156"/>
      <c r="W214" s="156"/>
      <c r="X214" s="156"/>
      <c r="Y214" s="156"/>
      <c r="Z214" s="156"/>
      <c r="AA214" s="156"/>
      <c r="AB214" s="156"/>
      <c r="AC214" s="156"/>
    </row>
    <row r="215" spans="1:29" ht="13">
      <c r="A215" s="140"/>
      <c r="B215" s="140"/>
      <c r="C215" s="156"/>
      <c r="D215" s="156"/>
      <c r="E215" s="156"/>
      <c r="F215" s="184"/>
      <c r="G215" s="189"/>
      <c r="H215" s="184"/>
      <c r="I215" s="156"/>
      <c r="J215" s="156"/>
      <c r="K215" s="156"/>
      <c r="L215" s="157"/>
      <c r="M215" s="156"/>
      <c r="N215" s="156"/>
      <c r="O215" s="156"/>
      <c r="P215" s="156"/>
      <c r="Q215" s="156"/>
      <c r="R215" s="156"/>
      <c r="S215" s="156"/>
      <c r="T215" s="156"/>
      <c r="U215" s="156"/>
      <c r="V215" s="156"/>
      <c r="W215" s="156"/>
      <c r="X215" s="156"/>
      <c r="Y215" s="156"/>
      <c r="Z215" s="156"/>
      <c r="AA215" s="156"/>
      <c r="AB215" s="156"/>
      <c r="AC215" s="156"/>
    </row>
    <row r="216" spans="1:29" ht="13">
      <c r="A216" s="140"/>
      <c r="B216" s="140"/>
      <c r="C216" s="156"/>
      <c r="D216" s="156"/>
      <c r="E216" s="156"/>
      <c r="F216" s="184"/>
      <c r="G216" s="189"/>
      <c r="H216" s="184"/>
      <c r="I216" s="156"/>
      <c r="J216" s="156"/>
      <c r="K216" s="156"/>
      <c r="L216" s="157"/>
      <c r="M216" s="156"/>
      <c r="N216" s="156"/>
      <c r="O216" s="156"/>
      <c r="P216" s="156"/>
      <c r="Q216" s="156"/>
      <c r="R216" s="156"/>
      <c r="S216" s="156"/>
      <c r="T216" s="156"/>
      <c r="U216" s="156"/>
      <c r="V216" s="156"/>
      <c r="W216" s="156"/>
      <c r="X216" s="156"/>
      <c r="Y216" s="156"/>
      <c r="Z216" s="156"/>
      <c r="AA216" s="156"/>
      <c r="AB216" s="156"/>
      <c r="AC216" s="156"/>
    </row>
    <row r="217" spans="1:29" ht="13">
      <c r="A217" s="140"/>
      <c r="B217" s="140"/>
      <c r="C217" s="156"/>
      <c r="D217" s="156"/>
      <c r="E217" s="156"/>
      <c r="F217" s="184"/>
      <c r="G217" s="189"/>
      <c r="H217" s="184"/>
      <c r="I217" s="156"/>
      <c r="J217" s="156"/>
      <c r="K217" s="156"/>
      <c r="L217" s="157"/>
      <c r="M217" s="156"/>
      <c r="N217" s="156"/>
      <c r="O217" s="156"/>
      <c r="P217" s="156"/>
      <c r="Q217" s="156"/>
      <c r="R217" s="156"/>
      <c r="S217" s="156"/>
      <c r="T217" s="156"/>
      <c r="U217" s="156"/>
      <c r="V217" s="156"/>
      <c r="W217" s="156"/>
      <c r="X217" s="156"/>
      <c r="Y217" s="156"/>
      <c r="Z217" s="156"/>
      <c r="AA217" s="156"/>
      <c r="AB217" s="156"/>
      <c r="AC217" s="156"/>
    </row>
    <row r="218" spans="1:29" ht="13">
      <c r="A218" s="140"/>
      <c r="B218" s="140"/>
      <c r="C218" s="156"/>
      <c r="D218" s="156"/>
      <c r="E218" s="156"/>
      <c r="F218" s="184"/>
      <c r="G218" s="189"/>
      <c r="H218" s="184"/>
      <c r="I218" s="156"/>
      <c r="J218" s="156"/>
      <c r="K218" s="156"/>
      <c r="L218" s="157"/>
      <c r="M218" s="156"/>
      <c r="N218" s="156"/>
      <c r="O218" s="156"/>
      <c r="P218" s="156"/>
      <c r="Q218" s="156"/>
      <c r="R218" s="156"/>
      <c r="S218" s="156"/>
      <c r="T218" s="156"/>
      <c r="U218" s="156"/>
      <c r="V218" s="156"/>
      <c r="W218" s="156"/>
      <c r="X218" s="156"/>
      <c r="Y218" s="156"/>
      <c r="Z218" s="156"/>
      <c r="AA218" s="156"/>
      <c r="AB218" s="156"/>
      <c r="AC218" s="156"/>
    </row>
    <row r="219" spans="1:29" ht="13">
      <c r="A219" s="140"/>
      <c r="B219" s="140"/>
      <c r="C219" s="156"/>
      <c r="D219" s="156"/>
      <c r="E219" s="156"/>
      <c r="F219" s="184"/>
      <c r="G219" s="189"/>
      <c r="H219" s="184"/>
      <c r="I219" s="156"/>
      <c r="J219" s="156"/>
      <c r="K219" s="156"/>
      <c r="L219" s="157"/>
      <c r="M219" s="156"/>
      <c r="N219" s="156"/>
      <c r="O219" s="156"/>
      <c r="P219" s="156"/>
      <c r="Q219" s="156"/>
      <c r="R219" s="156"/>
      <c r="S219" s="156"/>
      <c r="T219" s="156"/>
      <c r="U219" s="156"/>
      <c r="V219" s="156"/>
      <c r="W219" s="156"/>
      <c r="X219" s="156"/>
      <c r="Y219" s="156"/>
      <c r="Z219" s="156"/>
      <c r="AA219" s="156"/>
      <c r="AB219" s="156"/>
      <c r="AC219" s="156"/>
    </row>
    <row r="220" spans="1:29" ht="13">
      <c r="A220" s="140"/>
      <c r="B220" s="140"/>
      <c r="C220" s="156"/>
      <c r="D220" s="156"/>
      <c r="E220" s="156"/>
      <c r="F220" s="184"/>
      <c r="G220" s="189"/>
      <c r="H220" s="184"/>
      <c r="I220" s="156"/>
      <c r="J220" s="156"/>
      <c r="K220" s="156"/>
      <c r="L220" s="157"/>
      <c r="M220" s="156"/>
      <c r="N220" s="156"/>
      <c r="O220" s="156"/>
      <c r="P220" s="156"/>
      <c r="Q220" s="156"/>
      <c r="R220" s="156"/>
      <c r="S220" s="156"/>
      <c r="T220" s="156"/>
      <c r="U220" s="156"/>
      <c r="V220" s="156"/>
      <c r="W220" s="156"/>
      <c r="X220" s="156"/>
      <c r="Y220" s="156"/>
      <c r="Z220" s="156"/>
      <c r="AA220" s="156"/>
      <c r="AB220" s="156"/>
      <c r="AC220" s="156"/>
    </row>
    <row r="221" spans="1:29" ht="13">
      <c r="A221" s="140"/>
      <c r="B221" s="140"/>
      <c r="C221" s="156"/>
      <c r="D221" s="156"/>
      <c r="E221" s="156"/>
      <c r="F221" s="184"/>
      <c r="G221" s="189"/>
      <c r="H221" s="184"/>
      <c r="I221" s="156"/>
      <c r="J221" s="156"/>
      <c r="K221" s="156"/>
      <c r="L221" s="157"/>
      <c r="M221" s="156"/>
      <c r="N221" s="156"/>
      <c r="O221" s="156"/>
      <c r="P221" s="156"/>
      <c r="Q221" s="156"/>
      <c r="R221" s="156"/>
      <c r="S221" s="156"/>
      <c r="T221" s="156"/>
      <c r="U221" s="156"/>
      <c r="V221" s="156"/>
      <c r="W221" s="156"/>
      <c r="X221" s="156"/>
      <c r="Y221" s="156"/>
      <c r="Z221" s="156"/>
      <c r="AA221" s="156"/>
      <c r="AB221" s="156"/>
      <c r="AC221" s="156"/>
    </row>
    <row r="222" spans="1:29" ht="13">
      <c r="A222" s="140"/>
      <c r="B222" s="140"/>
      <c r="C222" s="156"/>
      <c r="D222" s="156"/>
      <c r="E222" s="156"/>
      <c r="F222" s="184"/>
      <c r="G222" s="189"/>
      <c r="H222" s="184"/>
      <c r="I222" s="156"/>
      <c r="J222" s="156"/>
      <c r="K222" s="156"/>
      <c r="L222" s="157"/>
      <c r="M222" s="156"/>
      <c r="N222" s="156"/>
      <c r="O222" s="156"/>
      <c r="P222" s="156"/>
      <c r="Q222" s="156"/>
      <c r="R222" s="156"/>
      <c r="S222" s="156"/>
      <c r="T222" s="156"/>
      <c r="U222" s="156"/>
      <c r="V222" s="156"/>
      <c r="W222" s="156"/>
      <c r="X222" s="156"/>
      <c r="Y222" s="156"/>
      <c r="Z222" s="156"/>
      <c r="AA222" s="156"/>
      <c r="AB222" s="156"/>
      <c r="AC222" s="156"/>
    </row>
    <row r="223" spans="1:29" ht="13">
      <c r="A223" s="140"/>
      <c r="B223" s="140"/>
      <c r="C223" s="156"/>
      <c r="D223" s="156"/>
      <c r="E223" s="156"/>
      <c r="F223" s="184"/>
      <c r="G223" s="189"/>
      <c r="H223" s="184"/>
      <c r="I223" s="156"/>
      <c r="J223" s="156"/>
      <c r="K223" s="156"/>
      <c r="L223" s="157"/>
      <c r="M223" s="156"/>
      <c r="N223" s="156"/>
      <c r="O223" s="156"/>
      <c r="P223" s="156"/>
      <c r="Q223" s="156"/>
      <c r="R223" s="156"/>
      <c r="S223" s="156"/>
      <c r="T223" s="156"/>
      <c r="U223" s="156"/>
      <c r="V223" s="156"/>
      <c r="W223" s="156"/>
      <c r="X223" s="156"/>
      <c r="Y223" s="156"/>
      <c r="Z223" s="156"/>
      <c r="AA223" s="156"/>
      <c r="AB223" s="156"/>
      <c r="AC223" s="156"/>
    </row>
    <row r="224" spans="1:29" ht="13">
      <c r="A224" s="140"/>
      <c r="B224" s="140"/>
      <c r="C224" s="156"/>
      <c r="D224" s="156"/>
      <c r="E224" s="156"/>
      <c r="F224" s="184"/>
      <c r="G224" s="189"/>
      <c r="H224" s="184"/>
      <c r="I224" s="156"/>
      <c r="J224" s="156"/>
      <c r="K224" s="156"/>
      <c r="L224" s="157"/>
      <c r="M224" s="156"/>
      <c r="N224" s="156"/>
      <c r="O224" s="156"/>
      <c r="P224" s="156"/>
      <c r="Q224" s="156"/>
      <c r="R224" s="156"/>
      <c r="S224" s="156"/>
      <c r="T224" s="156"/>
      <c r="U224" s="156"/>
      <c r="V224" s="156"/>
      <c r="W224" s="156"/>
      <c r="X224" s="156"/>
      <c r="Y224" s="156"/>
      <c r="Z224" s="156"/>
      <c r="AA224" s="156"/>
      <c r="AB224" s="156"/>
      <c r="AC224" s="156"/>
    </row>
    <row r="225" spans="1:29" ht="13">
      <c r="A225" s="140"/>
      <c r="B225" s="140"/>
      <c r="C225" s="156"/>
      <c r="D225" s="156"/>
      <c r="E225" s="156"/>
      <c r="F225" s="184"/>
      <c r="G225" s="189"/>
      <c r="H225" s="184"/>
      <c r="I225" s="156"/>
      <c r="J225" s="156"/>
      <c r="K225" s="156"/>
      <c r="L225" s="157"/>
      <c r="M225" s="156"/>
      <c r="N225" s="156"/>
      <c r="O225" s="156"/>
      <c r="P225" s="156"/>
      <c r="Q225" s="156"/>
      <c r="R225" s="156"/>
      <c r="S225" s="156"/>
      <c r="T225" s="156"/>
      <c r="U225" s="156"/>
      <c r="V225" s="156"/>
      <c r="W225" s="156"/>
      <c r="X225" s="156"/>
      <c r="Y225" s="156"/>
      <c r="Z225" s="156"/>
      <c r="AA225" s="156"/>
      <c r="AB225" s="156"/>
      <c r="AC225" s="156"/>
    </row>
    <row r="226" spans="1:29" ht="13">
      <c r="A226" s="140"/>
      <c r="B226" s="140"/>
      <c r="C226" s="156"/>
      <c r="D226" s="156"/>
      <c r="E226" s="156"/>
      <c r="F226" s="184"/>
      <c r="G226" s="189"/>
      <c r="H226" s="184"/>
      <c r="I226" s="156"/>
      <c r="J226" s="156"/>
      <c r="K226" s="156"/>
      <c r="L226" s="157"/>
      <c r="M226" s="156"/>
      <c r="N226" s="156"/>
      <c r="O226" s="156"/>
      <c r="P226" s="156"/>
      <c r="Q226" s="156"/>
      <c r="R226" s="156"/>
      <c r="S226" s="156"/>
      <c r="T226" s="156"/>
      <c r="U226" s="156"/>
      <c r="V226" s="156"/>
      <c r="W226" s="156"/>
      <c r="X226" s="156"/>
      <c r="Y226" s="156"/>
      <c r="Z226" s="156"/>
      <c r="AA226" s="156"/>
      <c r="AB226" s="156"/>
      <c r="AC226" s="156"/>
    </row>
    <row r="227" spans="1:29" ht="13">
      <c r="A227" s="140"/>
      <c r="B227" s="140"/>
      <c r="C227" s="156"/>
      <c r="D227" s="156"/>
      <c r="E227" s="156"/>
      <c r="F227" s="184"/>
      <c r="G227" s="189"/>
      <c r="H227" s="184"/>
      <c r="I227" s="156"/>
      <c r="J227" s="156"/>
      <c r="K227" s="156"/>
      <c r="L227" s="157"/>
      <c r="M227" s="156"/>
      <c r="N227" s="156"/>
      <c r="O227" s="156"/>
      <c r="P227" s="156"/>
      <c r="Q227" s="156"/>
      <c r="R227" s="156"/>
      <c r="S227" s="156"/>
      <c r="T227" s="156"/>
      <c r="U227" s="156"/>
      <c r="V227" s="156"/>
      <c r="W227" s="156"/>
      <c r="X227" s="156"/>
      <c r="Y227" s="156"/>
      <c r="Z227" s="156"/>
      <c r="AA227" s="156"/>
      <c r="AB227" s="156"/>
      <c r="AC227" s="156"/>
    </row>
    <row r="228" spans="1:29" ht="13">
      <c r="A228" s="140"/>
      <c r="B228" s="140"/>
      <c r="C228" s="156"/>
      <c r="D228" s="156"/>
      <c r="E228" s="156"/>
      <c r="F228" s="184"/>
      <c r="G228" s="189"/>
      <c r="H228" s="184"/>
      <c r="I228" s="156"/>
      <c r="J228" s="156"/>
      <c r="K228" s="156"/>
      <c r="L228" s="157"/>
      <c r="M228" s="156"/>
      <c r="N228" s="156"/>
      <c r="O228" s="156"/>
      <c r="P228" s="156"/>
      <c r="Q228" s="156"/>
      <c r="R228" s="156"/>
      <c r="S228" s="156"/>
      <c r="T228" s="156"/>
      <c r="U228" s="156"/>
      <c r="V228" s="156"/>
      <c r="W228" s="156"/>
      <c r="X228" s="156"/>
      <c r="Y228" s="156"/>
      <c r="Z228" s="156"/>
      <c r="AA228" s="156"/>
      <c r="AB228" s="156"/>
      <c r="AC228" s="156"/>
    </row>
    <row r="229" spans="1:29" ht="13">
      <c r="A229" s="140"/>
      <c r="B229" s="140"/>
      <c r="C229" s="156"/>
      <c r="D229" s="156"/>
      <c r="E229" s="156"/>
      <c r="F229" s="184"/>
      <c r="G229" s="189"/>
      <c r="H229" s="184"/>
      <c r="I229" s="156"/>
      <c r="J229" s="156"/>
      <c r="K229" s="156"/>
      <c r="L229" s="157"/>
      <c r="M229" s="156"/>
      <c r="N229" s="156"/>
      <c r="O229" s="156"/>
      <c r="P229" s="156"/>
      <c r="Q229" s="156"/>
      <c r="R229" s="156"/>
      <c r="S229" s="156"/>
      <c r="T229" s="156"/>
      <c r="U229" s="156"/>
      <c r="V229" s="156"/>
      <c r="W229" s="156"/>
      <c r="X229" s="156"/>
      <c r="Y229" s="156"/>
      <c r="Z229" s="156"/>
      <c r="AA229" s="156"/>
      <c r="AB229" s="156"/>
      <c r="AC229" s="156"/>
    </row>
    <row r="230" spans="1:29" ht="13">
      <c r="A230" s="140"/>
      <c r="B230" s="140"/>
      <c r="C230" s="156"/>
      <c r="D230" s="156"/>
      <c r="E230" s="156"/>
      <c r="F230" s="184"/>
      <c r="G230" s="189"/>
      <c r="H230" s="184"/>
      <c r="I230" s="156"/>
      <c r="J230" s="156"/>
      <c r="K230" s="156"/>
      <c r="L230" s="157"/>
      <c r="M230" s="156"/>
      <c r="N230" s="156"/>
      <c r="O230" s="156"/>
      <c r="P230" s="156"/>
      <c r="Q230" s="156"/>
      <c r="R230" s="156"/>
      <c r="S230" s="156"/>
      <c r="T230" s="156"/>
      <c r="U230" s="156"/>
      <c r="V230" s="156"/>
      <c r="W230" s="156"/>
      <c r="X230" s="156"/>
      <c r="Y230" s="156"/>
      <c r="Z230" s="156"/>
      <c r="AA230" s="156"/>
      <c r="AB230" s="156"/>
      <c r="AC230" s="156"/>
    </row>
    <row r="231" spans="1:29" ht="13">
      <c r="A231" s="140"/>
      <c r="B231" s="140"/>
      <c r="C231" s="156"/>
      <c r="D231" s="156"/>
      <c r="E231" s="156"/>
      <c r="F231" s="184"/>
      <c r="G231" s="189"/>
      <c r="H231" s="184"/>
      <c r="I231" s="156"/>
      <c r="J231" s="156"/>
      <c r="K231" s="156"/>
      <c r="L231" s="157"/>
      <c r="M231" s="156"/>
      <c r="N231" s="156"/>
      <c r="O231" s="156"/>
      <c r="P231" s="156"/>
      <c r="Q231" s="156"/>
      <c r="R231" s="156"/>
      <c r="S231" s="156"/>
      <c r="T231" s="156"/>
      <c r="U231" s="156"/>
      <c r="V231" s="156"/>
      <c r="W231" s="156"/>
      <c r="X231" s="156"/>
      <c r="Y231" s="156"/>
      <c r="Z231" s="156"/>
      <c r="AA231" s="156"/>
      <c r="AB231" s="156"/>
      <c r="AC231" s="156"/>
    </row>
    <row r="232" spans="1:29" ht="13">
      <c r="A232" s="140"/>
      <c r="B232" s="140"/>
      <c r="C232" s="156"/>
      <c r="D232" s="156"/>
      <c r="E232" s="156"/>
      <c r="F232" s="184"/>
      <c r="G232" s="189"/>
      <c r="H232" s="184"/>
      <c r="I232" s="156"/>
      <c r="J232" s="156"/>
      <c r="K232" s="156"/>
      <c r="L232" s="157"/>
      <c r="M232" s="156"/>
      <c r="N232" s="156"/>
      <c r="O232" s="156"/>
      <c r="P232" s="156"/>
      <c r="Q232" s="156"/>
      <c r="R232" s="156"/>
      <c r="S232" s="156"/>
      <c r="T232" s="156"/>
      <c r="U232" s="156"/>
      <c r="V232" s="156"/>
      <c r="W232" s="156"/>
      <c r="X232" s="156"/>
      <c r="Y232" s="156"/>
      <c r="Z232" s="156"/>
      <c r="AA232" s="156"/>
      <c r="AB232" s="156"/>
      <c r="AC232" s="156"/>
    </row>
    <row r="233" spans="1:29" ht="13">
      <c r="A233" s="140"/>
      <c r="B233" s="140"/>
      <c r="C233" s="156"/>
      <c r="D233" s="156"/>
      <c r="E233" s="156"/>
      <c r="F233" s="184"/>
      <c r="G233" s="189"/>
      <c r="H233" s="184"/>
      <c r="I233" s="156"/>
      <c r="J233" s="156"/>
      <c r="K233" s="156"/>
      <c r="L233" s="157"/>
      <c r="M233" s="156"/>
      <c r="N233" s="156"/>
      <c r="O233" s="156"/>
      <c r="P233" s="156"/>
      <c r="Q233" s="156"/>
      <c r="R233" s="156"/>
      <c r="S233" s="156"/>
      <c r="T233" s="156"/>
      <c r="U233" s="156"/>
      <c r="V233" s="156"/>
      <c r="W233" s="156"/>
      <c r="X233" s="156"/>
      <c r="Y233" s="156"/>
      <c r="Z233" s="156"/>
      <c r="AA233" s="156"/>
      <c r="AB233" s="156"/>
      <c r="AC233" s="156"/>
    </row>
    <row r="234" spans="1:29" ht="13">
      <c r="A234" s="140"/>
      <c r="B234" s="140"/>
      <c r="C234" s="156"/>
      <c r="D234" s="156"/>
      <c r="E234" s="156"/>
      <c r="F234" s="184"/>
      <c r="G234" s="189"/>
      <c r="H234" s="184"/>
      <c r="I234" s="156"/>
      <c r="J234" s="156"/>
      <c r="K234" s="156"/>
      <c r="L234" s="157"/>
      <c r="M234" s="156"/>
      <c r="N234" s="156"/>
      <c r="O234" s="156"/>
      <c r="P234" s="156"/>
      <c r="Q234" s="156"/>
      <c r="R234" s="156"/>
      <c r="S234" s="156"/>
      <c r="T234" s="156"/>
      <c r="U234" s="156"/>
      <c r="V234" s="156"/>
      <c r="W234" s="156"/>
      <c r="X234" s="156"/>
      <c r="Y234" s="156"/>
      <c r="Z234" s="156"/>
      <c r="AA234" s="156"/>
      <c r="AB234" s="156"/>
      <c r="AC234" s="156"/>
    </row>
    <row r="235" spans="1:29" ht="13">
      <c r="A235" s="140"/>
      <c r="B235" s="140"/>
      <c r="C235" s="156"/>
      <c r="D235" s="156"/>
      <c r="E235" s="156"/>
      <c r="F235" s="184"/>
      <c r="G235" s="189"/>
      <c r="H235" s="184"/>
      <c r="I235" s="156"/>
      <c r="J235" s="156"/>
      <c r="K235" s="156"/>
      <c r="L235" s="157"/>
      <c r="M235" s="156"/>
      <c r="N235" s="156"/>
      <c r="O235" s="156"/>
      <c r="P235" s="156"/>
      <c r="Q235" s="156"/>
      <c r="R235" s="156"/>
      <c r="S235" s="156"/>
      <c r="T235" s="156"/>
      <c r="U235" s="156"/>
      <c r="V235" s="156"/>
      <c r="W235" s="156"/>
      <c r="X235" s="156"/>
      <c r="Y235" s="156"/>
      <c r="Z235" s="156"/>
      <c r="AA235" s="156"/>
      <c r="AB235" s="156"/>
      <c r="AC235" s="156"/>
    </row>
    <row r="236" spans="1:29" ht="13">
      <c r="A236" s="140"/>
      <c r="B236" s="140"/>
      <c r="C236" s="156"/>
      <c r="D236" s="156"/>
      <c r="E236" s="156"/>
      <c r="F236" s="184"/>
      <c r="G236" s="189"/>
      <c r="H236" s="184"/>
      <c r="I236" s="156"/>
      <c r="J236" s="156"/>
      <c r="K236" s="156"/>
      <c r="L236" s="157"/>
      <c r="M236" s="156"/>
      <c r="N236" s="156"/>
      <c r="O236" s="156"/>
      <c r="P236" s="156"/>
      <c r="Q236" s="156"/>
      <c r="R236" s="156"/>
      <c r="S236" s="156"/>
      <c r="T236" s="156"/>
      <c r="U236" s="156"/>
      <c r="V236" s="156"/>
      <c r="W236" s="156"/>
      <c r="X236" s="156"/>
      <c r="Y236" s="156"/>
      <c r="Z236" s="156"/>
      <c r="AA236" s="156"/>
      <c r="AB236" s="156"/>
      <c r="AC236" s="156"/>
    </row>
    <row r="237" spans="1:29" ht="13">
      <c r="A237" s="140"/>
      <c r="B237" s="140"/>
      <c r="C237" s="156"/>
      <c r="D237" s="156"/>
      <c r="E237" s="156"/>
      <c r="F237" s="184"/>
      <c r="G237" s="189"/>
      <c r="H237" s="184"/>
      <c r="I237" s="156"/>
      <c r="J237" s="156"/>
      <c r="K237" s="156"/>
      <c r="L237" s="157"/>
      <c r="M237" s="156"/>
      <c r="N237" s="156"/>
      <c r="O237" s="156"/>
      <c r="P237" s="156"/>
      <c r="Q237" s="156"/>
      <c r="R237" s="156"/>
      <c r="S237" s="156"/>
      <c r="T237" s="156"/>
      <c r="U237" s="156"/>
      <c r="V237" s="156"/>
      <c r="W237" s="156"/>
      <c r="X237" s="156"/>
      <c r="Y237" s="156"/>
      <c r="Z237" s="156"/>
      <c r="AA237" s="156"/>
      <c r="AB237" s="156"/>
      <c r="AC237" s="156"/>
    </row>
    <row r="238" spans="1:29" ht="13">
      <c r="A238" s="140"/>
      <c r="B238" s="140"/>
      <c r="C238" s="156"/>
      <c r="D238" s="156"/>
      <c r="E238" s="156"/>
      <c r="F238" s="184"/>
      <c r="G238" s="189"/>
      <c r="H238" s="184"/>
      <c r="I238" s="156"/>
      <c r="J238" s="156"/>
      <c r="K238" s="156"/>
      <c r="L238" s="157"/>
      <c r="M238" s="156"/>
      <c r="N238" s="156"/>
      <c r="O238" s="156"/>
      <c r="P238" s="156"/>
      <c r="Q238" s="156"/>
      <c r="R238" s="156"/>
      <c r="S238" s="156"/>
      <c r="T238" s="156"/>
      <c r="U238" s="156"/>
      <c r="V238" s="156"/>
      <c r="W238" s="156"/>
      <c r="X238" s="156"/>
      <c r="Y238" s="156"/>
      <c r="Z238" s="156"/>
      <c r="AA238" s="156"/>
      <c r="AB238" s="156"/>
      <c r="AC238" s="156"/>
    </row>
    <row r="239" spans="1:29" ht="13">
      <c r="A239" s="140"/>
      <c r="B239" s="140"/>
      <c r="C239" s="156"/>
      <c r="D239" s="156"/>
      <c r="E239" s="156"/>
      <c r="F239" s="184"/>
      <c r="G239" s="189"/>
      <c r="H239" s="184"/>
      <c r="I239" s="156"/>
      <c r="J239" s="156"/>
      <c r="K239" s="156"/>
      <c r="L239" s="157"/>
      <c r="M239" s="156"/>
      <c r="N239" s="156"/>
      <c r="O239" s="156"/>
      <c r="P239" s="156"/>
      <c r="Q239" s="156"/>
      <c r="R239" s="156"/>
      <c r="S239" s="156"/>
      <c r="T239" s="156"/>
      <c r="U239" s="156"/>
      <c r="V239" s="156"/>
      <c r="W239" s="156"/>
      <c r="X239" s="156"/>
      <c r="Y239" s="156"/>
      <c r="Z239" s="156"/>
      <c r="AA239" s="156"/>
      <c r="AB239" s="156"/>
      <c r="AC239" s="156"/>
    </row>
    <row r="240" spans="1:29" ht="13">
      <c r="A240" s="140"/>
      <c r="B240" s="140"/>
      <c r="C240" s="156"/>
      <c r="D240" s="156"/>
      <c r="E240" s="156"/>
      <c r="F240" s="184"/>
      <c r="G240" s="189"/>
      <c r="H240" s="184"/>
      <c r="I240" s="156"/>
      <c r="J240" s="156"/>
      <c r="K240" s="156"/>
      <c r="L240" s="157"/>
      <c r="M240" s="156"/>
      <c r="N240" s="156"/>
      <c r="O240" s="156"/>
      <c r="P240" s="156"/>
      <c r="Q240" s="156"/>
      <c r="R240" s="156"/>
      <c r="S240" s="156"/>
      <c r="T240" s="156"/>
      <c r="U240" s="156"/>
      <c r="V240" s="156"/>
      <c r="W240" s="156"/>
      <c r="X240" s="156"/>
      <c r="Y240" s="156"/>
      <c r="Z240" s="156"/>
      <c r="AA240" s="156"/>
      <c r="AB240" s="156"/>
      <c r="AC240" s="156"/>
    </row>
    <row r="241" spans="1:29" ht="13">
      <c r="A241" s="140"/>
      <c r="B241" s="140"/>
      <c r="C241" s="156"/>
      <c r="D241" s="156"/>
      <c r="E241" s="156"/>
      <c r="F241" s="184"/>
      <c r="G241" s="189"/>
      <c r="H241" s="184"/>
      <c r="I241" s="156"/>
      <c r="J241" s="156"/>
      <c r="K241" s="156"/>
      <c r="L241" s="157"/>
      <c r="M241" s="156"/>
      <c r="N241" s="156"/>
      <c r="O241" s="156"/>
      <c r="P241" s="156"/>
      <c r="Q241" s="156"/>
      <c r="R241" s="156"/>
      <c r="S241" s="156"/>
      <c r="T241" s="156"/>
      <c r="U241" s="156"/>
      <c r="V241" s="156"/>
      <c r="W241" s="156"/>
      <c r="X241" s="156"/>
      <c r="Y241" s="156"/>
      <c r="Z241" s="156"/>
      <c r="AA241" s="156"/>
      <c r="AB241" s="156"/>
      <c r="AC241" s="156"/>
    </row>
    <row r="242" spans="1:29" ht="13">
      <c r="A242" s="140"/>
      <c r="B242" s="140"/>
      <c r="C242" s="156"/>
      <c r="D242" s="156"/>
      <c r="E242" s="156"/>
      <c r="F242" s="184"/>
      <c r="G242" s="189"/>
      <c r="H242" s="184"/>
      <c r="I242" s="156"/>
      <c r="J242" s="156"/>
      <c r="K242" s="156"/>
      <c r="L242" s="157"/>
      <c r="M242" s="156"/>
      <c r="N242" s="156"/>
      <c r="O242" s="156"/>
      <c r="P242" s="156"/>
      <c r="Q242" s="156"/>
      <c r="R242" s="156"/>
      <c r="S242" s="156"/>
      <c r="T242" s="156"/>
      <c r="U242" s="156"/>
      <c r="V242" s="156"/>
      <c r="W242" s="156"/>
      <c r="X242" s="156"/>
      <c r="Y242" s="156"/>
      <c r="Z242" s="156"/>
      <c r="AA242" s="156"/>
      <c r="AB242" s="156"/>
      <c r="AC242" s="156"/>
    </row>
    <row r="243" spans="1:29" ht="13">
      <c r="A243" s="140"/>
      <c r="B243" s="140"/>
      <c r="C243" s="156"/>
      <c r="D243" s="156"/>
      <c r="E243" s="156"/>
      <c r="F243" s="184"/>
      <c r="G243" s="189"/>
      <c r="H243" s="184"/>
      <c r="I243" s="156"/>
      <c r="J243" s="156"/>
      <c r="K243" s="156"/>
      <c r="L243" s="157"/>
      <c r="M243" s="156"/>
      <c r="N243" s="156"/>
      <c r="O243" s="156"/>
      <c r="P243" s="156"/>
      <c r="Q243" s="156"/>
      <c r="R243" s="156"/>
      <c r="S243" s="156"/>
      <c r="T243" s="156"/>
      <c r="U243" s="156"/>
      <c r="V243" s="156"/>
      <c r="W243" s="156"/>
      <c r="X243" s="156"/>
      <c r="Y243" s="156"/>
      <c r="Z243" s="156"/>
      <c r="AA243" s="156"/>
      <c r="AB243" s="156"/>
      <c r="AC243" s="156"/>
    </row>
    <row r="244" spans="1:29" ht="13">
      <c r="A244" s="140"/>
      <c r="B244" s="140"/>
      <c r="C244" s="156"/>
      <c r="D244" s="156"/>
      <c r="E244" s="156"/>
      <c r="F244" s="184"/>
      <c r="G244" s="189"/>
      <c r="H244" s="184"/>
      <c r="I244" s="156"/>
      <c r="J244" s="156"/>
      <c r="K244" s="156"/>
      <c r="L244" s="157"/>
      <c r="M244" s="156"/>
      <c r="N244" s="156"/>
      <c r="O244" s="156"/>
      <c r="P244" s="156"/>
      <c r="Q244" s="156"/>
      <c r="R244" s="156"/>
      <c r="S244" s="156"/>
      <c r="T244" s="156"/>
      <c r="U244" s="156"/>
      <c r="V244" s="156"/>
      <c r="W244" s="156"/>
      <c r="X244" s="156"/>
      <c r="Y244" s="156"/>
      <c r="Z244" s="156"/>
      <c r="AA244" s="156"/>
      <c r="AB244" s="156"/>
      <c r="AC244" s="156"/>
    </row>
    <row r="245" spans="1:29" ht="13">
      <c r="A245" s="140"/>
      <c r="B245" s="140"/>
      <c r="C245" s="156"/>
      <c r="D245" s="156"/>
      <c r="E245" s="156"/>
      <c r="F245" s="184"/>
      <c r="G245" s="189"/>
      <c r="H245" s="184"/>
      <c r="I245" s="156"/>
      <c r="J245" s="156"/>
      <c r="K245" s="156"/>
      <c r="L245" s="157"/>
      <c r="M245" s="156"/>
      <c r="N245" s="156"/>
      <c r="O245" s="156"/>
      <c r="P245" s="156"/>
      <c r="Q245" s="156"/>
      <c r="R245" s="156"/>
      <c r="S245" s="156"/>
      <c r="T245" s="156"/>
      <c r="U245" s="156"/>
      <c r="V245" s="156"/>
      <c r="W245" s="156"/>
      <c r="X245" s="156"/>
      <c r="Y245" s="156"/>
      <c r="Z245" s="156"/>
      <c r="AA245" s="156"/>
      <c r="AB245" s="156"/>
      <c r="AC245" s="156"/>
    </row>
    <row r="246" spans="1:29" ht="13">
      <c r="A246" s="140"/>
      <c r="B246" s="140"/>
      <c r="C246" s="156"/>
      <c r="D246" s="156"/>
      <c r="E246" s="156"/>
      <c r="F246" s="184"/>
      <c r="G246" s="189"/>
      <c r="H246" s="184"/>
      <c r="I246" s="156"/>
      <c r="J246" s="156"/>
      <c r="K246" s="156"/>
      <c r="L246" s="157"/>
      <c r="M246" s="156"/>
      <c r="N246" s="156"/>
      <c r="O246" s="156"/>
      <c r="P246" s="156"/>
      <c r="Q246" s="156"/>
      <c r="R246" s="156"/>
      <c r="S246" s="156"/>
      <c r="T246" s="156"/>
      <c r="U246" s="156"/>
      <c r="V246" s="156"/>
      <c r="W246" s="156"/>
      <c r="X246" s="156"/>
      <c r="Y246" s="156"/>
      <c r="Z246" s="156"/>
      <c r="AA246" s="156"/>
      <c r="AB246" s="156"/>
      <c r="AC246" s="156"/>
    </row>
    <row r="247" spans="1:29" ht="13">
      <c r="A247" s="140"/>
      <c r="B247" s="140"/>
      <c r="C247" s="156"/>
      <c r="D247" s="156"/>
      <c r="E247" s="156"/>
      <c r="F247" s="184"/>
      <c r="G247" s="189"/>
      <c r="H247" s="184"/>
      <c r="I247" s="156"/>
      <c r="J247" s="156"/>
      <c r="K247" s="156"/>
      <c r="L247" s="157"/>
      <c r="M247" s="156"/>
      <c r="N247" s="156"/>
      <c r="O247" s="156"/>
      <c r="P247" s="156"/>
      <c r="Q247" s="156"/>
      <c r="R247" s="156"/>
      <c r="S247" s="156"/>
      <c r="T247" s="156"/>
      <c r="U247" s="156"/>
      <c r="V247" s="156"/>
      <c r="W247" s="156"/>
      <c r="X247" s="156"/>
      <c r="Y247" s="156"/>
      <c r="Z247" s="156"/>
      <c r="AA247" s="156"/>
      <c r="AB247" s="156"/>
      <c r="AC247" s="156"/>
    </row>
    <row r="248" spans="1:29" ht="13">
      <c r="A248" s="140"/>
      <c r="B248" s="140"/>
      <c r="C248" s="156"/>
      <c r="D248" s="156"/>
      <c r="E248" s="156"/>
      <c r="F248" s="184"/>
      <c r="G248" s="189"/>
      <c r="H248" s="184"/>
      <c r="I248" s="156"/>
      <c r="J248" s="156"/>
      <c r="K248" s="156"/>
      <c r="L248" s="157"/>
      <c r="M248" s="156"/>
      <c r="N248" s="156"/>
      <c r="O248" s="156"/>
      <c r="P248" s="156"/>
      <c r="Q248" s="156"/>
      <c r="R248" s="156"/>
      <c r="S248" s="156"/>
      <c r="T248" s="156"/>
      <c r="U248" s="156"/>
      <c r="V248" s="156"/>
      <c r="W248" s="156"/>
      <c r="X248" s="156"/>
      <c r="Y248" s="156"/>
      <c r="Z248" s="156"/>
      <c r="AA248" s="156"/>
      <c r="AB248" s="156"/>
      <c r="AC248" s="156"/>
    </row>
    <row r="249" spans="1:29" ht="13">
      <c r="A249" s="140"/>
      <c r="B249" s="140"/>
      <c r="C249" s="156"/>
      <c r="D249" s="156"/>
      <c r="E249" s="156"/>
      <c r="F249" s="156"/>
      <c r="G249" s="185"/>
      <c r="H249" s="156"/>
      <c r="I249" s="156"/>
      <c r="J249" s="156"/>
      <c r="K249" s="156"/>
      <c r="L249" s="157"/>
      <c r="M249" s="156"/>
      <c r="N249" s="156"/>
      <c r="O249" s="156"/>
      <c r="P249" s="156"/>
      <c r="Q249" s="156"/>
      <c r="R249" s="156"/>
      <c r="S249" s="156"/>
      <c r="T249" s="156"/>
      <c r="U249" s="156"/>
      <c r="V249" s="156"/>
      <c r="W249" s="156"/>
      <c r="X249" s="156"/>
      <c r="Y249" s="156"/>
      <c r="Z249" s="156"/>
      <c r="AA249" s="156"/>
      <c r="AB249" s="156"/>
      <c r="AC249" s="156"/>
    </row>
    <row r="250" spans="1:29" ht="13">
      <c r="A250" s="140"/>
      <c r="B250" s="140"/>
      <c r="C250" s="156"/>
      <c r="D250" s="156"/>
      <c r="E250" s="156"/>
      <c r="F250" s="156"/>
      <c r="G250" s="185"/>
      <c r="H250" s="156"/>
      <c r="I250" s="156"/>
      <c r="J250" s="156"/>
      <c r="K250" s="156"/>
      <c r="L250" s="157"/>
      <c r="M250" s="156"/>
      <c r="N250" s="156"/>
      <c r="O250" s="156"/>
      <c r="P250" s="156"/>
      <c r="Q250" s="156"/>
      <c r="R250" s="156"/>
      <c r="S250" s="156"/>
      <c r="T250" s="156"/>
      <c r="U250" s="156"/>
      <c r="V250" s="156"/>
      <c r="W250" s="156"/>
      <c r="X250" s="156"/>
      <c r="Y250" s="156"/>
      <c r="Z250" s="156"/>
      <c r="AA250" s="156"/>
      <c r="AB250" s="156"/>
      <c r="AC250" s="156"/>
    </row>
    <row r="251" spans="1:29" ht="13">
      <c r="A251" s="140"/>
      <c r="B251" s="140"/>
      <c r="C251" s="156"/>
      <c r="D251" s="156"/>
      <c r="E251" s="156"/>
      <c r="F251" s="156"/>
      <c r="G251" s="185"/>
      <c r="H251" s="156"/>
      <c r="I251" s="156"/>
      <c r="J251" s="156"/>
      <c r="K251" s="156"/>
      <c r="L251" s="157"/>
      <c r="M251" s="156"/>
      <c r="N251" s="156"/>
      <c r="O251" s="156"/>
      <c r="P251" s="156"/>
      <c r="Q251" s="156"/>
      <c r="R251" s="156"/>
      <c r="S251" s="156"/>
      <c r="T251" s="156"/>
      <c r="U251" s="156"/>
      <c r="V251" s="156"/>
      <c r="W251" s="156"/>
      <c r="X251" s="156"/>
      <c r="Y251" s="156"/>
      <c r="Z251" s="156"/>
      <c r="AA251" s="156"/>
      <c r="AB251" s="156"/>
      <c r="AC251" s="156"/>
    </row>
    <row r="252" spans="1:29" ht="13">
      <c r="A252" s="140"/>
      <c r="B252" s="140"/>
      <c r="C252" s="156"/>
      <c r="D252" s="156"/>
      <c r="E252" s="156"/>
      <c r="F252" s="156"/>
      <c r="G252" s="185"/>
      <c r="H252" s="156"/>
      <c r="I252" s="156"/>
      <c r="J252" s="156"/>
      <c r="K252" s="156"/>
      <c r="L252" s="157"/>
      <c r="M252" s="156"/>
      <c r="N252" s="156"/>
      <c r="O252" s="156"/>
      <c r="P252" s="156"/>
      <c r="Q252" s="156"/>
      <c r="R252" s="156"/>
      <c r="S252" s="156"/>
      <c r="T252" s="156"/>
      <c r="U252" s="156"/>
      <c r="V252" s="156"/>
      <c r="W252" s="156"/>
      <c r="X252" s="156"/>
      <c r="Y252" s="156"/>
      <c r="Z252" s="156"/>
      <c r="AA252" s="156"/>
      <c r="AB252" s="156"/>
      <c r="AC252" s="156"/>
    </row>
    <row r="253" spans="1:29" ht="13">
      <c r="A253" s="140"/>
      <c r="B253" s="140"/>
      <c r="C253" s="156"/>
      <c r="D253" s="156"/>
      <c r="E253" s="156"/>
      <c r="F253" s="156"/>
      <c r="G253" s="185"/>
      <c r="H253" s="156"/>
      <c r="I253" s="156"/>
      <c r="J253" s="156"/>
      <c r="K253" s="156"/>
      <c r="L253" s="157"/>
      <c r="M253" s="156"/>
      <c r="N253" s="156"/>
      <c r="O253" s="156"/>
      <c r="P253" s="156"/>
      <c r="Q253" s="156"/>
      <c r="R253" s="156"/>
      <c r="S253" s="156"/>
      <c r="T253" s="156"/>
      <c r="U253" s="156"/>
      <c r="V253" s="156"/>
      <c r="W253" s="156"/>
      <c r="X253" s="156"/>
      <c r="Y253" s="156"/>
      <c r="Z253" s="156"/>
      <c r="AA253" s="156"/>
      <c r="AB253" s="156"/>
      <c r="AC253" s="156"/>
    </row>
    <row r="254" spans="1:29" ht="13">
      <c r="A254" s="140"/>
      <c r="B254" s="140"/>
      <c r="C254" s="156"/>
      <c r="D254" s="156"/>
      <c r="E254" s="156"/>
      <c r="F254" s="156"/>
      <c r="G254" s="185"/>
      <c r="H254" s="156"/>
      <c r="I254" s="156"/>
      <c r="J254" s="156"/>
      <c r="K254" s="156"/>
      <c r="L254" s="157"/>
      <c r="M254" s="156"/>
      <c r="N254" s="156"/>
      <c r="O254" s="156"/>
      <c r="P254" s="156"/>
      <c r="Q254" s="156"/>
      <c r="R254" s="156"/>
      <c r="S254" s="156"/>
      <c r="T254" s="156"/>
      <c r="U254" s="156"/>
      <c r="V254" s="156"/>
      <c r="W254" s="156"/>
      <c r="X254" s="156"/>
      <c r="Y254" s="156"/>
      <c r="Z254" s="156"/>
      <c r="AA254" s="156"/>
      <c r="AB254" s="156"/>
      <c r="AC254" s="156"/>
    </row>
    <row r="255" spans="1:29" ht="13">
      <c r="A255" s="140"/>
      <c r="B255" s="140"/>
      <c r="C255" s="156"/>
      <c r="D255" s="156"/>
      <c r="E255" s="156"/>
      <c r="F255" s="156"/>
      <c r="G255" s="185"/>
      <c r="H255" s="156"/>
      <c r="I255" s="156"/>
      <c r="J255" s="156"/>
      <c r="K255" s="156"/>
      <c r="L255" s="157"/>
      <c r="M255" s="156"/>
      <c r="N255" s="156"/>
      <c r="O255" s="156"/>
      <c r="P255" s="156"/>
      <c r="Q255" s="156"/>
      <c r="R255" s="156"/>
      <c r="S255" s="156"/>
      <c r="T255" s="156"/>
      <c r="U255" s="156"/>
      <c r="V255" s="156"/>
      <c r="W255" s="156"/>
      <c r="X255" s="156"/>
      <c r="Y255" s="156"/>
      <c r="Z255" s="156"/>
      <c r="AA255" s="156"/>
      <c r="AB255" s="156"/>
      <c r="AC255" s="156"/>
    </row>
    <row r="256" spans="1:29" ht="13">
      <c r="A256" s="140"/>
      <c r="B256" s="140"/>
      <c r="C256" s="156"/>
      <c r="D256" s="156"/>
      <c r="E256" s="156"/>
      <c r="F256" s="156"/>
      <c r="G256" s="185"/>
      <c r="H256" s="156"/>
      <c r="I256" s="156"/>
      <c r="J256" s="156"/>
      <c r="K256" s="156"/>
      <c r="L256" s="157"/>
      <c r="M256" s="156"/>
      <c r="N256" s="156"/>
      <c r="O256" s="156"/>
      <c r="P256" s="156"/>
      <c r="Q256" s="156"/>
      <c r="R256" s="156"/>
      <c r="S256" s="156"/>
      <c r="T256" s="156"/>
      <c r="U256" s="156"/>
      <c r="V256" s="156"/>
      <c r="W256" s="156"/>
      <c r="X256" s="156"/>
      <c r="Y256" s="156"/>
      <c r="Z256" s="156"/>
      <c r="AA256" s="156"/>
      <c r="AB256" s="156"/>
      <c r="AC256" s="156"/>
    </row>
    <row r="257" spans="1:29" ht="13">
      <c r="A257" s="140"/>
      <c r="B257" s="140"/>
      <c r="C257" s="156"/>
      <c r="D257" s="156"/>
      <c r="E257" s="156"/>
      <c r="F257" s="156"/>
      <c r="G257" s="185"/>
      <c r="H257" s="156"/>
      <c r="I257" s="156"/>
      <c r="J257" s="156"/>
      <c r="K257" s="156"/>
      <c r="L257" s="157"/>
      <c r="M257" s="156"/>
      <c r="N257" s="156"/>
      <c r="O257" s="156"/>
      <c r="P257" s="156"/>
      <c r="Q257" s="156"/>
      <c r="R257" s="156"/>
      <c r="S257" s="156"/>
      <c r="T257" s="156"/>
      <c r="U257" s="156"/>
      <c r="V257" s="156"/>
      <c r="W257" s="156"/>
      <c r="X257" s="156"/>
      <c r="Y257" s="156"/>
      <c r="Z257" s="156"/>
      <c r="AA257" s="156"/>
      <c r="AB257" s="156"/>
      <c r="AC257" s="156"/>
    </row>
    <row r="258" spans="1:29" ht="13">
      <c r="A258" s="140"/>
      <c r="B258" s="140"/>
      <c r="C258" s="156"/>
      <c r="D258" s="156"/>
      <c r="E258" s="156"/>
      <c r="F258" s="156"/>
      <c r="G258" s="185"/>
      <c r="H258" s="156"/>
      <c r="I258" s="156"/>
      <c r="J258" s="156"/>
      <c r="K258" s="156"/>
      <c r="L258" s="157"/>
      <c r="M258" s="156"/>
      <c r="N258" s="156"/>
      <c r="O258" s="156"/>
      <c r="P258" s="156"/>
      <c r="Q258" s="156"/>
      <c r="R258" s="156"/>
      <c r="S258" s="156"/>
      <c r="T258" s="156"/>
      <c r="U258" s="156"/>
      <c r="V258" s="156"/>
      <c r="W258" s="156"/>
      <c r="X258" s="156"/>
      <c r="Y258" s="156"/>
      <c r="Z258" s="156"/>
      <c r="AA258" s="156"/>
      <c r="AB258" s="156"/>
      <c r="AC258" s="156"/>
    </row>
    <row r="259" spans="1:29" ht="13">
      <c r="A259" s="140"/>
      <c r="B259" s="140"/>
      <c r="C259" s="156"/>
      <c r="D259" s="156"/>
      <c r="E259" s="156"/>
      <c r="F259" s="156"/>
      <c r="G259" s="185"/>
      <c r="H259" s="156"/>
      <c r="I259" s="156"/>
      <c r="J259" s="156"/>
      <c r="K259" s="156"/>
      <c r="L259" s="157"/>
      <c r="M259" s="156"/>
      <c r="N259" s="156"/>
      <c r="O259" s="156"/>
      <c r="P259" s="156"/>
      <c r="Q259" s="156"/>
      <c r="R259" s="156"/>
      <c r="S259" s="156"/>
      <c r="T259" s="156"/>
      <c r="U259" s="156"/>
      <c r="V259" s="156"/>
      <c r="W259" s="156"/>
      <c r="X259" s="156"/>
      <c r="Y259" s="156"/>
      <c r="Z259" s="156"/>
      <c r="AA259" s="156"/>
      <c r="AB259" s="156"/>
      <c r="AC259" s="156"/>
    </row>
    <row r="260" spans="1:29" ht="13">
      <c r="A260" s="140"/>
      <c r="B260" s="140"/>
      <c r="C260" s="156"/>
      <c r="D260" s="156"/>
      <c r="E260" s="156"/>
      <c r="F260" s="156"/>
      <c r="G260" s="185"/>
      <c r="H260" s="156"/>
      <c r="I260" s="156"/>
      <c r="J260" s="156"/>
      <c r="K260" s="156"/>
      <c r="L260" s="157"/>
      <c r="M260" s="156"/>
      <c r="N260" s="156"/>
      <c r="O260" s="156"/>
      <c r="P260" s="156"/>
      <c r="Q260" s="156"/>
      <c r="R260" s="156"/>
      <c r="S260" s="156"/>
      <c r="T260" s="156"/>
      <c r="U260" s="156"/>
      <c r="V260" s="156"/>
      <c r="W260" s="156"/>
      <c r="X260" s="156"/>
      <c r="Y260" s="156"/>
      <c r="Z260" s="156"/>
      <c r="AA260" s="156"/>
      <c r="AB260" s="156"/>
      <c r="AC260" s="156"/>
    </row>
    <row r="261" spans="1:29" ht="13">
      <c r="A261" s="140"/>
      <c r="B261" s="140"/>
      <c r="C261" s="156"/>
      <c r="D261" s="156"/>
      <c r="E261" s="156"/>
      <c r="F261" s="156"/>
      <c r="G261" s="185"/>
      <c r="H261" s="156"/>
      <c r="I261" s="156"/>
      <c r="J261" s="156"/>
      <c r="K261" s="156"/>
      <c r="L261" s="157"/>
      <c r="M261" s="156"/>
      <c r="N261" s="156"/>
      <c r="O261" s="156"/>
      <c r="P261" s="156"/>
      <c r="Q261" s="156"/>
      <c r="R261" s="156"/>
      <c r="S261" s="156"/>
      <c r="T261" s="156"/>
      <c r="U261" s="156"/>
      <c r="V261" s="156"/>
      <c r="W261" s="156"/>
      <c r="X261" s="156"/>
      <c r="Y261" s="156"/>
      <c r="Z261" s="156"/>
      <c r="AA261" s="156"/>
      <c r="AB261" s="156"/>
      <c r="AC261" s="156"/>
    </row>
    <row r="262" spans="1:29" ht="13">
      <c r="A262" s="140"/>
      <c r="B262" s="140"/>
      <c r="C262" s="156"/>
      <c r="D262" s="156"/>
      <c r="E262" s="156"/>
      <c r="F262" s="156"/>
      <c r="G262" s="185"/>
      <c r="H262" s="156"/>
      <c r="I262" s="156"/>
      <c r="J262" s="156"/>
      <c r="K262" s="156"/>
      <c r="L262" s="157"/>
      <c r="M262" s="156"/>
      <c r="N262" s="156"/>
      <c r="O262" s="156"/>
      <c r="P262" s="156"/>
      <c r="Q262" s="156"/>
      <c r="R262" s="156"/>
      <c r="S262" s="156"/>
      <c r="T262" s="156"/>
      <c r="U262" s="156"/>
      <c r="V262" s="156"/>
      <c r="W262" s="156"/>
      <c r="X262" s="156"/>
      <c r="Y262" s="156"/>
      <c r="Z262" s="156"/>
      <c r="AA262" s="156"/>
      <c r="AB262" s="156"/>
      <c r="AC262" s="156"/>
    </row>
    <row r="263" spans="1:29" ht="13">
      <c r="A263" s="140"/>
      <c r="B263" s="140"/>
      <c r="C263" s="156"/>
      <c r="D263" s="156"/>
      <c r="E263" s="156"/>
      <c r="F263" s="156"/>
      <c r="G263" s="185"/>
      <c r="H263" s="156"/>
      <c r="I263" s="156"/>
      <c r="J263" s="156"/>
      <c r="K263" s="156"/>
      <c r="L263" s="157"/>
      <c r="M263" s="156"/>
      <c r="N263" s="156"/>
      <c r="O263" s="156"/>
      <c r="P263" s="156"/>
      <c r="Q263" s="156"/>
      <c r="R263" s="156"/>
      <c r="S263" s="156"/>
      <c r="T263" s="156"/>
      <c r="U263" s="156"/>
      <c r="V263" s="156"/>
      <c r="W263" s="156"/>
      <c r="X263" s="156"/>
      <c r="Y263" s="156"/>
      <c r="Z263" s="156"/>
      <c r="AA263" s="156"/>
      <c r="AB263" s="156"/>
      <c r="AC263" s="156"/>
    </row>
    <row r="264" spans="1:29" ht="13">
      <c r="A264" s="140"/>
      <c r="B264" s="140"/>
      <c r="C264" s="156"/>
      <c r="D264" s="156"/>
      <c r="E264" s="156"/>
      <c r="F264" s="156"/>
      <c r="G264" s="185"/>
      <c r="H264" s="156"/>
      <c r="I264" s="156"/>
      <c r="J264" s="156"/>
      <c r="K264" s="156"/>
      <c r="L264" s="157"/>
      <c r="M264" s="156"/>
      <c r="N264" s="156"/>
      <c r="O264" s="156"/>
      <c r="P264" s="156"/>
      <c r="Q264" s="156"/>
      <c r="R264" s="156"/>
      <c r="S264" s="156"/>
      <c r="T264" s="156"/>
      <c r="U264" s="156"/>
      <c r="V264" s="156"/>
      <c r="W264" s="156"/>
      <c r="X264" s="156"/>
      <c r="Y264" s="156"/>
      <c r="Z264" s="156"/>
      <c r="AA264" s="156"/>
      <c r="AB264" s="156"/>
      <c r="AC264" s="156"/>
    </row>
    <row r="265" spans="1:29" ht="13">
      <c r="A265" s="140"/>
      <c r="B265" s="140"/>
      <c r="C265" s="156"/>
      <c r="D265" s="156"/>
      <c r="E265" s="156"/>
      <c r="F265" s="156"/>
      <c r="G265" s="185"/>
      <c r="H265" s="156"/>
      <c r="I265" s="156"/>
      <c r="J265" s="156"/>
      <c r="K265" s="156"/>
      <c r="L265" s="157"/>
      <c r="M265" s="156"/>
      <c r="N265" s="156"/>
      <c r="O265" s="156"/>
      <c r="P265" s="156"/>
      <c r="Q265" s="156"/>
      <c r="R265" s="156"/>
      <c r="S265" s="156"/>
      <c r="T265" s="156"/>
      <c r="U265" s="156"/>
      <c r="V265" s="156"/>
      <c r="W265" s="156"/>
      <c r="X265" s="156"/>
      <c r="Y265" s="156"/>
      <c r="Z265" s="156"/>
      <c r="AA265" s="156"/>
      <c r="AB265" s="156"/>
      <c r="AC265" s="156"/>
    </row>
    <row r="266" spans="1:29" ht="13">
      <c r="A266" s="140"/>
      <c r="B266" s="140"/>
      <c r="C266" s="156"/>
      <c r="D266" s="156"/>
      <c r="E266" s="156"/>
      <c r="F266" s="156"/>
      <c r="G266" s="185"/>
      <c r="H266" s="156"/>
      <c r="I266" s="156"/>
      <c r="J266" s="156"/>
      <c r="K266" s="156"/>
      <c r="L266" s="157"/>
      <c r="M266" s="156"/>
      <c r="N266" s="156"/>
      <c r="O266" s="156"/>
      <c r="P266" s="156"/>
      <c r="Q266" s="156"/>
      <c r="R266" s="156"/>
      <c r="S266" s="156"/>
      <c r="T266" s="156"/>
      <c r="U266" s="156"/>
      <c r="V266" s="156"/>
      <c r="W266" s="156"/>
      <c r="X266" s="156"/>
      <c r="Y266" s="156"/>
      <c r="Z266" s="156"/>
      <c r="AA266" s="156"/>
      <c r="AB266" s="156"/>
      <c r="AC266" s="156"/>
    </row>
    <row r="267" spans="1:29" ht="13">
      <c r="A267" s="140"/>
      <c r="B267" s="140"/>
      <c r="C267" s="156"/>
      <c r="D267" s="156"/>
      <c r="E267" s="156"/>
      <c r="F267" s="156"/>
      <c r="G267" s="185"/>
      <c r="H267" s="156"/>
      <c r="I267" s="156"/>
      <c r="J267" s="156"/>
      <c r="K267" s="156"/>
      <c r="L267" s="157"/>
      <c r="M267" s="156"/>
      <c r="N267" s="156"/>
      <c r="O267" s="156"/>
      <c r="P267" s="156"/>
      <c r="Q267" s="156"/>
      <c r="R267" s="156"/>
      <c r="S267" s="156"/>
      <c r="T267" s="156"/>
      <c r="U267" s="156"/>
      <c r="V267" s="156"/>
      <c r="W267" s="156"/>
      <c r="X267" s="156"/>
      <c r="Y267" s="156"/>
      <c r="Z267" s="156"/>
      <c r="AA267" s="156"/>
      <c r="AB267" s="156"/>
      <c r="AC267" s="156"/>
    </row>
    <row r="268" spans="1:29" ht="13">
      <c r="A268" s="140"/>
      <c r="B268" s="140"/>
      <c r="C268" s="156"/>
      <c r="D268" s="156"/>
      <c r="E268" s="156"/>
      <c r="F268" s="156"/>
      <c r="G268" s="185"/>
      <c r="H268" s="156"/>
      <c r="I268" s="156"/>
      <c r="J268" s="156"/>
      <c r="K268" s="156"/>
      <c r="L268" s="157"/>
      <c r="M268" s="156"/>
      <c r="N268" s="156"/>
      <c r="O268" s="156"/>
      <c r="P268" s="156"/>
      <c r="Q268" s="156"/>
      <c r="R268" s="156"/>
      <c r="S268" s="156"/>
      <c r="T268" s="156"/>
      <c r="U268" s="156"/>
      <c r="V268" s="156"/>
      <c r="W268" s="156"/>
      <c r="X268" s="156"/>
      <c r="Y268" s="156"/>
      <c r="Z268" s="156"/>
      <c r="AA268" s="156"/>
      <c r="AB268" s="156"/>
      <c r="AC268" s="156"/>
    </row>
    <row r="269" spans="1:29" ht="13">
      <c r="A269" s="140"/>
      <c r="B269" s="140"/>
      <c r="C269" s="156"/>
      <c r="D269" s="156"/>
      <c r="E269" s="156"/>
      <c r="F269" s="156"/>
      <c r="G269" s="185"/>
      <c r="H269" s="156"/>
      <c r="I269" s="156"/>
      <c r="J269" s="156"/>
      <c r="K269" s="156"/>
      <c r="L269" s="157"/>
      <c r="M269" s="156"/>
      <c r="N269" s="156"/>
      <c r="O269" s="156"/>
      <c r="P269" s="156"/>
      <c r="Q269" s="156"/>
      <c r="R269" s="156"/>
      <c r="S269" s="156"/>
      <c r="T269" s="156"/>
      <c r="U269" s="156"/>
      <c r="V269" s="156"/>
      <c r="W269" s="156"/>
      <c r="X269" s="156"/>
      <c r="Y269" s="156"/>
      <c r="Z269" s="156"/>
      <c r="AA269" s="156"/>
      <c r="AB269" s="156"/>
      <c r="AC269" s="156"/>
    </row>
    <row r="270" spans="1:29" ht="13">
      <c r="A270" s="140"/>
      <c r="B270" s="140"/>
      <c r="C270" s="156"/>
      <c r="D270" s="156"/>
      <c r="E270" s="156"/>
      <c r="F270" s="156"/>
      <c r="G270" s="185"/>
      <c r="H270" s="156"/>
      <c r="I270" s="156"/>
      <c r="J270" s="156"/>
      <c r="K270" s="156"/>
      <c r="L270" s="157"/>
      <c r="M270" s="156"/>
      <c r="N270" s="156"/>
      <c r="O270" s="156"/>
      <c r="P270" s="156"/>
      <c r="Q270" s="156"/>
      <c r="R270" s="156"/>
      <c r="S270" s="156"/>
      <c r="T270" s="156"/>
      <c r="U270" s="156"/>
      <c r="V270" s="156"/>
      <c r="W270" s="156"/>
      <c r="X270" s="156"/>
      <c r="Y270" s="156"/>
      <c r="Z270" s="156"/>
      <c r="AA270" s="156"/>
      <c r="AB270" s="156"/>
      <c r="AC270" s="156"/>
    </row>
    <row r="271" spans="1:29" ht="13">
      <c r="A271" s="140"/>
      <c r="B271" s="140"/>
      <c r="C271" s="156"/>
      <c r="D271" s="156"/>
      <c r="E271" s="156"/>
      <c r="F271" s="156"/>
      <c r="G271" s="185"/>
      <c r="H271" s="156"/>
      <c r="I271" s="156"/>
      <c r="J271" s="156"/>
      <c r="K271" s="156"/>
      <c r="L271" s="157"/>
      <c r="M271" s="156"/>
      <c r="N271" s="156"/>
      <c r="O271" s="156"/>
      <c r="P271" s="156"/>
      <c r="Q271" s="156"/>
      <c r="R271" s="156"/>
      <c r="S271" s="156"/>
      <c r="T271" s="156"/>
      <c r="U271" s="156"/>
      <c r="V271" s="156"/>
      <c r="W271" s="156"/>
      <c r="X271" s="156"/>
      <c r="Y271" s="156"/>
      <c r="Z271" s="156"/>
      <c r="AA271" s="156"/>
      <c r="AB271" s="156"/>
      <c r="AC271" s="156"/>
    </row>
    <row r="272" spans="1:29" ht="13">
      <c r="A272" s="140"/>
      <c r="B272" s="140"/>
      <c r="C272" s="156"/>
      <c r="D272" s="156"/>
      <c r="E272" s="156"/>
      <c r="F272" s="156"/>
      <c r="G272" s="185"/>
      <c r="H272" s="156"/>
      <c r="I272" s="156"/>
      <c r="J272" s="156"/>
      <c r="K272" s="156"/>
      <c r="L272" s="157"/>
      <c r="M272" s="156"/>
      <c r="N272" s="156"/>
      <c r="O272" s="156"/>
      <c r="P272" s="156"/>
      <c r="Q272" s="156"/>
      <c r="R272" s="156"/>
      <c r="S272" s="156"/>
      <c r="T272" s="156"/>
      <c r="U272" s="156"/>
      <c r="V272" s="156"/>
      <c r="W272" s="156"/>
      <c r="X272" s="156"/>
      <c r="Y272" s="156"/>
      <c r="Z272" s="156"/>
      <c r="AA272" s="156"/>
      <c r="AB272" s="156"/>
      <c r="AC272" s="156"/>
    </row>
    <row r="273" spans="1:29" ht="13">
      <c r="A273" s="140"/>
      <c r="B273" s="140"/>
      <c r="C273" s="156"/>
      <c r="D273" s="156"/>
      <c r="E273" s="156"/>
      <c r="F273" s="156"/>
      <c r="G273" s="185"/>
      <c r="H273" s="156"/>
      <c r="I273" s="156"/>
      <c r="J273" s="156"/>
      <c r="K273" s="156"/>
      <c r="L273" s="157"/>
      <c r="M273" s="156"/>
      <c r="N273" s="156"/>
      <c r="O273" s="156"/>
      <c r="P273" s="156"/>
      <c r="Q273" s="156"/>
      <c r="R273" s="156"/>
      <c r="S273" s="156"/>
      <c r="T273" s="156"/>
      <c r="U273" s="156"/>
      <c r="V273" s="156"/>
      <c r="W273" s="156"/>
      <c r="X273" s="156"/>
      <c r="Y273" s="156"/>
      <c r="Z273" s="156"/>
      <c r="AA273" s="156"/>
      <c r="AB273" s="156"/>
      <c r="AC273" s="156"/>
    </row>
    <row r="274" spans="1:29" ht="13">
      <c r="A274" s="140"/>
      <c r="B274" s="140"/>
      <c r="C274" s="156"/>
      <c r="D274" s="156"/>
      <c r="E274" s="156"/>
      <c r="F274" s="156"/>
      <c r="G274" s="185"/>
      <c r="H274" s="156"/>
      <c r="I274" s="156"/>
      <c r="J274" s="156"/>
      <c r="K274" s="156"/>
      <c r="L274" s="157"/>
      <c r="M274" s="156"/>
      <c r="N274" s="156"/>
      <c r="O274" s="156"/>
      <c r="P274" s="156"/>
      <c r="Q274" s="156"/>
      <c r="R274" s="156"/>
      <c r="S274" s="156"/>
      <c r="T274" s="156"/>
      <c r="U274" s="156"/>
      <c r="V274" s="156"/>
      <c r="W274" s="156"/>
      <c r="X274" s="156"/>
      <c r="Y274" s="156"/>
      <c r="Z274" s="156"/>
      <c r="AA274" s="156"/>
      <c r="AB274" s="156"/>
      <c r="AC274" s="156"/>
    </row>
    <row r="275" spans="1:29" ht="13">
      <c r="A275" s="140"/>
      <c r="B275" s="140"/>
      <c r="C275" s="156"/>
      <c r="D275" s="156"/>
      <c r="E275" s="156"/>
      <c r="F275" s="156"/>
      <c r="G275" s="185"/>
      <c r="H275" s="156"/>
      <c r="I275" s="156"/>
      <c r="J275" s="156"/>
      <c r="K275" s="156"/>
      <c r="L275" s="157"/>
      <c r="M275" s="156"/>
      <c r="N275" s="156"/>
      <c r="O275" s="156"/>
      <c r="P275" s="156"/>
      <c r="Q275" s="156"/>
      <c r="R275" s="156"/>
      <c r="S275" s="156"/>
      <c r="T275" s="156"/>
      <c r="U275" s="156"/>
      <c r="V275" s="156"/>
      <c r="W275" s="156"/>
      <c r="X275" s="156"/>
      <c r="Y275" s="156"/>
      <c r="Z275" s="156"/>
      <c r="AA275" s="156"/>
      <c r="AB275" s="156"/>
      <c r="AC275" s="156"/>
    </row>
    <row r="276" spans="1:29" ht="13">
      <c r="A276" s="140"/>
      <c r="B276" s="140"/>
      <c r="C276" s="156"/>
      <c r="D276" s="156"/>
      <c r="E276" s="156"/>
      <c r="F276" s="156"/>
      <c r="G276" s="185"/>
      <c r="H276" s="156"/>
      <c r="I276" s="156"/>
      <c r="J276" s="156"/>
      <c r="K276" s="156"/>
      <c r="L276" s="157"/>
      <c r="M276" s="156"/>
      <c r="N276" s="156"/>
      <c r="O276" s="156"/>
      <c r="P276" s="156"/>
      <c r="Q276" s="156"/>
      <c r="R276" s="156"/>
      <c r="S276" s="156"/>
      <c r="T276" s="156"/>
      <c r="U276" s="156"/>
      <c r="V276" s="156"/>
      <c r="W276" s="156"/>
      <c r="X276" s="156"/>
      <c r="Y276" s="156"/>
      <c r="Z276" s="156"/>
      <c r="AA276" s="156"/>
      <c r="AB276" s="156"/>
      <c r="AC276" s="156"/>
    </row>
    <row r="277" spans="1:29" ht="13">
      <c r="A277" s="140"/>
      <c r="B277" s="140"/>
      <c r="C277" s="156"/>
      <c r="D277" s="156"/>
      <c r="E277" s="156"/>
      <c r="F277" s="156"/>
      <c r="G277" s="185"/>
      <c r="H277" s="156"/>
      <c r="I277" s="156"/>
      <c r="J277" s="156"/>
      <c r="K277" s="156"/>
      <c r="L277" s="157"/>
      <c r="M277" s="156"/>
      <c r="N277" s="156"/>
      <c r="O277" s="156"/>
      <c r="P277" s="156"/>
      <c r="Q277" s="156"/>
      <c r="R277" s="156"/>
      <c r="S277" s="156"/>
      <c r="T277" s="156"/>
      <c r="U277" s="156"/>
      <c r="V277" s="156"/>
      <c r="W277" s="156"/>
      <c r="X277" s="156"/>
      <c r="Y277" s="156"/>
      <c r="Z277" s="156"/>
      <c r="AA277" s="156"/>
      <c r="AB277" s="156"/>
      <c r="AC277" s="156"/>
    </row>
    <row r="278" spans="1:29" ht="13">
      <c r="A278" s="140"/>
      <c r="B278" s="140"/>
      <c r="C278" s="156"/>
      <c r="D278" s="156"/>
      <c r="E278" s="156"/>
      <c r="F278" s="156"/>
      <c r="G278" s="185"/>
      <c r="H278" s="156"/>
      <c r="I278" s="156"/>
      <c r="J278" s="156"/>
      <c r="K278" s="156"/>
      <c r="L278" s="157"/>
      <c r="M278" s="156"/>
      <c r="N278" s="156"/>
      <c r="O278" s="156"/>
      <c r="P278" s="156"/>
      <c r="Q278" s="156"/>
      <c r="R278" s="156"/>
      <c r="S278" s="156"/>
      <c r="T278" s="156"/>
      <c r="U278" s="156"/>
      <c r="V278" s="156"/>
      <c r="W278" s="156"/>
      <c r="X278" s="156"/>
      <c r="Y278" s="156"/>
      <c r="Z278" s="156"/>
      <c r="AA278" s="156"/>
      <c r="AB278" s="156"/>
      <c r="AC278" s="156"/>
    </row>
    <row r="279" spans="1:29" ht="13">
      <c r="A279" s="140"/>
      <c r="B279" s="140"/>
      <c r="C279" s="156"/>
      <c r="D279" s="156"/>
      <c r="E279" s="156"/>
      <c r="F279" s="156"/>
      <c r="G279" s="185"/>
      <c r="H279" s="156"/>
      <c r="I279" s="156"/>
      <c r="J279" s="156"/>
      <c r="K279" s="156"/>
      <c r="L279" s="157"/>
      <c r="M279" s="156"/>
      <c r="N279" s="156"/>
      <c r="O279" s="156"/>
      <c r="P279" s="156"/>
      <c r="Q279" s="156"/>
      <c r="R279" s="156"/>
      <c r="S279" s="156"/>
      <c r="T279" s="156"/>
      <c r="U279" s="156"/>
      <c r="V279" s="156"/>
      <c r="W279" s="156"/>
      <c r="X279" s="156"/>
      <c r="Y279" s="156"/>
      <c r="Z279" s="156"/>
      <c r="AA279" s="156"/>
      <c r="AB279" s="156"/>
      <c r="AC279" s="156"/>
    </row>
    <row r="280" spans="1:29" ht="13">
      <c r="A280" s="140"/>
      <c r="B280" s="140"/>
      <c r="C280" s="156"/>
      <c r="D280" s="156"/>
      <c r="E280" s="156"/>
      <c r="F280" s="156"/>
      <c r="G280" s="185"/>
      <c r="H280" s="156"/>
      <c r="I280" s="156"/>
      <c r="J280" s="156"/>
      <c r="K280" s="156"/>
      <c r="L280" s="157"/>
      <c r="M280" s="156"/>
      <c r="N280" s="156"/>
      <c r="O280" s="156"/>
      <c r="P280" s="156"/>
      <c r="Q280" s="156"/>
      <c r="R280" s="156"/>
      <c r="S280" s="156"/>
      <c r="T280" s="156"/>
      <c r="U280" s="156"/>
      <c r="V280" s="156"/>
      <c r="W280" s="156"/>
      <c r="X280" s="156"/>
      <c r="Y280" s="156"/>
      <c r="Z280" s="156"/>
      <c r="AA280" s="156"/>
      <c r="AB280" s="156"/>
      <c r="AC280" s="156"/>
    </row>
    <row r="281" spans="1:29" ht="13">
      <c r="A281" s="140"/>
      <c r="B281" s="140"/>
      <c r="C281" s="156"/>
      <c r="D281" s="156"/>
      <c r="E281" s="156"/>
      <c r="F281" s="156"/>
      <c r="G281" s="185"/>
      <c r="H281" s="156"/>
      <c r="I281" s="156"/>
      <c r="J281" s="156"/>
      <c r="K281" s="156"/>
      <c r="L281" s="157"/>
      <c r="M281" s="156"/>
      <c r="N281" s="156"/>
      <c r="O281" s="156"/>
      <c r="P281" s="156"/>
      <c r="Q281" s="156"/>
      <c r="R281" s="156"/>
      <c r="S281" s="156"/>
      <c r="T281" s="156"/>
      <c r="U281" s="156"/>
      <c r="V281" s="156"/>
      <c r="W281" s="156"/>
      <c r="X281" s="156"/>
      <c r="Y281" s="156"/>
      <c r="Z281" s="156"/>
      <c r="AA281" s="156"/>
      <c r="AB281" s="156"/>
      <c r="AC281" s="156"/>
    </row>
    <row r="282" spans="1:29" ht="13">
      <c r="A282" s="140"/>
      <c r="B282" s="140"/>
      <c r="C282" s="156"/>
      <c r="D282" s="156"/>
      <c r="E282" s="156"/>
      <c r="F282" s="156"/>
      <c r="G282" s="185"/>
      <c r="H282" s="156"/>
      <c r="I282" s="156"/>
      <c r="J282" s="156"/>
      <c r="K282" s="156"/>
      <c r="L282" s="157"/>
      <c r="M282" s="156"/>
      <c r="N282" s="156"/>
      <c r="O282" s="156"/>
      <c r="P282" s="156"/>
      <c r="Q282" s="156"/>
      <c r="R282" s="156"/>
      <c r="S282" s="156"/>
      <c r="T282" s="156"/>
      <c r="U282" s="156"/>
      <c r="V282" s="156"/>
      <c r="W282" s="156"/>
      <c r="X282" s="156"/>
      <c r="Y282" s="156"/>
      <c r="Z282" s="156"/>
      <c r="AA282" s="156"/>
      <c r="AB282" s="156"/>
      <c r="AC282" s="156"/>
    </row>
    <row r="283" spans="1:29" ht="13">
      <c r="A283" s="140"/>
      <c r="B283" s="140"/>
      <c r="C283" s="156"/>
      <c r="D283" s="156"/>
      <c r="E283" s="156"/>
      <c r="F283" s="156"/>
      <c r="G283" s="185"/>
      <c r="H283" s="156"/>
      <c r="I283" s="156"/>
      <c r="J283" s="156"/>
      <c r="K283" s="156"/>
      <c r="L283" s="157"/>
      <c r="M283" s="156"/>
      <c r="N283" s="156"/>
      <c r="O283" s="156"/>
      <c r="P283" s="156"/>
      <c r="Q283" s="156"/>
      <c r="R283" s="156"/>
      <c r="S283" s="156"/>
      <c r="T283" s="156"/>
      <c r="U283" s="156"/>
      <c r="V283" s="156"/>
      <c r="W283" s="156"/>
      <c r="X283" s="156"/>
      <c r="Y283" s="156"/>
      <c r="Z283" s="156"/>
      <c r="AA283" s="156"/>
      <c r="AB283" s="156"/>
      <c r="AC283" s="156"/>
    </row>
    <row r="284" spans="1:29" ht="13">
      <c r="A284" s="140"/>
      <c r="B284" s="140"/>
      <c r="C284" s="156"/>
      <c r="D284" s="156"/>
      <c r="E284" s="156"/>
      <c r="F284" s="156"/>
      <c r="G284" s="185"/>
      <c r="H284" s="156"/>
      <c r="I284" s="156"/>
      <c r="J284" s="156"/>
      <c r="K284" s="156"/>
      <c r="L284" s="157"/>
      <c r="M284" s="156"/>
      <c r="N284" s="156"/>
      <c r="O284" s="156"/>
      <c r="P284" s="156"/>
      <c r="Q284" s="156"/>
      <c r="R284" s="156"/>
      <c r="S284" s="156"/>
      <c r="T284" s="156"/>
      <c r="U284" s="156"/>
      <c r="V284" s="156"/>
      <c r="W284" s="156"/>
      <c r="X284" s="156"/>
      <c r="Y284" s="156"/>
      <c r="Z284" s="156"/>
      <c r="AA284" s="156"/>
      <c r="AB284" s="156"/>
      <c r="AC284" s="156"/>
    </row>
    <row r="285" spans="1:29" ht="13">
      <c r="A285" s="140"/>
      <c r="B285" s="140"/>
      <c r="C285" s="156"/>
      <c r="D285" s="156"/>
      <c r="E285" s="156"/>
      <c r="F285" s="156"/>
      <c r="G285" s="185"/>
      <c r="H285" s="156"/>
      <c r="I285" s="156"/>
      <c r="J285" s="156"/>
      <c r="K285" s="156"/>
      <c r="L285" s="157"/>
      <c r="M285" s="156"/>
      <c r="N285" s="156"/>
      <c r="O285" s="156"/>
      <c r="P285" s="156"/>
      <c r="Q285" s="156"/>
      <c r="R285" s="156"/>
      <c r="S285" s="156"/>
      <c r="T285" s="156"/>
      <c r="U285" s="156"/>
      <c r="V285" s="156"/>
      <c r="W285" s="156"/>
      <c r="X285" s="156"/>
      <c r="Y285" s="156"/>
      <c r="Z285" s="156"/>
      <c r="AA285" s="156"/>
      <c r="AB285" s="156"/>
      <c r="AC285" s="156"/>
    </row>
    <row r="286" spans="1:29" ht="13">
      <c r="A286" s="140"/>
      <c r="B286" s="140"/>
      <c r="C286" s="156"/>
      <c r="D286" s="156"/>
      <c r="E286" s="156"/>
      <c r="F286" s="156"/>
      <c r="G286" s="185"/>
      <c r="H286" s="156"/>
      <c r="I286" s="156"/>
      <c r="J286" s="156"/>
      <c r="K286" s="156"/>
      <c r="L286" s="157"/>
      <c r="M286" s="156"/>
      <c r="N286" s="156"/>
      <c r="O286" s="156"/>
      <c r="P286" s="156"/>
      <c r="Q286" s="156"/>
      <c r="R286" s="156"/>
      <c r="S286" s="156"/>
      <c r="T286" s="156"/>
      <c r="U286" s="156"/>
      <c r="V286" s="156"/>
      <c r="W286" s="156"/>
      <c r="X286" s="156"/>
      <c r="Y286" s="156"/>
      <c r="Z286" s="156"/>
      <c r="AA286" s="156"/>
      <c r="AB286" s="156"/>
      <c r="AC286" s="156"/>
    </row>
    <row r="287" spans="1:29" ht="13">
      <c r="A287" s="140"/>
      <c r="B287" s="140"/>
      <c r="C287" s="156"/>
      <c r="D287" s="156"/>
      <c r="E287" s="156"/>
      <c r="F287" s="156"/>
      <c r="G287" s="185"/>
      <c r="H287" s="156"/>
      <c r="I287" s="156"/>
      <c r="J287" s="156"/>
      <c r="K287" s="156"/>
      <c r="L287" s="157"/>
      <c r="M287" s="156"/>
      <c r="N287" s="156"/>
      <c r="O287" s="156"/>
      <c r="P287" s="156"/>
      <c r="Q287" s="156"/>
      <c r="R287" s="156"/>
      <c r="S287" s="156"/>
      <c r="T287" s="156"/>
      <c r="U287" s="156"/>
      <c r="V287" s="156"/>
      <c r="W287" s="156"/>
      <c r="X287" s="156"/>
      <c r="Y287" s="156"/>
      <c r="Z287" s="156"/>
      <c r="AA287" s="156"/>
      <c r="AB287" s="156"/>
      <c r="AC287" s="156"/>
    </row>
    <row r="288" spans="1:29" ht="13">
      <c r="A288" s="140"/>
      <c r="B288" s="140"/>
      <c r="C288" s="156"/>
      <c r="D288" s="156"/>
      <c r="E288" s="156"/>
      <c r="F288" s="156"/>
      <c r="G288" s="185"/>
      <c r="H288" s="156"/>
      <c r="I288" s="156"/>
      <c r="J288" s="156"/>
      <c r="K288" s="156"/>
      <c r="L288" s="157"/>
      <c r="M288" s="156"/>
      <c r="N288" s="156"/>
      <c r="O288" s="156"/>
      <c r="P288" s="156"/>
      <c r="Q288" s="156"/>
      <c r="R288" s="156"/>
      <c r="S288" s="156"/>
      <c r="T288" s="156"/>
      <c r="U288" s="156"/>
      <c r="V288" s="156"/>
      <c r="W288" s="156"/>
      <c r="X288" s="156"/>
      <c r="Y288" s="156"/>
      <c r="Z288" s="156"/>
      <c r="AA288" s="156"/>
      <c r="AB288" s="156"/>
      <c r="AC288" s="156"/>
    </row>
    <row r="289" spans="1:29" ht="13">
      <c r="A289" s="140"/>
      <c r="B289" s="140"/>
      <c r="C289" s="156"/>
      <c r="D289" s="156"/>
      <c r="E289" s="156"/>
      <c r="F289" s="156"/>
      <c r="G289" s="185"/>
      <c r="H289" s="156"/>
      <c r="I289" s="156"/>
      <c r="J289" s="156"/>
      <c r="K289" s="156"/>
      <c r="L289" s="157"/>
      <c r="M289" s="156"/>
      <c r="N289" s="156"/>
      <c r="O289" s="156"/>
      <c r="P289" s="156"/>
      <c r="Q289" s="156"/>
      <c r="R289" s="156"/>
      <c r="S289" s="156"/>
      <c r="T289" s="156"/>
      <c r="U289" s="156"/>
      <c r="V289" s="156"/>
      <c r="W289" s="156"/>
      <c r="X289" s="156"/>
      <c r="Y289" s="156"/>
      <c r="Z289" s="156"/>
      <c r="AA289" s="156"/>
      <c r="AB289" s="156"/>
      <c r="AC289" s="156"/>
    </row>
    <row r="290" spans="1:29" ht="13">
      <c r="A290" s="140"/>
      <c r="B290" s="140"/>
      <c r="C290" s="156"/>
      <c r="D290" s="156"/>
      <c r="E290" s="156"/>
      <c r="F290" s="156"/>
      <c r="G290" s="185"/>
      <c r="H290" s="156"/>
      <c r="I290" s="156"/>
      <c r="J290" s="156"/>
      <c r="K290" s="156"/>
      <c r="L290" s="157"/>
      <c r="M290" s="156"/>
      <c r="N290" s="156"/>
      <c r="O290" s="156"/>
      <c r="P290" s="156"/>
      <c r="Q290" s="156"/>
      <c r="R290" s="156"/>
      <c r="S290" s="156"/>
      <c r="T290" s="156"/>
      <c r="U290" s="156"/>
      <c r="V290" s="156"/>
      <c r="W290" s="156"/>
      <c r="X290" s="156"/>
      <c r="Y290" s="156"/>
      <c r="Z290" s="156"/>
      <c r="AA290" s="156"/>
      <c r="AB290" s="156"/>
      <c r="AC290" s="156"/>
    </row>
    <row r="291" spans="1:29" ht="13">
      <c r="A291" s="140"/>
      <c r="B291" s="140"/>
      <c r="C291" s="156"/>
      <c r="D291" s="156"/>
      <c r="E291" s="156"/>
      <c r="F291" s="156"/>
      <c r="G291" s="185"/>
      <c r="H291" s="156"/>
      <c r="I291" s="156"/>
      <c r="J291" s="156"/>
      <c r="K291" s="156"/>
      <c r="L291" s="157"/>
      <c r="M291" s="156"/>
      <c r="N291" s="156"/>
      <c r="O291" s="156"/>
      <c r="P291" s="156"/>
      <c r="Q291" s="156"/>
      <c r="R291" s="156"/>
      <c r="S291" s="156"/>
      <c r="T291" s="156"/>
      <c r="U291" s="156"/>
      <c r="V291" s="156"/>
      <c r="W291" s="156"/>
      <c r="X291" s="156"/>
      <c r="Y291" s="156"/>
      <c r="Z291" s="156"/>
      <c r="AA291" s="156"/>
      <c r="AB291" s="156"/>
      <c r="AC291" s="156"/>
    </row>
    <row r="292" spans="1:29" ht="13">
      <c r="A292" s="140"/>
      <c r="B292" s="140"/>
      <c r="C292" s="156"/>
      <c r="D292" s="156"/>
      <c r="E292" s="156"/>
      <c r="F292" s="156"/>
      <c r="G292" s="185"/>
      <c r="H292" s="156"/>
      <c r="I292" s="156"/>
      <c r="J292" s="156"/>
      <c r="K292" s="156"/>
      <c r="L292" s="157"/>
      <c r="M292" s="156"/>
      <c r="N292" s="156"/>
      <c r="O292" s="156"/>
      <c r="P292" s="156"/>
      <c r="Q292" s="156"/>
      <c r="R292" s="156"/>
      <c r="S292" s="156"/>
      <c r="T292" s="156"/>
      <c r="U292" s="156"/>
      <c r="V292" s="156"/>
      <c r="W292" s="156"/>
      <c r="X292" s="156"/>
      <c r="Y292" s="156"/>
      <c r="Z292" s="156"/>
      <c r="AA292" s="156"/>
      <c r="AB292" s="156"/>
      <c r="AC292" s="156"/>
    </row>
    <row r="293" spans="1:29" ht="13">
      <c r="A293" s="140"/>
      <c r="B293" s="140"/>
      <c r="C293" s="156"/>
      <c r="D293" s="156"/>
      <c r="E293" s="156"/>
      <c r="F293" s="156"/>
      <c r="G293" s="185"/>
      <c r="H293" s="156"/>
      <c r="I293" s="156"/>
      <c r="J293" s="156"/>
      <c r="K293" s="156"/>
      <c r="L293" s="157"/>
      <c r="M293" s="156"/>
      <c r="N293" s="156"/>
      <c r="O293" s="156"/>
      <c r="P293" s="156"/>
      <c r="Q293" s="156"/>
      <c r="R293" s="156"/>
      <c r="S293" s="156"/>
      <c r="T293" s="156"/>
      <c r="U293" s="156"/>
      <c r="V293" s="156"/>
      <c r="W293" s="156"/>
      <c r="X293" s="156"/>
      <c r="Y293" s="156"/>
      <c r="Z293" s="156"/>
      <c r="AA293" s="156"/>
      <c r="AB293" s="156"/>
      <c r="AC293" s="156"/>
    </row>
    <row r="294" spans="1:29" ht="13">
      <c r="A294" s="140"/>
      <c r="B294" s="140"/>
      <c r="C294" s="156"/>
      <c r="D294" s="156"/>
      <c r="E294" s="156"/>
      <c r="F294" s="156"/>
      <c r="G294" s="185"/>
      <c r="H294" s="156"/>
      <c r="I294" s="156"/>
      <c r="J294" s="156"/>
      <c r="K294" s="156"/>
      <c r="L294" s="157"/>
      <c r="M294" s="156"/>
      <c r="N294" s="156"/>
      <c r="O294" s="156"/>
      <c r="P294" s="156"/>
      <c r="Q294" s="156"/>
      <c r="R294" s="156"/>
      <c r="S294" s="156"/>
      <c r="T294" s="156"/>
      <c r="U294" s="156"/>
      <c r="V294" s="156"/>
      <c r="W294" s="156"/>
      <c r="X294" s="156"/>
      <c r="Y294" s="156"/>
      <c r="Z294" s="156"/>
      <c r="AA294" s="156"/>
      <c r="AB294" s="156"/>
      <c r="AC294" s="156"/>
    </row>
    <row r="295" spans="1:29" ht="13">
      <c r="A295" s="140"/>
      <c r="B295" s="140"/>
      <c r="C295" s="156"/>
      <c r="D295" s="156"/>
      <c r="E295" s="156"/>
      <c r="F295" s="156"/>
      <c r="G295" s="185"/>
      <c r="H295" s="156"/>
      <c r="I295" s="156"/>
      <c r="J295" s="156"/>
      <c r="K295" s="156"/>
      <c r="L295" s="157"/>
      <c r="M295" s="156"/>
      <c r="N295" s="156"/>
      <c r="O295" s="156"/>
      <c r="P295" s="156"/>
      <c r="Q295" s="156"/>
      <c r="R295" s="156"/>
      <c r="S295" s="156"/>
      <c r="T295" s="156"/>
      <c r="U295" s="156"/>
      <c r="V295" s="156"/>
      <c r="W295" s="156"/>
      <c r="X295" s="156"/>
      <c r="Y295" s="156"/>
      <c r="Z295" s="156"/>
      <c r="AA295" s="156"/>
      <c r="AB295" s="156"/>
      <c r="AC295" s="156"/>
    </row>
    <row r="296" spans="1:29" ht="13">
      <c r="A296" s="140"/>
      <c r="B296" s="140"/>
      <c r="C296" s="156"/>
      <c r="D296" s="156"/>
      <c r="E296" s="156"/>
      <c r="F296" s="156"/>
      <c r="G296" s="185"/>
      <c r="H296" s="156"/>
      <c r="I296" s="156"/>
      <c r="J296" s="156"/>
      <c r="K296" s="156"/>
      <c r="L296" s="157"/>
      <c r="M296" s="156"/>
      <c r="N296" s="156"/>
      <c r="O296" s="156"/>
      <c r="P296" s="156"/>
      <c r="Q296" s="156"/>
      <c r="R296" s="156"/>
      <c r="S296" s="156"/>
      <c r="T296" s="156"/>
      <c r="U296" s="156"/>
      <c r="V296" s="156"/>
      <c r="W296" s="156"/>
      <c r="X296" s="156"/>
      <c r="Y296" s="156"/>
      <c r="Z296" s="156"/>
      <c r="AA296" s="156"/>
      <c r="AB296" s="156"/>
      <c r="AC296" s="156"/>
    </row>
    <row r="297" spans="1:29" ht="13">
      <c r="A297" s="140"/>
      <c r="B297" s="140"/>
      <c r="C297" s="156"/>
      <c r="D297" s="156"/>
      <c r="E297" s="156"/>
      <c r="F297" s="156"/>
      <c r="G297" s="185"/>
      <c r="H297" s="156"/>
      <c r="I297" s="156"/>
      <c r="J297" s="156"/>
      <c r="K297" s="156"/>
      <c r="L297" s="157"/>
      <c r="M297" s="156"/>
      <c r="N297" s="156"/>
      <c r="O297" s="156"/>
      <c r="P297" s="156"/>
      <c r="Q297" s="156"/>
      <c r="R297" s="156"/>
      <c r="S297" s="156"/>
      <c r="T297" s="156"/>
      <c r="U297" s="156"/>
      <c r="V297" s="156"/>
      <c r="W297" s="156"/>
      <c r="X297" s="156"/>
      <c r="Y297" s="156"/>
      <c r="Z297" s="156"/>
      <c r="AA297" s="156"/>
      <c r="AB297" s="156"/>
      <c r="AC297" s="156"/>
    </row>
    <row r="298" spans="1:29" ht="13">
      <c r="A298" s="140"/>
      <c r="B298" s="140"/>
      <c r="C298" s="156"/>
      <c r="D298" s="156"/>
      <c r="E298" s="156"/>
      <c r="F298" s="156"/>
      <c r="G298" s="185"/>
      <c r="H298" s="156"/>
      <c r="I298" s="156"/>
      <c r="J298" s="156"/>
      <c r="K298" s="156"/>
      <c r="L298" s="157"/>
      <c r="M298" s="156"/>
      <c r="N298" s="156"/>
      <c r="O298" s="156"/>
      <c r="P298" s="156"/>
      <c r="Q298" s="156"/>
      <c r="R298" s="156"/>
      <c r="S298" s="156"/>
      <c r="T298" s="156"/>
      <c r="U298" s="156"/>
      <c r="V298" s="156"/>
      <c r="W298" s="156"/>
      <c r="X298" s="156"/>
      <c r="Y298" s="156"/>
      <c r="Z298" s="156"/>
      <c r="AA298" s="156"/>
      <c r="AB298" s="156"/>
      <c r="AC298" s="156"/>
    </row>
    <row r="299" spans="1:29" ht="13">
      <c r="A299" s="140"/>
      <c r="B299" s="140"/>
      <c r="C299" s="156"/>
      <c r="D299" s="156"/>
      <c r="E299" s="156"/>
      <c r="F299" s="156"/>
      <c r="G299" s="185"/>
      <c r="H299" s="156"/>
      <c r="I299" s="156"/>
      <c r="J299" s="156"/>
      <c r="K299" s="156"/>
      <c r="L299" s="157"/>
      <c r="M299" s="156"/>
      <c r="N299" s="156"/>
      <c r="O299" s="156"/>
      <c r="P299" s="156"/>
      <c r="Q299" s="156"/>
      <c r="R299" s="156"/>
      <c r="S299" s="156"/>
      <c r="T299" s="156"/>
      <c r="U299" s="156"/>
      <c r="V299" s="156"/>
      <c r="W299" s="156"/>
      <c r="X299" s="156"/>
      <c r="Y299" s="156"/>
      <c r="Z299" s="156"/>
      <c r="AA299" s="156"/>
      <c r="AB299" s="156"/>
      <c r="AC299" s="156"/>
    </row>
    <row r="300" spans="1:29" ht="13">
      <c r="A300" s="140"/>
      <c r="B300" s="140"/>
      <c r="C300" s="156"/>
      <c r="D300" s="156"/>
      <c r="E300" s="156"/>
      <c r="F300" s="156"/>
      <c r="G300" s="185"/>
      <c r="H300" s="156"/>
      <c r="I300" s="156"/>
      <c r="J300" s="156"/>
      <c r="K300" s="156"/>
      <c r="L300" s="157"/>
      <c r="M300" s="156"/>
      <c r="N300" s="156"/>
      <c r="O300" s="156"/>
      <c r="P300" s="156"/>
      <c r="Q300" s="156"/>
      <c r="R300" s="156"/>
      <c r="S300" s="156"/>
      <c r="T300" s="156"/>
      <c r="U300" s="156"/>
      <c r="V300" s="156"/>
      <c r="W300" s="156"/>
      <c r="X300" s="156"/>
      <c r="Y300" s="156"/>
      <c r="Z300" s="156"/>
      <c r="AA300" s="156"/>
      <c r="AB300" s="156"/>
      <c r="AC300" s="156"/>
    </row>
    <row r="301" spans="1:29" ht="13">
      <c r="A301" s="140"/>
      <c r="B301" s="140"/>
      <c r="C301" s="156"/>
      <c r="D301" s="156"/>
      <c r="E301" s="156"/>
      <c r="F301" s="156"/>
      <c r="G301" s="185"/>
      <c r="H301" s="156"/>
      <c r="I301" s="156"/>
      <c r="J301" s="156"/>
      <c r="K301" s="156"/>
      <c r="L301" s="157"/>
      <c r="M301" s="156"/>
      <c r="N301" s="156"/>
      <c r="O301" s="156"/>
      <c r="P301" s="156"/>
      <c r="Q301" s="156"/>
      <c r="R301" s="156"/>
      <c r="S301" s="156"/>
      <c r="T301" s="156"/>
      <c r="U301" s="156"/>
      <c r="V301" s="156"/>
      <c r="W301" s="156"/>
      <c r="X301" s="156"/>
      <c r="Y301" s="156"/>
      <c r="Z301" s="156"/>
      <c r="AA301" s="156"/>
      <c r="AB301" s="156"/>
      <c r="AC301" s="156"/>
    </row>
    <row r="302" spans="1:29" ht="13">
      <c r="A302" s="140"/>
      <c r="B302" s="140"/>
      <c r="C302" s="156"/>
      <c r="D302" s="156"/>
      <c r="E302" s="156"/>
      <c r="F302" s="156"/>
      <c r="G302" s="185"/>
      <c r="H302" s="156"/>
      <c r="I302" s="156"/>
      <c r="J302" s="156"/>
      <c r="K302" s="156"/>
      <c r="L302" s="157"/>
      <c r="M302" s="156"/>
      <c r="N302" s="156"/>
      <c r="O302" s="156"/>
      <c r="P302" s="156"/>
      <c r="Q302" s="156"/>
      <c r="R302" s="156"/>
      <c r="S302" s="156"/>
      <c r="T302" s="156"/>
      <c r="U302" s="156"/>
      <c r="V302" s="156"/>
      <c r="W302" s="156"/>
      <c r="X302" s="156"/>
      <c r="Y302" s="156"/>
      <c r="Z302" s="156"/>
      <c r="AA302" s="156"/>
      <c r="AB302" s="156"/>
      <c r="AC302" s="156"/>
    </row>
    <row r="303" spans="1:29" ht="13">
      <c r="A303" s="140"/>
      <c r="B303" s="140"/>
      <c r="C303" s="156"/>
      <c r="D303" s="156"/>
      <c r="E303" s="156"/>
      <c r="F303" s="156"/>
      <c r="G303" s="185"/>
      <c r="H303" s="156"/>
      <c r="I303" s="156"/>
      <c r="J303" s="156"/>
      <c r="K303" s="156"/>
      <c r="L303" s="157"/>
      <c r="M303" s="156"/>
      <c r="N303" s="156"/>
      <c r="O303" s="156"/>
      <c r="P303" s="156"/>
      <c r="Q303" s="156"/>
      <c r="R303" s="156"/>
      <c r="S303" s="156"/>
      <c r="T303" s="156"/>
      <c r="U303" s="156"/>
      <c r="V303" s="156"/>
      <c r="W303" s="156"/>
      <c r="X303" s="156"/>
      <c r="Y303" s="156"/>
      <c r="Z303" s="156"/>
      <c r="AA303" s="156"/>
      <c r="AB303" s="156"/>
      <c r="AC303" s="156"/>
    </row>
    <row r="304" spans="1:29" ht="13">
      <c r="A304" s="140"/>
      <c r="B304" s="140"/>
      <c r="C304" s="156"/>
      <c r="D304" s="156"/>
      <c r="E304" s="156"/>
      <c r="F304" s="156"/>
      <c r="G304" s="185"/>
      <c r="H304" s="156"/>
      <c r="I304" s="156"/>
      <c r="J304" s="156"/>
      <c r="K304" s="156"/>
      <c r="L304" s="157"/>
      <c r="M304" s="156"/>
      <c r="N304" s="156"/>
      <c r="O304" s="156"/>
      <c r="P304" s="156"/>
      <c r="Q304" s="156"/>
      <c r="R304" s="156"/>
      <c r="S304" s="156"/>
      <c r="T304" s="156"/>
      <c r="U304" s="156"/>
      <c r="V304" s="156"/>
      <c r="W304" s="156"/>
      <c r="X304" s="156"/>
      <c r="Y304" s="156"/>
      <c r="Z304" s="156"/>
      <c r="AA304" s="156"/>
      <c r="AB304" s="156"/>
      <c r="AC304" s="156"/>
    </row>
    <row r="305" spans="1:29" ht="13">
      <c r="A305" s="140"/>
      <c r="B305" s="140"/>
      <c r="C305" s="156"/>
      <c r="D305" s="156"/>
      <c r="E305" s="156"/>
      <c r="F305" s="156"/>
      <c r="G305" s="185"/>
      <c r="H305" s="156"/>
      <c r="I305" s="156"/>
      <c r="J305" s="156"/>
      <c r="K305" s="156"/>
      <c r="L305" s="157"/>
      <c r="M305" s="156"/>
      <c r="N305" s="156"/>
      <c r="O305" s="156"/>
      <c r="P305" s="156"/>
      <c r="Q305" s="156"/>
      <c r="R305" s="156"/>
      <c r="S305" s="156"/>
      <c r="T305" s="156"/>
      <c r="U305" s="156"/>
      <c r="V305" s="156"/>
      <c r="W305" s="156"/>
      <c r="X305" s="156"/>
      <c r="Y305" s="156"/>
      <c r="Z305" s="156"/>
      <c r="AA305" s="156"/>
      <c r="AB305" s="156"/>
      <c r="AC305" s="156"/>
    </row>
    <row r="306" spans="1:29" ht="13">
      <c r="A306" s="140"/>
      <c r="B306" s="140"/>
      <c r="C306" s="156"/>
      <c r="D306" s="156"/>
      <c r="E306" s="156"/>
      <c r="F306" s="156"/>
      <c r="G306" s="185"/>
      <c r="H306" s="156"/>
      <c r="I306" s="156"/>
      <c r="J306" s="156"/>
      <c r="K306" s="156"/>
      <c r="L306" s="157"/>
      <c r="M306" s="156"/>
      <c r="N306" s="156"/>
      <c r="O306" s="156"/>
      <c r="P306" s="156"/>
      <c r="Q306" s="156"/>
      <c r="R306" s="156"/>
      <c r="S306" s="156"/>
      <c r="T306" s="156"/>
      <c r="U306" s="156"/>
      <c r="V306" s="156"/>
      <c r="W306" s="156"/>
      <c r="X306" s="156"/>
      <c r="Y306" s="156"/>
      <c r="Z306" s="156"/>
      <c r="AA306" s="156"/>
      <c r="AB306" s="156"/>
      <c r="AC306" s="156"/>
    </row>
    <row r="307" spans="1:29" ht="13">
      <c r="A307" s="140"/>
      <c r="B307" s="140"/>
      <c r="C307" s="156"/>
      <c r="D307" s="156"/>
      <c r="E307" s="156"/>
      <c r="F307" s="156"/>
      <c r="G307" s="185"/>
      <c r="H307" s="156"/>
      <c r="I307" s="156"/>
      <c r="J307" s="156"/>
      <c r="K307" s="156"/>
      <c r="L307" s="157"/>
      <c r="M307" s="156"/>
      <c r="N307" s="156"/>
      <c r="O307" s="156"/>
      <c r="P307" s="156"/>
      <c r="Q307" s="156"/>
      <c r="R307" s="156"/>
      <c r="S307" s="156"/>
      <c r="T307" s="156"/>
      <c r="U307" s="156"/>
      <c r="V307" s="156"/>
      <c r="W307" s="156"/>
      <c r="X307" s="156"/>
      <c r="Y307" s="156"/>
      <c r="Z307" s="156"/>
      <c r="AA307" s="156"/>
      <c r="AB307" s="156"/>
      <c r="AC307" s="156"/>
    </row>
    <row r="308" spans="1:29" ht="13">
      <c r="A308" s="140"/>
      <c r="B308" s="140"/>
      <c r="C308" s="156"/>
      <c r="D308" s="156"/>
      <c r="E308" s="156"/>
      <c r="F308" s="156"/>
      <c r="G308" s="185"/>
      <c r="H308" s="156"/>
      <c r="I308" s="156"/>
      <c r="J308" s="156"/>
      <c r="K308" s="156"/>
      <c r="L308" s="157"/>
      <c r="M308" s="156"/>
      <c r="N308" s="156"/>
      <c r="O308" s="156"/>
      <c r="P308" s="156"/>
      <c r="Q308" s="156"/>
      <c r="R308" s="156"/>
      <c r="S308" s="156"/>
      <c r="T308" s="156"/>
      <c r="U308" s="156"/>
      <c r="V308" s="156"/>
      <c r="W308" s="156"/>
      <c r="X308" s="156"/>
      <c r="Y308" s="156"/>
      <c r="Z308" s="156"/>
      <c r="AA308" s="156"/>
      <c r="AB308" s="156"/>
      <c r="AC308" s="156"/>
    </row>
    <row r="309" spans="1:29" ht="13">
      <c r="A309" s="140"/>
      <c r="B309" s="140"/>
      <c r="C309" s="156"/>
      <c r="D309" s="156"/>
      <c r="E309" s="156"/>
      <c r="F309" s="156"/>
      <c r="G309" s="185"/>
      <c r="H309" s="156"/>
      <c r="I309" s="156"/>
      <c r="J309" s="156"/>
      <c r="K309" s="156"/>
      <c r="L309" s="157"/>
      <c r="M309" s="156"/>
      <c r="N309" s="156"/>
      <c r="O309" s="156"/>
      <c r="P309" s="156"/>
      <c r="Q309" s="156"/>
      <c r="R309" s="156"/>
      <c r="S309" s="156"/>
      <c r="T309" s="156"/>
      <c r="U309" s="156"/>
      <c r="V309" s="156"/>
      <c r="W309" s="156"/>
      <c r="X309" s="156"/>
      <c r="Y309" s="156"/>
      <c r="Z309" s="156"/>
      <c r="AA309" s="156"/>
      <c r="AB309" s="156"/>
      <c r="AC309" s="156"/>
    </row>
    <row r="310" spans="1:29" ht="13">
      <c r="A310" s="140"/>
      <c r="B310" s="140"/>
      <c r="C310" s="156"/>
      <c r="D310" s="156"/>
      <c r="E310" s="156"/>
      <c r="F310" s="156"/>
      <c r="G310" s="185"/>
      <c r="H310" s="156"/>
      <c r="I310" s="156"/>
      <c r="J310" s="156"/>
      <c r="K310" s="156"/>
      <c r="L310" s="157"/>
      <c r="M310" s="156"/>
      <c r="N310" s="156"/>
      <c r="O310" s="156"/>
      <c r="P310" s="156"/>
      <c r="Q310" s="156"/>
      <c r="R310" s="156"/>
      <c r="S310" s="156"/>
      <c r="T310" s="156"/>
      <c r="U310" s="156"/>
      <c r="V310" s="156"/>
      <c r="W310" s="156"/>
      <c r="X310" s="156"/>
      <c r="Y310" s="156"/>
      <c r="Z310" s="156"/>
      <c r="AA310" s="156"/>
      <c r="AB310" s="156"/>
      <c r="AC310" s="156"/>
    </row>
    <row r="311" spans="1:29" ht="13">
      <c r="A311" s="140"/>
      <c r="B311" s="140"/>
      <c r="C311" s="156"/>
      <c r="D311" s="156"/>
      <c r="E311" s="156"/>
      <c r="F311" s="156"/>
      <c r="G311" s="185"/>
      <c r="H311" s="156"/>
      <c r="I311" s="156"/>
      <c r="J311" s="156"/>
      <c r="K311" s="156"/>
      <c r="L311" s="157"/>
      <c r="M311" s="156"/>
      <c r="N311" s="156"/>
      <c r="O311" s="156"/>
      <c r="P311" s="156"/>
      <c r="Q311" s="156"/>
      <c r="R311" s="156"/>
      <c r="S311" s="156"/>
      <c r="T311" s="156"/>
      <c r="U311" s="156"/>
      <c r="V311" s="156"/>
      <c r="W311" s="156"/>
      <c r="X311" s="156"/>
      <c r="Y311" s="156"/>
      <c r="Z311" s="156"/>
      <c r="AA311" s="156"/>
      <c r="AB311" s="156"/>
      <c r="AC311" s="156"/>
    </row>
    <row r="312" spans="1:29" ht="13">
      <c r="A312" s="140"/>
      <c r="B312" s="140"/>
      <c r="C312" s="156"/>
      <c r="D312" s="156"/>
      <c r="E312" s="156"/>
      <c r="F312" s="156"/>
      <c r="G312" s="185"/>
      <c r="H312" s="156"/>
      <c r="I312" s="156"/>
      <c r="J312" s="156"/>
      <c r="K312" s="156"/>
      <c r="L312" s="157"/>
      <c r="M312" s="156"/>
      <c r="N312" s="156"/>
      <c r="O312" s="156"/>
      <c r="P312" s="156"/>
      <c r="Q312" s="156"/>
      <c r="R312" s="156"/>
      <c r="S312" s="156"/>
      <c r="T312" s="156"/>
      <c r="U312" s="156"/>
      <c r="V312" s="156"/>
      <c r="W312" s="156"/>
      <c r="X312" s="156"/>
      <c r="Y312" s="156"/>
      <c r="Z312" s="156"/>
      <c r="AA312" s="156"/>
      <c r="AB312" s="156"/>
      <c r="AC312" s="156"/>
    </row>
    <row r="313" spans="1:29" ht="13">
      <c r="A313" s="140"/>
      <c r="B313" s="140"/>
      <c r="C313" s="156"/>
      <c r="D313" s="156"/>
      <c r="E313" s="156"/>
      <c r="F313" s="156"/>
      <c r="G313" s="185"/>
      <c r="H313" s="156"/>
      <c r="I313" s="156"/>
      <c r="J313" s="156"/>
      <c r="K313" s="156"/>
      <c r="L313" s="157"/>
      <c r="M313" s="156"/>
      <c r="N313" s="156"/>
      <c r="O313" s="156"/>
      <c r="P313" s="156"/>
      <c r="Q313" s="156"/>
      <c r="R313" s="156"/>
      <c r="S313" s="156"/>
      <c r="T313" s="156"/>
      <c r="U313" s="156"/>
      <c r="V313" s="156"/>
      <c r="W313" s="156"/>
      <c r="X313" s="156"/>
      <c r="Y313" s="156"/>
      <c r="Z313" s="156"/>
      <c r="AA313" s="156"/>
      <c r="AB313" s="156"/>
      <c r="AC313" s="156"/>
    </row>
    <row r="314" spans="1:29" ht="13">
      <c r="A314" s="140"/>
      <c r="B314" s="140"/>
      <c r="C314" s="156"/>
      <c r="D314" s="156"/>
      <c r="E314" s="156"/>
      <c r="F314" s="156"/>
      <c r="G314" s="185"/>
      <c r="H314" s="156"/>
      <c r="I314" s="156"/>
      <c r="J314" s="156"/>
      <c r="K314" s="156"/>
      <c r="L314" s="157"/>
      <c r="M314" s="156"/>
      <c r="N314" s="156"/>
      <c r="O314" s="156"/>
      <c r="P314" s="156"/>
      <c r="Q314" s="156"/>
      <c r="R314" s="156"/>
      <c r="S314" s="156"/>
      <c r="T314" s="156"/>
      <c r="U314" s="156"/>
      <c r="V314" s="156"/>
      <c r="W314" s="156"/>
      <c r="X314" s="156"/>
      <c r="Y314" s="156"/>
      <c r="Z314" s="156"/>
      <c r="AA314" s="156"/>
      <c r="AB314" s="156"/>
      <c r="AC314" s="156"/>
    </row>
    <row r="315" spans="1:29" ht="13">
      <c r="A315" s="140"/>
      <c r="B315" s="140"/>
      <c r="C315" s="156"/>
      <c r="D315" s="156"/>
      <c r="E315" s="156"/>
      <c r="F315" s="156"/>
      <c r="G315" s="185"/>
      <c r="H315" s="156"/>
      <c r="I315" s="156"/>
      <c r="J315" s="156"/>
      <c r="K315" s="156"/>
      <c r="L315" s="157"/>
      <c r="M315" s="156"/>
      <c r="N315" s="156"/>
      <c r="O315" s="156"/>
      <c r="P315" s="156"/>
      <c r="Q315" s="156"/>
      <c r="R315" s="156"/>
      <c r="S315" s="156"/>
      <c r="T315" s="156"/>
      <c r="U315" s="156"/>
      <c r="V315" s="156"/>
      <c r="W315" s="156"/>
      <c r="X315" s="156"/>
      <c r="Y315" s="156"/>
      <c r="Z315" s="156"/>
      <c r="AA315" s="156"/>
      <c r="AB315" s="156"/>
      <c r="AC315" s="156"/>
    </row>
    <row r="316" spans="1:29" ht="13">
      <c r="A316" s="140"/>
      <c r="B316" s="140"/>
      <c r="C316" s="156"/>
      <c r="D316" s="156"/>
      <c r="E316" s="156"/>
      <c r="F316" s="156"/>
      <c r="G316" s="185"/>
      <c r="H316" s="156"/>
      <c r="I316" s="156"/>
      <c r="J316" s="156"/>
      <c r="K316" s="156"/>
      <c r="L316" s="157"/>
      <c r="M316" s="156"/>
      <c r="N316" s="156"/>
      <c r="O316" s="156"/>
      <c r="P316" s="156"/>
      <c r="Q316" s="156"/>
      <c r="R316" s="156"/>
      <c r="S316" s="156"/>
      <c r="T316" s="156"/>
      <c r="U316" s="156"/>
      <c r="V316" s="156"/>
      <c r="W316" s="156"/>
      <c r="X316" s="156"/>
      <c r="Y316" s="156"/>
      <c r="Z316" s="156"/>
      <c r="AA316" s="156"/>
      <c r="AB316" s="156"/>
      <c r="AC316" s="156"/>
    </row>
    <row r="317" spans="1:29" ht="13">
      <c r="A317" s="140"/>
      <c r="B317" s="140"/>
      <c r="C317" s="156"/>
      <c r="D317" s="156"/>
      <c r="E317" s="156"/>
      <c r="F317" s="156"/>
      <c r="G317" s="185"/>
      <c r="H317" s="156"/>
      <c r="I317" s="156"/>
      <c r="J317" s="156"/>
      <c r="K317" s="156"/>
      <c r="L317" s="157"/>
      <c r="M317" s="156"/>
      <c r="N317" s="156"/>
      <c r="O317" s="156"/>
      <c r="P317" s="156"/>
      <c r="Q317" s="156"/>
      <c r="R317" s="156"/>
      <c r="S317" s="156"/>
      <c r="T317" s="156"/>
      <c r="U317" s="156"/>
      <c r="V317" s="156"/>
      <c r="W317" s="156"/>
      <c r="X317" s="156"/>
      <c r="Y317" s="156"/>
      <c r="Z317" s="156"/>
      <c r="AA317" s="156"/>
      <c r="AB317" s="156"/>
      <c r="AC317" s="156"/>
    </row>
    <row r="318" spans="1:29" ht="13">
      <c r="A318" s="140"/>
      <c r="B318" s="140"/>
      <c r="C318" s="156"/>
      <c r="D318" s="156"/>
      <c r="E318" s="156"/>
      <c r="F318" s="156"/>
      <c r="G318" s="185"/>
      <c r="H318" s="156"/>
      <c r="I318" s="156"/>
      <c r="J318" s="156"/>
      <c r="K318" s="156"/>
      <c r="L318" s="157"/>
      <c r="M318" s="156"/>
      <c r="N318" s="156"/>
      <c r="O318" s="156"/>
      <c r="P318" s="156"/>
      <c r="Q318" s="156"/>
      <c r="R318" s="156"/>
      <c r="S318" s="156"/>
      <c r="T318" s="156"/>
      <c r="U318" s="156"/>
      <c r="V318" s="156"/>
      <c r="W318" s="156"/>
      <c r="X318" s="156"/>
      <c r="Y318" s="156"/>
      <c r="Z318" s="156"/>
      <c r="AA318" s="156"/>
      <c r="AB318" s="156"/>
      <c r="AC318" s="156"/>
    </row>
    <row r="319" spans="1:29" ht="13">
      <c r="A319" s="140"/>
      <c r="B319" s="140"/>
      <c r="C319" s="156"/>
      <c r="D319" s="156"/>
      <c r="E319" s="156"/>
      <c r="F319" s="156"/>
      <c r="G319" s="185"/>
      <c r="H319" s="156"/>
      <c r="I319" s="156"/>
      <c r="J319" s="156"/>
      <c r="K319" s="156"/>
      <c r="L319" s="157"/>
      <c r="M319" s="156"/>
      <c r="N319" s="156"/>
      <c r="O319" s="156"/>
      <c r="P319" s="156"/>
      <c r="Q319" s="156"/>
      <c r="R319" s="156"/>
      <c r="S319" s="156"/>
      <c r="T319" s="156"/>
      <c r="U319" s="156"/>
      <c r="V319" s="156"/>
      <c r="W319" s="156"/>
      <c r="X319" s="156"/>
      <c r="Y319" s="156"/>
      <c r="Z319" s="156"/>
      <c r="AA319" s="156"/>
      <c r="AB319" s="156"/>
      <c r="AC319" s="156"/>
    </row>
    <row r="320" spans="1:29" ht="13">
      <c r="A320" s="140"/>
      <c r="B320" s="140"/>
      <c r="C320" s="156"/>
      <c r="D320" s="156"/>
      <c r="E320" s="156"/>
      <c r="F320" s="156"/>
      <c r="G320" s="185"/>
      <c r="H320" s="156"/>
      <c r="I320" s="156"/>
      <c r="J320" s="156"/>
      <c r="K320" s="156"/>
      <c r="L320" s="157"/>
      <c r="M320" s="156"/>
      <c r="N320" s="156"/>
      <c r="O320" s="156"/>
      <c r="P320" s="156"/>
      <c r="Q320" s="156"/>
      <c r="R320" s="156"/>
      <c r="S320" s="156"/>
      <c r="T320" s="156"/>
      <c r="U320" s="156"/>
      <c r="V320" s="156"/>
      <c r="W320" s="156"/>
      <c r="X320" s="156"/>
      <c r="Y320" s="156"/>
      <c r="Z320" s="156"/>
      <c r="AA320" s="156"/>
      <c r="AB320" s="156"/>
      <c r="AC320" s="156"/>
    </row>
    <row r="321" spans="1:29" ht="13">
      <c r="A321" s="140"/>
      <c r="B321" s="140"/>
      <c r="C321" s="156"/>
      <c r="D321" s="156"/>
      <c r="E321" s="156"/>
      <c r="F321" s="156"/>
      <c r="G321" s="185"/>
      <c r="H321" s="156"/>
      <c r="I321" s="156"/>
      <c r="J321" s="156"/>
      <c r="K321" s="156"/>
      <c r="L321" s="157"/>
      <c r="M321" s="156"/>
      <c r="N321" s="156"/>
      <c r="O321" s="156"/>
      <c r="P321" s="156"/>
      <c r="Q321" s="156"/>
      <c r="R321" s="156"/>
      <c r="S321" s="156"/>
      <c r="T321" s="156"/>
      <c r="U321" s="156"/>
      <c r="V321" s="156"/>
      <c r="W321" s="156"/>
      <c r="X321" s="156"/>
      <c r="Y321" s="156"/>
      <c r="Z321" s="156"/>
      <c r="AA321" s="156"/>
      <c r="AB321" s="156"/>
      <c r="AC321" s="156"/>
    </row>
    <row r="322" spans="1:29" ht="13">
      <c r="A322" s="140"/>
      <c r="B322" s="140"/>
      <c r="C322" s="156"/>
      <c r="D322" s="156"/>
      <c r="E322" s="156"/>
      <c r="F322" s="156"/>
      <c r="G322" s="185"/>
      <c r="H322" s="156"/>
      <c r="I322" s="156"/>
      <c r="J322" s="156"/>
      <c r="K322" s="156"/>
      <c r="L322" s="157"/>
      <c r="M322" s="156"/>
      <c r="N322" s="156"/>
      <c r="O322" s="156"/>
      <c r="P322" s="156"/>
      <c r="Q322" s="156"/>
      <c r="R322" s="156"/>
      <c r="S322" s="156"/>
      <c r="T322" s="156"/>
      <c r="U322" s="156"/>
      <c r="V322" s="156"/>
      <c r="W322" s="156"/>
      <c r="X322" s="156"/>
      <c r="Y322" s="156"/>
      <c r="Z322" s="156"/>
      <c r="AA322" s="156"/>
      <c r="AB322" s="156"/>
      <c r="AC322" s="156"/>
    </row>
    <row r="323" spans="1:29" ht="13">
      <c r="A323" s="140"/>
      <c r="B323" s="140"/>
      <c r="C323" s="156"/>
      <c r="D323" s="156"/>
      <c r="E323" s="156"/>
      <c r="F323" s="156"/>
      <c r="G323" s="185"/>
      <c r="H323" s="156"/>
      <c r="I323" s="156"/>
      <c r="J323" s="156"/>
      <c r="K323" s="156"/>
      <c r="L323" s="157"/>
      <c r="M323" s="156"/>
      <c r="N323" s="156"/>
      <c r="O323" s="156"/>
      <c r="P323" s="156"/>
      <c r="Q323" s="156"/>
      <c r="R323" s="156"/>
      <c r="S323" s="156"/>
      <c r="T323" s="156"/>
      <c r="U323" s="156"/>
      <c r="V323" s="156"/>
      <c r="W323" s="156"/>
      <c r="X323" s="156"/>
      <c r="Y323" s="156"/>
      <c r="Z323" s="156"/>
      <c r="AA323" s="156"/>
      <c r="AB323" s="156"/>
      <c r="AC323" s="156"/>
    </row>
    <row r="324" spans="1:29" ht="13">
      <c r="A324" s="140"/>
      <c r="B324" s="140"/>
      <c r="C324" s="156"/>
      <c r="D324" s="156"/>
      <c r="E324" s="156"/>
      <c r="F324" s="156"/>
      <c r="G324" s="185"/>
      <c r="H324" s="156"/>
      <c r="I324" s="156"/>
      <c r="J324" s="156"/>
      <c r="K324" s="156"/>
      <c r="L324" s="157"/>
      <c r="M324" s="156"/>
      <c r="N324" s="156"/>
      <c r="O324" s="156"/>
      <c r="P324" s="156"/>
      <c r="Q324" s="156"/>
      <c r="R324" s="156"/>
      <c r="S324" s="156"/>
      <c r="T324" s="156"/>
      <c r="U324" s="156"/>
      <c r="V324" s="156"/>
      <c r="W324" s="156"/>
      <c r="X324" s="156"/>
      <c r="Y324" s="156"/>
      <c r="Z324" s="156"/>
      <c r="AA324" s="156"/>
      <c r="AB324" s="156"/>
      <c r="AC324" s="156"/>
    </row>
    <row r="325" spans="1:29" ht="13">
      <c r="A325" s="140"/>
      <c r="B325" s="140"/>
      <c r="C325" s="156"/>
      <c r="D325" s="156"/>
      <c r="E325" s="156"/>
      <c r="F325" s="156"/>
      <c r="G325" s="185"/>
      <c r="H325" s="156"/>
      <c r="I325" s="156"/>
      <c r="J325" s="156"/>
      <c r="K325" s="156"/>
      <c r="L325" s="157"/>
      <c r="M325" s="156"/>
      <c r="N325" s="156"/>
      <c r="O325" s="156"/>
      <c r="P325" s="156"/>
      <c r="Q325" s="156"/>
      <c r="R325" s="156"/>
      <c r="S325" s="156"/>
      <c r="T325" s="156"/>
      <c r="U325" s="156"/>
      <c r="V325" s="156"/>
      <c r="W325" s="156"/>
      <c r="X325" s="156"/>
      <c r="Y325" s="156"/>
      <c r="Z325" s="156"/>
      <c r="AA325" s="156"/>
      <c r="AB325" s="156"/>
      <c r="AC325" s="156"/>
    </row>
    <row r="326" spans="1:29" ht="13">
      <c r="A326" s="140"/>
      <c r="B326" s="140"/>
      <c r="C326" s="156"/>
      <c r="D326" s="156"/>
      <c r="E326" s="156"/>
      <c r="F326" s="156"/>
      <c r="G326" s="185"/>
      <c r="H326" s="156"/>
      <c r="I326" s="156"/>
      <c r="J326" s="156"/>
      <c r="K326" s="156"/>
      <c r="L326" s="157"/>
      <c r="M326" s="156"/>
      <c r="N326" s="156"/>
      <c r="O326" s="156"/>
      <c r="P326" s="156"/>
      <c r="Q326" s="156"/>
      <c r="R326" s="156"/>
      <c r="S326" s="156"/>
      <c r="T326" s="156"/>
      <c r="U326" s="156"/>
      <c r="V326" s="156"/>
      <c r="W326" s="156"/>
      <c r="X326" s="156"/>
      <c r="Y326" s="156"/>
      <c r="Z326" s="156"/>
      <c r="AA326" s="156"/>
      <c r="AB326" s="156"/>
      <c r="AC326" s="156"/>
    </row>
    <row r="327" spans="1:29" ht="13">
      <c r="A327" s="140"/>
      <c r="B327" s="140"/>
      <c r="C327" s="156"/>
      <c r="D327" s="156"/>
      <c r="E327" s="156"/>
      <c r="F327" s="156"/>
      <c r="G327" s="185"/>
      <c r="H327" s="156"/>
      <c r="I327" s="156"/>
      <c r="J327" s="156"/>
      <c r="K327" s="156"/>
      <c r="L327" s="157"/>
      <c r="M327" s="156"/>
      <c r="N327" s="156"/>
      <c r="O327" s="156"/>
      <c r="P327" s="156"/>
      <c r="Q327" s="156"/>
      <c r="R327" s="156"/>
      <c r="S327" s="156"/>
      <c r="T327" s="156"/>
      <c r="U327" s="156"/>
      <c r="V327" s="156"/>
      <c r="W327" s="156"/>
      <c r="X327" s="156"/>
      <c r="Y327" s="156"/>
      <c r="Z327" s="156"/>
      <c r="AA327" s="156"/>
      <c r="AB327" s="156"/>
      <c r="AC327" s="156"/>
    </row>
    <row r="328" spans="1:29" ht="13">
      <c r="A328" s="140"/>
      <c r="B328" s="140"/>
      <c r="C328" s="156"/>
      <c r="D328" s="156"/>
      <c r="E328" s="156"/>
      <c r="F328" s="156"/>
      <c r="G328" s="185"/>
      <c r="H328" s="156"/>
      <c r="I328" s="156"/>
      <c r="J328" s="156"/>
      <c r="K328" s="156"/>
      <c r="L328" s="157"/>
      <c r="M328" s="156"/>
      <c r="N328" s="156"/>
      <c r="O328" s="156"/>
      <c r="P328" s="156"/>
      <c r="Q328" s="156"/>
      <c r="R328" s="156"/>
      <c r="S328" s="156"/>
      <c r="T328" s="156"/>
      <c r="U328" s="156"/>
      <c r="V328" s="156"/>
      <c r="W328" s="156"/>
      <c r="X328" s="156"/>
      <c r="Y328" s="156"/>
      <c r="Z328" s="156"/>
      <c r="AA328" s="156"/>
      <c r="AB328" s="156"/>
      <c r="AC328" s="156"/>
    </row>
    <row r="329" spans="1:29" ht="13">
      <c r="A329" s="140"/>
      <c r="B329" s="140"/>
      <c r="C329" s="156"/>
      <c r="D329" s="156"/>
      <c r="E329" s="156"/>
      <c r="F329" s="156"/>
      <c r="G329" s="185"/>
      <c r="H329" s="156"/>
      <c r="I329" s="156"/>
      <c r="J329" s="156"/>
      <c r="K329" s="156"/>
      <c r="L329" s="157"/>
      <c r="M329" s="156"/>
      <c r="N329" s="156"/>
      <c r="O329" s="156"/>
      <c r="P329" s="156"/>
      <c r="Q329" s="156"/>
      <c r="R329" s="156"/>
      <c r="S329" s="156"/>
      <c r="T329" s="156"/>
      <c r="U329" s="156"/>
      <c r="V329" s="156"/>
      <c r="W329" s="156"/>
      <c r="X329" s="156"/>
      <c r="Y329" s="156"/>
      <c r="Z329" s="156"/>
      <c r="AA329" s="156"/>
      <c r="AB329" s="156"/>
      <c r="AC329" s="156"/>
    </row>
    <row r="330" spans="1:29" ht="13">
      <c r="A330" s="140"/>
      <c r="B330" s="140"/>
      <c r="C330" s="156"/>
      <c r="D330" s="156"/>
      <c r="E330" s="156"/>
      <c r="F330" s="156"/>
      <c r="G330" s="185"/>
      <c r="H330" s="156"/>
      <c r="I330" s="156"/>
      <c r="J330" s="156"/>
      <c r="K330" s="156"/>
      <c r="L330" s="157"/>
      <c r="M330" s="156"/>
      <c r="N330" s="156"/>
      <c r="O330" s="156"/>
      <c r="P330" s="156"/>
      <c r="Q330" s="156"/>
      <c r="R330" s="156"/>
      <c r="S330" s="156"/>
      <c r="T330" s="156"/>
      <c r="U330" s="156"/>
      <c r="V330" s="156"/>
      <c r="W330" s="156"/>
      <c r="X330" s="156"/>
      <c r="Y330" s="156"/>
      <c r="Z330" s="156"/>
      <c r="AA330" s="156"/>
      <c r="AB330" s="156"/>
      <c r="AC330" s="156"/>
    </row>
    <row r="331" spans="1:29" ht="13">
      <c r="A331" s="140"/>
      <c r="B331" s="140"/>
      <c r="C331" s="156"/>
      <c r="D331" s="156"/>
      <c r="E331" s="156"/>
      <c r="F331" s="156"/>
      <c r="G331" s="185"/>
      <c r="H331" s="156"/>
      <c r="I331" s="156"/>
      <c r="J331" s="156"/>
      <c r="K331" s="156"/>
      <c r="L331" s="157"/>
      <c r="M331" s="156"/>
      <c r="N331" s="156"/>
      <c r="O331" s="156"/>
      <c r="P331" s="156"/>
      <c r="Q331" s="156"/>
      <c r="R331" s="156"/>
      <c r="S331" s="156"/>
      <c r="T331" s="156"/>
      <c r="U331" s="156"/>
      <c r="V331" s="156"/>
      <c r="W331" s="156"/>
      <c r="X331" s="156"/>
      <c r="Y331" s="156"/>
      <c r="Z331" s="156"/>
      <c r="AA331" s="156"/>
      <c r="AB331" s="156"/>
      <c r="AC331" s="156"/>
    </row>
    <row r="332" spans="1:29" ht="13">
      <c r="A332" s="140"/>
      <c r="B332" s="140"/>
      <c r="C332" s="156"/>
      <c r="D332" s="156"/>
      <c r="E332" s="156"/>
      <c r="F332" s="156"/>
      <c r="G332" s="185"/>
      <c r="H332" s="156"/>
      <c r="I332" s="156"/>
      <c r="J332" s="156"/>
      <c r="K332" s="156"/>
      <c r="L332" s="157"/>
      <c r="M332" s="156"/>
      <c r="N332" s="156"/>
      <c r="O332" s="156"/>
      <c r="P332" s="156"/>
      <c r="Q332" s="156"/>
      <c r="R332" s="156"/>
      <c r="S332" s="156"/>
      <c r="T332" s="156"/>
      <c r="U332" s="156"/>
      <c r="V332" s="156"/>
      <c r="W332" s="156"/>
      <c r="X332" s="156"/>
      <c r="Y332" s="156"/>
      <c r="Z332" s="156"/>
      <c r="AA332" s="156"/>
      <c r="AB332" s="156"/>
      <c r="AC332" s="156"/>
    </row>
    <row r="333" spans="1:29" ht="13">
      <c r="A333" s="140"/>
      <c r="B333" s="140"/>
      <c r="C333" s="156"/>
      <c r="D333" s="156"/>
      <c r="E333" s="156"/>
      <c r="F333" s="156"/>
      <c r="G333" s="185"/>
      <c r="H333" s="156"/>
      <c r="I333" s="156"/>
      <c r="J333" s="156"/>
      <c r="K333" s="156"/>
      <c r="L333" s="157"/>
      <c r="M333" s="156"/>
      <c r="N333" s="156"/>
      <c r="O333" s="156"/>
      <c r="P333" s="156"/>
      <c r="Q333" s="156"/>
      <c r="R333" s="156"/>
      <c r="S333" s="156"/>
      <c r="T333" s="156"/>
      <c r="U333" s="156"/>
      <c r="V333" s="156"/>
      <c r="W333" s="156"/>
      <c r="X333" s="156"/>
      <c r="Y333" s="156"/>
      <c r="Z333" s="156"/>
      <c r="AA333" s="156"/>
      <c r="AB333" s="156"/>
      <c r="AC333" s="156"/>
    </row>
    <row r="334" spans="1:29" ht="13">
      <c r="A334" s="140"/>
      <c r="B334" s="140"/>
      <c r="C334" s="156"/>
      <c r="D334" s="156"/>
      <c r="E334" s="156"/>
      <c r="F334" s="156"/>
      <c r="G334" s="185"/>
      <c r="H334" s="156"/>
      <c r="I334" s="156"/>
      <c r="J334" s="156"/>
      <c r="K334" s="156"/>
      <c r="L334" s="157"/>
      <c r="M334" s="156"/>
      <c r="N334" s="156"/>
      <c r="O334" s="156"/>
      <c r="P334" s="156"/>
      <c r="Q334" s="156"/>
      <c r="R334" s="156"/>
      <c r="S334" s="156"/>
      <c r="T334" s="156"/>
      <c r="U334" s="156"/>
      <c r="V334" s="156"/>
      <c r="W334" s="156"/>
      <c r="X334" s="156"/>
      <c r="Y334" s="156"/>
      <c r="Z334" s="156"/>
      <c r="AA334" s="156"/>
      <c r="AB334" s="156"/>
      <c r="AC334" s="156"/>
    </row>
    <row r="335" spans="1:29" ht="13">
      <c r="A335" s="140"/>
      <c r="B335" s="140"/>
      <c r="C335" s="156"/>
      <c r="D335" s="156"/>
      <c r="E335" s="156"/>
      <c r="F335" s="156"/>
      <c r="G335" s="185"/>
      <c r="H335" s="156"/>
      <c r="I335" s="156"/>
      <c r="J335" s="156"/>
      <c r="K335" s="156"/>
      <c r="L335" s="157"/>
      <c r="M335" s="156"/>
      <c r="N335" s="156"/>
      <c r="O335" s="156"/>
      <c r="P335" s="156"/>
      <c r="Q335" s="156"/>
      <c r="R335" s="156"/>
      <c r="S335" s="156"/>
      <c r="T335" s="156"/>
      <c r="U335" s="156"/>
      <c r="V335" s="156"/>
      <c r="W335" s="156"/>
      <c r="X335" s="156"/>
      <c r="Y335" s="156"/>
      <c r="Z335" s="156"/>
      <c r="AA335" s="156"/>
      <c r="AB335" s="156"/>
      <c r="AC335" s="156"/>
    </row>
    <row r="336" spans="1:29" ht="13">
      <c r="A336" s="140"/>
      <c r="B336" s="140"/>
      <c r="C336" s="156"/>
      <c r="D336" s="156"/>
      <c r="E336" s="156"/>
      <c r="F336" s="156"/>
      <c r="G336" s="185"/>
      <c r="H336" s="156"/>
      <c r="I336" s="156"/>
      <c r="J336" s="156"/>
      <c r="K336" s="156"/>
      <c r="L336" s="157"/>
      <c r="M336" s="156"/>
      <c r="N336" s="156"/>
      <c r="O336" s="156"/>
      <c r="P336" s="156"/>
      <c r="Q336" s="156"/>
      <c r="R336" s="156"/>
      <c r="S336" s="156"/>
      <c r="T336" s="156"/>
      <c r="U336" s="156"/>
      <c r="V336" s="156"/>
      <c r="W336" s="156"/>
      <c r="X336" s="156"/>
      <c r="Y336" s="156"/>
      <c r="Z336" s="156"/>
      <c r="AA336" s="156"/>
      <c r="AB336" s="156"/>
      <c r="AC336" s="156"/>
    </row>
    <row r="337" spans="1:29" ht="13">
      <c r="A337" s="140"/>
      <c r="B337" s="140"/>
      <c r="C337" s="156"/>
      <c r="D337" s="156"/>
      <c r="E337" s="156"/>
      <c r="F337" s="156"/>
      <c r="G337" s="185"/>
      <c r="H337" s="156"/>
      <c r="I337" s="156"/>
      <c r="J337" s="156"/>
      <c r="K337" s="156"/>
      <c r="L337" s="157"/>
      <c r="M337" s="156"/>
      <c r="N337" s="156"/>
      <c r="O337" s="156"/>
      <c r="P337" s="156"/>
      <c r="Q337" s="156"/>
      <c r="R337" s="156"/>
      <c r="S337" s="156"/>
      <c r="T337" s="156"/>
      <c r="U337" s="156"/>
      <c r="V337" s="156"/>
      <c r="W337" s="156"/>
      <c r="X337" s="156"/>
      <c r="Y337" s="156"/>
      <c r="Z337" s="156"/>
      <c r="AA337" s="156"/>
      <c r="AB337" s="156"/>
      <c r="AC337" s="156"/>
    </row>
    <row r="338" spans="1:29" ht="13">
      <c r="A338" s="140"/>
      <c r="B338" s="140"/>
      <c r="C338" s="156"/>
      <c r="D338" s="156"/>
      <c r="E338" s="156"/>
      <c r="F338" s="156"/>
      <c r="G338" s="185"/>
      <c r="H338" s="156"/>
      <c r="I338" s="156"/>
      <c r="J338" s="156"/>
      <c r="K338" s="156"/>
      <c r="L338" s="157"/>
      <c r="M338" s="156"/>
      <c r="N338" s="156"/>
      <c r="O338" s="156"/>
      <c r="P338" s="156"/>
      <c r="Q338" s="156"/>
      <c r="R338" s="156"/>
      <c r="S338" s="156"/>
      <c r="T338" s="156"/>
      <c r="U338" s="156"/>
      <c r="V338" s="156"/>
      <c r="W338" s="156"/>
      <c r="X338" s="156"/>
      <c r="Y338" s="156"/>
      <c r="Z338" s="156"/>
      <c r="AA338" s="156"/>
      <c r="AB338" s="156"/>
      <c r="AC338" s="156"/>
    </row>
    <row r="339" spans="1:29" ht="13">
      <c r="A339" s="140"/>
      <c r="B339" s="140"/>
      <c r="C339" s="156"/>
      <c r="D339" s="156"/>
      <c r="E339" s="156"/>
      <c r="F339" s="156"/>
      <c r="G339" s="185"/>
      <c r="H339" s="156"/>
      <c r="I339" s="156"/>
      <c r="J339" s="156"/>
      <c r="K339" s="156"/>
      <c r="L339" s="157"/>
      <c r="M339" s="156"/>
      <c r="N339" s="156"/>
      <c r="O339" s="156"/>
      <c r="P339" s="156"/>
      <c r="Q339" s="156"/>
      <c r="R339" s="156"/>
      <c r="S339" s="156"/>
      <c r="T339" s="156"/>
      <c r="U339" s="156"/>
      <c r="V339" s="156"/>
      <c r="W339" s="156"/>
      <c r="X339" s="156"/>
      <c r="Y339" s="156"/>
      <c r="Z339" s="156"/>
      <c r="AA339" s="156"/>
      <c r="AB339" s="156"/>
      <c r="AC339" s="156"/>
    </row>
    <row r="340" spans="1:29" ht="13">
      <c r="A340" s="140"/>
      <c r="B340" s="140"/>
      <c r="C340" s="156"/>
      <c r="D340" s="156"/>
      <c r="E340" s="156"/>
      <c r="F340" s="156"/>
      <c r="G340" s="185"/>
      <c r="H340" s="156"/>
      <c r="I340" s="156"/>
      <c r="J340" s="156"/>
      <c r="K340" s="156"/>
      <c r="L340" s="157"/>
      <c r="M340" s="156"/>
      <c r="N340" s="156"/>
      <c r="O340" s="156"/>
      <c r="P340" s="156"/>
      <c r="Q340" s="156"/>
      <c r="R340" s="156"/>
      <c r="S340" s="156"/>
      <c r="T340" s="156"/>
      <c r="U340" s="156"/>
      <c r="V340" s="156"/>
      <c r="W340" s="156"/>
      <c r="X340" s="156"/>
      <c r="Y340" s="156"/>
      <c r="Z340" s="156"/>
      <c r="AA340" s="156"/>
      <c r="AB340" s="156"/>
      <c r="AC340" s="156"/>
    </row>
    <row r="341" spans="1:29" ht="13">
      <c r="A341" s="140"/>
      <c r="B341" s="140"/>
      <c r="C341" s="156"/>
      <c r="D341" s="156"/>
      <c r="E341" s="156"/>
      <c r="F341" s="156"/>
      <c r="G341" s="185"/>
      <c r="H341" s="156"/>
      <c r="I341" s="156"/>
      <c r="J341" s="156"/>
      <c r="K341" s="156"/>
      <c r="L341" s="157"/>
      <c r="M341" s="156"/>
      <c r="N341" s="156"/>
      <c r="O341" s="156"/>
      <c r="P341" s="156"/>
      <c r="Q341" s="156"/>
      <c r="R341" s="156"/>
      <c r="S341" s="156"/>
      <c r="T341" s="156"/>
      <c r="U341" s="156"/>
      <c r="V341" s="156"/>
      <c r="W341" s="156"/>
      <c r="X341" s="156"/>
      <c r="Y341" s="156"/>
      <c r="Z341" s="156"/>
      <c r="AA341" s="156"/>
      <c r="AB341" s="156"/>
      <c r="AC341" s="156"/>
    </row>
    <row r="342" spans="1:29" ht="13">
      <c r="A342" s="140"/>
      <c r="B342" s="140"/>
      <c r="C342" s="156"/>
      <c r="D342" s="156"/>
      <c r="E342" s="156"/>
      <c r="F342" s="156"/>
      <c r="G342" s="185"/>
      <c r="H342" s="156"/>
      <c r="I342" s="156"/>
      <c r="J342" s="156"/>
      <c r="K342" s="156"/>
      <c r="L342" s="157"/>
      <c r="M342" s="156"/>
      <c r="N342" s="156"/>
      <c r="O342" s="156"/>
      <c r="P342" s="156"/>
      <c r="Q342" s="156"/>
      <c r="R342" s="156"/>
      <c r="S342" s="156"/>
      <c r="T342" s="156"/>
      <c r="U342" s="156"/>
      <c r="V342" s="156"/>
      <c r="W342" s="156"/>
      <c r="X342" s="156"/>
      <c r="Y342" s="156"/>
      <c r="Z342" s="156"/>
      <c r="AA342" s="156"/>
      <c r="AB342" s="156"/>
      <c r="AC342" s="156"/>
    </row>
    <row r="343" spans="1:29" ht="13">
      <c r="A343" s="140"/>
      <c r="B343" s="140"/>
      <c r="C343" s="156"/>
      <c r="D343" s="156"/>
      <c r="E343" s="156"/>
      <c r="F343" s="156"/>
      <c r="G343" s="185"/>
      <c r="H343" s="156"/>
      <c r="I343" s="156"/>
      <c r="J343" s="156"/>
      <c r="K343" s="156"/>
      <c r="L343" s="157"/>
      <c r="M343" s="156"/>
      <c r="N343" s="156"/>
      <c r="O343" s="156"/>
      <c r="P343" s="156"/>
      <c r="Q343" s="156"/>
      <c r="R343" s="156"/>
      <c r="S343" s="156"/>
      <c r="T343" s="156"/>
      <c r="U343" s="156"/>
      <c r="V343" s="156"/>
      <c r="W343" s="156"/>
      <c r="X343" s="156"/>
      <c r="Y343" s="156"/>
      <c r="Z343" s="156"/>
      <c r="AA343" s="156"/>
      <c r="AB343" s="156"/>
      <c r="AC343" s="156"/>
    </row>
    <row r="344" spans="1:29" ht="13">
      <c r="A344" s="140"/>
      <c r="B344" s="140"/>
      <c r="C344" s="156"/>
      <c r="D344" s="156"/>
      <c r="E344" s="156"/>
      <c r="F344" s="156"/>
      <c r="G344" s="185"/>
      <c r="H344" s="156"/>
      <c r="I344" s="156"/>
      <c r="J344" s="156"/>
      <c r="K344" s="156"/>
      <c r="L344" s="157"/>
      <c r="M344" s="156"/>
      <c r="N344" s="156"/>
      <c r="O344" s="156"/>
      <c r="P344" s="156"/>
      <c r="Q344" s="156"/>
      <c r="R344" s="156"/>
      <c r="S344" s="156"/>
      <c r="T344" s="156"/>
      <c r="U344" s="156"/>
      <c r="V344" s="156"/>
      <c r="W344" s="156"/>
      <c r="X344" s="156"/>
      <c r="Y344" s="156"/>
      <c r="Z344" s="156"/>
      <c r="AA344" s="156"/>
      <c r="AB344" s="156"/>
      <c r="AC344" s="156"/>
    </row>
    <row r="345" spans="1:29" ht="13">
      <c r="A345" s="140"/>
      <c r="B345" s="140"/>
      <c r="C345" s="156"/>
      <c r="D345" s="156"/>
      <c r="E345" s="156"/>
      <c r="F345" s="156"/>
      <c r="G345" s="185"/>
      <c r="H345" s="156"/>
      <c r="I345" s="156"/>
      <c r="J345" s="156"/>
      <c r="K345" s="156"/>
      <c r="L345" s="157"/>
      <c r="M345" s="156"/>
      <c r="N345" s="156"/>
      <c r="O345" s="156"/>
      <c r="P345" s="156"/>
      <c r="Q345" s="156"/>
      <c r="R345" s="156"/>
      <c r="S345" s="156"/>
      <c r="T345" s="156"/>
      <c r="U345" s="156"/>
      <c r="V345" s="156"/>
      <c r="W345" s="156"/>
      <c r="X345" s="156"/>
      <c r="Y345" s="156"/>
      <c r="Z345" s="156"/>
      <c r="AA345" s="156"/>
      <c r="AB345" s="156"/>
      <c r="AC345" s="156"/>
    </row>
    <row r="346" spans="1:29" ht="13">
      <c r="A346" s="140"/>
      <c r="B346" s="140"/>
      <c r="C346" s="156"/>
      <c r="D346" s="156"/>
      <c r="E346" s="156"/>
      <c r="F346" s="156"/>
      <c r="G346" s="185"/>
      <c r="H346" s="156"/>
      <c r="I346" s="156"/>
      <c r="J346" s="156"/>
      <c r="K346" s="156"/>
      <c r="L346" s="157"/>
      <c r="M346" s="156"/>
      <c r="N346" s="156"/>
      <c r="O346" s="156"/>
      <c r="P346" s="156"/>
      <c r="Q346" s="156"/>
      <c r="R346" s="156"/>
      <c r="S346" s="156"/>
      <c r="T346" s="156"/>
      <c r="U346" s="156"/>
      <c r="V346" s="156"/>
      <c r="W346" s="156"/>
      <c r="X346" s="156"/>
      <c r="Y346" s="156"/>
      <c r="Z346" s="156"/>
      <c r="AA346" s="156"/>
      <c r="AB346" s="156"/>
      <c r="AC346" s="156"/>
    </row>
    <row r="347" spans="1:29" ht="13">
      <c r="A347" s="140"/>
      <c r="B347" s="140"/>
      <c r="C347" s="156"/>
      <c r="D347" s="156"/>
      <c r="E347" s="156"/>
      <c r="F347" s="156"/>
      <c r="G347" s="185"/>
      <c r="H347" s="156"/>
      <c r="I347" s="156"/>
      <c r="J347" s="156"/>
      <c r="K347" s="156"/>
      <c r="L347" s="157"/>
      <c r="M347" s="156"/>
      <c r="N347" s="156"/>
      <c r="O347" s="156"/>
      <c r="P347" s="156"/>
      <c r="Q347" s="156"/>
      <c r="R347" s="156"/>
      <c r="S347" s="156"/>
      <c r="T347" s="156"/>
      <c r="U347" s="156"/>
      <c r="V347" s="156"/>
      <c r="W347" s="156"/>
      <c r="X347" s="156"/>
      <c r="Y347" s="156"/>
      <c r="Z347" s="156"/>
      <c r="AA347" s="156"/>
      <c r="AB347" s="156"/>
      <c r="AC347" s="156"/>
    </row>
    <row r="348" spans="1:29" ht="13">
      <c r="A348" s="140"/>
      <c r="B348" s="140"/>
      <c r="C348" s="156"/>
      <c r="D348" s="156"/>
      <c r="E348" s="156"/>
      <c r="F348" s="156"/>
      <c r="G348" s="185"/>
      <c r="H348" s="156"/>
      <c r="I348" s="156"/>
      <c r="J348" s="156"/>
      <c r="K348" s="156"/>
      <c r="L348" s="157"/>
      <c r="M348" s="156"/>
      <c r="N348" s="156"/>
      <c r="O348" s="156"/>
      <c r="P348" s="156"/>
      <c r="Q348" s="156"/>
      <c r="R348" s="156"/>
      <c r="S348" s="156"/>
      <c r="T348" s="156"/>
      <c r="U348" s="156"/>
      <c r="V348" s="156"/>
      <c r="W348" s="156"/>
      <c r="X348" s="156"/>
      <c r="Y348" s="156"/>
      <c r="Z348" s="156"/>
      <c r="AA348" s="156"/>
      <c r="AB348" s="156"/>
      <c r="AC348" s="156"/>
    </row>
    <row r="349" spans="1:29" ht="13">
      <c r="A349" s="140"/>
      <c r="B349" s="140"/>
      <c r="C349" s="156"/>
      <c r="D349" s="156"/>
      <c r="E349" s="156"/>
      <c r="F349" s="156"/>
      <c r="G349" s="185"/>
      <c r="H349" s="156"/>
      <c r="I349" s="156"/>
      <c r="J349" s="156"/>
      <c r="K349" s="156"/>
      <c r="L349" s="157"/>
      <c r="M349" s="156"/>
      <c r="N349" s="156"/>
      <c r="O349" s="156"/>
      <c r="P349" s="156"/>
      <c r="Q349" s="156"/>
      <c r="R349" s="156"/>
      <c r="S349" s="156"/>
      <c r="T349" s="156"/>
      <c r="U349" s="156"/>
      <c r="V349" s="156"/>
      <c r="W349" s="156"/>
      <c r="X349" s="156"/>
      <c r="Y349" s="156"/>
      <c r="Z349" s="156"/>
      <c r="AA349" s="156"/>
      <c r="AB349" s="156"/>
      <c r="AC349" s="156"/>
    </row>
    <row r="350" spans="1:29" ht="13">
      <c r="A350" s="140"/>
      <c r="B350" s="140"/>
      <c r="C350" s="156"/>
      <c r="D350" s="156"/>
      <c r="E350" s="156"/>
      <c r="F350" s="156"/>
      <c r="G350" s="185"/>
      <c r="H350" s="156"/>
      <c r="I350" s="156"/>
      <c r="J350" s="156"/>
      <c r="K350" s="156"/>
      <c r="L350" s="157"/>
      <c r="M350" s="156"/>
      <c r="N350" s="156"/>
      <c r="O350" s="156"/>
      <c r="P350" s="156"/>
      <c r="Q350" s="156"/>
      <c r="R350" s="156"/>
      <c r="S350" s="156"/>
      <c r="T350" s="156"/>
      <c r="U350" s="156"/>
      <c r="V350" s="156"/>
      <c r="W350" s="156"/>
      <c r="X350" s="156"/>
      <c r="Y350" s="156"/>
      <c r="Z350" s="156"/>
      <c r="AA350" s="156"/>
      <c r="AB350" s="156"/>
      <c r="AC350" s="156"/>
    </row>
    <row r="351" spans="1:29" ht="13">
      <c r="A351" s="140"/>
      <c r="B351" s="140"/>
      <c r="C351" s="156"/>
      <c r="D351" s="156"/>
      <c r="E351" s="156"/>
      <c r="F351" s="156"/>
      <c r="G351" s="185"/>
      <c r="H351" s="156"/>
      <c r="I351" s="156"/>
      <c r="J351" s="156"/>
      <c r="K351" s="156"/>
      <c r="L351" s="157"/>
      <c r="M351" s="156"/>
      <c r="N351" s="156"/>
      <c r="O351" s="156"/>
      <c r="P351" s="156"/>
      <c r="Q351" s="156"/>
      <c r="R351" s="156"/>
      <c r="S351" s="156"/>
      <c r="T351" s="156"/>
      <c r="U351" s="156"/>
      <c r="V351" s="156"/>
      <c r="W351" s="156"/>
      <c r="X351" s="156"/>
      <c r="Y351" s="156"/>
      <c r="Z351" s="156"/>
      <c r="AA351" s="156"/>
      <c r="AB351" s="156"/>
      <c r="AC351" s="156"/>
    </row>
    <row r="352" spans="1:29" ht="13">
      <c r="A352" s="140"/>
      <c r="B352" s="140"/>
      <c r="C352" s="156"/>
      <c r="D352" s="156"/>
      <c r="E352" s="156"/>
      <c r="F352" s="156"/>
      <c r="G352" s="185"/>
      <c r="H352" s="156"/>
      <c r="I352" s="156"/>
      <c r="J352" s="156"/>
      <c r="K352" s="156"/>
      <c r="L352" s="157"/>
      <c r="M352" s="156"/>
      <c r="N352" s="156"/>
      <c r="O352" s="156"/>
      <c r="P352" s="156"/>
      <c r="Q352" s="156"/>
      <c r="R352" s="156"/>
      <c r="S352" s="156"/>
      <c r="T352" s="156"/>
      <c r="U352" s="156"/>
      <c r="V352" s="156"/>
      <c r="W352" s="156"/>
      <c r="X352" s="156"/>
      <c r="Y352" s="156"/>
      <c r="Z352" s="156"/>
      <c r="AA352" s="156"/>
      <c r="AB352" s="156"/>
      <c r="AC352" s="156"/>
    </row>
    <row r="353" spans="1:29" ht="13">
      <c r="A353" s="140"/>
      <c r="B353" s="140"/>
      <c r="C353" s="156"/>
      <c r="D353" s="156"/>
      <c r="E353" s="156"/>
      <c r="F353" s="156"/>
      <c r="G353" s="185"/>
      <c r="H353" s="156"/>
      <c r="I353" s="156"/>
      <c r="J353" s="156"/>
      <c r="K353" s="156"/>
      <c r="L353" s="157"/>
      <c r="M353" s="156"/>
      <c r="N353" s="156"/>
      <c r="O353" s="156"/>
      <c r="P353" s="156"/>
      <c r="Q353" s="156"/>
      <c r="R353" s="156"/>
      <c r="S353" s="156"/>
      <c r="T353" s="156"/>
      <c r="U353" s="156"/>
      <c r="V353" s="156"/>
      <c r="W353" s="156"/>
      <c r="X353" s="156"/>
      <c r="Y353" s="156"/>
      <c r="Z353" s="156"/>
      <c r="AA353" s="156"/>
      <c r="AB353" s="156"/>
      <c r="AC353" s="156"/>
    </row>
    <row r="354" spans="1:29" ht="13">
      <c r="A354" s="140"/>
      <c r="B354" s="140"/>
      <c r="C354" s="156"/>
      <c r="D354" s="156"/>
      <c r="E354" s="156"/>
      <c r="F354" s="156"/>
      <c r="G354" s="185"/>
      <c r="H354" s="156"/>
      <c r="I354" s="156"/>
      <c r="J354" s="156"/>
      <c r="K354" s="156"/>
      <c r="L354" s="157"/>
      <c r="M354" s="156"/>
      <c r="N354" s="156"/>
      <c r="O354" s="156"/>
      <c r="P354" s="156"/>
      <c r="Q354" s="156"/>
      <c r="R354" s="156"/>
      <c r="S354" s="156"/>
      <c r="T354" s="156"/>
      <c r="U354" s="156"/>
      <c r="V354" s="156"/>
      <c r="W354" s="156"/>
      <c r="X354" s="156"/>
      <c r="Y354" s="156"/>
      <c r="Z354" s="156"/>
      <c r="AA354" s="156"/>
      <c r="AB354" s="156"/>
      <c r="AC354" s="156"/>
    </row>
    <row r="355" spans="1:29" ht="13">
      <c r="A355" s="140"/>
      <c r="B355" s="140"/>
      <c r="C355" s="156"/>
      <c r="D355" s="156"/>
      <c r="E355" s="156"/>
      <c r="F355" s="156"/>
      <c r="G355" s="185"/>
      <c r="H355" s="156"/>
      <c r="I355" s="156"/>
      <c r="J355" s="156"/>
      <c r="K355" s="156"/>
      <c r="L355" s="157"/>
      <c r="M355" s="156"/>
      <c r="N355" s="156"/>
      <c r="O355" s="156"/>
      <c r="P355" s="156"/>
      <c r="Q355" s="156"/>
      <c r="R355" s="156"/>
      <c r="S355" s="156"/>
      <c r="T355" s="156"/>
      <c r="U355" s="156"/>
      <c r="V355" s="156"/>
      <c r="W355" s="156"/>
      <c r="X355" s="156"/>
      <c r="Y355" s="156"/>
      <c r="Z355" s="156"/>
      <c r="AA355" s="156"/>
      <c r="AB355" s="156"/>
      <c r="AC355" s="156"/>
    </row>
    <row r="356" spans="1:29" ht="13">
      <c r="A356" s="140"/>
      <c r="B356" s="140"/>
      <c r="C356" s="156"/>
      <c r="D356" s="156"/>
      <c r="E356" s="156"/>
      <c r="F356" s="156"/>
      <c r="G356" s="185"/>
      <c r="H356" s="156"/>
      <c r="I356" s="156"/>
      <c r="J356" s="156"/>
      <c r="K356" s="156"/>
      <c r="L356" s="157"/>
      <c r="M356" s="156"/>
      <c r="N356" s="156"/>
      <c r="O356" s="156"/>
      <c r="P356" s="156"/>
      <c r="Q356" s="156"/>
      <c r="R356" s="156"/>
      <c r="S356" s="156"/>
      <c r="T356" s="156"/>
      <c r="U356" s="156"/>
      <c r="V356" s="156"/>
      <c r="W356" s="156"/>
      <c r="X356" s="156"/>
      <c r="Y356" s="156"/>
      <c r="Z356" s="156"/>
      <c r="AA356" s="156"/>
      <c r="AB356" s="156"/>
      <c r="AC356" s="156"/>
    </row>
    <row r="357" spans="1:29" ht="13">
      <c r="A357" s="140"/>
      <c r="B357" s="140"/>
      <c r="C357" s="156"/>
      <c r="D357" s="156"/>
      <c r="E357" s="156"/>
      <c r="F357" s="156"/>
      <c r="G357" s="185"/>
      <c r="H357" s="156"/>
      <c r="I357" s="156"/>
      <c r="J357" s="156"/>
      <c r="K357" s="156"/>
      <c r="L357" s="157"/>
      <c r="M357" s="156"/>
      <c r="N357" s="156"/>
      <c r="O357" s="156"/>
      <c r="P357" s="156"/>
      <c r="Q357" s="156"/>
      <c r="R357" s="156"/>
      <c r="S357" s="156"/>
      <c r="T357" s="156"/>
      <c r="U357" s="156"/>
      <c r="V357" s="156"/>
      <c r="W357" s="156"/>
      <c r="X357" s="156"/>
      <c r="Y357" s="156"/>
      <c r="Z357" s="156"/>
      <c r="AA357" s="156"/>
      <c r="AB357" s="156"/>
      <c r="AC357" s="156"/>
    </row>
    <row r="358" spans="1:29" ht="13">
      <c r="A358" s="140"/>
      <c r="B358" s="140"/>
      <c r="C358" s="156"/>
      <c r="D358" s="156"/>
      <c r="E358" s="156"/>
      <c r="F358" s="156"/>
      <c r="G358" s="185"/>
      <c r="H358" s="156"/>
      <c r="I358" s="156"/>
      <c r="J358" s="156"/>
      <c r="K358" s="156"/>
      <c r="L358" s="157"/>
      <c r="M358" s="156"/>
      <c r="N358" s="156"/>
      <c r="O358" s="156"/>
      <c r="P358" s="156"/>
      <c r="Q358" s="156"/>
      <c r="R358" s="156"/>
      <c r="S358" s="156"/>
      <c r="T358" s="156"/>
      <c r="U358" s="156"/>
      <c r="V358" s="156"/>
      <c r="W358" s="156"/>
      <c r="X358" s="156"/>
      <c r="Y358" s="156"/>
      <c r="Z358" s="156"/>
      <c r="AA358" s="156"/>
      <c r="AB358" s="156"/>
      <c r="AC358" s="156"/>
    </row>
    <row r="359" spans="1:29" ht="13">
      <c r="A359" s="140"/>
      <c r="B359" s="140"/>
      <c r="C359" s="156"/>
      <c r="D359" s="156"/>
      <c r="E359" s="156"/>
      <c r="F359" s="156"/>
      <c r="G359" s="185"/>
      <c r="H359" s="156"/>
      <c r="I359" s="156"/>
      <c r="J359" s="156"/>
      <c r="K359" s="156"/>
      <c r="L359" s="157"/>
      <c r="M359" s="156"/>
      <c r="N359" s="156"/>
      <c r="O359" s="156"/>
      <c r="P359" s="156"/>
      <c r="Q359" s="156"/>
      <c r="R359" s="156"/>
      <c r="S359" s="156"/>
      <c r="T359" s="156"/>
      <c r="U359" s="156"/>
      <c r="V359" s="156"/>
      <c r="W359" s="156"/>
      <c r="X359" s="156"/>
      <c r="Y359" s="156"/>
      <c r="Z359" s="156"/>
      <c r="AA359" s="156"/>
      <c r="AB359" s="156"/>
      <c r="AC359" s="156"/>
    </row>
    <row r="360" spans="1:29" ht="13">
      <c r="A360" s="140"/>
      <c r="B360" s="140"/>
      <c r="C360" s="156"/>
      <c r="D360" s="156"/>
      <c r="E360" s="156"/>
      <c r="F360" s="156"/>
      <c r="G360" s="185"/>
      <c r="H360" s="156"/>
      <c r="I360" s="156"/>
      <c r="J360" s="156"/>
      <c r="K360" s="156"/>
      <c r="L360" s="157"/>
      <c r="M360" s="156"/>
      <c r="N360" s="156"/>
      <c r="O360" s="156"/>
      <c r="P360" s="156"/>
      <c r="Q360" s="156"/>
      <c r="R360" s="156"/>
      <c r="S360" s="156"/>
      <c r="T360" s="156"/>
      <c r="U360" s="156"/>
      <c r="V360" s="156"/>
      <c r="W360" s="156"/>
      <c r="X360" s="156"/>
      <c r="Y360" s="156"/>
      <c r="Z360" s="156"/>
      <c r="AA360" s="156"/>
      <c r="AB360" s="156"/>
      <c r="AC360" s="156"/>
    </row>
    <row r="361" spans="1:29" ht="13">
      <c r="A361" s="140"/>
      <c r="B361" s="140"/>
      <c r="C361" s="156"/>
      <c r="D361" s="156"/>
      <c r="E361" s="156"/>
      <c r="F361" s="156"/>
      <c r="G361" s="185"/>
      <c r="H361" s="156"/>
      <c r="I361" s="156"/>
      <c r="J361" s="156"/>
      <c r="K361" s="156"/>
      <c r="L361" s="157"/>
      <c r="M361" s="156"/>
      <c r="N361" s="156"/>
      <c r="O361" s="156"/>
      <c r="P361" s="156"/>
      <c r="Q361" s="156"/>
      <c r="R361" s="156"/>
      <c r="S361" s="156"/>
      <c r="T361" s="156"/>
      <c r="U361" s="156"/>
      <c r="V361" s="156"/>
      <c r="W361" s="156"/>
      <c r="X361" s="156"/>
      <c r="Y361" s="156"/>
      <c r="Z361" s="156"/>
      <c r="AA361" s="156"/>
      <c r="AB361" s="156"/>
      <c r="AC361" s="156"/>
    </row>
    <row r="362" spans="1:29" ht="13">
      <c r="A362" s="140"/>
      <c r="B362" s="140"/>
      <c r="C362" s="156"/>
      <c r="D362" s="156"/>
      <c r="E362" s="156"/>
      <c r="F362" s="156"/>
      <c r="G362" s="185"/>
      <c r="H362" s="156"/>
      <c r="I362" s="156"/>
      <c r="J362" s="156"/>
      <c r="K362" s="156"/>
      <c r="L362" s="157"/>
      <c r="M362" s="156"/>
      <c r="N362" s="156"/>
      <c r="O362" s="156"/>
      <c r="P362" s="156"/>
      <c r="Q362" s="156"/>
      <c r="R362" s="156"/>
      <c r="S362" s="156"/>
      <c r="T362" s="156"/>
      <c r="U362" s="156"/>
      <c r="V362" s="156"/>
      <c r="W362" s="156"/>
      <c r="X362" s="156"/>
      <c r="Y362" s="156"/>
      <c r="Z362" s="156"/>
      <c r="AA362" s="156"/>
      <c r="AB362" s="156"/>
      <c r="AC362" s="156"/>
    </row>
    <row r="363" spans="1:29" ht="13">
      <c r="A363" s="140"/>
      <c r="B363" s="140"/>
      <c r="C363" s="156"/>
      <c r="D363" s="156"/>
      <c r="E363" s="156"/>
      <c r="F363" s="156"/>
      <c r="G363" s="185"/>
      <c r="H363" s="156"/>
      <c r="I363" s="156"/>
      <c r="J363" s="156"/>
      <c r="K363" s="156"/>
      <c r="L363" s="157"/>
      <c r="M363" s="156"/>
      <c r="N363" s="156"/>
      <c r="O363" s="156"/>
      <c r="P363" s="156"/>
      <c r="Q363" s="156"/>
      <c r="R363" s="156"/>
      <c r="S363" s="156"/>
      <c r="T363" s="156"/>
      <c r="U363" s="156"/>
      <c r="V363" s="156"/>
      <c r="W363" s="156"/>
      <c r="X363" s="156"/>
      <c r="Y363" s="156"/>
      <c r="Z363" s="156"/>
      <c r="AA363" s="156"/>
      <c r="AB363" s="156"/>
      <c r="AC363" s="156"/>
    </row>
    <row r="364" spans="1:29" ht="13">
      <c r="A364" s="140"/>
      <c r="B364" s="140"/>
      <c r="C364" s="156"/>
      <c r="D364" s="156"/>
      <c r="E364" s="156"/>
      <c r="F364" s="156"/>
      <c r="G364" s="185"/>
      <c r="H364" s="156"/>
      <c r="I364" s="156"/>
      <c r="J364" s="156"/>
      <c r="K364" s="156"/>
      <c r="L364" s="157"/>
      <c r="M364" s="156"/>
      <c r="N364" s="156"/>
      <c r="O364" s="156"/>
      <c r="P364" s="156"/>
      <c r="Q364" s="156"/>
      <c r="R364" s="156"/>
      <c r="S364" s="156"/>
      <c r="T364" s="156"/>
      <c r="U364" s="156"/>
      <c r="V364" s="156"/>
      <c r="W364" s="156"/>
      <c r="X364" s="156"/>
      <c r="Y364" s="156"/>
      <c r="Z364" s="156"/>
      <c r="AA364" s="156"/>
      <c r="AB364" s="156"/>
      <c r="AC364" s="156"/>
    </row>
    <row r="365" spans="1:29" ht="13">
      <c r="A365" s="140"/>
      <c r="B365" s="140"/>
      <c r="C365" s="156"/>
      <c r="D365" s="156"/>
      <c r="E365" s="156"/>
      <c r="F365" s="156"/>
      <c r="G365" s="185"/>
      <c r="H365" s="156"/>
      <c r="I365" s="156"/>
      <c r="J365" s="156"/>
      <c r="K365" s="156"/>
      <c r="L365" s="157"/>
      <c r="M365" s="156"/>
      <c r="N365" s="156"/>
      <c r="O365" s="156"/>
      <c r="P365" s="156"/>
      <c r="Q365" s="156"/>
      <c r="R365" s="156"/>
      <c r="S365" s="156"/>
      <c r="T365" s="156"/>
      <c r="U365" s="156"/>
      <c r="V365" s="156"/>
      <c r="W365" s="156"/>
      <c r="X365" s="156"/>
      <c r="Y365" s="156"/>
      <c r="Z365" s="156"/>
      <c r="AA365" s="156"/>
      <c r="AB365" s="156"/>
      <c r="AC365" s="156"/>
    </row>
    <row r="366" spans="1:29" ht="13">
      <c r="A366" s="140"/>
      <c r="B366" s="140"/>
      <c r="C366" s="156"/>
      <c r="D366" s="156"/>
      <c r="E366" s="156"/>
      <c r="F366" s="156"/>
      <c r="G366" s="185"/>
      <c r="H366" s="156"/>
      <c r="I366" s="156"/>
      <c r="J366" s="156"/>
      <c r="K366" s="156"/>
      <c r="L366" s="157"/>
      <c r="M366" s="156"/>
      <c r="N366" s="156"/>
      <c r="O366" s="156"/>
      <c r="P366" s="156"/>
      <c r="Q366" s="156"/>
      <c r="R366" s="156"/>
      <c r="S366" s="156"/>
      <c r="T366" s="156"/>
      <c r="U366" s="156"/>
      <c r="V366" s="156"/>
      <c r="W366" s="156"/>
      <c r="X366" s="156"/>
      <c r="Y366" s="156"/>
      <c r="Z366" s="156"/>
      <c r="AA366" s="156"/>
      <c r="AB366" s="156"/>
      <c r="AC366" s="156"/>
    </row>
    <row r="367" spans="1:29" ht="13">
      <c r="A367" s="140"/>
      <c r="B367" s="140"/>
      <c r="C367" s="156"/>
      <c r="D367" s="156"/>
      <c r="E367" s="156"/>
      <c r="F367" s="156"/>
      <c r="G367" s="185"/>
      <c r="H367" s="156"/>
      <c r="I367" s="156"/>
      <c r="J367" s="156"/>
      <c r="K367" s="156"/>
      <c r="L367" s="157"/>
      <c r="M367" s="156"/>
      <c r="N367" s="156"/>
      <c r="O367" s="156"/>
      <c r="P367" s="156"/>
      <c r="Q367" s="156"/>
      <c r="R367" s="156"/>
      <c r="S367" s="156"/>
      <c r="T367" s="156"/>
      <c r="U367" s="156"/>
      <c r="V367" s="156"/>
      <c r="W367" s="156"/>
      <c r="X367" s="156"/>
      <c r="Y367" s="156"/>
      <c r="Z367" s="156"/>
      <c r="AA367" s="156"/>
      <c r="AB367" s="156"/>
      <c r="AC367" s="156"/>
    </row>
    <row r="368" spans="1:29" ht="13">
      <c r="A368" s="140"/>
      <c r="B368" s="140"/>
      <c r="C368" s="156"/>
      <c r="D368" s="156"/>
      <c r="E368" s="156"/>
      <c r="F368" s="156"/>
      <c r="G368" s="185"/>
      <c r="H368" s="156"/>
      <c r="I368" s="156"/>
      <c r="J368" s="156"/>
      <c r="K368" s="156"/>
      <c r="L368" s="157"/>
      <c r="M368" s="156"/>
      <c r="N368" s="156"/>
      <c r="O368" s="156"/>
      <c r="P368" s="156"/>
      <c r="Q368" s="156"/>
      <c r="R368" s="156"/>
      <c r="S368" s="156"/>
      <c r="T368" s="156"/>
      <c r="U368" s="156"/>
      <c r="V368" s="156"/>
      <c r="W368" s="156"/>
      <c r="X368" s="156"/>
      <c r="Y368" s="156"/>
      <c r="Z368" s="156"/>
      <c r="AA368" s="156"/>
      <c r="AB368" s="156"/>
      <c r="AC368" s="156"/>
    </row>
    <row r="369" spans="1:29" ht="13">
      <c r="A369" s="140"/>
      <c r="B369" s="140"/>
      <c r="C369" s="156"/>
      <c r="D369" s="156"/>
      <c r="E369" s="156"/>
      <c r="F369" s="156"/>
      <c r="G369" s="185"/>
      <c r="H369" s="156"/>
      <c r="I369" s="156"/>
      <c r="J369" s="156"/>
      <c r="K369" s="156"/>
      <c r="L369" s="157"/>
      <c r="M369" s="156"/>
      <c r="N369" s="156"/>
      <c r="O369" s="156"/>
      <c r="P369" s="156"/>
      <c r="Q369" s="156"/>
      <c r="R369" s="156"/>
      <c r="S369" s="156"/>
      <c r="T369" s="156"/>
      <c r="U369" s="156"/>
      <c r="V369" s="156"/>
      <c r="W369" s="156"/>
      <c r="X369" s="156"/>
      <c r="Y369" s="156"/>
      <c r="Z369" s="156"/>
      <c r="AA369" s="156"/>
      <c r="AB369" s="156"/>
      <c r="AC369" s="156"/>
    </row>
    <row r="370" spans="1:29" ht="13">
      <c r="A370" s="140"/>
      <c r="B370" s="140"/>
      <c r="C370" s="156"/>
      <c r="D370" s="156"/>
      <c r="E370" s="156"/>
      <c r="F370" s="156"/>
      <c r="G370" s="185"/>
      <c r="H370" s="156"/>
      <c r="I370" s="156"/>
      <c r="J370" s="156"/>
      <c r="K370" s="156"/>
      <c r="L370" s="157"/>
      <c r="M370" s="156"/>
      <c r="N370" s="156"/>
      <c r="O370" s="156"/>
      <c r="P370" s="156"/>
      <c r="Q370" s="156"/>
      <c r="R370" s="156"/>
      <c r="S370" s="156"/>
      <c r="T370" s="156"/>
      <c r="U370" s="156"/>
      <c r="V370" s="156"/>
      <c r="W370" s="156"/>
      <c r="X370" s="156"/>
      <c r="Y370" s="156"/>
      <c r="Z370" s="156"/>
      <c r="AA370" s="156"/>
      <c r="AB370" s="156"/>
      <c r="AC370" s="156"/>
    </row>
    <row r="371" spans="1:29" ht="13">
      <c r="A371" s="140"/>
      <c r="B371" s="140"/>
      <c r="C371" s="156"/>
      <c r="D371" s="156"/>
      <c r="E371" s="156"/>
      <c r="F371" s="156"/>
      <c r="G371" s="185"/>
      <c r="H371" s="156"/>
      <c r="I371" s="156"/>
      <c r="J371" s="156"/>
      <c r="K371" s="156"/>
      <c r="L371" s="157"/>
      <c r="M371" s="156"/>
      <c r="N371" s="156"/>
      <c r="O371" s="156"/>
      <c r="P371" s="156"/>
      <c r="Q371" s="156"/>
      <c r="R371" s="156"/>
      <c r="S371" s="156"/>
      <c r="T371" s="156"/>
      <c r="U371" s="156"/>
      <c r="V371" s="156"/>
      <c r="W371" s="156"/>
      <c r="X371" s="156"/>
      <c r="Y371" s="156"/>
      <c r="Z371" s="156"/>
      <c r="AA371" s="156"/>
      <c r="AB371" s="156"/>
      <c r="AC371" s="156"/>
    </row>
    <row r="372" spans="1:29" ht="13">
      <c r="A372" s="140"/>
      <c r="B372" s="140"/>
      <c r="C372" s="156"/>
      <c r="D372" s="156"/>
      <c r="E372" s="156"/>
      <c r="F372" s="156"/>
      <c r="G372" s="185"/>
      <c r="H372" s="156"/>
      <c r="I372" s="156"/>
      <c r="J372" s="156"/>
      <c r="K372" s="156"/>
      <c r="L372" s="157"/>
      <c r="M372" s="156"/>
      <c r="N372" s="156"/>
      <c r="O372" s="156"/>
      <c r="P372" s="156"/>
      <c r="Q372" s="156"/>
      <c r="R372" s="156"/>
      <c r="S372" s="156"/>
      <c r="T372" s="156"/>
      <c r="U372" s="156"/>
      <c r="V372" s="156"/>
      <c r="W372" s="156"/>
      <c r="X372" s="156"/>
      <c r="Y372" s="156"/>
      <c r="Z372" s="156"/>
      <c r="AA372" s="156"/>
      <c r="AB372" s="156"/>
      <c r="AC372" s="156"/>
    </row>
    <row r="373" spans="1:29" ht="13">
      <c r="A373" s="140"/>
      <c r="B373" s="140"/>
      <c r="C373" s="156"/>
      <c r="D373" s="156"/>
      <c r="E373" s="156"/>
      <c r="F373" s="156"/>
      <c r="G373" s="185"/>
      <c r="H373" s="156"/>
      <c r="I373" s="156"/>
      <c r="J373" s="156"/>
      <c r="K373" s="156"/>
      <c r="L373" s="157"/>
      <c r="M373" s="156"/>
      <c r="N373" s="156"/>
      <c r="O373" s="156"/>
      <c r="P373" s="156"/>
      <c r="Q373" s="156"/>
      <c r="R373" s="156"/>
      <c r="S373" s="156"/>
      <c r="T373" s="156"/>
      <c r="U373" s="156"/>
      <c r="V373" s="156"/>
      <c r="W373" s="156"/>
      <c r="X373" s="156"/>
      <c r="Y373" s="156"/>
      <c r="Z373" s="156"/>
      <c r="AA373" s="156"/>
      <c r="AB373" s="156"/>
      <c r="AC373" s="156"/>
    </row>
    <row r="374" spans="1:29" ht="13">
      <c r="A374" s="140"/>
      <c r="B374" s="140"/>
      <c r="C374" s="156"/>
      <c r="D374" s="156"/>
      <c r="E374" s="156"/>
      <c r="F374" s="156"/>
      <c r="G374" s="185"/>
      <c r="H374" s="156"/>
      <c r="I374" s="156"/>
      <c r="J374" s="156"/>
      <c r="K374" s="156"/>
      <c r="L374" s="157"/>
      <c r="M374" s="156"/>
      <c r="N374" s="156"/>
      <c r="O374" s="156"/>
      <c r="P374" s="156"/>
      <c r="Q374" s="156"/>
      <c r="R374" s="156"/>
      <c r="S374" s="156"/>
      <c r="T374" s="156"/>
      <c r="U374" s="156"/>
      <c r="V374" s="156"/>
      <c r="W374" s="156"/>
      <c r="X374" s="156"/>
      <c r="Y374" s="156"/>
      <c r="Z374" s="156"/>
      <c r="AA374" s="156"/>
      <c r="AB374" s="156"/>
      <c r="AC374" s="156"/>
    </row>
    <row r="375" spans="1:29" ht="13">
      <c r="A375" s="140"/>
      <c r="B375" s="140"/>
      <c r="C375" s="156"/>
      <c r="D375" s="156"/>
      <c r="E375" s="156"/>
      <c r="F375" s="156"/>
      <c r="G375" s="185"/>
      <c r="H375" s="156"/>
      <c r="I375" s="156"/>
      <c r="J375" s="156"/>
      <c r="K375" s="156"/>
      <c r="L375" s="157"/>
      <c r="M375" s="156"/>
      <c r="N375" s="156"/>
      <c r="O375" s="156"/>
      <c r="P375" s="156"/>
      <c r="Q375" s="156"/>
      <c r="R375" s="156"/>
      <c r="S375" s="156"/>
      <c r="T375" s="156"/>
      <c r="U375" s="156"/>
      <c r="V375" s="156"/>
      <c r="W375" s="156"/>
      <c r="X375" s="156"/>
      <c r="Y375" s="156"/>
      <c r="Z375" s="156"/>
      <c r="AA375" s="156"/>
      <c r="AB375" s="156"/>
      <c r="AC375" s="156"/>
    </row>
    <row r="376" spans="1:29" ht="13">
      <c r="A376" s="140"/>
      <c r="B376" s="140"/>
      <c r="C376" s="156"/>
      <c r="D376" s="156"/>
      <c r="E376" s="156"/>
      <c r="F376" s="156"/>
      <c r="G376" s="185"/>
      <c r="H376" s="156"/>
      <c r="I376" s="156"/>
      <c r="J376" s="156"/>
      <c r="K376" s="156"/>
      <c r="L376" s="157"/>
      <c r="M376" s="156"/>
      <c r="N376" s="156"/>
      <c r="O376" s="156"/>
      <c r="P376" s="156"/>
      <c r="Q376" s="156"/>
      <c r="R376" s="156"/>
      <c r="S376" s="156"/>
      <c r="T376" s="156"/>
      <c r="U376" s="156"/>
      <c r="V376" s="156"/>
      <c r="W376" s="156"/>
      <c r="X376" s="156"/>
      <c r="Y376" s="156"/>
      <c r="Z376" s="156"/>
      <c r="AA376" s="156"/>
      <c r="AB376" s="156"/>
      <c r="AC376" s="156"/>
    </row>
    <row r="377" spans="1:29" ht="13">
      <c r="A377" s="140"/>
      <c r="B377" s="140"/>
      <c r="C377" s="156"/>
      <c r="D377" s="156"/>
      <c r="E377" s="156"/>
      <c r="F377" s="156"/>
      <c r="G377" s="185"/>
      <c r="H377" s="156"/>
      <c r="I377" s="156"/>
      <c r="J377" s="156"/>
      <c r="K377" s="156"/>
      <c r="L377" s="157"/>
      <c r="M377" s="156"/>
      <c r="N377" s="156"/>
      <c r="O377" s="156"/>
      <c r="P377" s="156"/>
      <c r="Q377" s="156"/>
      <c r="R377" s="156"/>
      <c r="S377" s="156"/>
      <c r="T377" s="156"/>
      <c r="U377" s="156"/>
      <c r="V377" s="156"/>
      <c r="W377" s="156"/>
      <c r="X377" s="156"/>
      <c r="Y377" s="156"/>
      <c r="Z377" s="156"/>
      <c r="AA377" s="156"/>
      <c r="AB377" s="156"/>
      <c r="AC377" s="156"/>
    </row>
    <row r="378" spans="1:29" ht="13">
      <c r="A378" s="140"/>
      <c r="B378" s="140"/>
      <c r="C378" s="156"/>
      <c r="D378" s="156"/>
      <c r="E378" s="156"/>
      <c r="F378" s="156"/>
      <c r="G378" s="185"/>
      <c r="H378" s="156"/>
      <c r="I378" s="156"/>
      <c r="J378" s="156"/>
      <c r="K378" s="156"/>
      <c r="L378" s="157"/>
      <c r="M378" s="156"/>
      <c r="N378" s="156"/>
      <c r="O378" s="156"/>
      <c r="P378" s="156"/>
      <c r="Q378" s="156"/>
      <c r="R378" s="156"/>
      <c r="S378" s="156"/>
      <c r="T378" s="156"/>
      <c r="U378" s="156"/>
      <c r="V378" s="156"/>
      <c r="W378" s="156"/>
      <c r="X378" s="156"/>
      <c r="Y378" s="156"/>
      <c r="Z378" s="156"/>
      <c r="AA378" s="156"/>
      <c r="AB378" s="156"/>
      <c r="AC378" s="156"/>
    </row>
    <row r="379" spans="1:29" ht="13">
      <c r="A379" s="140"/>
      <c r="B379" s="140"/>
      <c r="C379" s="156"/>
      <c r="D379" s="156"/>
      <c r="E379" s="156"/>
      <c r="F379" s="156"/>
      <c r="G379" s="185"/>
      <c r="H379" s="156"/>
      <c r="I379" s="156"/>
      <c r="J379" s="156"/>
      <c r="K379" s="156"/>
      <c r="L379" s="157"/>
      <c r="M379" s="156"/>
      <c r="N379" s="156"/>
      <c r="O379" s="156"/>
      <c r="P379" s="156"/>
      <c r="Q379" s="156"/>
      <c r="R379" s="156"/>
      <c r="S379" s="156"/>
      <c r="T379" s="156"/>
      <c r="U379" s="156"/>
      <c r="V379" s="156"/>
      <c r="W379" s="156"/>
      <c r="X379" s="156"/>
      <c r="Y379" s="156"/>
      <c r="Z379" s="156"/>
      <c r="AA379" s="156"/>
      <c r="AB379" s="156"/>
      <c r="AC379" s="156"/>
    </row>
    <row r="380" spans="1:29" ht="13">
      <c r="A380" s="140"/>
      <c r="B380" s="140"/>
      <c r="C380" s="156"/>
      <c r="D380" s="156"/>
      <c r="E380" s="156"/>
      <c r="F380" s="156"/>
      <c r="G380" s="185"/>
      <c r="H380" s="156"/>
      <c r="I380" s="156"/>
      <c r="J380" s="156"/>
      <c r="K380" s="156"/>
      <c r="L380" s="157"/>
      <c r="M380" s="156"/>
      <c r="N380" s="156"/>
      <c r="O380" s="156"/>
      <c r="P380" s="156"/>
      <c r="Q380" s="156"/>
      <c r="R380" s="156"/>
      <c r="S380" s="156"/>
      <c r="T380" s="156"/>
      <c r="U380" s="156"/>
      <c r="V380" s="156"/>
      <c r="W380" s="156"/>
      <c r="X380" s="156"/>
      <c r="Y380" s="156"/>
      <c r="Z380" s="156"/>
      <c r="AA380" s="156"/>
      <c r="AB380" s="156"/>
      <c r="AC380" s="156"/>
    </row>
    <row r="381" spans="1:29" ht="13">
      <c r="A381" s="140"/>
      <c r="B381" s="140"/>
      <c r="C381" s="156"/>
      <c r="D381" s="156"/>
      <c r="E381" s="156"/>
      <c r="F381" s="156"/>
      <c r="G381" s="185"/>
      <c r="H381" s="156"/>
      <c r="I381" s="156"/>
      <c r="J381" s="156"/>
      <c r="K381" s="156"/>
      <c r="L381" s="157"/>
      <c r="M381" s="156"/>
      <c r="N381" s="156"/>
      <c r="O381" s="156"/>
      <c r="P381" s="156"/>
      <c r="Q381" s="156"/>
      <c r="R381" s="156"/>
      <c r="S381" s="156"/>
      <c r="T381" s="156"/>
      <c r="U381" s="156"/>
      <c r="V381" s="156"/>
      <c r="W381" s="156"/>
      <c r="X381" s="156"/>
      <c r="Y381" s="156"/>
      <c r="Z381" s="156"/>
      <c r="AA381" s="156"/>
      <c r="AB381" s="156"/>
      <c r="AC381" s="156"/>
    </row>
    <row r="382" spans="1:29" ht="13">
      <c r="A382" s="140"/>
      <c r="B382" s="140"/>
      <c r="C382" s="156"/>
      <c r="D382" s="156"/>
      <c r="E382" s="156"/>
      <c r="F382" s="156"/>
      <c r="G382" s="185"/>
      <c r="H382" s="156"/>
      <c r="I382" s="156"/>
      <c r="J382" s="156"/>
      <c r="K382" s="156"/>
      <c r="L382" s="157"/>
      <c r="M382" s="156"/>
      <c r="N382" s="156"/>
      <c r="O382" s="156"/>
      <c r="P382" s="156"/>
      <c r="Q382" s="156"/>
      <c r="R382" s="156"/>
      <c r="S382" s="156"/>
      <c r="T382" s="156"/>
      <c r="U382" s="156"/>
      <c r="V382" s="156"/>
      <c r="W382" s="156"/>
      <c r="X382" s="156"/>
      <c r="Y382" s="156"/>
      <c r="Z382" s="156"/>
      <c r="AA382" s="156"/>
      <c r="AB382" s="156"/>
      <c r="AC382" s="156"/>
    </row>
    <row r="383" spans="1:29" ht="13">
      <c r="A383" s="140"/>
      <c r="B383" s="140"/>
      <c r="C383" s="156"/>
      <c r="D383" s="156"/>
      <c r="E383" s="156"/>
      <c r="F383" s="156"/>
      <c r="G383" s="185"/>
      <c r="H383" s="156"/>
      <c r="I383" s="156"/>
      <c r="J383" s="156"/>
      <c r="K383" s="156"/>
      <c r="L383" s="157"/>
      <c r="M383" s="156"/>
      <c r="N383" s="156"/>
      <c r="O383" s="156"/>
      <c r="P383" s="156"/>
      <c r="Q383" s="156"/>
      <c r="R383" s="156"/>
      <c r="S383" s="156"/>
      <c r="T383" s="156"/>
      <c r="U383" s="156"/>
      <c r="V383" s="156"/>
      <c r="W383" s="156"/>
      <c r="X383" s="156"/>
      <c r="Y383" s="156"/>
      <c r="Z383" s="156"/>
      <c r="AA383" s="156"/>
      <c r="AB383" s="156"/>
      <c r="AC383" s="156"/>
    </row>
    <row r="384" spans="1:29" ht="13">
      <c r="A384" s="140"/>
      <c r="B384" s="140"/>
      <c r="C384" s="156"/>
      <c r="D384" s="156"/>
      <c r="E384" s="156"/>
      <c r="F384" s="156"/>
      <c r="G384" s="185"/>
      <c r="H384" s="156"/>
      <c r="I384" s="156"/>
      <c r="J384" s="156"/>
      <c r="K384" s="156"/>
      <c r="L384" s="157"/>
      <c r="M384" s="156"/>
      <c r="N384" s="156"/>
      <c r="O384" s="156"/>
      <c r="P384" s="156"/>
      <c r="Q384" s="156"/>
      <c r="R384" s="156"/>
      <c r="S384" s="156"/>
      <c r="T384" s="156"/>
      <c r="U384" s="156"/>
      <c r="V384" s="156"/>
      <c r="W384" s="156"/>
      <c r="X384" s="156"/>
      <c r="Y384" s="156"/>
      <c r="Z384" s="156"/>
      <c r="AA384" s="156"/>
      <c r="AB384" s="156"/>
      <c r="AC384" s="156"/>
    </row>
    <row r="385" spans="1:29" ht="13">
      <c r="A385" s="140"/>
      <c r="B385" s="140"/>
      <c r="C385" s="156"/>
      <c r="D385" s="156"/>
      <c r="E385" s="156"/>
      <c r="F385" s="156"/>
      <c r="G385" s="185"/>
      <c r="H385" s="156"/>
      <c r="I385" s="156"/>
      <c r="J385" s="156"/>
      <c r="K385" s="156"/>
      <c r="L385" s="157"/>
      <c r="M385" s="156"/>
      <c r="N385" s="156"/>
      <c r="O385" s="156"/>
      <c r="P385" s="156"/>
      <c r="Q385" s="156"/>
      <c r="R385" s="156"/>
      <c r="S385" s="156"/>
      <c r="T385" s="156"/>
      <c r="U385" s="156"/>
      <c r="V385" s="156"/>
      <c r="W385" s="156"/>
      <c r="X385" s="156"/>
      <c r="Y385" s="156"/>
      <c r="Z385" s="156"/>
      <c r="AA385" s="156"/>
      <c r="AB385" s="156"/>
      <c r="AC385" s="156"/>
    </row>
    <row r="386" spans="1:29" ht="13">
      <c r="A386" s="140"/>
      <c r="B386" s="140"/>
      <c r="C386" s="156"/>
      <c r="D386" s="156"/>
      <c r="E386" s="156"/>
      <c r="F386" s="156"/>
      <c r="G386" s="185"/>
      <c r="H386" s="156"/>
      <c r="I386" s="156"/>
      <c r="J386" s="156"/>
      <c r="K386" s="156"/>
      <c r="L386" s="157"/>
      <c r="M386" s="156"/>
      <c r="N386" s="156"/>
      <c r="O386" s="156"/>
      <c r="P386" s="156"/>
      <c r="Q386" s="156"/>
      <c r="R386" s="156"/>
      <c r="S386" s="156"/>
      <c r="T386" s="156"/>
      <c r="U386" s="156"/>
      <c r="V386" s="156"/>
      <c r="W386" s="156"/>
      <c r="X386" s="156"/>
      <c r="Y386" s="156"/>
      <c r="Z386" s="156"/>
      <c r="AA386" s="156"/>
      <c r="AB386" s="156"/>
      <c r="AC386" s="156"/>
    </row>
    <row r="387" spans="1:29" ht="13">
      <c r="A387" s="140"/>
      <c r="B387" s="140"/>
      <c r="C387" s="156"/>
      <c r="D387" s="156"/>
      <c r="E387" s="156"/>
      <c r="F387" s="156"/>
      <c r="G387" s="185"/>
      <c r="H387" s="156"/>
      <c r="I387" s="156"/>
      <c r="J387" s="156"/>
      <c r="K387" s="156"/>
      <c r="L387" s="157"/>
      <c r="M387" s="156"/>
      <c r="N387" s="156"/>
      <c r="O387" s="156"/>
      <c r="P387" s="156"/>
      <c r="Q387" s="156"/>
      <c r="R387" s="156"/>
      <c r="S387" s="156"/>
      <c r="T387" s="156"/>
      <c r="U387" s="156"/>
      <c r="V387" s="156"/>
      <c r="W387" s="156"/>
      <c r="X387" s="156"/>
      <c r="Y387" s="156"/>
      <c r="Z387" s="156"/>
      <c r="AA387" s="156"/>
      <c r="AB387" s="156"/>
      <c r="AC387" s="156"/>
    </row>
    <row r="388" spans="1:29" ht="13">
      <c r="A388" s="140"/>
      <c r="B388" s="140"/>
      <c r="C388" s="156"/>
      <c r="D388" s="156"/>
      <c r="E388" s="156"/>
      <c r="F388" s="156"/>
      <c r="G388" s="185"/>
      <c r="H388" s="156"/>
      <c r="I388" s="156"/>
      <c r="J388" s="156"/>
      <c r="K388" s="156"/>
      <c r="L388" s="157"/>
      <c r="M388" s="156"/>
      <c r="N388" s="156"/>
      <c r="O388" s="156"/>
      <c r="P388" s="156"/>
      <c r="Q388" s="156"/>
      <c r="R388" s="156"/>
      <c r="S388" s="156"/>
      <c r="T388" s="156"/>
      <c r="U388" s="156"/>
      <c r="V388" s="156"/>
      <c r="W388" s="156"/>
      <c r="X388" s="156"/>
      <c r="Y388" s="156"/>
      <c r="Z388" s="156"/>
      <c r="AA388" s="156"/>
      <c r="AB388" s="156"/>
      <c r="AC388" s="156"/>
    </row>
    <row r="389" spans="1:29" ht="13">
      <c r="A389" s="140"/>
      <c r="B389" s="140"/>
      <c r="C389" s="156"/>
      <c r="D389" s="156"/>
      <c r="E389" s="156"/>
      <c r="F389" s="156"/>
      <c r="G389" s="185"/>
      <c r="H389" s="156"/>
      <c r="I389" s="156"/>
      <c r="J389" s="156"/>
      <c r="K389" s="156"/>
      <c r="L389" s="157"/>
      <c r="M389" s="156"/>
      <c r="N389" s="156"/>
      <c r="O389" s="156"/>
      <c r="P389" s="156"/>
      <c r="Q389" s="156"/>
      <c r="R389" s="156"/>
      <c r="S389" s="156"/>
      <c r="T389" s="156"/>
      <c r="U389" s="156"/>
      <c r="V389" s="156"/>
      <c r="W389" s="156"/>
      <c r="X389" s="156"/>
      <c r="Y389" s="156"/>
      <c r="Z389" s="156"/>
      <c r="AA389" s="156"/>
      <c r="AB389" s="156"/>
      <c r="AC389" s="156"/>
    </row>
    <row r="390" spans="1:29" ht="13">
      <c r="A390" s="140"/>
      <c r="B390" s="140"/>
      <c r="C390" s="156"/>
      <c r="D390" s="156"/>
      <c r="E390" s="156"/>
      <c r="F390" s="156"/>
      <c r="G390" s="185"/>
      <c r="H390" s="156"/>
      <c r="I390" s="156"/>
      <c r="J390" s="156"/>
      <c r="K390" s="156"/>
      <c r="L390" s="157"/>
      <c r="M390" s="156"/>
      <c r="N390" s="156"/>
      <c r="O390" s="156"/>
      <c r="P390" s="156"/>
      <c r="Q390" s="156"/>
      <c r="R390" s="156"/>
      <c r="S390" s="156"/>
      <c r="T390" s="156"/>
      <c r="U390" s="156"/>
      <c r="V390" s="156"/>
      <c r="W390" s="156"/>
      <c r="X390" s="156"/>
      <c r="Y390" s="156"/>
      <c r="Z390" s="156"/>
      <c r="AA390" s="156"/>
      <c r="AB390" s="156"/>
      <c r="AC390" s="156"/>
    </row>
    <row r="391" spans="1:29" ht="13">
      <c r="A391" s="140"/>
      <c r="B391" s="140"/>
      <c r="C391" s="156"/>
      <c r="D391" s="156"/>
      <c r="E391" s="156"/>
      <c r="F391" s="156"/>
      <c r="G391" s="185"/>
      <c r="H391" s="156"/>
      <c r="I391" s="156"/>
      <c r="J391" s="156"/>
      <c r="K391" s="156"/>
      <c r="L391" s="157"/>
      <c r="M391" s="156"/>
      <c r="N391" s="156"/>
      <c r="O391" s="156"/>
      <c r="P391" s="156"/>
      <c r="Q391" s="156"/>
      <c r="R391" s="156"/>
      <c r="S391" s="156"/>
      <c r="T391" s="156"/>
      <c r="U391" s="156"/>
      <c r="V391" s="156"/>
      <c r="W391" s="156"/>
      <c r="X391" s="156"/>
      <c r="Y391" s="156"/>
      <c r="Z391" s="156"/>
      <c r="AA391" s="156"/>
      <c r="AB391" s="156"/>
      <c r="AC391" s="156"/>
    </row>
    <row r="392" spans="1:29" ht="13">
      <c r="A392" s="140"/>
      <c r="B392" s="140"/>
      <c r="C392" s="156"/>
      <c r="D392" s="156"/>
      <c r="E392" s="156"/>
      <c r="F392" s="156"/>
      <c r="G392" s="185"/>
      <c r="H392" s="156"/>
      <c r="I392" s="156"/>
      <c r="J392" s="156"/>
      <c r="K392" s="156"/>
      <c r="L392" s="157"/>
      <c r="M392" s="156"/>
      <c r="N392" s="156"/>
      <c r="O392" s="156"/>
      <c r="P392" s="156"/>
      <c r="Q392" s="156"/>
      <c r="R392" s="156"/>
      <c r="S392" s="156"/>
      <c r="T392" s="156"/>
      <c r="U392" s="156"/>
      <c r="V392" s="156"/>
      <c r="W392" s="156"/>
      <c r="X392" s="156"/>
      <c r="Y392" s="156"/>
      <c r="Z392" s="156"/>
      <c r="AA392" s="156"/>
      <c r="AB392" s="156"/>
      <c r="AC392" s="156"/>
    </row>
    <row r="393" spans="1:29" ht="13">
      <c r="A393" s="140"/>
      <c r="B393" s="140"/>
      <c r="C393" s="156"/>
      <c r="D393" s="156"/>
      <c r="E393" s="156"/>
      <c r="F393" s="156"/>
      <c r="G393" s="185"/>
      <c r="H393" s="156"/>
      <c r="I393" s="156"/>
      <c r="J393" s="156"/>
      <c r="K393" s="156"/>
      <c r="L393" s="157"/>
      <c r="M393" s="156"/>
      <c r="N393" s="156"/>
      <c r="O393" s="156"/>
      <c r="P393" s="156"/>
      <c r="Q393" s="156"/>
      <c r="R393" s="156"/>
      <c r="S393" s="156"/>
      <c r="T393" s="156"/>
      <c r="U393" s="156"/>
      <c r="V393" s="156"/>
      <c r="W393" s="156"/>
      <c r="X393" s="156"/>
      <c r="Y393" s="156"/>
      <c r="Z393" s="156"/>
      <c r="AA393" s="156"/>
      <c r="AB393" s="156"/>
      <c r="AC393" s="156"/>
    </row>
    <row r="394" spans="1:29" ht="13">
      <c r="A394" s="140"/>
      <c r="B394" s="140"/>
      <c r="C394" s="156"/>
      <c r="D394" s="156"/>
      <c r="E394" s="156"/>
      <c r="F394" s="156"/>
      <c r="G394" s="185"/>
      <c r="H394" s="156"/>
      <c r="I394" s="156"/>
      <c r="J394" s="156"/>
      <c r="K394" s="156"/>
      <c r="L394" s="157"/>
      <c r="M394" s="156"/>
      <c r="N394" s="156"/>
      <c r="O394" s="156"/>
      <c r="P394" s="156"/>
      <c r="Q394" s="156"/>
      <c r="R394" s="156"/>
      <c r="S394" s="156"/>
      <c r="T394" s="156"/>
      <c r="U394" s="156"/>
      <c r="V394" s="156"/>
      <c r="W394" s="156"/>
      <c r="X394" s="156"/>
      <c r="Y394" s="156"/>
      <c r="Z394" s="156"/>
      <c r="AA394" s="156"/>
      <c r="AB394" s="156"/>
      <c r="AC394" s="156"/>
    </row>
    <row r="395" spans="1:29" ht="13">
      <c r="A395" s="140"/>
      <c r="B395" s="140"/>
      <c r="C395" s="156"/>
      <c r="D395" s="156"/>
      <c r="E395" s="156"/>
      <c r="F395" s="156"/>
      <c r="G395" s="185"/>
      <c r="H395" s="156"/>
      <c r="I395" s="156"/>
      <c r="J395" s="156"/>
      <c r="K395" s="156"/>
      <c r="L395" s="157"/>
      <c r="M395" s="156"/>
      <c r="N395" s="156"/>
      <c r="O395" s="156"/>
      <c r="P395" s="156"/>
      <c r="Q395" s="156"/>
      <c r="R395" s="156"/>
      <c r="S395" s="156"/>
      <c r="T395" s="156"/>
      <c r="U395" s="156"/>
      <c r="V395" s="156"/>
      <c r="W395" s="156"/>
      <c r="X395" s="156"/>
      <c r="Y395" s="156"/>
      <c r="Z395" s="156"/>
      <c r="AA395" s="156"/>
      <c r="AB395" s="156"/>
      <c r="AC395" s="156"/>
    </row>
    <row r="396" spans="1:29" ht="13">
      <c r="A396" s="140"/>
      <c r="B396" s="140"/>
      <c r="C396" s="156"/>
      <c r="D396" s="156"/>
      <c r="E396" s="156"/>
      <c r="F396" s="156"/>
      <c r="G396" s="185"/>
      <c r="H396" s="156"/>
      <c r="I396" s="156"/>
      <c r="J396" s="156"/>
      <c r="K396" s="156"/>
      <c r="L396" s="157"/>
      <c r="M396" s="156"/>
      <c r="N396" s="156"/>
      <c r="O396" s="156"/>
      <c r="P396" s="156"/>
      <c r="Q396" s="156"/>
      <c r="R396" s="156"/>
      <c r="S396" s="156"/>
      <c r="T396" s="156"/>
      <c r="U396" s="156"/>
      <c r="V396" s="156"/>
      <c r="W396" s="156"/>
      <c r="X396" s="156"/>
      <c r="Y396" s="156"/>
      <c r="Z396" s="156"/>
      <c r="AA396" s="156"/>
      <c r="AB396" s="156"/>
      <c r="AC396" s="156"/>
    </row>
    <row r="397" spans="1:29" ht="13">
      <c r="A397" s="140"/>
      <c r="B397" s="140"/>
      <c r="C397" s="156"/>
      <c r="D397" s="156"/>
      <c r="E397" s="156"/>
      <c r="F397" s="156"/>
      <c r="G397" s="185"/>
      <c r="H397" s="156"/>
      <c r="I397" s="156"/>
      <c r="J397" s="156"/>
      <c r="K397" s="156"/>
      <c r="L397" s="157"/>
      <c r="M397" s="156"/>
      <c r="N397" s="156"/>
      <c r="O397" s="156"/>
      <c r="P397" s="156"/>
      <c r="Q397" s="156"/>
      <c r="R397" s="156"/>
      <c r="S397" s="156"/>
      <c r="T397" s="156"/>
      <c r="U397" s="156"/>
      <c r="V397" s="156"/>
      <c r="W397" s="156"/>
      <c r="X397" s="156"/>
      <c r="Y397" s="156"/>
      <c r="Z397" s="156"/>
      <c r="AA397" s="156"/>
      <c r="AB397" s="156"/>
      <c r="AC397" s="156"/>
    </row>
    <row r="398" spans="1:29" ht="13">
      <c r="A398" s="140"/>
      <c r="B398" s="140"/>
      <c r="C398" s="156"/>
      <c r="D398" s="156"/>
      <c r="E398" s="156"/>
      <c r="F398" s="156"/>
      <c r="G398" s="185"/>
      <c r="H398" s="156"/>
      <c r="I398" s="156"/>
      <c r="J398" s="156"/>
      <c r="K398" s="156"/>
      <c r="L398" s="157"/>
      <c r="M398" s="156"/>
      <c r="N398" s="156"/>
      <c r="O398" s="156"/>
      <c r="P398" s="156"/>
      <c r="Q398" s="156"/>
      <c r="R398" s="156"/>
      <c r="S398" s="156"/>
      <c r="T398" s="156"/>
      <c r="U398" s="156"/>
      <c r="V398" s="156"/>
      <c r="W398" s="156"/>
      <c r="X398" s="156"/>
      <c r="Y398" s="156"/>
      <c r="Z398" s="156"/>
      <c r="AA398" s="156"/>
      <c r="AB398" s="156"/>
      <c r="AC398" s="156"/>
    </row>
    <row r="399" spans="1:29" ht="13">
      <c r="A399" s="140"/>
      <c r="B399" s="140"/>
      <c r="C399" s="156"/>
      <c r="D399" s="156"/>
      <c r="E399" s="156"/>
      <c r="F399" s="156"/>
      <c r="G399" s="185"/>
      <c r="H399" s="156"/>
      <c r="I399" s="156"/>
      <c r="J399" s="156"/>
      <c r="K399" s="156"/>
      <c r="L399" s="157"/>
      <c r="M399" s="156"/>
      <c r="N399" s="156"/>
      <c r="O399" s="156"/>
      <c r="P399" s="156"/>
      <c r="Q399" s="156"/>
      <c r="R399" s="156"/>
      <c r="S399" s="156"/>
      <c r="T399" s="156"/>
      <c r="U399" s="156"/>
      <c r="V399" s="156"/>
      <c r="W399" s="156"/>
      <c r="X399" s="156"/>
      <c r="Y399" s="156"/>
      <c r="Z399" s="156"/>
      <c r="AA399" s="156"/>
      <c r="AB399" s="156"/>
      <c r="AC399" s="156"/>
    </row>
    <row r="400" spans="1:29" ht="13">
      <c r="A400" s="140"/>
      <c r="B400" s="140"/>
      <c r="C400" s="156"/>
      <c r="D400" s="156"/>
      <c r="E400" s="156"/>
      <c r="F400" s="156"/>
      <c r="G400" s="185"/>
      <c r="H400" s="156"/>
      <c r="I400" s="156"/>
      <c r="J400" s="156"/>
      <c r="K400" s="156"/>
      <c r="L400" s="157"/>
      <c r="M400" s="156"/>
      <c r="N400" s="156"/>
      <c r="O400" s="156"/>
      <c r="P400" s="156"/>
      <c r="Q400" s="156"/>
      <c r="R400" s="156"/>
      <c r="S400" s="156"/>
      <c r="T400" s="156"/>
      <c r="U400" s="156"/>
      <c r="V400" s="156"/>
      <c r="W400" s="156"/>
      <c r="X400" s="156"/>
      <c r="Y400" s="156"/>
      <c r="Z400" s="156"/>
      <c r="AA400" s="156"/>
      <c r="AB400" s="156"/>
      <c r="AC400" s="156"/>
    </row>
    <row r="401" spans="1:29" ht="13">
      <c r="A401" s="140"/>
      <c r="B401" s="140"/>
      <c r="C401" s="156"/>
      <c r="D401" s="156"/>
      <c r="E401" s="156"/>
      <c r="F401" s="156"/>
      <c r="G401" s="185"/>
      <c r="H401" s="156"/>
      <c r="I401" s="156"/>
      <c r="J401" s="156"/>
      <c r="K401" s="156"/>
      <c r="L401" s="157"/>
      <c r="M401" s="156"/>
      <c r="N401" s="156"/>
      <c r="O401" s="156"/>
      <c r="P401" s="156"/>
      <c r="Q401" s="156"/>
      <c r="R401" s="156"/>
      <c r="S401" s="156"/>
      <c r="T401" s="156"/>
      <c r="U401" s="156"/>
      <c r="V401" s="156"/>
      <c r="W401" s="156"/>
      <c r="X401" s="156"/>
      <c r="Y401" s="156"/>
      <c r="Z401" s="156"/>
      <c r="AA401" s="156"/>
      <c r="AB401" s="156"/>
      <c r="AC401" s="156"/>
    </row>
    <row r="402" spans="1:29" ht="13">
      <c r="A402" s="140"/>
      <c r="B402" s="140"/>
      <c r="C402" s="156"/>
      <c r="D402" s="156"/>
      <c r="E402" s="156"/>
      <c r="F402" s="156"/>
      <c r="G402" s="185"/>
      <c r="H402" s="156"/>
      <c r="I402" s="156"/>
      <c r="J402" s="156"/>
      <c r="K402" s="156"/>
      <c r="L402" s="157"/>
      <c r="M402" s="156"/>
      <c r="N402" s="156"/>
      <c r="O402" s="156"/>
      <c r="P402" s="156"/>
      <c r="Q402" s="156"/>
      <c r="R402" s="156"/>
      <c r="S402" s="156"/>
      <c r="T402" s="156"/>
      <c r="U402" s="156"/>
      <c r="V402" s="156"/>
      <c r="W402" s="156"/>
      <c r="X402" s="156"/>
      <c r="Y402" s="156"/>
      <c r="Z402" s="156"/>
      <c r="AA402" s="156"/>
      <c r="AB402" s="156"/>
      <c r="AC402" s="156"/>
    </row>
    <row r="403" spans="1:29" ht="13">
      <c r="A403" s="140"/>
      <c r="B403" s="140"/>
      <c r="C403" s="156"/>
      <c r="D403" s="156"/>
      <c r="E403" s="156"/>
      <c r="F403" s="156"/>
      <c r="G403" s="185"/>
      <c r="H403" s="156"/>
      <c r="I403" s="156"/>
      <c r="J403" s="156"/>
      <c r="K403" s="156"/>
      <c r="L403" s="157"/>
      <c r="M403" s="156"/>
      <c r="N403" s="156"/>
      <c r="O403" s="156"/>
      <c r="P403" s="156"/>
      <c r="Q403" s="156"/>
      <c r="R403" s="156"/>
      <c r="S403" s="156"/>
      <c r="T403" s="156"/>
      <c r="U403" s="156"/>
      <c r="V403" s="156"/>
      <c r="W403" s="156"/>
      <c r="X403" s="156"/>
      <c r="Y403" s="156"/>
      <c r="Z403" s="156"/>
      <c r="AA403" s="156"/>
      <c r="AB403" s="156"/>
      <c r="AC403" s="156"/>
    </row>
    <row r="404" spans="1:29" ht="13">
      <c r="A404" s="140"/>
      <c r="B404" s="140"/>
      <c r="C404" s="156"/>
      <c r="D404" s="156"/>
      <c r="E404" s="156"/>
      <c r="F404" s="156"/>
      <c r="G404" s="185"/>
      <c r="H404" s="156"/>
      <c r="I404" s="156"/>
      <c r="J404" s="156"/>
      <c r="K404" s="156"/>
      <c r="L404" s="157"/>
      <c r="M404" s="156"/>
      <c r="N404" s="156"/>
      <c r="O404" s="156"/>
      <c r="P404" s="156"/>
      <c r="Q404" s="156"/>
      <c r="R404" s="156"/>
      <c r="S404" s="156"/>
      <c r="T404" s="156"/>
      <c r="U404" s="156"/>
      <c r="V404" s="156"/>
      <c r="W404" s="156"/>
      <c r="X404" s="156"/>
      <c r="Y404" s="156"/>
      <c r="Z404" s="156"/>
      <c r="AA404" s="156"/>
      <c r="AB404" s="156"/>
      <c r="AC404" s="156"/>
    </row>
    <row r="405" spans="1:29" ht="13">
      <c r="A405" s="140"/>
      <c r="B405" s="140"/>
      <c r="C405" s="156"/>
      <c r="D405" s="156"/>
      <c r="E405" s="156"/>
      <c r="F405" s="156"/>
      <c r="G405" s="185"/>
      <c r="H405" s="156"/>
      <c r="I405" s="156"/>
      <c r="J405" s="156"/>
      <c r="K405" s="156"/>
      <c r="L405" s="157"/>
      <c r="M405" s="156"/>
      <c r="N405" s="156"/>
      <c r="O405" s="156"/>
      <c r="P405" s="156"/>
      <c r="Q405" s="156"/>
      <c r="R405" s="156"/>
      <c r="S405" s="156"/>
      <c r="T405" s="156"/>
      <c r="U405" s="156"/>
      <c r="V405" s="156"/>
      <c r="W405" s="156"/>
      <c r="X405" s="156"/>
      <c r="Y405" s="156"/>
      <c r="Z405" s="156"/>
      <c r="AA405" s="156"/>
      <c r="AB405" s="156"/>
      <c r="AC405" s="156"/>
    </row>
    <row r="406" spans="1:29" ht="13">
      <c r="A406" s="140"/>
      <c r="B406" s="140"/>
      <c r="C406" s="156"/>
      <c r="D406" s="156"/>
      <c r="E406" s="156"/>
      <c r="F406" s="156"/>
      <c r="G406" s="185"/>
      <c r="H406" s="156"/>
      <c r="I406" s="156"/>
      <c r="J406" s="156"/>
      <c r="K406" s="156"/>
      <c r="L406" s="157"/>
      <c r="M406" s="156"/>
      <c r="N406" s="156"/>
      <c r="O406" s="156"/>
      <c r="P406" s="156"/>
      <c r="Q406" s="156"/>
      <c r="R406" s="156"/>
      <c r="S406" s="156"/>
      <c r="T406" s="156"/>
      <c r="U406" s="156"/>
      <c r="V406" s="156"/>
      <c r="W406" s="156"/>
      <c r="X406" s="156"/>
      <c r="Y406" s="156"/>
      <c r="Z406" s="156"/>
      <c r="AA406" s="156"/>
      <c r="AB406" s="156"/>
      <c r="AC406" s="156"/>
    </row>
    <row r="407" spans="1:29" ht="13">
      <c r="A407" s="140"/>
      <c r="B407" s="140"/>
      <c r="C407" s="156"/>
      <c r="D407" s="156"/>
      <c r="E407" s="156"/>
      <c r="F407" s="156"/>
      <c r="G407" s="185"/>
      <c r="H407" s="156"/>
      <c r="I407" s="156"/>
      <c r="J407" s="156"/>
      <c r="K407" s="156"/>
      <c r="L407" s="157"/>
      <c r="M407" s="156"/>
      <c r="N407" s="156"/>
      <c r="O407" s="156"/>
      <c r="P407" s="156"/>
      <c r="Q407" s="156"/>
      <c r="R407" s="156"/>
      <c r="S407" s="156"/>
      <c r="T407" s="156"/>
      <c r="U407" s="156"/>
      <c r="V407" s="156"/>
      <c r="W407" s="156"/>
      <c r="X407" s="156"/>
      <c r="Y407" s="156"/>
      <c r="Z407" s="156"/>
      <c r="AA407" s="156"/>
      <c r="AB407" s="156"/>
      <c r="AC407" s="156"/>
    </row>
    <row r="408" spans="1:29" ht="13">
      <c r="A408" s="140"/>
      <c r="B408" s="140"/>
      <c r="C408" s="156"/>
      <c r="D408" s="156"/>
      <c r="E408" s="156"/>
      <c r="F408" s="156"/>
      <c r="G408" s="185"/>
      <c r="H408" s="156"/>
      <c r="I408" s="156"/>
      <c r="J408" s="156"/>
      <c r="K408" s="156"/>
      <c r="L408" s="157"/>
      <c r="M408" s="156"/>
      <c r="N408" s="156"/>
      <c r="O408" s="156"/>
      <c r="P408" s="156"/>
      <c r="Q408" s="156"/>
      <c r="R408" s="156"/>
      <c r="S408" s="156"/>
      <c r="T408" s="156"/>
      <c r="U408" s="156"/>
      <c r="V408" s="156"/>
      <c r="W408" s="156"/>
      <c r="X408" s="156"/>
      <c r="Y408" s="156"/>
      <c r="Z408" s="156"/>
      <c r="AA408" s="156"/>
      <c r="AB408" s="156"/>
      <c r="AC408" s="156"/>
    </row>
    <row r="409" spans="1:29" ht="13">
      <c r="A409" s="140"/>
      <c r="B409" s="140"/>
      <c r="C409" s="156"/>
      <c r="D409" s="156"/>
      <c r="E409" s="156"/>
      <c r="F409" s="156"/>
      <c r="G409" s="185"/>
      <c r="H409" s="156"/>
      <c r="I409" s="156"/>
      <c r="J409" s="156"/>
      <c r="K409" s="156"/>
      <c r="L409" s="157"/>
      <c r="M409" s="156"/>
      <c r="N409" s="156"/>
      <c r="O409" s="156"/>
      <c r="P409" s="156"/>
      <c r="Q409" s="156"/>
      <c r="R409" s="156"/>
      <c r="S409" s="156"/>
      <c r="T409" s="156"/>
      <c r="U409" s="156"/>
      <c r="V409" s="156"/>
      <c r="W409" s="156"/>
      <c r="X409" s="156"/>
      <c r="Y409" s="156"/>
      <c r="Z409" s="156"/>
      <c r="AA409" s="156"/>
      <c r="AB409" s="156"/>
      <c r="AC409" s="156"/>
    </row>
    <row r="410" spans="1:29" ht="13">
      <c r="A410" s="140"/>
      <c r="B410" s="140"/>
      <c r="C410" s="156"/>
      <c r="D410" s="156"/>
      <c r="E410" s="156"/>
      <c r="F410" s="156"/>
      <c r="G410" s="185"/>
      <c r="H410" s="156"/>
      <c r="I410" s="156"/>
      <c r="J410" s="156"/>
      <c r="K410" s="156"/>
      <c r="L410" s="157"/>
      <c r="M410" s="156"/>
      <c r="N410" s="156"/>
      <c r="O410" s="156"/>
      <c r="P410" s="156"/>
      <c r="Q410" s="156"/>
      <c r="R410" s="156"/>
      <c r="S410" s="156"/>
      <c r="T410" s="156"/>
      <c r="U410" s="156"/>
      <c r="V410" s="156"/>
      <c r="W410" s="156"/>
      <c r="X410" s="156"/>
      <c r="Y410" s="156"/>
      <c r="Z410" s="156"/>
      <c r="AA410" s="156"/>
      <c r="AB410" s="156"/>
      <c r="AC410" s="156"/>
    </row>
    <row r="411" spans="1:29" ht="13">
      <c r="A411" s="140"/>
      <c r="B411" s="140"/>
      <c r="C411" s="156"/>
      <c r="D411" s="156"/>
      <c r="E411" s="156"/>
      <c r="F411" s="156"/>
      <c r="G411" s="185"/>
      <c r="H411" s="156"/>
      <c r="I411" s="156"/>
      <c r="J411" s="156"/>
      <c r="K411" s="156"/>
      <c r="L411" s="157"/>
      <c r="M411" s="156"/>
      <c r="N411" s="156"/>
      <c r="O411" s="156"/>
      <c r="P411" s="156"/>
      <c r="Q411" s="156"/>
      <c r="R411" s="156"/>
      <c r="S411" s="156"/>
      <c r="T411" s="156"/>
      <c r="U411" s="156"/>
      <c r="V411" s="156"/>
      <c r="W411" s="156"/>
      <c r="X411" s="156"/>
      <c r="Y411" s="156"/>
      <c r="Z411" s="156"/>
      <c r="AA411" s="156"/>
      <c r="AB411" s="156"/>
      <c r="AC411" s="156"/>
    </row>
    <row r="412" spans="1:29" ht="13">
      <c r="A412" s="140"/>
      <c r="B412" s="140"/>
      <c r="C412" s="156"/>
      <c r="D412" s="156"/>
      <c r="E412" s="156"/>
      <c r="F412" s="156"/>
      <c r="G412" s="185"/>
      <c r="H412" s="156"/>
      <c r="I412" s="156"/>
      <c r="J412" s="156"/>
      <c r="K412" s="156"/>
      <c r="L412" s="157"/>
      <c r="M412" s="156"/>
      <c r="N412" s="156"/>
      <c r="O412" s="156"/>
      <c r="P412" s="156"/>
      <c r="Q412" s="156"/>
      <c r="R412" s="156"/>
      <c r="S412" s="156"/>
      <c r="T412" s="156"/>
      <c r="U412" s="156"/>
      <c r="V412" s="156"/>
      <c r="W412" s="156"/>
      <c r="X412" s="156"/>
      <c r="Y412" s="156"/>
      <c r="Z412" s="156"/>
      <c r="AA412" s="156"/>
      <c r="AB412" s="156"/>
      <c r="AC412" s="156"/>
    </row>
    <row r="413" spans="1:29" ht="13">
      <c r="A413" s="140"/>
      <c r="B413" s="140"/>
      <c r="C413" s="156"/>
      <c r="D413" s="156"/>
      <c r="E413" s="156"/>
      <c r="F413" s="156"/>
      <c r="G413" s="185"/>
      <c r="H413" s="156"/>
      <c r="I413" s="156"/>
      <c r="J413" s="156"/>
      <c r="K413" s="156"/>
      <c r="L413" s="157"/>
      <c r="M413" s="156"/>
      <c r="N413" s="156"/>
      <c r="O413" s="156"/>
      <c r="P413" s="156"/>
      <c r="Q413" s="156"/>
      <c r="R413" s="156"/>
      <c r="S413" s="156"/>
      <c r="T413" s="156"/>
      <c r="U413" s="156"/>
      <c r="V413" s="156"/>
      <c r="W413" s="156"/>
      <c r="X413" s="156"/>
      <c r="Y413" s="156"/>
      <c r="Z413" s="156"/>
      <c r="AA413" s="156"/>
      <c r="AB413" s="156"/>
      <c r="AC413" s="156"/>
    </row>
    <row r="414" spans="1:29" ht="13">
      <c r="A414" s="140"/>
      <c r="B414" s="140"/>
      <c r="C414" s="156"/>
      <c r="D414" s="156"/>
      <c r="E414" s="156"/>
      <c r="F414" s="156"/>
      <c r="G414" s="185"/>
      <c r="H414" s="156"/>
      <c r="I414" s="156"/>
      <c r="J414" s="156"/>
      <c r="K414" s="156"/>
      <c r="L414" s="157"/>
      <c r="M414" s="156"/>
      <c r="N414" s="156"/>
      <c r="O414" s="156"/>
      <c r="P414" s="156"/>
      <c r="Q414" s="156"/>
      <c r="R414" s="156"/>
      <c r="S414" s="156"/>
      <c r="T414" s="156"/>
      <c r="U414" s="156"/>
      <c r="V414" s="156"/>
      <c r="W414" s="156"/>
      <c r="X414" s="156"/>
      <c r="Y414" s="156"/>
      <c r="Z414" s="156"/>
      <c r="AA414" s="156"/>
      <c r="AB414" s="156"/>
      <c r="AC414" s="156"/>
    </row>
    <row r="415" spans="1:29" ht="13">
      <c r="A415" s="140"/>
      <c r="B415" s="140"/>
      <c r="C415" s="156"/>
      <c r="D415" s="156"/>
      <c r="E415" s="156"/>
      <c r="F415" s="156"/>
      <c r="G415" s="185"/>
      <c r="H415" s="156"/>
      <c r="I415" s="156"/>
      <c r="J415" s="156"/>
      <c r="K415" s="156"/>
      <c r="L415" s="157"/>
      <c r="M415" s="156"/>
      <c r="N415" s="156"/>
      <c r="O415" s="156"/>
      <c r="P415" s="156"/>
      <c r="Q415" s="156"/>
      <c r="R415" s="156"/>
      <c r="S415" s="156"/>
      <c r="T415" s="156"/>
      <c r="U415" s="156"/>
      <c r="V415" s="156"/>
      <c r="W415" s="156"/>
      <c r="X415" s="156"/>
      <c r="Y415" s="156"/>
      <c r="Z415" s="156"/>
      <c r="AA415" s="156"/>
      <c r="AB415" s="156"/>
      <c r="AC415" s="156"/>
    </row>
    <row r="416" spans="1:29" ht="13">
      <c r="A416" s="140"/>
      <c r="B416" s="140"/>
      <c r="C416" s="156"/>
      <c r="D416" s="156"/>
      <c r="E416" s="156"/>
      <c r="F416" s="156"/>
      <c r="G416" s="185"/>
      <c r="H416" s="156"/>
      <c r="I416" s="156"/>
      <c r="J416" s="156"/>
      <c r="K416" s="156"/>
      <c r="L416" s="157"/>
      <c r="M416" s="156"/>
      <c r="N416" s="156"/>
      <c r="O416" s="156"/>
      <c r="P416" s="156"/>
      <c r="Q416" s="156"/>
      <c r="R416" s="156"/>
      <c r="S416" s="156"/>
      <c r="T416" s="156"/>
      <c r="U416" s="156"/>
      <c r="V416" s="156"/>
      <c r="W416" s="156"/>
      <c r="X416" s="156"/>
      <c r="Y416" s="156"/>
      <c r="Z416" s="156"/>
      <c r="AA416" s="156"/>
      <c r="AB416" s="156"/>
      <c r="AC416" s="156"/>
    </row>
    <row r="417" spans="1:29" ht="13">
      <c r="A417" s="140"/>
      <c r="B417" s="140"/>
      <c r="C417" s="156"/>
      <c r="D417" s="156"/>
      <c r="E417" s="156"/>
      <c r="F417" s="156"/>
      <c r="G417" s="185"/>
      <c r="H417" s="156"/>
      <c r="I417" s="156"/>
      <c r="J417" s="156"/>
      <c r="K417" s="156"/>
      <c r="L417" s="157"/>
      <c r="M417" s="156"/>
      <c r="N417" s="156"/>
      <c r="O417" s="156"/>
      <c r="P417" s="156"/>
      <c r="Q417" s="156"/>
      <c r="R417" s="156"/>
      <c r="S417" s="156"/>
      <c r="T417" s="156"/>
      <c r="U417" s="156"/>
      <c r="V417" s="156"/>
      <c r="W417" s="156"/>
      <c r="X417" s="156"/>
      <c r="Y417" s="156"/>
      <c r="Z417" s="156"/>
      <c r="AA417" s="156"/>
      <c r="AB417" s="156"/>
      <c r="AC417" s="156"/>
    </row>
    <row r="418" spans="1:29" ht="13">
      <c r="A418" s="140"/>
      <c r="B418" s="140"/>
      <c r="C418" s="156"/>
      <c r="D418" s="156"/>
      <c r="E418" s="156"/>
      <c r="F418" s="156"/>
      <c r="G418" s="185"/>
      <c r="H418" s="156"/>
      <c r="I418" s="156"/>
      <c r="J418" s="156"/>
      <c r="K418" s="156"/>
      <c r="L418" s="157"/>
      <c r="M418" s="156"/>
      <c r="N418" s="156"/>
      <c r="O418" s="156"/>
      <c r="P418" s="156"/>
      <c r="Q418" s="156"/>
      <c r="R418" s="156"/>
      <c r="S418" s="156"/>
      <c r="T418" s="156"/>
      <c r="U418" s="156"/>
      <c r="V418" s="156"/>
      <c r="W418" s="156"/>
      <c r="X418" s="156"/>
      <c r="Y418" s="156"/>
      <c r="Z418" s="156"/>
      <c r="AA418" s="156"/>
      <c r="AB418" s="156"/>
      <c r="AC418" s="156"/>
    </row>
    <row r="419" spans="1:29" ht="13">
      <c r="A419" s="140"/>
      <c r="B419" s="140"/>
      <c r="C419" s="156"/>
      <c r="D419" s="156"/>
      <c r="E419" s="156"/>
      <c r="F419" s="156"/>
      <c r="G419" s="185"/>
      <c r="H419" s="156"/>
      <c r="I419" s="156"/>
      <c r="J419" s="156"/>
      <c r="K419" s="156"/>
      <c r="L419" s="157"/>
      <c r="M419" s="156"/>
      <c r="N419" s="156"/>
      <c r="O419" s="156"/>
      <c r="P419" s="156"/>
      <c r="Q419" s="156"/>
      <c r="R419" s="156"/>
      <c r="S419" s="156"/>
      <c r="T419" s="156"/>
      <c r="U419" s="156"/>
      <c r="V419" s="156"/>
      <c r="W419" s="156"/>
      <c r="X419" s="156"/>
      <c r="Y419" s="156"/>
      <c r="Z419" s="156"/>
      <c r="AA419" s="156"/>
      <c r="AB419" s="156"/>
      <c r="AC419" s="156"/>
    </row>
    <row r="420" spans="1:29" ht="13">
      <c r="A420" s="140"/>
      <c r="B420" s="140"/>
      <c r="C420" s="156"/>
      <c r="D420" s="156"/>
      <c r="E420" s="156"/>
      <c r="F420" s="156"/>
      <c r="G420" s="185"/>
      <c r="H420" s="156"/>
      <c r="I420" s="156"/>
      <c r="J420" s="156"/>
      <c r="K420" s="156"/>
      <c r="L420" s="157"/>
      <c r="M420" s="156"/>
      <c r="N420" s="156"/>
      <c r="O420" s="156"/>
      <c r="P420" s="156"/>
      <c r="Q420" s="156"/>
      <c r="R420" s="156"/>
      <c r="S420" s="156"/>
      <c r="T420" s="156"/>
      <c r="U420" s="156"/>
      <c r="V420" s="156"/>
      <c r="W420" s="156"/>
      <c r="X420" s="156"/>
      <c r="Y420" s="156"/>
      <c r="Z420" s="156"/>
      <c r="AA420" s="156"/>
      <c r="AB420" s="156"/>
      <c r="AC420" s="156"/>
    </row>
    <row r="421" spans="1:29" ht="13">
      <c r="A421" s="140"/>
      <c r="B421" s="140"/>
      <c r="C421" s="156"/>
      <c r="D421" s="156"/>
      <c r="E421" s="156"/>
      <c r="F421" s="156"/>
      <c r="G421" s="185"/>
      <c r="H421" s="156"/>
      <c r="I421" s="156"/>
      <c r="J421" s="156"/>
      <c r="K421" s="156"/>
      <c r="L421" s="157"/>
      <c r="M421" s="156"/>
      <c r="N421" s="156"/>
      <c r="O421" s="156"/>
      <c r="P421" s="156"/>
      <c r="Q421" s="156"/>
      <c r="R421" s="156"/>
      <c r="S421" s="156"/>
      <c r="T421" s="156"/>
      <c r="U421" s="156"/>
      <c r="V421" s="156"/>
      <c r="W421" s="156"/>
      <c r="X421" s="156"/>
      <c r="Y421" s="156"/>
      <c r="Z421" s="156"/>
      <c r="AA421" s="156"/>
      <c r="AB421" s="156"/>
      <c r="AC421" s="156"/>
    </row>
    <row r="422" spans="1:29" ht="13">
      <c r="A422" s="140"/>
      <c r="B422" s="140"/>
      <c r="C422" s="156"/>
      <c r="D422" s="156"/>
      <c r="E422" s="156"/>
      <c r="F422" s="156"/>
      <c r="G422" s="185"/>
      <c r="H422" s="156"/>
      <c r="I422" s="156"/>
      <c r="J422" s="156"/>
      <c r="K422" s="156"/>
      <c r="L422" s="157"/>
      <c r="M422" s="156"/>
      <c r="N422" s="156"/>
      <c r="O422" s="156"/>
      <c r="P422" s="156"/>
      <c r="Q422" s="156"/>
      <c r="R422" s="156"/>
      <c r="S422" s="156"/>
      <c r="T422" s="156"/>
      <c r="U422" s="156"/>
      <c r="V422" s="156"/>
      <c r="W422" s="156"/>
      <c r="X422" s="156"/>
      <c r="Y422" s="156"/>
      <c r="Z422" s="156"/>
      <c r="AA422" s="156"/>
      <c r="AB422" s="156"/>
      <c r="AC422" s="156"/>
    </row>
    <row r="423" spans="1:29" ht="13">
      <c r="A423" s="140"/>
      <c r="B423" s="140"/>
      <c r="C423" s="156"/>
      <c r="D423" s="156"/>
      <c r="E423" s="156"/>
      <c r="F423" s="156"/>
      <c r="G423" s="185"/>
      <c r="H423" s="156"/>
      <c r="I423" s="156"/>
      <c r="J423" s="156"/>
      <c r="K423" s="156"/>
      <c r="L423" s="157"/>
      <c r="M423" s="156"/>
      <c r="N423" s="156"/>
      <c r="O423" s="156"/>
      <c r="P423" s="156"/>
      <c r="Q423" s="156"/>
      <c r="R423" s="156"/>
      <c r="S423" s="156"/>
      <c r="T423" s="156"/>
      <c r="U423" s="156"/>
      <c r="V423" s="156"/>
      <c r="W423" s="156"/>
      <c r="X423" s="156"/>
      <c r="Y423" s="156"/>
      <c r="Z423" s="156"/>
      <c r="AA423" s="156"/>
      <c r="AB423" s="156"/>
      <c r="AC423" s="156"/>
    </row>
    <row r="424" spans="1:29" ht="13">
      <c r="A424" s="140"/>
      <c r="B424" s="140"/>
      <c r="C424" s="156"/>
      <c r="D424" s="156"/>
      <c r="E424" s="156"/>
      <c r="F424" s="156"/>
      <c r="G424" s="185"/>
      <c r="H424" s="156"/>
      <c r="I424" s="156"/>
      <c r="J424" s="156"/>
      <c r="K424" s="156"/>
      <c r="L424" s="157"/>
      <c r="M424" s="156"/>
      <c r="N424" s="156"/>
      <c r="O424" s="156"/>
      <c r="P424" s="156"/>
      <c r="Q424" s="156"/>
      <c r="R424" s="156"/>
      <c r="S424" s="156"/>
      <c r="T424" s="156"/>
      <c r="U424" s="156"/>
      <c r="V424" s="156"/>
      <c r="W424" s="156"/>
      <c r="X424" s="156"/>
      <c r="Y424" s="156"/>
      <c r="Z424" s="156"/>
      <c r="AA424" s="156"/>
      <c r="AB424" s="156"/>
      <c r="AC424" s="156"/>
    </row>
    <row r="425" spans="1:29" ht="13">
      <c r="A425" s="140"/>
      <c r="B425" s="140"/>
      <c r="C425" s="156"/>
      <c r="D425" s="156"/>
      <c r="E425" s="156"/>
      <c r="F425" s="156"/>
      <c r="G425" s="185"/>
      <c r="H425" s="156"/>
      <c r="I425" s="156"/>
      <c r="J425" s="156"/>
      <c r="K425" s="156"/>
      <c r="L425" s="157"/>
      <c r="M425" s="156"/>
      <c r="N425" s="156"/>
      <c r="O425" s="156"/>
      <c r="P425" s="156"/>
      <c r="Q425" s="156"/>
      <c r="R425" s="156"/>
      <c r="S425" s="156"/>
      <c r="T425" s="156"/>
      <c r="U425" s="156"/>
      <c r="V425" s="156"/>
      <c r="W425" s="156"/>
      <c r="X425" s="156"/>
      <c r="Y425" s="156"/>
      <c r="Z425" s="156"/>
      <c r="AA425" s="156"/>
      <c r="AB425" s="156"/>
      <c r="AC425" s="156"/>
    </row>
    <row r="426" spans="1:29" ht="13">
      <c r="A426" s="140"/>
      <c r="B426" s="140"/>
      <c r="C426" s="156"/>
      <c r="D426" s="156"/>
      <c r="E426" s="156"/>
      <c r="F426" s="156"/>
      <c r="G426" s="185"/>
      <c r="H426" s="156"/>
      <c r="I426" s="156"/>
      <c r="J426" s="156"/>
      <c r="K426" s="156"/>
      <c r="L426" s="157"/>
      <c r="M426" s="156"/>
      <c r="N426" s="156"/>
      <c r="O426" s="156"/>
      <c r="P426" s="156"/>
      <c r="Q426" s="156"/>
      <c r="R426" s="156"/>
      <c r="S426" s="156"/>
      <c r="T426" s="156"/>
      <c r="U426" s="156"/>
      <c r="V426" s="156"/>
      <c r="W426" s="156"/>
      <c r="X426" s="156"/>
      <c r="Y426" s="156"/>
      <c r="Z426" s="156"/>
      <c r="AA426" s="156"/>
      <c r="AB426" s="156"/>
      <c r="AC426" s="156"/>
    </row>
    <row r="427" spans="1:29" ht="13">
      <c r="A427" s="140"/>
      <c r="B427" s="140"/>
      <c r="C427" s="156"/>
      <c r="D427" s="156"/>
      <c r="E427" s="156"/>
      <c r="F427" s="156"/>
      <c r="G427" s="185"/>
      <c r="H427" s="156"/>
      <c r="I427" s="156"/>
      <c r="J427" s="156"/>
      <c r="K427" s="156"/>
      <c r="L427" s="157"/>
      <c r="M427" s="156"/>
      <c r="N427" s="156"/>
      <c r="O427" s="156"/>
      <c r="P427" s="156"/>
      <c r="Q427" s="156"/>
      <c r="R427" s="156"/>
      <c r="S427" s="156"/>
      <c r="T427" s="156"/>
      <c r="U427" s="156"/>
      <c r="V427" s="156"/>
      <c r="W427" s="156"/>
      <c r="X427" s="156"/>
      <c r="Y427" s="156"/>
      <c r="Z427" s="156"/>
      <c r="AA427" s="156"/>
      <c r="AB427" s="156"/>
      <c r="AC427" s="156"/>
    </row>
    <row r="428" spans="1:29" ht="13">
      <c r="A428" s="140"/>
      <c r="B428" s="140"/>
      <c r="C428" s="156"/>
      <c r="D428" s="156"/>
      <c r="E428" s="156"/>
      <c r="F428" s="156"/>
      <c r="G428" s="185"/>
      <c r="H428" s="156"/>
      <c r="I428" s="156"/>
      <c r="J428" s="156"/>
      <c r="K428" s="156"/>
      <c r="L428" s="157"/>
      <c r="M428" s="156"/>
      <c r="N428" s="156"/>
      <c r="O428" s="156"/>
      <c r="P428" s="156"/>
      <c r="Q428" s="156"/>
      <c r="R428" s="156"/>
      <c r="S428" s="156"/>
      <c r="T428" s="156"/>
      <c r="U428" s="156"/>
      <c r="V428" s="156"/>
      <c r="W428" s="156"/>
      <c r="X428" s="156"/>
      <c r="Y428" s="156"/>
      <c r="Z428" s="156"/>
      <c r="AA428" s="156"/>
      <c r="AB428" s="156"/>
      <c r="AC428" s="156"/>
    </row>
    <row r="429" spans="1:29" ht="13">
      <c r="A429" s="140"/>
      <c r="B429" s="140"/>
      <c r="C429" s="156"/>
      <c r="D429" s="156"/>
      <c r="E429" s="156"/>
      <c r="F429" s="156"/>
      <c r="G429" s="185"/>
      <c r="H429" s="156"/>
      <c r="I429" s="156"/>
      <c r="J429" s="156"/>
      <c r="K429" s="156"/>
      <c r="L429" s="157"/>
      <c r="M429" s="156"/>
      <c r="N429" s="156"/>
      <c r="O429" s="156"/>
      <c r="P429" s="156"/>
      <c r="Q429" s="156"/>
      <c r="R429" s="156"/>
      <c r="S429" s="156"/>
      <c r="T429" s="156"/>
      <c r="U429" s="156"/>
      <c r="V429" s="156"/>
      <c r="W429" s="156"/>
      <c r="X429" s="156"/>
      <c r="Y429" s="156"/>
      <c r="Z429" s="156"/>
      <c r="AA429" s="156"/>
      <c r="AB429" s="156"/>
      <c r="AC429" s="156"/>
    </row>
    <row r="430" spans="1:29" ht="13">
      <c r="A430" s="140"/>
      <c r="B430" s="140"/>
      <c r="C430" s="156"/>
      <c r="D430" s="156"/>
      <c r="E430" s="156"/>
      <c r="F430" s="156"/>
      <c r="G430" s="185"/>
      <c r="H430" s="156"/>
      <c r="I430" s="156"/>
      <c r="J430" s="156"/>
      <c r="K430" s="156"/>
      <c r="L430" s="157"/>
      <c r="M430" s="156"/>
      <c r="N430" s="156"/>
      <c r="O430" s="156"/>
      <c r="P430" s="156"/>
      <c r="Q430" s="156"/>
      <c r="R430" s="156"/>
      <c r="S430" s="156"/>
      <c r="T430" s="156"/>
      <c r="U430" s="156"/>
      <c r="V430" s="156"/>
      <c r="W430" s="156"/>
      <c r="X430" s="156"/>
      <c r="Y430" s="156"/>
      <c r="Z430" s="156"/>
      <c r="AA430" s="156"/>
      <c r="AB430" s="156"/>
      <c r="AC430" s="156"/>
    </row>
    <row r="431" spans="1:29" ht="13">
      <c r="A431" s="140"/>
      <c r="B431" s="140"/>
      <c r="C431" s="156"/>
      <c r="D431" s="156"/>
      <c r="E431" s="156"/>
      <c r="F431" s="156"/>
      <c r="G431" s="185"/>
      <c r="H431" s="156"/>
      <c r="I431" s="156"/>
      <c r="J431" s="156"/>
      <c r="K431" s="156"/>
      <c r="L431" s="157"/>
      <c r="M431" s="156"/>
      <c r="N431" s="156"/>
      <c r="O431" s="156"/>
      <c r="P431" s="156"/>
      <c r="Q431" s="156"/>
      <c r="R431" s="156"/>
      <c r="S431" s="156"/>
      <c r="T431" s="156"/>
      <c r="U431" s="156"/>
      <c r="V431" s="156"/>
      <c r="W431" s="156"/>
      <c r="X431" s="156"/>
      <c r="Y431" s="156"/>
      <c r="Z431" s="156"/>
      <c r="AA431" s="156"/>
      <c r="AB431" s="156"/>
      <c r="AC431" s="156"/>
    </row>
    <row r="432" spans="1:29" ht="13">
      <c r="A432" s="140"/>
      <c r="B432" s="140"/>
      <c r="C432" s="156"/>
      <c r="D432" s="156"/>
      <c r="E432" s="156"/>
      <c r="F432" s="156"/>
      <c r="G432" s="185"/>
      <c r="H432" s="156"/>
      <c r="I432" s="156"/>
      <c r="J432" s="156"/>
      <c r="K432" s="156"/>
      <c r="L432" s="157"/>
      <c r="M432" s="156"/>
      <c r="N432" s="156"/>
      <c r="O432" s="156"/>
      <c r="P432" s="156"/>
      <c r="Q432" s="156"/>
      <c r="R432" s="156"/>
      <c r="S432" s="156"/>
      <c r="T432" s="156"/>
      <c r="U432" s="156"/>
      <c r="V432" s="156"/>
      <c r="W432" s="156"/>
      <c r="X432" s="156"/>
      <c r="Y432" s="156"/>
      <c r="Z432" s="156"/>
      <c r="AA432" s="156"/>
      <c r="AB432" s="156"/>
      <c r="AC432" s="156"/>
    </row>
    <row r="433" spans="1:29" ht="13">
      <c r="A433" s="140"/>
      <c r="B433" s="140"/>
      <c r="C433" s="156"/>
      <c r="D433" s="156"/>
      <c r="E433" s="156"/>
      <c r="F433" s="156"/>
      <c r="G433" s="185"/>
      <c r="H433" s="156"/>
      <c r="I433" s="156"/>
      <c r="J433" s="156"/>
      <c r="K433" s="156"/>
      <c r="L433" s="157"/>
      <c r="M433" s="156"/>
      <c r="N433" s="156"/>
      <c r="O433" s="156"/>
      <c r="P433" s="156"/>
      <c r="Q433" s="156"/>
      <c r="R433" s="156"/>
      <c r="S433" s="156"/>
      <c r="T433" s="156"/>
      <c r="U433" s="156"/>
      <c r="V433" s="156"/>
      <c r="W433" s="156"/>
      <c r="X433" s="156"/>
      <c r="Y433" s="156"/>
      <c r="Z433" s="156"/>
      <c r="AA433" s="156"/>
      <c r="AB433" s="156"/>
      <c r="AC433" s="156"/>
    </row>
    <row r="434" spans="1:29" ht="13">
      <c r="A434" s="140"/>
      <c r="B434" s="140"/>
      <c r="C434" s="156"/>
      <c r="D434" s="156"/>
      <c r="E434" s="156"/>
      <c r="F434" s="156"/>
      <c r="G434" s="185"/>
      <c r="H434" s="156"/>
      <c r="I434" s="156"/>
      <c r="J434" s="156"/>
      <c r="K434" s="156"/>
      <c r="L434" s="157"/>
      <c r="M434" s="156"/>
      <c r="N434" s="156"/>
      <c r="O434" s="156"/>
      <c r="P434" s="156"/>
      <c r="Q434" s="156"/>
      <c r="R434" s="156"/>
      <c r="S434" s="156"/>
      <c r="T434" s="156"/>
      <c r="U434" s="156"/>
      <c r="V434" s="156"/>
      <c r="W434" s="156"/>
      <c r="X434" s="156"/>
      <c r="Y434" s="156"/>
      <c r="Z434" s="156"/>
      <c r="AA434" s="156"/>
      <c r="AB434" s="156"/>
      <c r="AC434" s="156"/>
    </row>
    <row r="435" spans="1:29" ht="13">
      <c r="A435" s="140"/>
      <c r="B435" s="140"/>
      <c r="C435" s="156"/>
      <c r="D435" s="156"/>
      <c r="E435" s="156"/>
      <c r="F435" s="156"/>
      <c r="G435" s="185"/>
      <c r="H435" s="156"/>
      <c r="I435" s="156"/>
      <c r="J435" s="156"/>
      <c r="K435" s="156"/>
      <c r="L435" s="157"/>
      <c r="M435" s="156"/>
      <c r="N435" s="156"/>
      <c r="O435" s="156"/>
      <c r="P435" s="156"/>
      <c r="Q435" s="156"/>
      <c r="R435" s="156"/>
      <c r="S435" s="156"/>
      <c r="T435" s="156"/>
      <c r="U435" s="156"/>
      <c r="V435" s="156"/>
      <c r="W435" s="156"/>
      <c r="X435" s="156"/>
      <c r="Y435" s="156"/>
      <c r="Z435" s="156"/>
      <c r="AA435" s="156"/>
      <c r="AB435" s="156"/>
      <c r="AC435" s="156"/>
    </row>
    <row r="436" spans="1:29" ht="13">
      <c r="A436" s="140"/>
      <c r="B436" s="140"/>
      <c r="C436" s="156"/>
      <c r="D436" s="156"/>
      <c r="E436" s="156"/>
      <c r="F436" s="156"/>
      <c r="G436" s="185"/>
      <c r="H436" s="156"/>
      <c r="I436" s="156"/>
      <c r="J436" s="156"/>
      <c r="K436" s="156"/>
      <c r="L436" s="157"/>
      <c r="M436" s="156"/>
      <c r="N436" s="156"/>
      <c r="O436" s="156"/>
      <c r="P436" s="156"/>
      <c r="Q436" s="156"/>
      <c r="R436" s="156"/>
      <c r="S436" s="156"/>
      <c r="T436" s="156"/>
      <c r="U436" s="156"/>
      <c r="V436" s="156"/>
      <c r="W436" s="156"/>
      <c r="X436" s="156"/>
      <c r="Y436" s="156"/>
      <c r="Z436" s="156"/>
      <c r="AA436" s="156"/>
      <c r="AB436" s="156"/>
      <c r="AC436" s="156"/>
    </row>
    <row r="437" spans="1:29" ht="13">
      <c r="A437" s="140"/>
      <c r="B437" s="140"/>
      <c r="C437" s="156"/>
      <c r="D437" s="156"/>
      <c r="E437" s="156"/>
      <c r="F437" s="156"/>
      <c r="G437" s="185"/>
      <c r="H437" s="156"/>
      <c r="I437" s="156"/>
      <c r="J437" s="156"/>
      <c r="K437" s="156"/>
      <c r="L437" s="157"/>
      <c r="M437" s="156"/>
      <c r="N437" s="156"/>
      <c r="O437" s="156"/>
      <c r="P437" s="156"/>
      <c r="Q437" s="156"/>
      <c r="R437" s="156"/>
      <c r="S437" s="156"/>
      <c r="T437" s="156"/>
      <c r="U437" s="156"/>
      <c r="V437" s="156"/>
      <c r="W437" s="156"/>
      <c r="X437" s="156"/>
      <c r="Y437" s="156"/>
      <c r="Z437" s="156"/>
      <c r="AA437" s="156"/>
      <c r="AB437" s="156"/>
      <c r="AC437" s="156"/>
    </row>
    <row r="438" spans="1:29" ht="13">
      <c r="A438" s="140"/>
      <c r="B438" s="140"/>
      <c r="C438" s="156"/>
      <c r="D438" s="156"/>
      <c r="E438" s="156"/>
      <c r="F438" s="156"/>
      <c r="G438" s="185"/>
      <c r="H438" s="156"/>
      <c r="I438" s="156"/>
      <c r="J438" s="156"/>
      <c r="K438" s="156"/>
      <c r="L438" s="157"/>
      <c r="M438" s="156"/>
      <c r="N438" s="156"/>
      <c r="O438" s="156"/>
      <c r="P438" s="156"/>
      <c r="Q438" s="156"/>
      <c r="R438" s="156"/>
      <c r="S438" s="156"/>
      <c r="T438" s="156"/>
      <c r="U438" s="156"/>
      <c r="V438" s="156"/>
      <c r="W438" s="156"/>
      <c r="X438" s="156"/>
      <c r="Y438" s="156"/>
      <c r="Z438" s="156"/>
      <c r="AA438" s="156"/>
      <c r="AB438" s="156"/>
      <c r="AC438" s="156"/>
    </row>
    <row r="439" spans="1:29" ht="13">
      <c r="A439" s="140"/>
      <c r="B439" s="140"/>
      <c r="C439" s="156"/>
      <c r="D439" s="156"/>
      <c r="E439" s="156"/>
      <c r="F439" s="156"/>
      <c r="G439" s="185"/>
      <c r="H439" s="156"/>
      <c r="I439" s="156"/>
      <c r="J439" s="156"/>
      <c r="K439" s="156"/>
      <c r="L439" s="157"/>
      <c r="M439" s="156"/>
      <c r="N439" s="156"/>
      <c r="O439" s="156"/>
      <c r="P439" s="156"/>
      <c r="Q439" s="156"/>
      <c r="R439" s="156"/>
      <c r="S439" s="156"/>
      <c r="T439" s="156"/>
      <c r="U439" s="156"/>
      <c r="V439" s="156"/>
      <c r="W439" s="156"/>
      <c r="X439" s="156"/>
      <c r="Y439" s="156"/>
      <c r="Z439" s="156"/>
      <c r="AA439" s="156"/>
      <c r="AB439" s="156"/>
      <c r="AC439" s="156"/>
    </row>
    <row r="440" spans="1:29" ht="13">
      <c r="A440" s="140"/>
      <c r="B440" s="140"/>
      <c r="C440" s="156"/>
      <c r="D440" s="156"/>
      <c r="E440" s="156"/>
      <c r="F440" s="156"/>
      <c r="G440" s="185"/>
      <c r="H440" s="156"/>
      <c r="I440" s="156"/>
      <c r="J440" s="156"/>
      <c r="K440" s="156"/>
      <c r="L440" s="157"/>
      <c r="M440" s="156"/>
      <c r="N440" s="156"/>
      <c r="O440" s="156"/>
      <c r="P440" s="156"/>
      <c r="Q440" s="156"/>
      <c r="R440" s="156"/>
      <c r="S440" s="156"/>
      <c r="T440" s="156"/>
      <c r="U440" s="156"/>
      <c r="V440" s="156"/>
      <c r="W440" s="156"/>
      <c r="X440" s="156"/>
      <c r="Y440" s="156"/>
      <c r="Z440" s="156"/>
      <c r="AA440" s="156"/>
      <c r="AB440" s="156"/>
      <c r="AC440" s="156"/>
    </row>
    <row r="441" spans="1:29" ht="13">
      <c r="A441" s="140"/>
      <c r="B441" s="140"/>
      <c r="C441" s="156"/>
      <c r="D441" s="156"/>
      <c r="E441" s="156"/>
      <c r="F441" s="156"/>
      <c r="G441" s="185"/>
      <c r="H441" s="156"/>
      <c r="I441" s="156"/>
      <c r="J441" s="156"/>
      <c r="K441" s="156"/>
      <c r="L441" s="157"/>
      <c r="M441" s="156"/>
      <c r="N441" s="156"/>
      <c r="O441" s="156"/>
      <c r="P441" s="156"/>
      <c r="Q441" s="156"/>
      <c r="R441" s="156"/>
      <c r="S441" s="156"/>
      <c r="T441" s="156"/>
      <c r="U441" s="156"/>
      <c r="V441" s="156"/>
      <c r="W441" s="156"/>
      <c r="X441" s="156"/>
      <c r="Y441" s="156"/>
      <c r="Z441" s="156"/>
      <c r="AA441" s="156"/>
      <c r="AB441" s="156"/>
      <c r="AC441" s="156"/>
    </row>
    <row r="442" spans="1:29" ht="13">
      <c r="A442" s="140"/>
      <c r="B442" s="140"/>
      <c r="C442" s="156"/>
      <c r="D442" s="156"/>
      <c r="E442" s="156"/>
      <c r="F442" s="156"/>
      <c r="G442" s="185"/>
      <c r="H442" s="156"/>
      <c r="I442" s="156"/>
      <c r="J442" s="156"/>
      <c r="K442" s="156"/>
      <c r="L442" s="157"/>
      <c r="M442" s="156"/>
      <c r="N442" s="156"/>
      <c r="O442" s="156"/>
      <c r="P442" s="156"/>
      <c r="Q442" s="156"/>
      <c r="R442" s="156"/>
      <c r="S442" s="156"/>
      <c r="T442" s="156"/>
      <c r="U442" s="156"/>
      <c r="V442" s="156"/>
      <c r="W442" s="156"/>
      <c r="X442" s="156"/>
      <c r="Y442" s="156"/>
      <c r="Z442" s="156"/>
      <c r="AA442" s="156"/>
      <c r="AB442" s="156"/>
      <c r="AC442" s="156"/>
    </row>
    <row r="443" spans="1:29" ht="13">
      <c r="A443" s="140"/>
      <c r="B443" s="140"/>
      <c r="C443" s="156"/>
      <c r="D443" s="156"/>
      <c r="E443" s="156"/>
      <c r="F443" s="156"/>
      <c r="G443" s="185"/>
      <c r="H443" s="156"/>
      <c r="I443" s="156"/>
      <c r="J443" s="156"/>
      <c r="K443" s="156"/>
      <c r="L443" s="157"/>
      <c r="M443" s="156"/>
      <c r="N443" s="156"/>
      <c r="O443" s="156"/>
      <c r="P443" s="156"/>
      <c r="Q443" s="156"/>
      <c r="R443" s="156"/>
      <c r="S443" s="156"/>
      <c r="T443" s="156"/>
      <c r="U443" s="156"/>
      <c r="V443" s="156"/>
      <c r="W443" s="156"/>
      <c r="X443" s="156"/>
      <c r="Y443" s="156"/>
      <c r="Z443" s="156"/>
      <c r="AA443" s="156"/>
      <c r="AB443" s="156"/>
      <c r="AC443" s="156"/>
    </row>
    <row r="444" spans="1:29" ht="13">
      <c r="A444" s="140"/>
      <c r="B444" s="140"/>
      <c r="C444" s="156"/>
      <c r="D444" s="156"/>
      <c r="E444" s="156"/>
      <c r="F444" s="156"/>
      <c r="G444" s="185"/>
      <c r="H444" s="156"/>
      <c r="I444" s="156"/>
      <c r="J444" s="156"/>
      <c r="K444" s="156"/>
      <c r="L444" s="157"/>
      <c r="M444" s="156"/>
      <c r="N444" s="156"/>
      <c r="O444" s="156"/>
      <c r="P444" s="156"/>
      <c r="Q444" s="156"/>
      <c r="R444" s="156"/>
      <c r="S444" s="156"/>
      <c r="T444" s="156"/>
      <c r="U444" s="156"/>
      <c r="V444" s="156"/>
      <c r="W444" s="156"/>
      <c r="X444" s="156"/>
      <c r="Y444" s="156"/>
      <c r="Z444" s="156"/>
      <c r="AA444" s="156"/>
      <c r="AB444" s="156"/>
      <c r="AC444" s="156"/>
    </row>
    <row r="445" spans="1:29" ht="13">
      <c r="A445" s="140"/>
      <c r="B445" s="140"/>
      <c r="C445" s="156"/>
      <c r="D445" s="156"/>
      <c r="E445" s="156"/>
      <c r="F445" s="156"/>
      <c r="G445" s="185"/>
      <c r="H445" s="156"/>
      <c r="I445" s="156"/>
      <c r="J445" s="156"/>
      <c r="K445" s="156"/>
      <c r="L445" s="157"/>
      <c r="M445" s="156"/>
      <c r="N445" s="156"/>
      <c r="O445" s="156"/>
      <c r="P445" s="156"/>
      <c r="Q445" s="156"/>
      <c r="R445" s="156"/>
      <c r="S445" s="156"/>
      <c r="T445" s="156"/>
      <c r="U445" s="156"/>
      <c r="V445" s="156"/>
      <c r="W445" s="156"/>
      <c r="X445" s="156"/>
      <c r="Y445" s="156"/>
      <c r="Z445" s="156"/>
      <c r="AA445" s="156"/>
      <c r="AB445" s="156"/>
      <c r="AC445" s="156"/>
    </row>
    <row r="446" spans="1:29" ht="13">
      <c r="A446" s="140"/>
      <c r="B446" s="140"/>
      <c r="C446" s="156"/>
      <c r="D446" s="156"/>
      <c r="E446" s="156"/>
      <c r="F446" s="156"/>
      <c r="G446" s="185"/>
      <c r="H446" s="156"/>
      <c r="I446" s="156"/>
      <c r="J446" s="156"/>
      <c r="K446" s="156"/>
      <c r="L446" s="157"/>
      <c r="M446" s="156"/>
      <c r="N446" s="156"/>
      <c r="O446" s="156"/>
      <c r="P446" s="156"/>
      <c r="Q446" s="156"/>
      <c r="R446" s="156"/>
      <c r="S446" s="156"/>
      <c r="T446" s="156"/>
      <c r="U446" s="156"/>
      <c r="V446" s="156"/>
      <c r="W446" s="156"/>
      <c r="X446" s="156"/>
      <c r="Y446" s="156"/>
      <c r="Z446" s="156"/>
      <c r="AA446" s="156"/>
      <c r="AB446" s="156"/>
      <c r="AC446" s="156"/>
    </row>
    <row r="447" spans="1:29" ht="13">
      <c r="A447" s="140"/>
      <c r="B447" s="140"/>
      <c r="C447" s="156"/>
      <c r="D447" s="156"/>
      <c r="E447" s="156"/>
      <c r="F447" s="156"/>
      <c r="G447" s="185"/>
      <c r="H447" s="156"/>
      <c r="I447" s="156"/>
      <c r="J447" s="156"/>
      <c r="K447" s="156"/>
      <c r="L447" s="157"/>
      <c r="M447" s="156"/>
      <c r="N447" s="156"/>
      <c r="O447" s="156"/>
      <c r="P447" s="156"/>
      <c r="Q447" s="156"/>
      <c r="R447" s="156"/>
      <c r="S447" s="156"/>
      <c r="T447" s="156"/>
      <c r="U447" s="156"/>
      <c r="V447" s="156"/>
      <c r="W447" s="156"/>
      <c r="X447" s="156"/>
      <c r="Y447" s="156"/>
      <c r="Z447" s="156"/>
      <c r="AA447" s="156"/>
      <c r="AB447" s="156"/>
      <c r="AC447" s="156"/>
    </row>
    <row r="448" spans="1:29" ht="13">
      <c r="A448" s="140"/>
      <c r="B448" s="140"/>
      <c r="C448" s="156"/>
      <c r="D448" s="156"/>
      <c r="E448" s="156"/>
      <c r="F448" s="156"/>
      <c r="G448" s="185"/>
      <c r="H448" s="156"/>
      <c r="I448" s="156"/>
      <c r="J448" s="156"/>
      <c r="K448" s="156"/>
      <c r="L448" s="157"/>
      <c r="M448" s="156"/>
      <c r="N448" s="156"/>
      <c r="O448" s="156"/>
      <c r="P448" s="156"/>
      <c r="Q448" s="156"/>
      <c r="R448" s="156"/>
      <c r="S448" s="156"/>
      <c r="T448" s="156"/>
      <c r="U448" s="156"/>
      <c r="V448" s="156"/>
      <c r="W448" s="156"/>
      <c r="X448" s="156"/>
      <c r="Y448" s="156"/>
      <c r="Z448" s="156"/>
      <c r="AA448" s="156"/>
      <c r="AB448" s="156"/>
      <c r="AC448" s="156"/>
    </row>
    <row r="449" spans="1:29" ht="13">
      <c r="A449" s="140"/>
      <c r="B449" s="140"/>
      <c r="C449" s="156"/>
      <c r="D449" s="156"/>
      <c r="E449" s="156"/>
      <c r="F449" s="156"/>
      <c r="G449" s="185"/>
      <c r="H449" s="156"/>
      <c r="I449" s="156"/>
      <c r="J449" s="156"/>
      <c r="K449" s="156"/>
      <c r="L449" s="157"/>
      <c r="M449" s="156"/>
      <c r="N449" s="156"/>
      <c r="O449" s="156"/>
      <c r="P449" s="156"/>
      <c r="Q449" s="156"/>
      <c r="R449" s="156"/>
      <c r="S449" s="156"/>
      <c r="T449" s="156"/>
      <c r="U449" s="156"/>
      <c r="V449" s="156"/>
      <c r="W449" s="156"/>
      <c r="X449" s="156"/>
      <c r="Y449" s="156"/>
      <c r="Z449" s="156"/>
      <c r="AA449" s="156"/>
      <c r="AB449" s="156"/>
      <c r="AC449" s="156"/>
    </row>
    <row r="450" spans="1:29" ht="13">
      <c r="A450" s="140"/>
      <c r="B450" s="140"/>
      <c r="C450" s="156"/>
      <c r="D450" s="156"/>
      <c r="E450" s="156"/>
      <c r="F450" s="156"/>
      <c r="G450" s="185"/>
      <c r="H450" s="156"/>
      <c r="I450" s="156"/>
      <c r="J450" s="156"/>
      <c r="K450" s="156"/>
      <c r="L450" s="157"/>
      <c r="M450" s="156"/>
      <c r="N450" s="156"/>
      <c r="O450" s="156"/>
      <c r="P450" s="156"/>
      <c r="Q450" s="156"/>
      <c r="R450" s="156"/>
      <c r="S450" s="156"/>
      <c r="T450" s="156"/>
      <c r="U450" s="156"/>
      <c r="V450" s="156"/>
      <c r="W450" s="156"/>
      <c r="X450" s="156"/>
      <c r="Y450" s="156"/>
      <c r="Z450" s="156"/>
      <c r="AA450" s="156"/>
      <c r="AB450" s="156"/>
      <c r="AC450" s="156"/>
    </row>
    <row r="451" spans="1:29" ht="13">
      <c r="A451" s="140"/>
      <c r="B451" s="140"/>
      <c r="C451" s="156"/>
      <c r="D451" s="156"/>
      <c r="E451" s="156"/>
      <c r="F451" s="156"/>
      <c r="G451" s="185"/>
      <c r="H451" s="156"/>
      <c r="I451" s="156"/>
      <c r="J451" s="156"/>
      <c r="K451" s="156"/>
      <c r="L451" s="157"/>
      <c r="M451" s="156"/>
      <c r="N451" s="156"/>
      <c r="O451" s="156"/>
      <c r="P451" s="156"/>
      <c r="Q451" s="156"/>
      <c r="R451" s="156"/>
      <c r="S451" s="156"/>
      <c r="T451" s="156"/>
      <c r="U451" s="156"/>
      <c r="V451" s="156"/>
      <c r="W451" s="156"/>
      <c r="X451" s="156"/>
      <c r="Y451" s="156"/>
      <c r="Z451" s="156"/>
      <c r="AA451" s="156"/>
      <c r="AB451" s="156"/>
      <c r="AC451" s="156"/>
    </row>
    <row r="452" spans="1:29" ht="13">
      <c r="A452" s="140"/>
      <c r="B452" s="140"/>
      <c r="C452" s="156"/>
      <c r="D452" s="156"/>
      <c r="E452" s="156"/>
      <c r="F452" s="156"/>
      <c r="G452" s="185"/>
      <c r="H452" s="156"/>
      <c r="I452" s="156"/>
      <c r="J452" s="156"/>
      <c r="K452" s="156"/>
      <c r="L452" s="157"/>
      <c r="M452" s="156"/>
      <c r="N452" s="156"/>
      <c r="O452" s="156"/>
      <c r="P452" s="156"/>
      <c r="Q452" s="156"/>
      <c r="R452" s="156"/>
      <c r="S452" s="156"/>
      <c r="T452" s="156"/>
      <c r="U452" s="156"/>
      <c r="V452" s="156"/>
      <c r="W452" s="156"/>
      <c r="X452" s="156"/>
      <c r="Y452" s="156"/>
      <c r="Z452" s="156"/>
      <c r="AA452" s="156"/>
      <c r="AB452" s="156"/>
      <c r="AC452" s="156"/>
    </row>
    <row r="453" spans="1:29" ht="13">
      <c r="A453" s="140"/>
      <c r="B453" s="140"/>
      <c r="C453" s="156"/>
      <c r="D453" s="156"/>
      <c r="E453" s="156"/>
      <c r="F453" s="156"/>
      <c r="G453" s="185"/>
      <c r="H453" s="156"/>
      <c r="I453" s="156"/>
      <c r="J453" s="156"/>
      <c r="K453" s="156"/>
      <c r="L453" s="157"/>
      <c r="M453" s="156"/>
      <c r="N453" s="156"/>
      <c r="O453" s="156"/>
      <c r="P453" s="156"/>
      <c r="Q453" s="156"/>
      <c r="R453" s="156"/>
      <c r="S453" s="156"/>
      <c r="T453" s="156"/>
      <c r="U453" s="156"/>
      <c r="V453" s="156"/>
      <c r="W453" s="156"/>
      <c r="X453" s="156"/>
      <c r="Y453" s="156"/>
      <c r="Z453" s="156"/>
      <c r="AA453" s="156"/>
      <c r="AB453" s="156"/>
      <c r="AC453" s="156"/>
    </row>
    <row r="454" spans="1:29" ht="13">
      <c r="A454" s="140"/>
      <c r="B454" s="140"/>
      <c r="C454" s="156"/>
      <c r="D454" s="156"/>
      <c r="E454" s="156"/>
      <c r="F454" s="156"/>
      <c r="G454" s="185"/>
      <c r="H454" s="156"/>
      <c r="I454" s="156"/>
      <c r="J454" s="156"/>
      <c r="K454" s="156"/>
      <c r="L454" s="157"/>
      <c r="M454" s="156"/>
      <c r="N454" s="156"/>
      <c r="O454" s="156"/>
      <c r="P454" s="156"/>
      <c r="Q454" s="156"/>
      <c r="R454" s="156"/>
      <c r="S454" s="156"/>
      <c r="T454" s="156"/>
      <c r="U454" s="156"/>
      <c r="V454" s="156"/>
      <c r="W454" s="156"/>
      <c r="X454" s="156"/>
      <c r="Y454" s="156"/>
      <c r="Z454" s="156"/>
      <c r="AA454" s="156"/>
      <c r="AB454" s="156"/>
      <c r="AC454" s="156"/>
    </row>
    <row r="455" spans="1:29" ht="13">
      <c r="A455" s="140"/>
      <c r="B455" s="140"/>
      <c r="C455" s="156"/>
      <c r="D455" s="156"/>
      <c r="E455" s="156"/>
      <c r="F455" s="156"/>
      <c r="G455" s="185"/>
      <c r="H455" s="156"/>
      <c r="I455" s="156"/>
      <c r="J455" s="156"/>
      <c r="K455" s="156"/>
      <c r="L455" s="157"/>
      <c r="M455" s="156"/>
      <c r="N455" s="156"/>
      <c r="O455" s="156"/>
      <c r="P455" s="156"/>
      <c r="Q455" s="156"/>
      <c r="R455" s="156"/>
      <c r="S455" s="156"/>
      <c r="T455" s="156"/>
      <c r="U455" s="156"/>
      <c r="V455" s="156"/>
      <c r="W455" s="156"/>
      <c r="X455" s="156"/>
      <c r="Y455" s="156"/>
      <c r="Z455" s="156"/>
      <c r="AA455" s="156"/>
      <c r="AB455" s="156"/>
      <c r="AC455" s="156"/>
    </row>
    <row r="456" spans="1:29" ht="13">
      <c r="A456" s="140"/>
      <c r="B456" s="140"/>
      <c r="C456" s="156"/>
      <c r="D456" s="156"/>
      <c r="E456" s="156"/>
      <c r="F456" s="156"/>
      <c r="G456" s="185"/>
      <c r="H456" s="156"/>
      <c r="I456" s="156"/>
      <c r="J456" s="156"/>
      <c r="K456" s="156"/>
      <c r="L456" s="157"/>
      <c r="M456" s="156"/>
      <c r="N456" s="156"/>
      <c r="O456" s="156"/>
      <c r="P456" s="156"/>
      <c r="Q456" s="156"/>
      <c r="R456" s="156"/>
      <c r="S456" s="156"/>
      <c r="T456" s="156"/>
      <c r="U456" s="156"/>
      <c r="V456" s="156"/>
      <c r="W456" s="156"/>
      <c r="X456" s="156"/>
      <c r="Y456" s="156"/>
      <c r="Z456" s="156"/>
      <c r="AA456" s="156"/>
      <c r="AB456" s="156"/>
      <c r="AC456" s="156"/>
    </row>
    <row r="457" spans="1:29" ht="13">
      <c r="A457" s="140"/>
      <c r="B457" s="140"/>
      <c r="C457" s="156"/>
      <c r="D457" s="156"/>
      <c r="E457" s="156"/>
      <c r="F457" s="156"/>
      <c r="G457" s="185"/>
      <c r="H457" s="156"/>
      <c r="I457" s="156"/>
      <c r="J457" s="156"/>
      <c r="K457" s="156"/>
      <c r="L457" s="157"/>
      <c r="M457" s="156"/>
      <c r="N457" s="156"/>
      <c r="O457" s="156"/>
      <c r="P457" s="156"/>
      <c r="Q457" s="156"/>
      <c r="R457" s="156"/>
      <c r="S457" s="156"/>
      <c r="T457" s="156"/>
      <c r="U457" s="156"/>
      <c r="V457" s="156"/>
      <c r="W457" s="156"/>
      <c r="X457" s="156"/>
      <c r="Y457" s="156"/>
      <c r="Z457" s="156"/>
      <c r="AA457" s="156"/>
      <c r="AB457" s="156"/>
      <c r="AC457" s="156"/>
    </row>
    <row r="458" spans="1:29" ht="13">
      <c r="A458" s="140"/>
      <c r="B458" s="140"/>
      <c r="C458" s="156"/>
      <c r="D458" s="156"/>
      <c r="E458" s="156"/>
      <c r="F458" s="156"/>
      <c r="G458" s="185"/>
      <c r="H458" s="156"/>
      <c r="I458" s="156"/>
      <c r="J458" s="156"/>
      <c r="K458" s="156"/>
      <c r="L458" s="157"/>
      <c r="M458" s="156"/>
      <c r="N458" s="156"/>
      <c r="O458" s="156"/>
      <c r="P458" s="156"/>
      <c r="Q458" s="156"/>
      <c r="R458" s="156"/>
      <c r="S458" s="156"/>
      <c r="T458" s="156"/>
      <c r="U458" s="156"/>
      <c r="V458" s="156"/>
      <c r="W458" s="156"/>
      <c r="X458" s="156"/>
      <c r="Y458" s="156"/>
      <c r="Z458" s="156"/>
      <c r="AA458" s="156"/>
      <c r="AB458" s="156"/>
      <c r="AC458" s="156"/>
    </row>
    <row r="459" spans="1:29" ht="13">
      <c r="A459" s="140"/>
      <c r="B459" s="140"/>
      <c r="C459" s="156"/>
      <c r="D459" s="156"/>
      <c r="E459" s="156"/>
      <c r="F459" s="156"/>
      <c r="G459" s="185"/>
      <c r="H459" s="156"/>
      <c r="I459" s="156"/>
      <c r="J459" s="156"/>
      <c r="K459" s="156"/>
      <c r="L459" s="157"/>
      <c r="M459" s="156"/>
      <c r="N459" s="156"/>
      <c r="O459" s="156"/>
      <c r="P459" s="156"/>
      <c r="Q459" s="156"/>
      <c r="R459" s="156"/>
      <c r="S459" s="156"/>
      <c r="T459" s="156"/>
      <c r="U459" s="156"/>
      <c r="V459" s="156"/>
      <c r="W459" s="156"/>
      <c r="X459" s="156"/>
      <c r="Y459" s="156"/>
      <c r="Z459" s="156"/>
      <c r="AA459" s="156"/>
      <c r="AB459" s="156"/>
      <c r="AC459" s="156"/>
    </row>
    <row r="460" spans="1:29" ht="13">
      <c r="A460" s="140"/>
      <c r="B460" s="140"/>
      <c r="C460" s="156"/>
      <c r="D460" s="156"/>
      <c r="E460" s="156"/>
      <c r="F460" s="156"/>
      <c r="G460" s="185"/>
      <c r="H460" s="156"/>
      <c r="I460" s="156"/>
      <c r="J460" s="156"/>
      <c r="K460" s="156"/>
      <c r="L460" s="157"/>
      <c r="M460" s="156"/>
      <c r="N460" s="156"/>
      <c r="O460" s="156"/>
      <c r="P460" s="156"/>
      <c r="Q460" s="156"/>
      <c r="R460" s="156"/>
      <c r="S460" s="156"/>
      <c r="T460" s="156"/>
      <c r="U460" s="156"/>
      <c r="V460" s="156"/>
      <c r="W460" s="156"/>
      <c r="X460" s="156"/>
      <c r="Y460" s="156"/>
      <c r="Z460" s="156"/>
      <c r="AA460" s="156"/>
      <c r="AB460" s="156"/>
      <c r="AC460" s="156"/>
    </row>
    <row r="461" spans="1:29" ht="13">
      <c r="A461" s="140"/>
      <c r="B461" s="140"/>
      <c r="C461" s="156"/>
      <c r="D461" s="156"/>
      <c r="E461" s="156"/>
      <c r="F461" s="156"/>
      <c r="G461" s="185"/>
      <c r="H461" s="156"/>
      <c r="I461" s="156"/>
      <c r="J461" s="156"/>
      <c r="K461" s="156"/>
      <c r="L461" s="157"/>
      <c r="M461" s="156"/>
      <c r="N461" s="156"/>
      <c r="O461" s="156"/>
      <c r="P461" s="156"/>
      <c r="Q461" s="156"/>
      <c r="R461" s="156"/>
      <c r="S461" s="156"/>
      <c r="T461" s="156"/>
      <c r="U461" s="156"/>
      <c r="V461" s="156"/>
      <c r="W461" s="156"/>
      <c r="X461" s="156"/>
      <c r="Y461" s="156"/>
      <c r="Z461" s="156"/>
      <c r="AA461" s="156"/>
      <c r="AB461" s="156"/>
      <c r="AC461" s="156"/>
    </row>
    <row r="462" spans="1:29" ht="13">
      <c r="A462" s="140"/>
      <c r="B462" s="140"/>
      <c r="C462" s="156"/>
      <c r="D462" s="156"/>
      <c r="E462" s="156"/>
      <c r="F462" s="156"/>
      <c r="G462" s="185"/>
      <c r="H462" s="156"/>
      <c r="I462" s="156"/>
      <c r="J462" s="156"/>
      <c r="K462" s="156"/>
      <c r="L462" s="157"/>
      <c r="M462" s="156"/>
      <c r="N462" s="156"/>
      <c r="O462" s="156"/>
      <c r="P462" s="156"/>
      <c r="Q462" s="156"/>
      <c r="R462" s="156"/>
      <c r="S462" s="156"/>
      <c r="T462" s="156"/>
      <c r="U462" s="156"/>
      <c r="V462" s="156"/>
      <c r="W462" s="156"/>
      <c r="X462" s="156"/>
      <c r="Y462" s="156"/>
      <c r="Z462" s="156"/>
      <c r="AA462" s="156"/>
      <c r="AB462" s="156"/>
      <c r="AC462" s="156"/>
    </row>
    <row r="463" spans="1:29" ht="13">
      <c r="A463" s="140"/>
      <c r="B463" s="140"/>
      <c r="C463" s="156"/>
      <c r="D463" s="156"/>
      <c r="E463" s="156"/>
      <c r="F463" s="156"/>
      <c r="G463" s="185"/>
      <c r="H463" s="156"/>
      <c r="I463" s="156"/>
      <c r="J463" s="156"/>
      <c r="K463" s="156"/>
      <c r="L463" s="157"/>
      <c r="M463" s="156"/>
      <c r="N463" s="156"/>
      <c r="O463" s="156"/>
      <c r="P463" s="156"/>
      <c r="Q463" s="156"/>
      <c r="R463" s="156"/>
      <c r="S463" s="156"/>
      <c r="T463" s="156"/>
      <c r="U463" s="156"/>
      <c r="V463" s="156"/>
      <c r="W463" s="156"/>
      <c r="X463" s="156"/>
      <c r="Y463" s="156"/>
      <c r="Z463" s="156"/>
      <c r="AA463" s="156"/>
      <c r="AB463" s="156"/>
      <c r="AC463" s="156"/>
    </row>
    <row r="464" spans="1:29" ht="13">
      <c r="A464" s="140"/>
      <c r="B464" s="140"/>
      <c r="C464" s="156"/>
      <c r="D464" s="156"/>
      <c r="E464" s="156"/>
      <c r="F464" s="156"/>
      <c r="G464" s="185"/>
      <c r="H464" s="156"/>
      <c r="I464" s="156"/>
      <c r="J464" s="156"/>
      <c r="K464" s="156"/>
      <c r="L464" s="157"/>
      <c r="M464" s="156"/>
      <c r="N464" s="156"/>
      <c r="O464" s="156"/>
      <c r="P464" s="156"/>
      <c r="Q464" s="156"/>
      <c r="R464" s="156"/>
      <c r="S464" s="156"/>
      <c r="T464" s="156"/>
      <c r="U464" s="156"/>
      <c r="V464" s="156"/>
      <c r="W464" s="156"/>
      <c r="X464" s="156"/>
      <c r="Y464" s="156"/>
      <c r="Z464" s="156"/>
      <c r="AA464" s="156"/>
      <c r="AB464" s="156"/>
      <c r="AC464" s="156"/>
    </row>
    <row r="465" spans="1:29" ht="13">
      <c r="A465" s="140"/>
      <c r="B465" s="140"/>
      <c r="C465" s="156"/>
      <c r="D465" s="156"/>
      <c r="E465" s="156"/>
      <c r="F465" s="156"/>
      <c r="G465" s="185"/>
      <c r="H465" s="156"/>
      <c r="I465" s="156"/>
      <c r="J465" s="156"/>
      <c r="K465" s="156"/>
      <c r="L465" s="157"/>
      <c r="M465" s="156"/>
      <c r="N465" s="156"/>
      <c r="O465" s="156"/>
      <c r="P465" s="156"/>
      <c r="Q465" s="156"/>
      <c r="R465" s="156"/>
      <c r="S465" s="156"/>
      <c r="T465" s="156"/>
      <c r="U465" s="156"/>
      <c r="V465" s="156"/>
      <c r="W465" s="156"/>
      <c r="X465" s="156"/>
      <c r="Y465" s="156"/>
      <c r="Z465" s="156"/>
      <c r="AA465" s="156"/>
      <c r="AB465" s="156"/>
      <c r="AC465" s="156"/>
    </row>
    <row r="466" spans="1:29" ht="13">
      <c r="A466" s="140"/>
      <c r="B466" s="140"/>
      <c r="C466" s="156"/>
      <c r="D466" s="156"/>
      <c r="E466" s="156"/>
      <c r="F466" s="156"/>
      <c r="G466" s="185"/>
      <c r="H466" s="156"/>
      <c r="I466" s="156"/>
      <c r="J466" s="156"/>
      <c r="K466" s="156"/>
      <c r="L466" s="157"/>
      <c r="M466" s="156"/>
      <c r="N466" s="156"/>
      <c r="O466" s="156"/>
      <c r="P466" s="156"/>
      <c r="Q466" s="156"/>
      <c r="R466" s="156"/>
      <c r="S466" s="156"/>
      <c r="T466" s="156"/>
      <c r="U466" s="156"/>
      <c r="V466" s="156"/>
      <c r="W466" s="156"/>
      <c r="X466" s="156"/>
      <c r="Y466" s="156"/>
      <c r="Z466" s="156"/>
      <c r="AA466" s="156"/>
      <c r="AB466" s="156"/>
      <c r="AC466" s="156"/>
    </row>
    <row r="467" spans="1:29" ht="13">
      <c r="A467" s="140"/>
      <c r="B467" s="140"/>
      <c r="C467" s="156"/>
      <c r="D467" s="156"/>
      <c r="E467" s="156"/>
      <c r="F467" s="156"/>
      <c r="G467" s="185"/>
      <c r="H467" s="156"/>
      <c r="I467" s="156"/>
      <c r="J467" s="156"/>
      <c r="K467" s="156"/>
      <c r="L467" s="157"/>
      <c r="M467" s="156"/>
      <c r="N467" s="156"/>
      <c r="O467" s="156"/>
      <c r="P467" s="156"/>
      <c r="Q467" s="156"/>
      <c r="R467" s="156"/>
      <c r="S467" s="156"/>
      <c r="T467" s="156"/>
      <c r="U467" s="156"/>
      <c r="V467" s="156"/>
      <c r="W467" s="156"/>
      <c r="X467" s="156"/>
      <c r="Y467" s="156"/>
      <c r="Z467" s="156"/>
      <c r="AA467" s="156"/>
      <c r="AB467" s="156"/>
      <c r="AC467" s="156"/>
    </row>
    <row r="468" spans="1:29" ht="13">
      <c r="A468" s="140"/>
      <c r="B468" s="140"/>
      <c r="C468" s="156"/>
      <c r="D468" s="156"/>
      <c r="E468" s="156"/>
      <c r="F468" s="156"/>
      <c r="G468" s="185"/>
      <c r="H468" s="156"/>
      <c r="I468" s="156"/>
      <c r="J468" s="156"/>
      <c r="K468" s="156"/>
      <c r="L468" s="157"/>
      <c r="M468" s="156"/>
      <c r="N468" s="156"/>
      <c r="O468" s="156"/>
      <c r="P468" s="156"/>
      <c r="Q468" s="156"/>
      <c r="R468" s="156"/>
      <c r="S468" s="156"/>
      <c r="T468" s="156"/>
      <c r="U468" s="156"/>
      <c r="V468" s="156"/>
      <c r="W468" s="156"/>
      <c r="X468" s="156"/>
      <c r="Y468" s="156"/>
      <c r="Z468" s="156"/>
      <c r="AA468" s="156"/>
      <c r="AB468" s="156"/>
      <c r="AC468" s="156"/>
    </row>
    <row r="469" spans="1:29" ht="13">
      <c r="A469" s="140"/>
      <c r="B469" s="140"/>
      <c r="C469" s="156"/>
      <c r="D469" s="156"/>
      <c r="E469" s="156"/>
      <c r="F469" s="156"/>
      <c r="G469" s="185"/>
      <c r="H469" s="156"/>
      <c r="I469" s="156"/>
      <c r="J469" s="156"/>
      <c r="K469" s="156"/>
      <c r="L469" s="157"/>
      <c r="M469" s="156"/>
      <c r="N469" s="156"/>
      <c r="O469" s="156"/>
      <c r="P469" s="156"/>
      <c r="Q469" s="156"/>
      <c r="R469" s="156"/>
      <c r="S469" s="156"/>
      <c r="T469" s="156"/>
      <c r="U469" s="156"/>
      <c r="V469" s="156"/>
      <c r="W469" s="156"/>
      <c r="X469" s="156"/>
      <c r="Y469" s="156"/>
      <c r="Z469" s="156"/>
      <c r="AA469" s="156"/>
      <c r="AB469" s="156"/>
      <c r="AC469" s="156"/>
    </row>
    <row r="470" spans="1:29" ht="13">
      <c r="A470" s="140"/>
      <c r="B470" s="140"/>
      <c r="C470" s="156"/>
      <c r="D470" s="156"/>
      <c r="E470" s="156"/>
      <c r="F470" s="156"/>
      <c r="G470" s="185"/>
      <c r="H470" s="156"/>
      <c r="I470" s="156"/>
      <c r="J470" s="156"/>
      <c r="K470" s="156"/>
      <c r="L470" s="157"/>
      <c r="M470" s="156"/>
      <c r="N470" s="156"/>
      <c r="O470" s="156"/>
      <c r="P470" s="156"/>
      <c r="Q470" s="156"/>
      <c r="R470" s="156"/>
      <c r="S470" s="156"/>
      <c r="T470" s="156"/>
      <c r="U470" s="156"/>
      <c r="V470" s="156"/>
      <c r="W470" s="156"/>
      <c r="X470" s="156"/>
      <c r="Y470" s="156"/>
      <c r="Z470" s="156"/>
      <c r="AA470" s="156"/>
      <c r="AB470" s="156"/>
      <c r="AC470" s="156"/>
    </row>
    <row r="471" spans="1:29" ht="13">
      <c r="A471" s="140"/>
      <c r="B471" s="140"/>
      <c r="C471" s="156"/>
      <c r="D471" s="156"/>
      <c r="E471" s="156"/>
      <c r="F471" s="156"/>
      <c r="G471" s="185"/>
      <c r="H471" s="156"/>
      <c r="I471" s="156"/>
      <c r="J471" s="156"/>
      <c r="K471" s="156"/>
      <c r="L471" s="157"/>
      <c r="M471" s="156"/>
      <c r="N471" s="156"/>
      <c r="O471" s="156"/>
      <c r="P471" s="156"/>
      <c r="Q471" s="156"/>
      <c r="R471" s="156"/>
      <c r="S471" s="156"/>
      <c r="T471" s="156"/>
      <c r="U471" s="156"/>
      <c r="V471" s="156"/>
      <c r="W471" s="156"/>
      <c r="X471" s="156"/>
      <c r="Y471" s="156"/>
      <c r="Z471" s="156"/>
      <c r="AA471" s="156"/>
      <c r="AB471" s="156"/>
      <c r="AC471" s="156"/>
    </row>
    <row r="472" spans="1:29" ht="13">
      <c r="A472" s="140"/>
      <c r="B472" s="140"/>
      <c r="C472" s="156"/>
      <c r="D472" s="156"/>
      <c r="E472" s="156"/>
      <c r="F472" s="156"/>
      <c r="G472" s="185"/>
      <c r="H472" s="156"/>
      <c r="I472" s="156"/>
      <c r="J472" s="156"/>
      <c r="K472" s="156"/>
      <c r="L472" s="157"/>
      <c r="M472" s="156"/>
      <c r="N472" s="156"/>
      <c r="O472" s="156"/>
      <c r="P472" s="156"/>
      <c r="Q472" s="156"/>
      <c r="R472" s="156"/>
      <c r="S472" s="156"/>
      <c r="T472" s="156"/>
      <c r="U472" s="156"/>
      <c r="V472" s="156"/>
      <c r="W472" s="156"/>
      <c r="X472" s="156"/>
      <c r="Y472" s="156"/>
      <c r="Z472" s="156"/>
      <c r="AA472" s="156"/>
      <c r="AB472" s="156"/>
      <c r="AC472" s="156"/>
    </row>
    <row r="473" spans="1:29" ht="13">
      <c r="A473" s="140"/>
      <c r="B473" s="140"/>
      <c r="C473" s="156"/>
      <c r="D473" s="156"/>
      <c r="E473" s="156"/>
      <c r="F473" s="156"/>
      <c r="G473" s="185"/>
      <c r="H473" s="156"/>
      <c r="I473" s="156"/>
      <c r="J473" s="156"/>
      <c r="K473" s="156"/>
      <c r="L473" s="157"/>
      <c r="M473" s="156"/>
      <c r="N473" s="156"/>
      <c r="O473" s="156"/>
      <c r="P473" s="156"/>
      <c r="Q473" s="156"/>
      <c r="R473" s="156"/>
      <c r="S473" s="156"/>
      <c r="T473" s="156"/>
      <c r="U473" s="156"/>
      <c r="V473" s="156"/>
      <c r="W473" s="156"/>
      <c r="X473" s="156"/>
      <c r="Y473" s="156"/>
      <c r="Z473" s="156"/>
      <c r="AA473" s="156"/>
      <c r="AB473" s="156"/>
      <c r="AC473" s="156"/>
    </row>
    <row r="474" spans="1:29" ht="13">
      <c r="A474" s="140"/>
      <c r="B474" s="140"/>
      <c r="C474" s="156"/>
      <c r="D474" s="156"/>
      <c r="E474" s="156"/>
      <c r="F474" s="156"/>
      <c r="G474" s="185"/>
      <c r="H474" s="156"/>
      <c r="I474" s="156"/>
      <c r="J474" s="156"/>
      <c r="K474" s="156"/>
      <c r="L474" s="157"/>
      <c r="M474" s="156"/>
      <c r="N474" s="156"/>
      <c r="O474" s="156"/>
      <c r="P474" s="156"/>
      <c r="Q474" s="156"/>
      <c r="R474" s="156"/>
      <c r="S474" s="156"/>
      <c r="T474" s="156"/>
      <c r="U474" s="156"/>
      <c r="V474" s="156"/>
      <c r="W474" s="156"/>
      <c r="X474" s="156"/>
      <c r="Y474" s="156"/>
      <c r="Z474" s="156"/>
      <c r="AA474" s="156"/>
      <c r="AB474" s="156"/>
      <c r="AC474" s="156"/>
    </row>
    <row r="475" spans="1:29" ht="13">
      <c r="A475" s="140"/>
      <c r="B475" s="140"/>
      <c r="C475" s="156"/>
      <c r="D475" s="156"/>
      <c r="E475" s="156"/>
      <c r="F475" s="156"/>
      <c r="G475" s="185"/>
      <c r="H475" s="156"/>
      <c r="I475" s="156"/>
      <c r="J475" s="156"/>
      <c r="K475" s="156"/>
      <c r="L475" s="157"/>
      <c r="M475" s="156"/>
      <c r="N475" s="156"/>
      <c r="O475" s="156"/>
      <c r="P475" s="156"/>
      <c r="Q475" s="156"/>
      <c r="R475" s="156"/>
      <c r="S475" s="156"/>
      <c r="T475" s="156"/>
      <c r="U475" s="156"/>
      <c r="V475" s="156"/>
      <c r="W475" s="156"/>
      <c r="X475" s="156"/>
      <c r="Y475" s="156"/>
      <c r="Z475" s="156"/>
      <c r="AA475" s="156"/>
      <c r="AB475" s="156"/>
      <c r="AC475" s="156"/>
    </row>
    <row r="476" spans="1:29" ht="13">
      <c r="A476" s="140"/>
      <c r="B476" s="140"/>
      <c r="C476" s="156"/>
      <c r="D476" s="156"/>
      <c r="E476" s="156"/>
      <c r="F476" s="156"/>
      <c r="G476" s="185"/>
      <c r="H476" s="156"/>
      <c r="I476" s="156"/>
      <c r="J476" s="156"/>
      <c r="K476" s="156"/>
      <c r="L476" s="157"/>
      <c r="M476" s="156"/>
      <c r="N476" s="156"/>
      <c r="O476" s="156"/>
      <c r="P476" s="156"/>
      <c r="Q476" s="156"/>
      <c r="R476" s="156"/>
      <c r="S476" s="156"/>
      <c r="T476" s="156"/>
      <c r="U476" s="156"/>
      <c r="V476" s="156"/>
      <c r="W476" s="156"/>
      <c r="X476" s="156"/>
      <c r="Y476" s="156"/>
      <c r="Z476" s="156"/>
      <c r="AA476" s="156"/>
      <c r="AB476" s="156"/>
      <c r="AC476" s="156"/>
    </row>
    <row r="477" spans="1:29" ht="13">
      <c r="A477" s="140"/>
      <c r="B477" s="140"/>
      <c r="C477" s="156"/>
      <c r="D477" s="156"/>
      <c r="E477" s="156"/>
      <c r="F477" s="156"/>
      <c r="G477" s="185"/>
      <c r="H477" s="156"/>
      <c r="I477" s="156"/>
      <c r="J477" s="156"/>
      <c r="K477" s="156"/>
      <c r="L477" s="157"/>
      <c r="M477" s="156"/>
      <c r="N477" s="156"/>
      <c r="O477" s="156"/>
      <c r="P477" s="156"/>
      <c r="Q477" s="156"/>
      <c r="R477" s="156"/>
      <c r="S477" s="156"/>
      <c r="T477" s="156"/>
      <c r="U477" s="156"/>
      <c r="V477" s="156"/>
      <c r="W477" s="156"/>
      <c r="X477" s="156"/>
      <c r="Y477" s="156"/>
      <c r="Z477" s="156"/>
      <c r="AA477" s="156"/>
      <c r="AB477" s="156"/>
      <c r="AC477" s="156"/>
    </row>
    <row r="478" spans="1:29" ht="13">
      <c r="A478" s="140"/>
      <c r="B478" s="140"/>
      <c r="C478" s="156"/>
      <c r="D478" s="156"/>
      <c r="E478" s="156"/>
      <c r="F478" s="156"/>
      <c r="G478" s="185"/>
      <c r="H478" s="156"/>
      <c r="I478" s="156"/>
      <c r="J478" s="156"/>
      <c r="K478" s="156"/>
      <c r="L478" s="157"/>
      <c r="M478" s="156"/>
      <c r="N478" s="156"/>
      <c r="O478" s="156"/>
      <c r="P478" s="156"/>
      <c r="Q478" s="156"/>
      <c r="R478" s="156"/>
      <c r="S478" s="156"/>
      <c r="T478" s="156"/>
      <c r="U478" s="156"/>
      <c r="V478" s="156"/>
      <c r="W478" s="156"/>
      <c r="X478" s="156"/>
      <c r="Y478" s="156"/>
      <c r="Z478" s="156"/>
      <c r="AA478" s="156"/>
      <c r="AB478" s="156"/>
      <c r="AC478" s="156"/>
    </row>
    <row r="479" spans="1:29" ht="13">
      <c r="A479" s="140"/>
      <c r="B479" s="140"/>
      <c r="C479" s="156"/>
      <c r="D479" s="156"/>
      <c r="E479" s="156"/>
      <c r="F479" s="156"/>
      <c r="G479" s="185"/>
      <c r="H479" s="156"/>
      <c r="I479" s="156"/>
      <c r="J479" s="156"/>
      <c r="K479" s="156"/>
      <c r="L479" s="157"/>
      <c r="M479" s="156"/>
      <c r="N479" s="156"/>
      <c r="O479" s="156"/>
      <c r="P479" s="156"/>
      <c r="Q479" s="156"/>
      <c r="R479" s="156"/>
      <c r="S479" s="156"/>
      <c r="T479" s="156"/>
      <c r="U479" s="156"/>
      <c r="V479" s="156"/>
      <c r="W479" s="156"/>
      <c r="X479" s="156"/>
      <c r="Y479" s="156"/>
      <c r="Z479" s="156"/>
      <c r="AA479" s="156"/>
      <c r="AB479" s="156"/>
      <c r="AC479" s="156"/>
    </row>
    <row r="480" spans="1:29" ht="13">
      <c r="A480" s="140"/>
      <c r="B480" s="140"/>
      <c r="C480" s="156"/>
      <c r="D480" s="156"/>
      <c r="E480" s="156"/>
      <c r="F480" s="156"/>
      <c r="G480" s="185"/>
      <c r="H480" s="156"/>
      <c r="I480" s="156"/>
      <c r="J480" s="156"/>
      <c r="K480" s="156"/>
      <c r="L480" s="157"/>
      <c r="M480" s="156"/>
      <c r="N480" s="156"/>
      <c r="O480" s="156"/>
      <c r="P480" s="156"/>
      <c r="Q480" s="156"/>
      <c r="R480" s="156"/>
      <c r="S480" s="156"/>
      <c r="T480" s="156"/>
      <c r="U480" s="156"/>
      <c r="V480" s="156"/>
      <c r="W480" s="156"/>
      <c r="X480" s="156"/>
      <c r="Y480" s="156"/>
      <c r="Z480" s="156"/>
      <c r="AA480" s="156"/>
      <c r="AB480" s="156"/>
      <c r="AC480" s="156"/>
    </row>
    <row r="481" spans="1:29" ht="13">
      <c r="A481" s="140"/>
      <c r="B481" s="140"/>
      <c r="C481" s="156"/>
      <c r="D481" s="156"/>
      <c r="E481" s="156"/>
      <c r="F481" s="156"/>
      <c r="G481" s="185"/>
      <c r="H481" s="156"/>
      <c r="I481" s="156"/>
      <c r="J481" s="156"/>
      <c r="K481" s="156"/>
      <c r="L481" s="157"/>
      <c r="M481" s="156"/>
      <c r="N481" s="156"/>
      <c r="O481" s="156"/>
      <c r="P481" s="156"/>
      <c r="Q481" s="156"/>
      <c r="R481" s="156"/>
      <c r="S481" s="156"/>
      <c r="T481" s="156"/>
      <c r="U481" s="156"/>
      <c r="V481" s="156"/>
      <c r="W481" s="156"/>
      <c r="X481" s="156"/>
      <c r="Y481" s="156"/>
      <c r="Z481" s="156"/>
      <c r="AA481" s="156"/>
      <c r="AB481" s="156"/>
      <c r="AC481" s="156"/>
    </row>
    <row r="482" spans="1:29" ht="13">
      <c r="A482" s="140"/>
      <c r="B482" s="140"/>
      <c r="C482" s="156"/>
      <c r="D482" s="156"/>
      <c r="E482" s="156"/>
      <c r="F482" s="156"/>
      <c r="G482" s="185"/>
      <c r="H482" s="156"/>
      <c r="I482" s="156"/>
      <c r="J482" s="156"/>
      <c r="K482" s="156"/>
      <c r="L482" s="157"/>
      <c r="M482" s="156"/>
      <c r="N482" s="156"/>
      <c r="O482" s="156"/>
      <c r="P482" s="156"/>
      <c r="Q482" s="156"/>
      <c r="R482" s="156"/>
      <c r="S482" s="156"/>
      <c r="T482" s="156"/>
      <c r="U482" s="156"/>
      <c r="V482" s="156"/>
      <c r="W482" s="156"/>
      <c r="X482" s="156"/>
      <c r="Y482" s="156"/>
      <c r="Z482" s="156"/>
      <c r="AA482" s="156"/>
      <c r="AB482" s="156"/>
      <c r="AC482" s="156"/>
    </row>
    <row r="483" spans="1:29" ht="13">
      <c r="A483" s="140"/>
      <c r="B483" s="140"/>
      <c r="C483" s="156"/>
      <c r="D483" s="156"/>
      <c r="E483" s="156"/>
      <c r="F483" s="156"/>
      <c r="G483" s="185"/>
      <c r="H483" s="156"/>
      <c r="I483" s="156"/>
      <c r="J483" s="156"/>
      <c r="K483" s="156"/>
      <c r="L483" s="157"/>
      <c r="M483" s="156"/>
      <c r="N483" s="156"/>
      <c r="O483" s="156"/>
      <c r="P483" s="156"/>
      <c r="Q483" s="156"/>
      <c r="R483" s="156"/>
      <c r="S483" s="156"/>
      <c r="T483" s="156"/>
      <c r="U483" s="156"/>
      <c r="V483" s="156"/>
      <c r="W483" s="156"/>
      <c r="X483" s="156"/>
      <c r="Y483" s="156"/>
      <c r="Z483" s="156"/>
      <c r="AA483" s="156"/>
      <c r="AB483" s="156"/>
      <c r="AC483" s="156"/>
    </row>
    <row r="484" spans="1:29" ht="13">
      <c r="A484" s="140"/>
      <c r="B484" s="140"/>
      <c r="C484" s="156"/>
      <c r="D484" s="156"/>
      <c r="E484" s="156"/>
      <c r="F484" s="156"/>
      <c r="G484" s="185"/>
      <c r="H484" s="156"/>
      <c r="I484" s="156"/>
      <c r="J484" s="156"/>
      <c r="K484" s="156"/>
      <c r="L484" s="157"/>
      <c r="M484" s="156"/>
      <c r="N484" s="156"/>
      <c r="O484" s="156"/>
      <c r="P484" s="156"/>
      <c r="Q484" s="156"/>
      <c r="R484" s="156"/>
      <c r="S484" s="156"/>
      <c r="T484" s="156"/>
      <c r="U484" s="156"/>
      <c r="V484" s="156"/>
      <c r="W484" s="156"/>
      <c r="X484" s="156"/>
      <c r="Y484" s="156"/>
      <c r="Z484" s="156"/>
      <c r="AA484" s="156"/>
      <c r="AB484" s="156"/>
      <c r="AC484" s="156"/>
    </row>
    <row r="485" spans="1:29" ht="13">
      <c r="A485" s="140"/>
      <c r="B485" s="140"/>
      <c r="C485" s="156"/>
      <c r="D485" s="156"/>
      <c r="E485" s="156"/>
      <c r="F485" s="156"/>
      <c r="G485" s="185"/>
      <c r="H485" s="156"/>
      <c r="I485" s="156"/>
      <c r="J485" s="156"/>
      <c r="K485" s="156"/>
      <c r="L485" s="157"/>
      <c r="M485" s="156"/>
      <c r="N485" s="156"/>
      <c r="O485" s="156"/>
      <c r="P485" s="156"/>
      <c r="Q485" s="156"/>
      <c r="R485" s="156"/>
      <c r="S485" s="156"/>
      <c r="T485" s="156"/>
      <c r="U485" s="156"/>
      <c r="V485" s="156"/>
      <c r="W485" s="156"/>
      <c r="X485" s="156"/>
      <c r="Y485" s="156"/>
      <c r="Z485" s="156"/>
      <c r="AA485" s="156"/>
      <c r="AB485" s="156"/>
      <c r="AC485" s="156"/>
    </row>
    <row r="486" spans="1:29" ht="13">
      <c r="A486" s="140"/>
      <c r="B486" s="140"/>
      <c r="C486" s="156"/>
      <c r="D486" s="156"/>
      <c r="E486" s="156"/>
      <c r="F486" s="156"/>
      <c r="G486" s="185"/>
      <c r="H486" s="156"/>
      <c r="I486" s="156"/>
      <c r="J486" s="156"/>
      <c r="K486" s="156"/>
      <c r="L486" s="157"/>
      <c r="M486" s="156"/>
      <c r="N486" s="156"/>
      <c r="O486" s="156"/>
      <c r="P486" s="156"/>
      <c r="Q486" s="156"/>
      <c r="R486" s="156"/>
      <c r="S486" s="156"/>
      <c r="T486" s="156"/>
      <c r="U486" s="156"/>
      <c r="V486" s="156"/>
      <c r="W486" s="156"/>
      <c r="X486" s="156"/>
      <c r="Y486" s="156"/>
      <c r="Z486" s="156"/>
      <c r="AA486" s="156"/>
      <c r="AB486" s="156"/>
      <c r="AC486" s="156"/>
    </row>
    <row r="487" spans="1:29" ht="13">
      <c r="A487" s="140"/>
      <c r="B487" s="140"/>
      <c r="C487" s="156"/>
      <c r="D487" s="156"/>
      <c r="E487" s="156"/>
      <c r="F487" s="156"/>
      <c r="G487" s="185"/>
      <c r="H487" s="156"/>
      <c r="I487" s="156"/>
      <c r="J487" s="156"/>
      <c r="K487" s="156"/>
      <c r="L487" s="157"/>
      <c r="M487" s="156"/>
      <c r="N487" s="156"/>
      <c r="O487" s="156"/>
      <c r="P487" s="156"/>
      <c r="Q487" s="156"/>
      <c r="R487" s="156"/>
      <c r="S487" s="156"/>
      <c r="T487" s="156"/>
      <c r="U487" s="156"/>
      <c r="V487" s="156"/>
      <c r="W487" s="156"/>
      <c r="X487" s="156"/>
      <c r="Y487" s="156"/>
      <c r="Z487" s="156"/>
      <c r="AA487" s="156"/>
      <c r="AB487" s="156"/>
      <c r="AC487" s="156"/>
    </row>
    <row r="488" spans="1:29" ht="13">
      <c r="A488" s="140"/>
      <c r="B488" s="140"/>
      <c r="C488" s="156"/>
      <c r="D488" s="156"/>
      <c r="E488" s="156"/>
      <c r="F488" s="156"/>
      <c r="G488" s="185"/>
      <c r="H488" s="156"/>
      <c r="I488" s="156"/>
      <c r="J488" s="156"/>
      <c r="K488" s="156"/>
      <c r="L488" s="157"/>
      <c r="M488" s="156"/>
      <c r="N488" s="156"/>
      <c r="O488" s="156"/>
      <c r="P488" s="156"/>
      <c r="Q488" s="156"/>
      <c r="R488" s="156"/>
      <c r="S488" s="156"/>
      <c r="T488" s="156"/>
      <c r="U488" s="156"/>
      <c r="V488" s="156"/>
      <c r="W488" s="156"/>
      <c r="X488" s="156"/>
      <c r="Y488" s="156"/>
      <c r="Z488" s="156"/>
      <c r="AA488" s="156"/>
      <c r="AB488" s="156"/>
      <c r="AC488" s="156"/>
    </row>
    <row r="489" spans="1:29" ht="13">
      <c r="A489" s="140"/>
      <c r="B489" s="140"/>
      <c r="C489" s="156"/>
      <c r="D489" s="156"/>
      <c r="E489" s="156"/>
      <c r="F489" s="156"/>
      <c r="G489" s="185"/>
      <c r="H489" s="156"/>
      <c r="I489" s="156"/>
      <c r="J489" s="156"/>
      <c r="K489" s="156"/>
      <c r="L489" s="157"/>
      <c r="M489" s="156"/>
      <c r="N489" s="156"/>
      <c r="O489" s="156"/>
      <c r="P489" s="156"/>
      <c r="Q489" s="156"/>
      <c r="R489" s="156"/>
      <c r="S489" s="156"/>
      <c r="T489" s="156"/>
      <c r="U489" s="156"/>
      <c r="V489" s="156"/>
      <c r="W489" s="156"/>
      <c r="X489" s="156"/>
      <c r="Y489" s="156"/>
      <c r="Z489" s="156"/>
      <c r="AA489" s="156"/>
      <c r="AB489" s="156"/>
      <c r="AC489" s="156"/>
    </row>
    <row r="490" spans="1:29" ht="13">
      <c r="A490" s="140"/>
      <c r="B490" s="140"/>
      <c r="C490" s="156"/>
      <c r="D490" s="156"/>
      <c r="E490" s="156"/>
      <c r="F490" s="156"/>
      <c r="G490" s="185"/>
      <c r="H490" s="156"/>
      <c r="I490" s="156"/>
      <c r="J490" s="156"/>
      <c r="K490" s="156"/>
      <c r="L490" s="157"/>
      <c r="M490" s="156"/>
      <c r="N490" s="156"/>
      <c r="O490" s="156"/>
      <c r="P490" s="156"/>
      <c r="Q490" s="156"/>
      <c r="R490" s="156"/>
      <c r="S490" s="156"/>
      <c r="T490" s="156"/>
      <c r="U490" s="156"/>
      <c r="V490" s="156"/>
      <c r="W490" s="156"/>
      <c r="X490" s="156"/>
      <c r="Y490" s="156"/>
      <c r="Z490" s="156"/>
      <c r="AA490" s="156"/>
      <c r="AB490" s="156"/>
      <c r="AC490" s="156"/>
    </row>
    <row r="491" spans="1:29" ht="13">
      <c r="A491" s="140"/>
      <c r="B491" s="140"/>
      <c r="C491" s="156"/>
      <c r="D491" s="156"/>
      <c r="E491" s="156"/>
      <c r="F491" s="156"/>
      <c r="G491" s="185"/>
      <c r="H491" s="156"/>
      <c r="I491" s="156"/>
      <c r="J491" s="156"/>
      <c r="K491" s="156"/>
      <c r="L491" s="157"/>
      <c r="M491" s="156"/>
      <c r="N491" s="156"/>
      <c r="O491" s="156"/>
      <c r="P491" s="156"/>
      <c r="Q491" s="156"/>
      <c r="R491" s="156"/>
      <c r="S491" s="156"/>
      <c r="T491" s="156"/>
      <c r="U491" s="156"/>
      <c r="V491" s="156"/>
      <c r="W491" s="156"/>
      <c r="X491" s="156"/>
      <c r="Y491" s="156"/>
      <c r="Z491" s="156"/>
      <c r="AA491" s="156"/>
      <c r="AB491" s="156"/>
      <c r="AC491" s="156"/>
    </row>
    <row r="492" spans="1:29" ht="13">
      <c r="A492" s="140"/>
      <c r="B492" s="140"/>
      <c r="C492" s="156"/>
      <c r="D492" s="156"/>
      <c r="E492" s="156"/>
      <c r="F492" s="156"/>
      <c r="G492" s="185"/>
      <c r="H492" s="156"/>
      <c r="I492" s="156"/>
      <c r="J492" s="156"/>
      <c r="K492" s="156"/>
      <c r="L492" s="157"/>
      <c r="M492" s="156"/>
      <c r="N492" s="156"/>
      <c r="O492" s="156"/>
      <c r="P492" s="156"/>
      <c r="Q492" s="156"/>
      <c r="R492" s="156"/>
      <c r="S492" s="156"/>
      <c r="T492" s="156"/>
      <c r="U492" s="156"/>
      <c r="V492" s="156"/>
      <c r="W492" s="156"/>
      <c r="X492" s="156"/>
      <c r="Y492" s="156"/>
      <c r="Z492" s="156"/>
      <c r="AA492" s="156"/>
      <c r="AB492" s="156"/>
      <c r="AC492" s="156"/>
    </row>
    <row r="493" spans="1:29" ht="13">
      <c r="A493" s="140"/>
      <c r="B493" s="140"/>
      <c r="C493" s="156"/>
      <c r="D493" s="156"/>
      <c r="E493" s="156"/>
      <c r="F493" s="156"/>
      <c r="G493" s="185"/>
      <c r="H493" s="156"/>
      <c r="I493" s="156"/>
      <c r="J493" s="156"/>
      <c r="K493" s="156"/>
      <c r="L493" s="157"/>
      <c r="M493" s="156"/>
      <c r="N493" s="156"/>
      <c r="O493" s="156"/>
      <c r="P493" s="156"/>
      <c r="Q493" s="156"/>
      <c r="R493" s="156"/>
      <c r="S493" s="156"/>
      <c r="T493" s="156"/>
      <c r="U493" s="156"/>
      <c r="V493" s="156"/>
      <c r="W493" s="156"/>
      <c r="X493" s="156"/>
      <c r="Y493" s="156"/>
      <c r="Z493" s="156"/>
      <c r="AA493" s="156"/>
      <c r="AB493" s="156"/>
      <c r="AC493" s="156"/>
    </row>
    <row r="494" spans="1:29" ht="13">
      <c r="A494" s="140"/>
      <c r="B494" s="140"/>
      <c r="C494" s="156"/>
      <c r="D494" s="156"/>
      <c r="E494" s="156"/>
      <c r="F494" s="156"/>
      <c r="G494" s="185"/>
      <c r="H494" s="156"/>
      <c r="I494" s="156"/>
      <c r="J494" s="156"/>
      <c r="K494" s="156"/>
      <c r="L494" s="157"/>
      <c r="M494" s="156"/>
      <c r="N494" s="156"/>
      <c r="O494" s="156"/>
      <c r="P494" s="156"/>
      <c r="Q494" s="156"/>
      <c r="R494" s="156"/>
      <c r="S494" s="156"/>
      <c r="T494" s="156"/>
      <c r="U494" s="156"/>
      <c r="V494" s="156"/>
      <c r="W494" s="156"/>
      <c r="X494" s="156"/>
      <c r="Y494" s="156"/>
      <c r="Z494" s="156"/>
      <c r="AA494" s="156"/>
      <c r="AB494" s="156"/>
      <c r="AC494" s="156"/>
    </row>
    <row r="495" spans="1:29" ht="13">
      <c r="A495" s="140"/>
      <c r="B495" s="140"/>
      <c r="C495" s="156"/>
      <c r="D495" s="156"/>
      <c r="E495" s="156"/>
      <c r="F495" s="156"/>
      <c r="G495" s="185"/>
      <c r="H495" s="156"/>
      <c r="I495" s="156"/>
      <c r="J495" s="156"/>
      <c r="K495" s="156"/>
      <c r="L495" s="157"/>
      <c r="M495" s="156"/>
      <c r="N495" s="156"/>
      <c r="O495" s="156"/>
      <c r="P495" s="156"/>
      <c r="Q495" s="156"/>
      <c r="R495" s="156"/>
      <c r="S495" s="156"/>
      <c r="T495" s="156"/>
      <c r="U495" s="156"/>
      <c r="V495" s="156"/>
      <c r="W495" s="156"/>
      <c r="X495" s="156"/>
      <c r="Y495" s="156"/>
      <c r="Z495" s="156"/>
      <c r="AA495" s="156"/>
      <c r="AB495" s="156"/>
      <c r="AC495" s="156"/>
    </row>
    <row r="496" spans="1:29" ht="13">
      <c r="A496" s="140"/>
      <c r="B496" s="140"/>
      <c r="C496" s="156"/>
      <c r="D496" s="156"/>
      <c r="E496" s="156"/>
      <c r="F496" s="156"/>
      <c r="G496" s="185"/>
      <c r="H496" s="156"/>
      <c r="I496" s="156"/>
      <c r="J496" s="156"/>
      <c r="K496" s="156"/>
      <c r="L496" s="157"/>
      <c r="M496" s="156"/>
      <c r="N496" s="156"/>
      <c r="O496" s="156"/>
      <c r="P496" s="156"/>
      <c r="Q496" s="156"/>
      <c r="R496" s="156"/>
      <c r="S496" s="156"/>
      <c r="T496" s="156"/>
      <c r="U496" s="156"/>
      <c r="V496" s="156"/>
      <c r="W496" s="156"/>
      <c r="X496" s="156"/>
      <c r="Y496" s="156"/>
      <c r="Z496" s="156"/>
      <c r="AA496" s="156"/>
      <c r="AB496" s="156"/>
      <c r="AC496" s="156"/>
    </row>
    <row r="497" spans="1:29" ht="13">
      <c r="A497" s="140"/>
      <c r="B497" s="140"/>
      <c r="C497" s="156"/>
      <c r="D497" s="156"/>
      <c r="E497" s="156"/>
      <c r="F497" s="156"/>
      <c r="G497" s="185"/>
      <c r="H497" s="156"/>
      <c r="I497" s="156"/>
      <c r="J497" s="156"/>
      <c r="K497" s="156"/>
      <c r="L497" s="157"/>
      <c r="M497" s="156"/>
      <c r="N497" s="156"/>
      <c r="O497" s="156"/>
      <c r="P497" s="156"/>
      <c r="Q497" s="156"/>
      <c r="R497" s="156"/>
      <c r="S497" s="156"/>
      <c r="T497" s="156"/>
      <c r="U497" s="156"/>
      <c r="V497" s="156"/>
      <c r="W497" s="156"/>
      <c r="X497" s="156"/>
      <c r="Y497" s="156"/>
      <c r="Z497" s="156"/>
      <c r="AA497" s="156"/>
      <c r="AB497" s="156"/>
      <c r="AC497" s="156"/>
    </row>
    <row r="498" spans="1:29" ht="13">
      <c r="A498" s="140"/>
      <c r="B498" s="140"/>
      <c r="C498" s="156"/>
      <c r="D498" s="156"/>
      <c r="E498" s="156"/>
      <c r="F498" s="156"/>
      <c r="G498" s="185"/>
      <c r="H498" s="156"/>
      <c r="I498" s="156"/>
      <c r="J498" s="156"/>
      <c r="K498" s="156"/>
      <c r="L498" s="157"/>
      <c r="M498" s="156"/>
      <c r="N498" s="156"/>
      <c r="O498" s="156"/>
      <c r="P498" s="156"/>
      <c r="Q498" s="156"/>
      <c r="R498" s="156"/>
      <c r="S498" s="156"/>
      <c r="T498" s="156"/>
      <c r="U498" s="156"/>
      <c r="V498" s="156"/>
      <c r="W498" s="156"/>
      <c r="X498" s="156"/>
      <c r="Y498" s="156"/>
      <c r="Z498" s="156"/>
      <c r="AA498" s="156"/>
      <c r="AB498" s="156"/>
      <c r="AC498" s="156"/>
    </row>
    <row r="499" spans="1:29" ht="13">
      <c r="A499" s="140"/>
      <c r="B499" s="140"/>
      <c r="C499" s="156"/>
      <c r="D499" s="156"/>
      <c r="E499" s="156"/>
      <c r="F499" s="156"/>
      <c r="G499" s="185"/>
      <c r="H499" s="156"/>
      <c r="I499" s="156"/>
      <c r="J499" s="156"/>
      <c r="K499" s="156"/>
      <c r="L499" s="157"/>
      <c r="M499" s="156"/>
      <c r="N499" s="156"/>
      <c r="O499" s="156"/>
      <c r="P499" s="156"/>
      <c r="Q499" s="156"/>
      <c r="R499" s="156"/>
      <c r="S499" s="156"/>
      <c r="T499" s="156"/>
      <c r="U499" s="156"/>
      <c r="V499" s="156"/>
      <c r="W499" s="156"/>
      <c r="X499" s="156"/>
      <c r="Y499" s="156"/>
      <c r="Z499" s="156"/>
      <c r="AA499" s="156"/>
      <c r="AB499" s="156"/>
      <c r="AC499" s="156"/>
    </row>
    <row r="500" spans="1:29" ht="13">
      <c r="A500" s="140"/>
      <c r="B500" s="140"/>
      <c r="C500" s="156"/>
      <c r="D500" s="156"/>
      <c r="E500" s="156"/>
      <c r="F500" s="156"/>
      <c r="G500" s="185"/>
      <c r="H500" s="156"/>
      <c r="I500" s="156"/>
      <c r="J500" s="156"/>
      <c r="K500" s="156"/>
      <c r="L500" s="157"/>
      <c r="M500" s="156"/>
      <c r="N500" s="156"/>
      <c r="O500" s="156"/>
      <c r="P500" s="156"/>
      <c r="Q500" s="156"/>
      <c r="R500" s="156"/>
      <c r="S500" s="156"/>
      <c r="T500" s="156"/>
      <c r="U500" s="156"/>
      <c r="V500" s="156"/>
      <c r="W500" s="156"/>
      <c r="X500" s="156"/>
      <c r="Y500" s="156"/>
      <c r="Z500" s="156"/>
      <c r="AA500" s="156"/>
      <c r="AB500" s="156"/>
      <c r="AC500" s="156"/>
    </row>
    <row r="501" spans="1:29" ht="13">
      <c r="A501" s="140"/>
      <c r="B501" s="140"/>
      <c r="C501" s="156"/>
      <c r="D501" s="156"/>
      <c r="E501" s="156"/>
      <c r="F501" s="156"/>
      <c r="G501" s="185"/>
      <c r="H501" s="156"/>
      <c r="I501" s="156"/>
      <c r="J501" s="156"/>
      <c r="K501" s="156"/>
      <c r="L501" s="157"/>
      <c r="M501" s="156"/>
      <c r="N501" s="156"/>
      <c r="O501" s="156"/>
      <c r="P501" s="156"/>
      <c r="Q501" s="156"/>
      <c r="R501" s="156"/>
      <c r="S501" s="156"/>
      <c r="T501" s="156"/>
      <c r="U501" s="156"/>
      <c r="V501" s="156"/>
      <c r="W501" s="156"/>
      <c r="X501" s="156"/>
      <c r="Y501" s="156"/>
      <c r="Z501" s="156"/>
      <c r="AA501" s="156"/>
      <c r="AB501" s="156"/>
      <c r="AC501" s="156"/>
    </row>
    <row r="502" spans="1:29" ht="13">
      <c r="A502" s="140"/>
      <c r="B502" s="140"/>
      <c r="C502" s="156"/>
      <c r="D502" s="156"/>
      <c r="E502" s="156"/>
      <c r="F502" s="156"/>
      <c r="G502" s="185"/>
      <c r="H502" s="156"/>
      <c r="I502" s="156"/>
      <c r="J502" s="156"/>
      <c r="K502" s="156"/>
      <c r="L502" s="157"/>
      <c r="M502" s="156"/>
      <c r="N502" s="156"/>
      <c r="O502" s="156"/>
      <c r="P502" s="156"/>
      <c r="Q502" s="156"/>
      <c r="R502" s="156"/>
      <c r="S502" s="156"/>
      <c r="T502" s="156"/>
      <c r="U502" s="156"/>
      <c r="V502" s="156"/>
      <c r="W502" s="156"/>
      <c r="X502" s="156"/>
      <c r="Y502" s="156"/>
      <c r="Z502" s="156"/>
      <c r="AA502" s="156"/>
      <c r="AB502" s="156"/>
      <c r="AC502" s="156"/>
    </row>
    <row r="503" spans="1:29" ht="13">
      <c r="A503" s="140"/>
      <c r="B503" s="140"/>
      <c r="C503" s="156"/>
      <c r="D503" s="156"/>
      <c r="E503" s="156"/>
      <c r="F503" s="156"/>
      <c r="G503" s="185"/>
      <c r="H503" s="156"/>
      <c r="I503" s="156"/>
      <c r="J503" s="156"/>
      <c r="K503" s="156"/>
      <c r="L503" s="157"/>
      <c r="M503" s="156"/>
      <c r="N503" s="156"/>
      <c r="O503" s="156"/>
      <c r="P503" s="156"/>
      <c r="Q503" s="156"/>
      <c r="R503" s="156"/>
      <c r="S503" s="156"/>
      <c r="T503" s="156"/>
      <c r="U503" s="156"/>
      <c r="V503" s="156"/>
      <c r="W503" s="156"/>
      <c r="X503" s="156"/>
      <c r="Y503" s="156"/>
      <c r="Z503" s="156"/>
      <c r="AA503" s="156"/>
      <c r="AB503" s="156"/>
      <c r="AC503" s="156"/>
    </row>
    <row r="504" spans="1:29" ht="13">
      <c r="A504" s="140"/>
      <c r="B504" s="140"/>
      <c r="C504" s="156"/>
      <c r="D504" s="156"/>
      <c r="E504" s="156"/>
      <c r="F504" s="156"/>
      <c r="G504" s="185"/>
      <c r="H504" s="156"/>
      <c r="I504" s="156"/>
      <c r="J504" s="156"/>
      <c r="K504" s="156"/>
      <c r="L504" s="157"/>
      <c r="M504" s="156"/>
      <c r="N504" s="156"/>
      <c r="O504" s="156"/>
      <c r="P504" s="156"/>
      <c r="Q504" s="156"/>
      <c r="R504" s="156"/>
      <c r="S504" s="156"/>
      <c r="T504" s="156"/>
      <c r="U504" s="156"/>
      <c r="V504" s="156"/>
      <c r="W504" s="156"/>
      <c r="X504" s="156"/>
      <c r="Y504" s="156"/>
      <c r="Z504" s="156"/>
      <c r="AA504" s="156"/>
      <c r="AB504" s="156"/>
      <c r="AC504" s="156"/>
    </row>
    <row r="505" spans="1:29" ht="13">
      <c r="A505" s="140"/>
      <c r="B505" s="140"/>
      <c r="C505" s="156"/>
      <c r="D505" s="156"/>
      <c r="E505" s="156"/>
      <c r="F505" s="156"/>
      <c r="G505" s="185"/>
      <c r="H505" s="156"/>
      <c r="I505" s="156"/>
      <c r="J505" s="156"/>
      <c r="K505" s="156"/>
      <c r="L505" s="157"/>
      <c r="M505" s="156"/>
      <c r="N505" s="156"/>
      <c r="O505" s="156"/>
      <c r="P505" s="156"/>
      <c r="Q505" s="156"/>
      <c r="R505" s="156"/>
      <c r="S505" s="156"/>
      <c r="T505" s="156"/>
      <c r="U505" s="156"/>
      <c r="V505" s="156"/>
      <c r="W505" s="156"/>
      <c r="X505" s="156"/>
      <c r="Y505" s="156"/>
      <c r="Z505" s="156"/>
      <c r="AA505" s="156"/>
      <c r="AB505" s="156"/>
      <c r="AC505" s="156"/>
    </row>
    <row r="506" spans="1:29" ht="13">
      <c r="A506" s="140"/>
      <c r="B506" s="140"/>
      <c r="C506" s="156"/>
      <c r="D506" s="156"/>
      <c r="E506" s="156"/>
      <c r="F506" s="156"/>
      <c r="G506" s="185"/>
      <c r="H506" s="156"/>
      <c r="I506" s="156"/>
      <c r="J506" s="156"/>
      <c r="K506" s="156"/>
      <c r="L506" s="157"/>
      <c r="M506" s="156"/>
      <c r="N506" s="156"/>
      <c r="O506" s="156"/>
      <c r="P506" s="156"/>
      <c r="Q506" s="156"/>
      <c r="R506" s="156"/>
      <c r="S506" s="156"/>
      <c r="T506" s="156"/>
      <c r="U506" s="156"/>
      <c r="V506" s="156"/>
      <c r="W506" s="156"/>
      <c r="X506" s="156"/>
      <c r="Y506" s="156"/>
      <c r="Z506" s="156"/>
      <c r="AA506" s="156"/>
      <c r="AB506" s="156"/>
      <c r="AC506" s="156"/>
    </row>
    <row r="507" spans="1:29" ht="13">
      <c r="A507" s="140"/>
      <c r="B507" s="140"/>
      <c r="C507" s="156"/>
      <c r="D507" s="156"/>
      <c r="E507" s="156"/>
      <c r="F507" s="156"/>
      <c r="G507" s="185"/>
      <c r="H507" s="156"/>
      <c r="I507" s="156"/>
      <c r="J507" s="156"/>
      <c r="K507" s="156"/>
      <c r="L507" s="157"/>
      <c r="M507" s="156"/>
      <c r="N507" s="156"/>
      <c r="O507" s="156"/>
      <c r="P507" s="156"/>
      <c r="Q507" s="156"/>
      <c r="R507" s="156"/>
      <c r="S507" s="156"/>
      <c r="T507" s="156"/>
      <c r="U507" s="156"/>
      <c r="V507" s="156"/>
      <c r="W507" s="156"/>
      <c r="X507" s="156"/>
      <c r="Y507" s="156"/>
      <c r="Z507" s="156"/>
      <c r="AA507" s="156"/>
      <c r="AB507" s="156"/>
      <c r="AC507" s="156"/>
    </row>
    <row r="508" spans="1:29" ht="13">
      <c r="A508" s="140"/>
      <c r="B508" s="140"/>
      <c r="C508" s="156"/>
      <c r="D508" s="156"/>
      <c r="E508" s="156"/>
      <c r="F508" s="156"/>
      <c r="G508" s="185"/>
      <c r="H508" s="156"/>
      <c r="I508" s="156"/>
      <c r="J508" s="156"/>
      <c r="K508" s="156"/>
      <c r="L508" s="157"/>
      <c r="M508" s="156"/>
      <c r="N508" s="156"/>
      <c r="O508" s="156"/>
      <c r="P508" s="156"/>
      <c r="Q508" s="156"/>
      <c r="R508" s="156"/>
      <c r="S508" s="156"/>
      <c r="T508" s="156"/>
      <c r="U508" s="156"/>
      <c r="V508" s="156"/>
      <c r="W508" s="156"/>
      <c r="X508" s="156"/>
      <c r="Y508" s="156"/>
      <c r="Z508" s="156"/>
      <c r="AA508" s="156"/>
      <c r="AB508" s="156"/>
      <c r="AC508" s="156"/>
    </row>
    <row r="509" spans="1:29" ht="13">
      <c r="A509" s="140"/>
      <c r="B509" s="140"/>
      <c r="C509" s="156"/>
      <c r="D509" s="156"/>
      <c r="E509" s="156"/>
      <c r="F509" s="156"/>
      <c r="G509" s="185"/>
      <c r="H509" s="156"/>
      <c r="I509" s="156"/>
      <c r="J509" s="156"/>
      <c r="K509" s="156"/>
      <c r="L509" s="157"/>
      <c r="M509" s="156"/>
      <c r="N509" s="156"/>
      <c r="O509" s="156"/>
      <c r="P509" s="156"/>
      <c r="Q509" s="156"/>
      <c r="R509" s="156"/>
      <c r="S509" s="156"/>
      <c r="T509" s="156"/>
      <c r="U509" s="156"/>
      <c r="V509" s="156"/>
      <c r="W509" s="156"/>
      <c r="X509" s="156"/>
      <c r="Y509" s="156"/>
      <c r="Z509" s="156"/>
      <c r="AA509" s="156"/>
      <c r="AB509" s="156"/>
      <c r="AC509" s="156"/>
    </row>
    <row r="510" spans="1:29" ht="13">
      <c r="A510" s="140"/>
      <c r="B510" s="140"/>
      <c r="C510" s="156"/>
      <c r="D510" s="156"/>
      <c r="E510" s="156"/>
      <c r="F510" s="156"/>
      <c r="G510" s="185"/>
      <c r="H510" s="156"/>
      <c r="I510" s="156"/>
      <c r="J510" s="156"/>
      <c r="K510" s="156"/>
      <c r="L510" s="157"/>
      <c r="M510" s="156"/>
      <c r="N510" s="156"/>
      <c r="O510" s="156"/>
      <c r="P510" s="156"/>
      <c r="Q510" s="156"/>
      <c r="R510" s="156"/>
      <c r="S510" s="156"/>
      <c r="T510" s="156"/>
      <c r="U510" s="156"/>
      <c r="V510" s="156"/>
      <c r="W510" s="156"/>
      <c r="X510" s="156"/>
      <c r="Y510" s="156"/>
      <c r="Z510" s="156"/>
      <c r="AA510" s="156"/>
      <c r="AB510" s="156"/>
      <c r="AC510" s="156"/>
    </row>
    <row r="511" spans="1:29" ht="13">
      <c r="A511" s="140"/>
      <c r="B511" s="140"/>
      <c r="C511" s="156"/>
      <c r="D511" s="156"/>
      <c r="E511" s="156"/>
      <c r="F511" s="156"/>
      <c r="G511" s="185"/>
      <c r="H511" s="156"/>
      <c r="I511" s="156"/>
      <c r="J511" s="156"/>
      <c r="K511" s="156"/>
      <c r="L511" s="157"/>
      <c r="M511" s="156"/>
      <c r="N511" s="156"/>
      <c r="O511" s="156"/>
      <c r="P511" s="156"/>
      <c r="Q511" s="156"/>
      <c r="R511" s="156"/>
      <c r="S511" s="156"/>
      <c r="T511" s="156"/>
      <c r="U511" s="156"/>
      <c r="V511" s="156"/>
      <c r="W511" s="156"/>
      <c r="X511" s="156"/>
      <c r="Y511" s="156"/>
      <c r="Z511" s="156"/>
      <c r="AA511" s="156"/>
      <c r="AB511" s="156"/>
      <c r="AC511" s="156"/>
    </row>
    <row r="512" spans="1:29" ht="13">
      <c r="A512" s="140"/>
      <c r="B512" s="140"/>
      <c r="C512" s="156"/>
      <c r="D512" s="156"/>
      <c r="E512" s="156"/>
      <c r="F512" s="156"/>
      <c r="G512" s="185"/>
      <c r="H512" s="156"/>
      <c r="I512" s="156"/>
      <c r="J512" s="156"/>
      <c r="K512" s="156"/>
      <c r="L512" s="157"/>
      <c r="M512" s="156"/>
      <c r="N512" s="156"/>
      <c r="O512" s="156"/>
      <c r="P512" s="156"/>
      <c r="Q512" s="156"/>
      <c r="R512" s="156"/>
      <c r="S512" s="156"/>
      <c r="T512" s="156"/>
      <c r="U512" s="156"/>
      <c r="V512" s="156"/>
      <c r="W512" s="156"/>
      <c r="X512" s="156"/>
      <c r="Y512" s="156"/>
      <c r="Z512" s="156"/>
      <c r="AA512" s="156"/>
      <c r="AB512" s="156"/>
      <c r="AC512" s="156"/>
    </row>
    <row r="513" spans="1:29" ht="13">
      <c r="A513" s="140"/>
      <c r="B513" s="140"/>
      <c r="C513" s="156"/>
      <c r="D513" s="156"/>
      <c r="E513" s="156"/>
      <c r="F513" s="156"/>
      <c r="G513" s="185"/>
      <c r="H513" s="156"/>
      <c r="I513" s="156"/>
      <c r="J513" s="156"/>
      <c r="K513" s="156"/>
      <c r="L513" s="157"/>
      <c r="M513" s="156"/>
      <c r="N513" s="156"/>
      <c r="O513" s="156"/>
      <c r="P513" s="156"/>
      <c r="Q513" s="156"/>
      <c r="R513" s="156"/>
      <c r="S513" s="156"/>
      <c r="T513" s="156"/>
      <c r="U513" s="156"/>
      <c r="V513" s="156"/>
      <c r="W513" s="156"/>
      <c r="X513" s="156"/>
      <c r="Y513" s="156"/>
      <c r="Z513" s="156"/>
      <c r="AA513" s="156"/>
      <c r="AB513" s="156"/>
      <c r="AC513" s="156"/>
    </row>
    <row r="514" spans="1:29" ht="13">
      <c r="A514" s="140"/>
      <c r="B514" s="140"/>
      <c r="C514" s="156"/>
      <c r="D514" s="156"/>
      <c r="E514" s="156"/>
      <c r="F514" s="156"/>
      <c r="G514" s="185"/>
      <c r="H514" s="156"/>
      <c r="I514" s="156"/>
      <c r="J514" s="156"/>
      <c r="K514" s="156"/>
      <c r="L514" s="157"/>
      <c r="M514" s="156"/>
      <c r="N514" s="156"/>
      <c r="O514" s="156"/>
      <c r="P514" s="156"/>
      <c r="Q514" s="156"/>
      <c r="R514" s="156"/>
      <c r="S514" s="156"/>
      <c r="T514" s="156"/>
      <c r="U514" s="156"/>
      <c r="V514" s="156"/>
      <c r="W514" s="156"/>
      <c r="X514" s="156"/>
      <c r="Y514" s="156"/>
      <c r="Z514" s="156"/>
      <c r="AA514" s="156"/>
      <c r="AB514" s="156"/>
      <c r="AC514" s="156"/>
    </row>
    <row r="515" spans="1:29" ht="13">
      <c r="A515" s="140"/>
      <c r="B515" s="140"/>
      <c r="C515" s="156"/>
      <c r="D515" s="156"/>
      <c r="E515" s="156"/>
      <c r="F515" s="156"/>
      <c r="G515" s="185"/>
      <c r="H515" s="156"/>
      <c r="I515" s="156"/>
      <c r="J515" s="156"/>
      <c r="K515" s="156"/>
      <c r="L515" s="157"/>
      <c r="M515" s="156"/>
      <c r="N515" s="156"/>
      <c r="O515" s="156"/>
      <c r="P515" s="156"/>
      <c r="Q515" s="156"/>
      <c r="R515" s="156"/>
      <c r="S515" s="156"/>
      <c r="T515" s="156"/>
      <c r="U515" s="156"/>
      <c r="V515" s="156"/>
      <c r="W515" s="156"/>
      <c r="X515" s="156"/>
      <c r="Y515" s="156"/>
      <c r="Z515" s="156"/>
      <c r="AA515" s="156"/>
      <c r="AB515" s="156"/>
      <c r="AC515" s="156"/>
    </row>
    <row r="516" spans="1:29" ht="13">
      <c r="A516" s="140"/>
      <c r="B516" s="140"/>
      <c r="C516" s="156"/>
      <c r="D516" s="156"/>
      <c r="E516" s="156"/>
      <c r="F516" s="156"/>
      <c r="G516" s="185"/>
      <c r="H516" s="156"/>
      <c r="I516" s="156"/>
      <c r="J516" s="156"/>
      <c r="K516" s="156"/>
      <c r="L516" s="157"/>
      <c r="M516" s="156"/>
      <c r="N516" s="156"/>
      <c r="O516" s="156"/>
      <c r="P516" s="156"/>
      <c r="Q516" s="156"/>
      <c r="R516" s="156"/>
      <c r="S516" s="156"/>
      <c r="T516" s="156"/>
      <c r="U516" s="156"/>
      <c r="V516" s="156"/>
      <c r="W516" s="156"/>
      <c r="X516" s="156"/>
      <c r="Y516" s="156"/>
      <c r="Z516" s="156"/>
      <c r="AA516" s="156"/>
      <c r="AB516" s="156"/>
      <c r="AC516" s="156"/>
    </row>
    <row r="517" spans="1:29" ht="13">
      <c r="A517" s="140"/>
      <c r="B517" s="140"/>
      <c r="C517" s="156"/>
      <c r="D517" s="156"/>
      <c r="E517" s="156"/>
      <c r="F517" s="156"/>
      <c r="G517" s="185"/>
      <c r="H517" s="156"/>
      <c r="I517" s="156"/>
      <c r="J517" s="156"/>
      <c r="K517" s="156"/>
      <c r="L517" s="157"/>
      <c r="M517" s="156"/>
      <c r="N517" s="156"/>
      <c r="O517" s="156"/>
      <c r="P517" s="156"/>
      <c r="Q517" s="156"/>
      <c r="R517" s="156"/>
      <c r="S517" s="156"/>
      <c r="T517" s="156"/>
      <c r="U517" s="156"/>
      <c r="V517" s="156"/>
      <c r="W517" s="156"/>
      <c r="X517" s="156"/>
      <c r="Y517" s="156"/>
      <c r="Z517" s="156"/>
      <c r="AA517" s="156"/>
      <c r="AB517" s="156"/>
      <c r="AC517" s="156"/>
    </row>
    <row r="518" spans="1:29" ht="13">
      <c r="A518" s="140"/>
      <c r="B518" s="140"/>
      <c r="C518" s="156"/>
      <c r="D518" s="156"/>
      <c r="E518" s="156"/>
      <c r="F518" s="156"/>
      <c r="G518" s="185"/>
      <c r="H518" s="156"/>
      <c r="I518" s="156"/>
      <c r="J518" s="156"/>
      <c r="K518" s="156"/>
      <c r="L518" s="157"/>
      <c r="M518" s="156"/>
      <c r="N518" s="156"/>
      <c r="O518" s="156"/>
      <c r="P518" s="156"/>
      <c r="Q518" s="156"/>
      <c r="R518" s="156"/>
      <c r="S518" s="156"/>
      <c r="T518" s="156"/>
      <c r="U518" s="156"/>
      <c r="V518" s="156"/>
      <c r="W518" s="156"/>
      <c r="X518" s="156"/>
      <c r="Y518" s="156"/>
      <c r="Z518" s="156"/>
      <c r="AA518" s="156"/>
      <c r="AB518" s="156"/>
      <c r="AC518" s="156"/>
    </row>
    <row r="519" spans="1:29" ht="13">
      <c r="A519" s="140"/>
      <c r="B519" s="140"/>
      <c r="C519" s="156"/>
      <c r="D519" s="156"/>
      <c r="E519" s="156"/>
      <c r="F519" s="156"/>
      <c r="G519" s="185"/>
      <c r="H519" s="156"/>
      <c r="I519" s="156"/>
      <c r="J519" s="156"/>
      <c r="K519" s="156"/>
      <c r="L519" s="157"/>
      <c r="M519" s="156"/>
      <c r="N519" s="156"/>
      <c r="O519" s="156"/>
      <c r="P519" s="156"/>
      <c r="Q519" s="156"/>
      <c r="R519" s="156"/>
      <c r="S519" s="156"/>
      <c r="T519" s="156"/>
      <c r="U519" s="156"/>
      <c r="V519" s="156"/>
      <c r="W519" s="156"/>
      <c r="X519" s="156"/>
      <c r="Y519" s="156"/>
      <c r="Z519" s="156"/>
      <c r="AA519" s="156"/>
      <c r="AB519" s="156"/>
      <c r="AC519" s="156"/>
    </row>
    <row r="520" spans="1:29" ht="13">
      <c r="A520" s="140"/>
      <c r="B520" s="140"/>
      <c r="C520" s="156"/>
      <c r="D520" s="156"/>
      <c r="E520" s="156"/>
      <c r="F520" s="156"/>
      <c r="G520" s="185"/>
      <c r="H520" s="156"/>
      <c r="I520" s="156"/>
      <c r="J520" s="156"/>
      <c r="K520" s="156"/>
      <c r="L520" s="157"/>
      <c r="M520" s="156"/>
      <c r="N520" s="156"/>
      <c r="O520" s="156"/>
      <c r="P520" s="156"/>
      <c r="Q520" s="156"/>
      <c r="R520" s="156"/>
      <c r="S520" s="156"/>
      <c r="T520" s="156"/>
      <c r="U520" s="156"/>
      <c r="V520" s="156"/>
      <c r="W520" s="156"/>
      <c r="X520" s="156"/>
      <c r="Y520" s="156"/>
      <c r="Z520" s="156"/>
      <c r="AA520" s="156"/>
      <c r="AB520" s="156"/>
      <c r="AC520" s="156"/>
    </row>
    <row r="521" spans="1:29" ht="13">
      <c r="A521" s="140"/>
      <c r="B521" s="140"/>
      <c r="C521" s="156"/>
      <c r="D521" s="156"/>
      <c r="E521" s="156"/>
      <c r="F521" s="156"/>
      <c r="G521" s="185"/>
      <c r="H521" s="156"/>
      <c r="I521" s="156"/>
      <c r="J521" s="156"/>
      <c r="K521" s="156"/>
      <c r="L521" s="157"/>
      <c r="M521" s="156"/>
      <c r="N521" s="156"/>
      <c r="O521" s="156"/>
      <c r="P521" s="156"/>
      <c r="Q521" s="156"/>
      <c r="R521" s="156"/>
      <c r="S521" s="156"/>
      <c r="T521" s="156"/>
      <c r="U521" s="156"/>
      <c r="V521" s="156"/>
      <c r="W521" s="156"/>
      <c r="X521" s="156"/>
      <c r="Y521" s="156"/>
      <c r="Z521" s="156"/>
      <c r="AA521" s="156"/>
      <c r="AB521" s="156"/>
      <c r="AC521" s="156"/>
    </row>
    <row r="522" spans="1:29" ht="13">
      <c r="A522" s="140"/>
      <c r="B522" s="140"/>
      <c r="C522" s="156"/>
      <c r="D522" s="156"/>
      <c r="E522" s="156"/>
      <c r="F522" s="156"/>
      <c r="G522" s="185"/>
      <c r="H522" s="156"/>
      <c r="I522" s="156"/>
      <c r="J522" s="156"/>
      <c r="K522" s="156"/>
      <c r="L522" s="157"/>
      <c r="M522" s="156"/>
      <c r="N522" s="156"/>
      <c r="O522" s="156"/>
      <c r="P522" s="156"/>
      <c r="Q522" s="156"/>
      <c r="R522" s="156"/>
      <c r="S522" s="156"/>
      <c r="T522" s="156"/>
      <c r="U522" s="156"/>
      <c r="V522" s="156"/>
      <c r="W522" s="156"/>
      <c r="X522" s="156"/>
      <c r="Y522" s="156"/>
      <c r="Z522" s="156"/>
      <c r="AA522" s="156"/>
      <c r="AB522" s="156"/>
      <c r="AC522" s="156"/>
    </row>
    <row r="523" spans="1:29" ht="13">
      <c r="A523" s="140"/>
      <c r="B523" s="140"/>
      <c r="C523" s="156"/>
      <c r="D523" s="156"/>
      <c r="E523" s="156"/>
      <c r="F523" s="156"/>
      <c r="G523" s="185"/>
      <c r="H523" s="156"/>
      <c r="I523" s="156"/>
      <c r="J523" s="156"/>
      <c r="K523" s="156"/>
      <c r="L523" s="157"/>
      <c r="M523" s="156"/>
      <c r="N523" s="156"/>
      <c r="O523" s="156"/>
      <c r="P523" s="156"/>
      <c r="Q523" s="156"/>
      <c r="R523" s="156"/>
      <c r="S523" s="156"/>
      <c r="T523" s="156"/>
      <c r="U523" s="156"/>
      <c r="V523" s="156"/>
      <c r="W523" s="156"/>
      <c r="X523" s="156"/>
      <c r="Y523" s="156"/>
      <c r="Z523" s="156"/>
      <c r="AA523" s="156"/>
      <c r="AB523" s="156"/>
      <c r="AC523" s="156"/>
    </row>
    <row r="524" spans="1:29" ht="13">
      <c r="A524" s="140"/>
      <c r="B524" s="140"/>
      <c r="C524" s="156"/>
      <c r="D524" s="156"/>
      <c r="E524" s="156"/>
      <c r="F524" s="156"/>
      <c r="G524" s="185"/>
      <c r="H524" s="156"/>
      <c r="I524" s="156"/>
      <c r="J524" s="156"/>
      <c r="K524" s="156"/>
      <c r="L524" s="157"/>
      <c r="M524" s="156"/>
      <c r="N524" s="156"/>
      <c r="O524" s="156"/>
      <c r="P524" s="156"/>
      <c r="Q524" s="156"/>
      <c r="R524" s="156"/>
      <c r="S524" s="156"/>
      <c r="T524" s="156"/>
      <c r="U524" s="156"/>
      <c r="V524" s="156"/>
      <c r="W524" s="156"/>
      <c r="X524" s="156"/>
      <c r="Y524" s="156"/>
      <c r="Z524" s="156"/>
      <c r="AA524" s="156"/>
      <c r="AB524" s="156"/>
      <c r="AC524" s="156"/>
    </row>
    <row r="525" spans="1:29" ht="13">
      <c r="A525" s="140"/>
      <c r="B525" s="140"/>
      <c r="C525" s="156"/>
      <c r="D525" s="156"/>
      <c r="E525" s="156"/>
      <c r="F525" s="156"/>
      <c r="G525" s="185"/>
      <c r="H525" s="156"/>
      <c r="I525" s="156"/>
      <c r="J525" s="156"/>
      <c r="K525" s="156"/>
      <c r="L525" s="157"/>
      <c r="M525" s="156"/>
      <c r="N525" s="156"/>
      <c r="O525" s="156"/>
      <c r="P525" s="156"/>
      <c r="Q525" s="156"/>
      <c r="R525" s="156"/>
      <c r="S525" s="156"/>
      <c r="T525" s="156"/>
      <c r="U525" s="156"/>
      <c r="V525" s="156"/>
      <c r="W525" s="156"/>
      <c r="X525" s="156"/>
      <c r="Y525" s="156"/>
      <c r="Z525" s="156"/>
      <c r="AA525" s="156"/>
      <c r="AB525" s="156"/>
      <c r="AC525" s="156"/>
    </row>
    <row r="526" spans="1:29" ht="13">
      <c r="A526" s="140"/>
      <c r="B526" s="140"/>
      <c r="C526" s="156"/>
      <c r="D526" s="156"/>
      <c r="E526" s="156"/>
      <c r="F526" s="156"/>
      <c r="G526" s="185"/>
      <c r="H526" s="156"/>
      <c r="I526" s="156"/>
      <c r="J526" s="156"/>
      <c r="K526" s="156"/>
      <c r="L526" s="157"/>
      <c r="M526" s="156"/>
      <c r="N526" s="156"/>
      <c r="O526" s="156"/>
      <c r="P526" s="156"/>
      <c r="Q526" s="156"/>
      <c r="R526" s="156"/>
      <c r="S526" s="156"/>
      <c r="T526" s="156"/>
      <c r="U526" s="156"/>
      <c r="V526" s="156"/>
      <c r="W526" s="156"/>
      <c r="X526" s="156"/>
      <c r="Y526" s="156"/>
      <c r="Z526" s="156"/>
      <c r="AA526" s="156"/>
      <c r="AB526" s="156"/>
      <c r="AC526" s="156"/>
    </row>
    <row r="527" spans="1:29" ht="13">
      <c r="A527" s="140"/>
      <c r="B527" s="140"/>
      <c r="C527" s="156"/>
      <c r="D527" s="156"/>
      <c r="E527" s="156"/>
      <c r="F527" s="156"/>
      <c r="G527" s="185"/>
      <c r="H527" s="156"/>
      <c r="I527" s="156"/>
      <c r="J527" s="156"/>
      <c r="K527" s="156"/>
      <c r="L527" s="157"/>
      <c r="M527" s="156"/>
      <c r="N527" s="156"/>
      <c r="O527" s="156"/>
      <c r="P527" s="156"/>
      <c r="Q527" s="156"/>
      <c r="R527" s="156"/>
      <c r="S527" s="156"/>
      <c r="T527" s="156"/>
      <c r="U527" s="156"/>
      <c r="V527" s="156"/>
      <c r="W527" s="156"/>
      <c r="X527" s="156"/>
      <c r="Y527" s="156"/>
      <c r="Z527" s="156"/>
      <c r="AA527" s="156"/>
      <c r="AB527" s="156"/>
      <c r="AC527" s="156"/>
    </row>
    <row r="528" spans="1:29" ht="13">
      <c r="A528" s="140"/>
      <c r="B528" s="140"/>
      <c r="C528" s="156"/>
      <c r="D528" s="156"/>
      <c r="E528" s="156"/>
      <c r="F528" s="156"/>
      <c r="G528" s="185"/>
      <c r="H528" s="156"/>
      <c r="I528" s="156"/>
      <c r="J528" s="156"/>
      <c r="K528" s="156"/>
      <c r="L528" s="157"/>
      <c r="M528" s="156"/>
      <c r="N528" s="156"/>
      <c r="O528" s="156"/>
      <c r="P528" s="156"/>
      <c r="Q528" s="156"/>
      <c r="R528" s="156"/>
      <c r="S528" s="156"/>
      <c r="T528" s="156"/>
      <c r="U528" s="156"/>
      <c r="V528" s="156"/>
      <c r="W528" s="156"/>
      <c r="X528" s="156"/>
      <c r="Y528" s="156"/>
      <c r="Z528" s="156"/>
      <c r="AA528" s="156"/>
      <c r="AB528" s="156"/>
      <c r="AC528" s="156"/>
    </row>
    <row r="529" spans="1:29" ht="13">
      <c r="A529" s="140"/>
      <c r="B529" s="140"/>
      <c r="C529" s="156"/>
      <c r="D529" s="156"/>
      <c r="E529" s="156"/>
      <c r="F529" s="156"/>
      <c r="G529" s="185"/>
      <c r="H529" s="156"/>
      <c r="I529" s="156"/>
      <c r="J529" s="156"/>
      <c r="K529" s="156"/>
      <c r="L529" s="157"/>
      <c r="M529" s="156"/>
      <c r="N529" s="156"/>
      <c r="O529" s="156"/>
      <c r="P529" s="156"/>
      <c r="Q529" s="156"/>
      <c r="R529" s="156"/>
      <c r="S529" s="156"/>
      <c r="T529" s="156"/>
      <c r="U529" s="156"/>
      <c r="V529" s="156"/>
      <c r="W529" s="156"/>
      <c r="X529" s="156"/>
      <c r="Y529" s="156"/>
      <c r="Z529" s="156"/>
      <c r="AA529" s="156"/>
      <c r="AB529" s="156"/>
      <c r="AC529" s="156"/>
    </row>
    <row r="530" spans="1:29" ht="13">
      <c r="A530" s="140"/>
      <c r="B530" s="140"/>
      <c r="C530" s="156"/>
      <c r="D530" s="156"/>
      <c r="E530" s="156"/>
      <c r="F530" s="156"/>
      <c r="G530" s="185"/>
      <c r="H530" s="156"/>
      <c r="I530" s="156"/>
      <c r="J530" s="156"/>
      <c r="K530" s="156"/>
      <c r="L530" s="157"/>
      <c r="M530" s="156"/>
      <c r="N530" s="156"/>
      <c r="O530" s="156"/>
      <c r="P530" s="156"/>
      <c r="Q530" s="156"/>
      <c r="R530" s="156"/>
      <c r="S530" s="156"/>
      <c r="T530" s="156"/>
      <c r="U530" s="156"/>
      <c r="V530" s="156"/>
      <c r="W530" s="156"/>
      <c r="X530" s="156"/>
      <c r="Y530" s="156"/>
      <c r="Z530" s="156"/>
      <c r="AA530" s="156"/>
      <c r="AB530" s="156"/>
      <c r="AC530" s="156"/>
    </row>
    <row r="531" spans="1:29" ht="13">
      <c r="A531" s="140"/>
      <c r="B531" s="140"/>
      <c r="C531" s="156"/>
      <c r="D531" s="156"/>
      <c r="E531" s="156"/>
      <c r="F531" s="156"/>
      <c r="G531" s="185"/>
      <c r="H531" s="156"/>
      <c r="I531" s="156"/>
      <c r="J531" s="156"/>
      <c r="K531" s="156"/>
      <c r="L531" s="157"/>
      <c r="M531" s="156"/>
      <c r="N531" s="156"/>
      <c r="O531" s="156"/>
      <c r="P531" s="156"/>
      <c r="Q531" s="156"/>
      <c r="R531" s="156"/>
      <c r="S531" s="156"/>
      <c r="T531" s="156"/>
      <c r="U531" s="156"/>
      <c r="V531" s="156"/>
      <c r="W531" s="156"/>
      <c r="X531" s="156"/>
      <c r="Y531" s="156"/>
      <c r="Z531" s="156"/>
      <c r="AA531" s="156"/>
      <c r="AB531" s="156"/>
      <c r="AC531" s="156"/>
    </row>
    <row r="532" spans="1:29" ht="13">
      <c r="A532" s="140"/>
      <c r="B532" s="140"/>
      <c r="C532" s="156"/>
      <c r="D532" s="156"/>
      <c r="E532" s="156"/>
      <c r="F532" s="156"/>
      <c r="G532" s="185"/>
      <c r="H532" s="156"/>
      <c r="I532" s="156"/>
      <c r="J532" s="156"/>
      <c r="K532" s="156"/>
      <c r="L532" s="157"/>
      <c r="M532" s="156"/>
      <c r="N532" s="156"/>
      <c r="O532" s="156"/>
      <c r="P532" s="156"/>
      <c r="Q532" s="156"/>
      <c r="R532" s="156"/>
      <c r="S532" s="156"/>
      <c r="T532" s="156"/>
      <c r="U532" s="156"/>
      <c r="V532" s="156"/>
      <c r="W532" s="156"/>
      <c r="X532" s="156"/>
      <c r="Y532" s="156"/>
      <c r="Z532" s="156"/>
      <c r="AA532" s="156"/>
      <c r="AB532" s="156"/>
      <c r="AC532" s="156"/>
    </row>
    <row r="533" spans="1:29" ht="13">
      <c r="A533" s="140"/>
      <c r="B533" s="140"/>
      <c r="C533" s="156"/>
      <c r="D533" s="156"/>
      <c r="E533" s="156"/>
      <c r="F533" s="156"/>
      <c r="G533" s="185"/>
      <c r="H533" s="156"/>
      <c r="I533" s="156"/>
      <c r="J533" s="156"/>
      <c r="K533" s="156"/>
      <c r="L533" s="157"/>
      <c r="M533" s="156"/>
      <c r="N533" s="156"/>
      <c r="O533" s="156"/>
      <c r="P533" s="156"/>
      <c r="Q533" s="156"/>
      <c r="R533" s="156"/>
      <c r="S533" s="156"/>
      <c r="T533" s="156"/>
      <c r="U533" s="156"/>
      <c r="V533" s="156"/>
      <c r="W533" s="156"/>
      <c r="X533" s="156"/>
      <c r="Y533" s="156"/>
      <c r="Z533" s="156"/>
      <c r="AA533" s="156"/>
      <c r="AB533" s="156"/>
      <c r="AC533" s="156"/>
    </row>
    <row r="534" spans="1:29" ht="13">
      <c r="A534" s="140"/>
      <c r="B534" s="140"/>
      <c r="C534" s="156"/>
      <c r="D534" s="156"/>
      <c r="E534" s="156"/>
      <c r="F534" s="156"/>
      <c r="G534" s="185"/>
      <c r="H534" s="156"/>
      <c r="I534" s="156"/>
      <c r="J534" s="156"/>
      <c r="K534" s="156"/>
      <c r="L534" s="157"/>
      <c r="M534" s="156"/>
      <c r="N534" s="156"/>
      <c r="O534" s="156"/>
      <c r="P534" s="156"/>
      <c r="Q534" s="156"/>
      <c r="R534" s="156"/>
      <c r="S534" s="156"/>
      <c r="T534" s="156"/>
      <c r="U534" s="156"/>
      <c r="V534" s="156"/>
      <c r="W534" s="156"/>
      <c r="X534" s="156"/>
      <c r="Y534" s="156"/>
      <c r="Z534" s="156"/>
      <c r="AA534" s="156"/>
      <c r="AB534" s="156"/>
      <c r="AC534" s="156"/>
    </row>
    <row r="535" spans="1:29" ht="13">
      <c r="A535" s="140"/>
      <c r="B535" s="140"/>
      <c r="C535" s="156"/>
      <c r="D535" s="156"/>
      <c r="E535" s="156"/>
      <c r="F535" s="156"/>
      <c r="G535" s="185"/>
      <c r="H535" s="156"/>
      <c r="I535" s="156"/>
      <c r="J535" s="156"/>
      <c r="K535" s="156"/>
      <c r="L535" s="157"/>
      <c r="M535" s="156"/>
      <c r="N535" s="156"/>
      <c r="O535" s="156"/>
      <c r="P535" s="156"/>
      <c r="Q535" s="156"/>
      <c r="R535" s="156"/>
      <c r="S535" s="156"/>
      <c r="T535" s="156"/>
      <c r="U535" s="156"/>
      <c r="V535" s="156"/>
      <c r="W535" s="156"/>
      <c r="X535" s="156"/>
      <c r="Y535" s="156"/>
      <c r="Z535" s="156"/>
      <c r="AA535" s="156"/>
      <c r="AB535" s="156"/>
      <c r="AC535" s="156"/>
    </row>
    <row r="536" spans="1:29" ht="13">
      <c r="A536" s="140"/>
      <c r="B536" s="140"/>
      <c r="C536" s="156"/>
      <c r="D536" s="156"/>
      <c r="E536" s="156"/>
      <c r="F536" s="156"/>
      <c r="G536" s="185"/>
      <c r="H536" s="156"/>
      <c r="I536" s="156"/>
      <c r="J536" s="156"/>
      <c r="K536" s="156"/>
      <c r="L536" s="157"/>
      <c r="M536" s="156"/>
      <c r="N536" s="156"/>
      <c r="O536" s="156"/>
      <c r="P536" s="156"/>
      <c r="Q536" s="156"/>
      <c r="R536" s="156"/>
      <c r="S536" s="156"/>
      <c r="T536" s="156"/>
      <c r="U536" s="156"/>
      <c r="V536" s="156"/>
      <c r="W536" s="156"/>
      <c r="X536" s="156"/>
      <c r="Y536" s="156"/>
      <c r="Z536" s="156"/>
      <c r="AA536" s="156"/>
      <c r="AB536" s="156"/>
      <c r="AC536" s="156"/>
    </row>
    <row r="537" spans="1:29" ht="13">
      <c r="A537" s="140"/>
      <c r="B537" s="140"/>
      <c r="C537" s="156"/>
      <c r="D537" s="156"/>
      <c r="E537" s="156"/>
      <c r="F537" s="156"/>
      <c r="G537" s="185"/>
      <c r="H537" s="156"/>
      <c r="I537" s="156"/>
      <c r="J537" s="156"/>
      <c r="K537" s="156"/>
      <c r="L537" s="157"/>
      <c r="M537" s="156"/>
      <c r="N537" s="156"/>
      <c r="O537" s="156"/>
      <c r="P537" s="156"/>
      <c r="Q537" s="156"/>
      <c r="R537" s="156"/>
      <c r="S537" s="156"/>
      <c r="T537" s="156"/>
      <c r="U537" s="156"/>
      <c r="V537" s="156"/>
      <c r="W537" s="156"/>
      <c r="X537" s="156"/>
      <c r="Y537" s="156"/>
      <c r="Z537" s="156"/>
      <c r="AA537" s="156"/>
      <c r="AB537" s="156"/>
      <c r="AC537" s="156"/>
    </row>
    <row r="538" spans="1:29" ht="13">
      <c r="A538" s="140"/>
      <c r="B538" s="140"/>
      <c r="C538" s="156"/>
      <c r="D538" s="156"/>
      <c r="E538" s="156"/>
      <c r="F538" s="156"/>
      <c r="G538" s="185"/>
      <c r="H538" s="156"/>
      <c r="I538" s="156"/>
      <c r="J538" s="156"/>
      <c r="K538" s="156"/>
      <c r="L538" s="157"/>
      <c r="M538" s="156"/>
      <c r="N538" s="156"/>
      <c r="O538" s="156"/>
      <c r="P538" s="156"/>
      <c r="Q538" s="156"/>
      <c r="R538" s="156"/>
      <c r="S538" s="156"/>
      <c r="T538" s="156"/>
      <c r="U538" s="156"/>
      <c r="V538" s="156"/>
      <c r="W538" s="156"/>
      <c r="X538" s="156"/>
      <c r="Y538" s="156"/>
      <c r="Z538" s="156"/>
      <c r="AA538" s="156"/>
      <c r="AB538" s="156"/>
      <c r="AC538" s="156"/>
    </row>
    <row r="539" spans="1:29" ht="13">
      <c r="A539" s="140"/>
      <c r="B539" s="140"/>
      <c r="C539" s="156"/>
      <c r="D539" s="156"/>
      <c r="E539" s="156"/>
      <c r="F539" s="156"/>
      <c r="G539" s="185"/>
      <c r="H539" s="156"/>
      <c r="I539" s="156"/>
      <c r="J539" s="156"/>
      <c r="K539" s="156"/>
      <c r="L539" s="157"/>
      <c r="M539" s="156"/>
      <c r="N539" s="156"/>
      <c r="O539" s="156"/>
      <c r="P539" s="156"/>
      <c r="Q539" s="156"/>
      <c r="R539" s="156"/>
      <c r="S539" s="156"/>
      <c r="T539" s="156"/>
      <c r="U539" s="156"/>
      <c r="V539" s="156"/>
      <c r="W539" s="156"/>
      <c r="X539" s="156"/>
      <c r="Y539" s="156"/>
      <c r="Z539" s="156"/>
      <c r="AA539" s="156"/>
      <c r="AB539" s="156"/>
      <c r="AC539" s="156"/>
    </row>
    <row r="540" spans="1:29" ht="13">
      <c r="A540" s="140"/>
      <c r="B540" s="140"/>
      <c r="C540" s="156"/>
      <c r="D540" s="156"/>
      <c r="E540" s="156"/>
      <c r="F540" s="156"/>
      <c r="G540" s="185"/>
      <c r="H540" s="156"/>
      <c r="I540" s="156"/>
      <c r="J540" s="156"/>
      <c r="K540" s="156"/>
      <c r="L540" s="157"/>
      <c r="M540" s="156"/>
      <c r="N540" s="156"/>
      <c r="O540" s="156"/>
      <c r="P540" s="156"/>
      <c r="Q540" s="156"/>
      <c r="R540" s="156"/>
      <c r="S540" s="156"/>
      <c r="T540" s="156"/>
      <c r="U540" s="156"/>
      <c r="V540" s="156"/>
      <c r="W540" s="156"/>
      <c r="X540" s="156"/>
      <c r="Y540" s="156"/>
      <c r="Z540" s="156"/>
      <c r="AA540" s="156"/>
      <c r="AB540" s="156"/>
      <c r="AC540" s="156"/>
    </row>
    <row r="541" spans="1:29" ht="13">
      <c r="A541" s="140"/>
      <c r="B541" s="140"/>
      <c r="C541" s="156"/>
      <c r="D541" s="156"/>
      <c r="E541" s="156"/>
      <c r="F541" s="156"/>
      <c r="G541" s="185"/>
      <c r="H541" s="156"/>
      <c r="I541" s="156"/>
      <c r="J541" s="156"/>
      <c r="K541" s="156"/>
      <c r="L541" s="157"/>
      <c r="M541" s="156"/>
      <c r="N541" s="156"/>
      <c r="O541" s="156"/>
      <c r="P541" s="156"/>
      <c r="Q541" s="156"/>
      <c r="R541" s="156"/>
      <c r="S541" s="156"/>
      <c r="T541" s="156"/>
      <c r="U541" s="156"/>
      <c r="V541" s="156"/>
      <c r="W541" s="156"/>
      <c r="X541" s="156"/>
      <c r="Y541" s="156"/>
      <c r="Z541" s="156"/>
      <c r="AA541" s="156"/>
      <c r="AB541" s="156"/>
      <c r="AC541" s="156"/>
    </row>
    <row r="542" spans="1:29" ht="13">
      <c r="A542" s="140"/>
      <c r="B542" s="140"/>
      <c r="C542" s="156"/>
      <c r="D542" s="156"/>
      <c r="E542" s="156"/>
      <c r="F542" s="156"/>
      <c r="G542" s="185"/>
      <c r="H542" s="156"/>
      <c r="I542" s="156"/>
      <c r="J542" s="156"/>
      <c r="K542" s="156"/>
      <c r="L542" s="157"/>
      <c r="M542" s="156"/>
      <c r="N542" s="156"/>
      <c r="O542" s="156"/>
      <c r="P542" s="156"/>
      <c r="Q542" s="156"/>
      <c r="R542" s="156"/>
      <c r="S542" s="156"/>
      <c r="T542" s="156"/>
      <c r="U542" s="156"/>
      <c r="V542" s="156"/>
      <c r="W542" s="156"/>
      <c r="X542" s="156"/>
      <c r="Y542" s="156"/>
      <c r="Z542" s="156"/>
      <c r="AA542" s="156"/>
      <c r="AB542" s="156"/>
      <c r="AC542" s="156"/>
    </row>
    <row r="543" spans="1:29" ht="13">
      <c r="A543" s="140"/>
      <c r="B543" s="140"/>
      <c r="C543" s="156"/>
      <c r="D543" s="156"/>
      <c r="E543" s="156"/>
      <c r="F543" s="156"/>
      <c r="G543" s="185"/>
      <c r="H543" s="156"/>
      <c r="I543" s="156"/>
      <c r="J543" s="156"/>
      <c r="K543" s="156"/>
      <c r="L543" s="157"/>
      <c r="M543" s="156"/>
      <c r="N543" s="156"/>
      <c r="O543" s="156"/>
      <c r="P543" s="156"/>
      <c r="Q543" s="156"/>
      <c r="R543" s="156"/>
      <c r="S543" s="156"/>
      <c r="T543" s="156"/>
      <c r="U543" s="156"/>
      <c r="V543" s="156"/>
      <c r="W543" s="156"/>
      <c r="X543" s="156"/>
      <c r="Y543" s="156"/>
      <c r="Z543" s="156"/>
      <c r="AA543" s="156"/>
      <c r="AB543" s="156"/>
      <c r="AC543" s="156"/>
    </row>
    <row r="544" spans="1:29" ht="13">
      <c r="A544" s="140"/>
      <c r="B544" s="140"/>
      <c r="C544" s="156"/>
      <c r="D544" s="156"/>
      <c r="E544" s="156"/>
      <c r="F544" s="156"/>
      <c r="G544" s="185"/>
      <c r="H544" s="156"/>
      <c r="I544" s="156"/>
      <c r="J544" s="156"/>
      <c r="K544" s="156"/>
      <c r="L544" s="157"/>
      <c r="M544" s="156"/>
      <c r="N544" s="156"/>
      <c r="O544" s="156"/>
      <c r="P544" s="156"/>
      <c r="Q544" s="156"/>
      <c r="R544" s="156"/>
      <c r="S544" s="156"/>
      <c r="T544" s="156"/>
      <c r="U544" s="156"/>
      <c r="V544" s="156"/>
      <c r="W544" s="156"/>
      <c r="X544" s="156"/>
      <c r="Y544" s="156"/>
      <c r="Z544" s="156"/>
      <c r="AA544" s="156"/>
      <c r="AB544" s="156"/>
      <c r="AC544" s="156"/>
    </row>
    <row r="545" spans="1:29" ht="13">
      <c r="A545" s="140"/>
      <c r="B545" s="140"/>
      <c r="C545" s="156"/>
      <c r="D545" s="156"/>
      <c r="E545" s="156"/>
      <c r="F545" s="156"/>
      <c r="G545" s="185"/>
      <c r="H545" s="156"/>
      <c r="I545" s="156"/>
      <c r="J545" s="156"/>
      <c r="K545" s="156"/>
      <c r="L545" s="157"/>
      <c r="M545" s="156"/>
      <c r="N545" s="156"/>
      <c r="O545" s="156"/>
      <c r="P545" s="156"/>
      <c r="Q545" s="156"/>
      <c r="R545" s="156"/>
      <c r="S545" s="156"/>
      <c r="T545" s="156"/>
      <c r="U545" s="156"/>
      <c r="V545" s="156"/>
      <c r="W545" s="156"/>
      <c r="X545" s="156"/>
      <c r="Y545" s="156"/>
      <c r="Z545" s="156"/>
      <c r="AA545" s="156"/>
      <c r="AB545" s="156"/>
      <c r="AC545" s="156"/>
    </row>
    <row r="546" spans="1:29" ht="13">
      <c r="A546" s="140"/>
      <c r="B546" s="140"/>
      <c r="C546" s="156"/>
      <c r="D546" s="156"/>
      <c r="E546" s="156"/>
      <c r="F546" s="156"/>
      <c r="G546" s="185"/>
      <c r="H546" s="156"/>
      <c r="I546" s="156"/>
      <c r="J546" s="156"/>
      <c r="K546" s="156"/>
      <c r="L546" s="157"/>
      <c r="M546" s="156"/>
      <c r="N546" s="156"/>
      <c r="O546" s="156"/>
      <c r="P546" s="156"/>
      <c r="Q546" s="156"/>
      <c r="R546" s="156"/>
      <c r="S546" s="156"/>
      <c r="T546" s="156"/>
      <c r="U546" s="156"/>
      <c r="V546" s="156"/>
      <c r="W546" s="156"/>
      <c r="X546" s="156"/>
      <c r="Y546" s="156"/>
      <c r="Z546" s="156"/>
      <c r="AA546" s="156"/>
      <c r="AB546" s="156"/>
      <c r="AC546" s="156"/>
    </row>
    <row r="547" spans="1:29" ht="13">
      <c r="A547" s="140"/>
      <c r="B547" s="140"/>
      <c r="C547" s="156"/>
      <c r="D547" s="156"/>
      <c r="E547" s="156"/>
      <c r="F547" s="156"/>
      <c r="G547" s="185"/>
      <c r="H547" s="156"/>
      <c r="I547" s="156"/>
      <c r="J547" s="156"/>
      <c r="K547" s="156"/>
      <c r="L547" s="157"/>
      <c r="M547" s="156"/>
      <c r="N547" s="156"/>
      <c r="O547" s="156"/>
      <c r="P547" s="156"/>
      <c r="Q547" s="156"/>
      <c r="R547" s="156"/>
      <c r="S547" s="156"/>
      <c r="T547" s="156"/>
      <c r="U547" s="156"/>
      <c r="V547" s="156"/>
      <c r="W547" s="156"/>
      <c r="X547" s="156"/>
      <c r="Y547" s="156"/>
      <c r="Z547" s="156"/>
      <c r="AA547" s="156"/>
      <c r="AB547" s="156"/>
      <c r="AC547" s="156"/>
    </row>
    <row r="548" spans="1:29" ht="13">
      <c r="A548" s="140"/>
      <c r="B548" s="140"/>
      <c r="C548" s="156"/>
      <c r="D548" s="156"/>
      <c r="E548" s="156"/>
      <c r="F548" s="156"/>
      <c r="G548" s="185"/>
      <c r="H548" s="156"/>
      <c r="I548" s="156"/>
      <c r="J548" s="156"/>
      <c r="K548" s="156"/>
      <c r="L548" s="157"/>
      <c r="M548" s="156"/>
      <c r="N548" s="156"/>
      <c r="O548" s="156"/>
      <c r="P548" s="156"/>
      <c r="Q548" s="156"/>
      <c r="R548" s="156"/>
      <c r="S548" s="156"/>
      <c r="T548" s="156"/>
      <c r="U548" s="156"/>
      <c r="V548" s="156"/>
      <c r="W548" s="156"/>
      <c r="X548" s="156"/>
      <c r="Y548" s="156"/>
      <c r="Z548" s="156"/>
      <c r="AA548" s="156"/>
      <c r="AB548" s="156"/>
      <c r="AC548" s="156"/>
    </row>
    <row r="549" spans="1:29" ht="13">
      <c r="A549" s="140"/>
      <c r="B549" s="140"/>
      <c r="C549" s="156"/>
      <c r="D549" s="156"/>
      <c r="E549" s="156"/>
      <c r="F549" s="156"/>
      <c r="G549" s="185"/>
      <c r="H549" s="156"/>
      <c r="I549" s="156"/>
      <c r="J549" s="156"/>
      <c r="K549" s="156"/>
      <c r="L549" s="157"/>
      <c r="M549" s="156"/>
      <c r="N549" s="156"/>
      <c r="O549" s="156"/>
      <c r="P549" s="156"/>
      <c r="Q549" s="156"/>
      <c r="R549" s="156"/>
      <c r="S549" s="156"/>
      <c r="T549" s="156"/>
      <c r="U549" s="156"/>
      <c r="V549" s="156"/>
      <c r="W549" s="156"/>
      <c r="X549" s="156"/>
      <c r="Y549" s="156"/>
      <c r="Z549" s="156"/>
      <c r="AA549" s="156"/>
      <c r="AB549" s="156"/>
      <c r="AC549" s="156"/>
    </row>
    <row r="550" spans="1:29" ht="13">
      <c r="A550" s="140"/>
      <c r="B550" s="140"/>
      <c r="C550" s="156"/>
      <c r="D550" s="156"/>
      <c r="E550" s="156"/>
      <c r="F550" s="156"/>
      <c r="G550" s="185"/>
      <c r="H550" s="156"/>
      <c r="I550" s="156"/>
      <c r="J550" s="156"/>
      <c r="K550" s="156"/>
      <c r="L550" s="157"/>
      <c r="M550" s="156"/>
      <c r="N550" s="156"/>
      <c r="O550" s="156"/>
      <c r="P550" s="156"/>
      <c r="Q550" s="156"/>
      <c r="R550" s="156"/>
      <c r="S550" s="156"/>
      <c r="T550" s="156"/>
      <c r="U550" s="156"/>
      <c r="V550" s="156"/>
      <c r="W550" s="156"/>
      <c r="X550" s="156"/>
      <c r="Y550" s="156"/>
      <c r="Z550" s="156"/>
      <c r="AA550" s="156"/>
      <c r="AB550" s="156"/>
      <c r="AC550" s="156"/>
    </row>
    <row r="551" spans="1:29" ht="13">
      <c r="A551" s="140"/>
      <c r="B551" s="140"/>
      <c r="C551" s="156"/>
      <c r="D551" s="156"/>
      <c r="E551" s="156"/>
      <c r="F551" s="156"/>
      <c r="G551" s="185"/>
      <c r="H551" s="156"/>
      <c r="I551" s="156"/>
      <c r="J551" s="156"/>
      <c r="K551" s="156"/>
      <c r="L551" s="157"/>
      <c r="M551" s="156"/>
      <c r="N551" s="156"/>
      <c r="O551" s="156"/>
      <c r="P551" s="156"/>
      <c r="Q551" s="156"/>
      <c r="R551" s="156"/>
      <c r="S551" s="156"/>
      <c r="T551" s="156"/>
      <c r="U551" s="156"/>
      <c r="V551" s="156"/>
      <c r="W551" s="156"/>
      <c r="X551" s="156"/>
      <c r="Y551" s="156"/>
      <c r="Z551" s="156"/>
      <c r="AA551" s="156"/>
      <c r="AB551" s="156"/>
      <c r="AC551" s="156"/>
    </row>
    <row r="552" spans="1:29" ht="13">
      <c r="A552" s="140"/>
      <c r="B552" s="140"/>
      <c r="C552" s="156"/>
      <c r="D552" s="156"/>
      <c r="E552" s="156"/>
      <c r="F552" s="156"/>
      <c r="G552" s="185"/>
      <c r="H552" s="156"/>
      <c r="I552" s="156"/>
      <c r="J552" s="156"/>
      <c r="K552" s="156"/>
      <c r="L552" s="157"/>
      <c r="M552" s="156"/>
      <c r="N552" s="156"/>
      <c r="O552" s="156"/>
      <c r="P552" s="156"/>
      <c r="Q552" s="156"/>
      <c r="R552" s="156"/>
      <c r="S552" s="156"/>
      <c r="T552" s="156"/>
      <c r="U552" s="156"/>
      <c r="V552" s="156"/>
      <c r="W552" s="156"/>
      <c r="X552" s="156"/>
      <c r="Y552" s="156"/>
      <c r="Z552" s="156"/>
      <c r="AA552" s="156"/>
      <c r="AB552" s="156"/>
      <c r="AC552" s="156"/>
    </row>
    <row r="553" spans="1:29" ht="13">
      <c r="A553" s="140"/>
      <c r="B553" s="140"/>
      <c r="C553" s="156"/>
      <c r="D553" s="156"/>
      <c r="E553" s="156"/>
      <c r="F553" s="156"/>
      <c r="G553" s="185"/>
      <c r="H553" s="156"/>
      <c r="I553" s="156"/>
      <c r="J553" s="156"/>
      <c r="K553" s="156"/>
      <c r="L553" s="157"/>
      <c r="M553" s="156"/>
      <c r="N553" s="156"/>
      <c r="O553" s="156"/>
      <c r="P553" s="156"/>
      <c r="Q553" s="156"/>
      <c r="R553" s="156"/>
      <c r="S553" s="156"/>
      <c r="T553" s="156"/>
      <c r="U553" s="156"/>
      <c r="V553" s="156"/>
      <c r="W553" s="156"/>
      <c r="X553" s="156"/>
      <c r="Y553" s="156"/>
      <c r="Z553" s="156"/>
      <c r="AA553" s="156"/>
      <c r="AB553" s="156"/>
      <c r="AC553" s="156"/>
    </row>
    <row r="554" spans="1:29" ht="13">
      <c r="A554" s="140"/>
      <c r="B554" s="140"/>
      <c r="C554" s="156"/>
      <c r="D554" s="156"/>
      <c r="E554" s="156"/>
      <c r="F554" s="156"/>
      <c r="G554" s="185"/>
      <c r="H554" s="156"/>
      <c r="I554" s="156"/>
      <c r="J554" s="156"/>
      <c r="K554" s="156"/>
      <c r="L554" s="157"/>
      <c r="M554" s="156"/>
      <c r="N554" s="156"/>
      <c r="O554" s="156"/>
      <c r="P554" s="156"/>
      <c r="Q554" s="156"/>
      <c r="R554" s="156"/>
      <c r="S554" s="156"/>
      <c r="T554" s="156"/>
      <c r="U554" s="156"/>
      <c r="V554" s="156"/>
      <c r="W554" s="156"/>
      <c r="X554" s="156"/>
      <c r="Y554" s="156"/>
      <c r="Z554" s="156"/>
      <c r="AA554" s="156"/>
      <c r="AB554" s="156"/>
      <c r="AC554" s="156"/>
    </row>
    <row r="555" spans="1:29" ht="13">
      <c r="A555" s="140"/>
      <c r="B555" s="140"/>
      <c r="C555" s="156"/>
      <c r="D555" s="156"/>
      <c r="E555" s="156"/>
      <c r="F555" s="156"/>
      <c r="G555" s="185"/>
      <c r="H555" s="156"/>
      <c r="I555" s="156"/>
      <c r="J555" s="156"/>
      <c r="K555" s="156"/>
      <c r="L555" s="157"/>
      <c r="M555" s="156"/>
      <c r="N555" s="156"/>
      <c r="O555" s="156"/>
      <c r="P555" s="156"/>
      <c r="Q555" s="156"/>
      <c r="R555" s="156"/>
      <c r="S555" s="156"/>
      <c r="T555" s="156"/>
      <c r="U555" s="156"/>
      <c r="V555" s="156"/>
      <c r="W555" s="156"/>
      <c r="X555" s="156"/>
      <c r="Y555" s="156"/>
      <c r="Z555" s="156"/>
      <c r="AA555" s="156"/>
      <c r="AB555" s="156"/>
      <c r="AC555" s="156"/>
    </row>
    <row r="556" spans="1:29" ht="13">
      <c r="A556" s="140"/>
      <c r="B556" s="140"/>
      <c r="C556" s="156"/>
      <c r="D556" s="156"/>
      <c r="E556" s="156"/>
      <c r="F556" s="156"/>
      <c r="G556" s="185"/>
      <c r="H556" s="156"/>
      <c r="I556" s="156"/>
      <c r="J556" s="156"/>
      <c r="K556" s="156"/>
      <c r="L556" s="157"/>
      <c r="M556" s="156"/>
      <c r="N556" s="156"/>
      <c r="O556" s="156"/>
      <c r="P556" s="156"/>
      <c r="Q556" s="156"/>
      <c r="R556" s="156"/>
      <c r="S556" s="156"/>
      <c r="T556" s="156"/>
      <c r="U556" s="156"/>
      <c r="V556" s="156"/>
      <c r="W556" s="156"/>
      <c r="X556" s="156"/>
      <c r="Y556" s="156"/>
      <c r="Z556" s="156"/>
      <c r="AA556" s="156"/>
      <c r="AB556" s="156"/>
      <c r="AC556" s="156"/>
    </row>
    <row r="557" spans="1:29" ht="13">
      <c r="A557" s="140"/>
      <c r="B557" s="140"/>
      <c r="C557" s="156"/>
      <c r="D557" s="156"/>
      <c r="E557" s="156"/>
      <c r="F557" s="156"/>
      <c r="G557" s="185"/>
      <c r="H557" s="156"/>
      <c r="I557" s="156"/>
      <c r="J557" s="156"/>
      <c r="K557" s="156"/>
      <c r="L557" s="157"/>
      <c r="M557" s="156"/>
      <c r="N557" s="156"/>
      <c r="O557" s="156"/>
      <c r="P557" s="156"/>
      <c r="Q557" s="156"/>
      <c r="R557" s="156"/>
      <c r="S557" s="156"/>
      <c r="T557" s="156"/>
      <c r="U557" s="156"/>
      <c r="V557" s="156"/>
      <c r="W557" s="156"/>
      <c r="X557" s="156"/>
      <c r="Y557" s="156"/>
      <c r="Z557" s="156"/>
      <c r="AA557" s="156"/>
      <c r="AB557" s="156"/>
      <c r="AC557" s="156"/>
    </row>
    <row r="558" spans="1:29" ht="13">
      <c r="A558" s="140"/>
      <c r="B558" s="140"/>
      <c r="C558" s="156"/>
      <c r="D558" s="156"/>
      <c r="E558" s="156"/>
      <c r="F558" s="156"/>
      <c r="G558" s="185"/>
      <c r="H558" s="156"/>
      <c r="I558" s="156"/>
      <c r="J558" s="156"/>
      <c r="K558" s="156"/>
      <c r="L558" s="157"/>
      <c r="M558" s="156"/>
      <c r="N558" s="156"/>
      <c r="O558" s="156"/>
      <c r="P558" s="156"/>
      <c r="Q558" s="156"/>
      <c r="R558" s="156"/>
      <c r="S558" s="156"/>
      <c r="T558" s="156"/>
      <c r="U558" s="156"/>
      <c r="V558" s="156"/>
      <c r="W558" s="156"/>
      <c r="X558" s="156"/>
      <c r="Y558" s="156"/>
      <c r="Z558" s="156"/>
      <c r="AA558" s="156"/>
      <c r="AB558" s="156"/>
      <c r="AC558" s="156"/>
    </row>
    <row r="559" spans="1:29" ht="13">
      <c r="A559" s="140"/>
      <c r="B559" s="140"/>
      <c r="C559" s="156"/>
      <c r="D559" s="156"/>
      <c r="E559" s="156"/>
      <c r="F559" s="156"/>
      <c r="G559" s="185"/>
      <c r="H559" s="156"/>
      <c r="I559" s="156"/>
      <c r="J559" s="156"/>
      <c r="K559" s="156"/>
      <c r="L559" s="157"/>
      <c r="M559" s="156"/>
      <c r="N559" s="156"/>
      <c r="O559" s="156"/>
      <c r="P559" s="156"/>
      <c r="Q559" s="156"/>
      <c r="R559" s="156"/>
      <c r="S559" s="156"/>
      <c r="T559" s="156"/>
      <c r="U559" s="156"/>
      <c r="V559" s="156"/>
      <c r="W559" s="156"/>
      <c r="X559" s="156"/>
      <c r="Y559" s="156"/>
      <c r="Z559" s="156"/>
      <c r="AA559" s="156"/>
      <c r="AB559" s="156"/>
      <c r="AC559" s="156"/>
    </row>
    <row r="560" spans="1:29" ht="13">
      <c r="A560" s="140"/>
      <c r="B560" s="140"/>
      <c r="C560" s="156"/>
      <c r="D560" s="156"/>
      <c r="E560" s="156"/>
      <c r="F560" s="156"/>
      <c r="G560" s="185"/>
      <c r="H560" s="156"/>
      <c r="I560" s="156"/>
      <c r="J560" s="156"/>
      <c r="K560" s="156"/>
      <c r="L560" s="157"/>
      <c r="M560" s="156"/>
      <c r="N560" s="156"/>
      <c r="O560" s="156"/>
      <c r="P560" s="156"/>
      <c r="Q560" s="156"/>
      <c r="R560" s="156"/>
      <c r="S560" s="156"/>
      <c r="T560" s="156"/>
      <c r="U560" s="156"/>
      <c r="V560" s="156"/>
      <c r="W560" s="156"/>
      <c r="X560" s="156"/>
      <c r="Y560" s="156"/>
      <c r="Z560" s="156"/>
      <c r="AA560" s="156"/>
      <c r="AB560" s="156"/>
      <c r="AC560" s="156"/>
    </row>
    <row r="561" spans="1:29" ht="13">
      <c r="A561" s="140"/>
      <c r="B561" s="140"/>
      <c r="C561" s="156"/>
      <c r="D561" s="156"/>
      <c r="E561" s="156"/>
      <c r="F561" s="156"/>
      <c r="G561" s="185"/>
      <c r="H561" s="156"/>
      <c r="I561" s="156"/>
      <c r="J561" s="156"/>
      <c r="K561" s="156"/>
      <c r="L561" s="157"/>
      <c r="M561" s="156"/>
      <c r="N561" s="156"/>
      <c r="O561" s="156"/>
      <c r="P561" s="156"/>
      <c r="Q561" s="156"/>
      <c r="R561" s="156"/>
      <c r="S561" s="156"/>
      <c r="T561" s="156"/>
      <c r="U561" s="156"/>
      <c r="V561" s="156"/>
      <c r="W561" s="156"/>
      <c r="X561" s="156"/>
      <c r="Y561" s="156"/>
      <c r="Z561" s="156"/>
      <c r="AA561" s="156"/>
      <c r="AB561" s="156"/>
      <c r="AC561" s="156"/>
    </row>
    <row r="562" spans="1:29" ht="13">
      <c r="A562" s="140"/>
      <c r="B562" s="140"/>
      <c r="C562" s="156"/>
      <c r="D562" s="156"/>
      <c r="E562" s="156"/>
      <c r="F562" s="156"/>
      <c r="G562" s="185"/>
      <c r="H562" s="156"/>
      <c r="I562" s="156"/>
      <c r="J562" s="156"/>
      <c r="K562" s="156"/>
      <c r="L562" s="157"/>
      <c r="M562" s="156"/>
      <c r="N562" s="156"/>
      <c r="O562" s="156"/>
      <c r="P562" s="156"/>
      <c r="Q562" s="156"/>
      <c r="R562" s="156"/>
      <c r="S562" s="156"/>
      <c r="T562" s="156"/>
      <c r="U562" s="156"/>
      <c r="V562" s="156"/>
      <c r="W562" s="156"/>
      <c r="X562" s="156"/>
      <c r="Y562" s="156"/>
      <c r="Z562" s="156"/>
      <c r="AA562" s="156"/>
      <c r="AB562" s="156"/>
      <c r="AC562" s="156"/>
    </row>
    <row r="563" spans="1:29" ht="13">
      <c r="A563" s="140"/>
      <c r="B563" s="140"/>
      <c r="C563" s="156"/>
      <c r="D563" s="156"/>
      <c r="E563" s="156"/>
      <c r="F563" s="156"/>
      <c r="G563" s="185"/>
      <c r="H563" s="156"/>
      <c r="I563" s="156"/>
      <c r="J563" s="156"/>
      <c r="K563" s="156"/>
      <c r="L563" s="157"/>
      <c r="M563" s="156"/>
      <c r="N563" s="156"/>
      <c r="O563" s="156"/>
      <c r="P563" s="156"/>
      <c r="Q563" s="156"/>
      <c r="R563" s="156"/>
      <c r="S563" s="156"/>
      <c r="T563" s="156"/>
      <c r="U563" s="156"/>
      <c r="V563" s="156"/>
      <c r="W563" s="156"/>
      <c r="X563" s="156"/>
      <c r="Y563" s="156"/>
      <c r="Z563" s="156"/>
      <c r="AA563" s="156"/>
      <c r="AB563" s="156"/>
      <c r="AC563" s="156"/>
    </row>
    <row r="564" spans="1:29" ht="13">
      <c r="A564" s="140"/>
      <c r="B564" s="140"/>
      <c r="C564" s="156"/>
      <c r="D564" s="156"/>
      <c r="E564" s="156"/>
      <c r="F564" s="156"/>
      <c r="G564" s="185"/>
      <c r="H564" s="156"/>
      <c r="I564" s="156"/>
      <c r="J564" s="156"/>
      <c r="K564" s="156"/>
      <c r="L564" s="157"/>
      <c r="M564" s="156"/>
      <c r="N564" s="156"/>
      <c r="O564" s="156"/>
      <c r="P564" s="156"/>
      <c r="Q564" s="156"/>
      <c r="R564" s="156"/>
      <c r="S564" s="156"/>
      <c r="T564" s="156"/>
      <c r="U564" s="156"/>
      <c r="V564" s="156"/>
      <c r="W564" s="156"/>
      <c r="X564" s="156"/>
      <c r="Y564" s="156"/>
      <c r="Z564" s="156"/>
      <c r="AA564" s="156"/>
      <c r="AB564" s="156"/>
      <c r="AC564" s="156"/>
    </row>
    <row r="565" spans="1:29" ht="13">
      <c r="A565" s="140"/>
      <c r="B565" s="140"/>
      <c r="C565" s="156"/>
      <c r="D565" s="156"/>
      <c r="E565" s="156"/>
      <c r="F565" s="156"/>
      <c r="G565" s="185"/>
      <c r="H565" s="156"/>
      <c r="I565" s="156"/>
      <c r="J565" s="156"/>
      <c r="K565" s="156"/>
      <c r="L565" s="157"/>
      <c r="M565" s="156"/>
      <c r="N565" s="156"/>
      <c r="O565" s="156"/>
      <c r="P565" s="156"/>
      <c r="Q565" s="156"/>
      <c r="R565" s="156"/>
      <c r="S565" s="156"/>
      <c r="T565" s="156"/>
      <c r="U565" s="156"/>
      <c r="V565" s="156"/>
      <c r="W565" s="156"/>
      <c r="X565" s="156"/>
      <c r="Y565" s="156"/>
      <c r="Z565" s="156"/>
      <c r="AA565" s="156"/>
      <c r="AB565" s="156"/>
      <c r="AC565" s="156"/>
    </row>
    <row r="566" spans="1:29" ht="13">
      <c r="A566" s="140"/>
      <c r="B566" s="140"/>
      <c r="C566" s="156"/>
      <c r="D566" s="156"/>
      <c r="E566" s="156"/>
      <c r="F566" s="156"/>
      <c r="G566" s="185"/>
      <c r="H566" s="156"/>
      <c r="I566" s="156"/>
      <c r="J566" s="156"/>
      <c r="K566" s="156"/>
      <c r="L566" s="157"/>
      <c r="M566" s="156"/>
      <c r="N566" s="156"/>
      <c r="O566" s="156"/>
      <c r="P566" s="156"/>
      <c r="Q566" s="156"/>
      <c r="R566" s="156"/>
      <c r="S566" s="156"/>
      <c r="T566" s="156"/>
      <c r="U566" s="156"/>
      <c r="V566" s="156"/>
      <c r="W566" s="156"/>
      <c r="X566" s="156"/>
      <c r="Y566" s="156"/>
      <c r="Z566" s="156"/>
      <c r="AA566" s="156"/>
      <c r="AB566" s="156"/>
      <c r="AC566" s="156"/>
    </row>
    <row r="567" spans="1:29" ht="13">
      <c r="A567" s="140"/>
      <c r="B567" s="140"/>
      <c r="C567" s="156"/>
      <c r="D567" s="156"/>
      <c r="E567" s="156"/>
      <c r="F567" s="156"/>
      <c r="G567" s="185"/>
      <c r="H567" s="156"/>
      <c r="I567" s="156"/>
      <c r="J567" s="156"/>
      <c r="K567" s="156"/>
      <c r="L567" s="157"/>
      <c r="M567" s="156"/>
      <c r="N567" s="156"/>
      <c r="O567" s="156"/>
      <c r="P567" s="156"/>
      <c r="Q567" s="156"/>
      <c r="R567" s="156"/>
      <c r="S567" s="156"/>
      <c r="T567" s="156"/>
      <c r="U567" s="156"/>
      <c r="V567" s="156"/>
      <c r="W567" s="156"/>
      <c r="X567" s="156"/>
      <c r="Y567" s="156"/>
      <c r="Z567" s="156"/>
      <c r="AA567" s="156"/>
      <c r="AB567" s="156"/>
      <c r="AC567" s="156"/>
    </row>
    <row r="568" spans="1:29" ht="13">
      <c r="A568" s="140"/>
      <c r="B568" s="140"/>
      <c r="C568" s="156"/>
      <c r="D568" s="156"/>
      <c r="E568" s="156"/>
      <c r="F568" s="156"/>
      <c r="G568" s="185"/>
      <c r="H568" s="156"/>
      <c r="I568" s="156"/>
      <c r="J568" s="156"/>
      <c r="K568" s="156"/>
      <c r="L568" s="157"/>
      <c r="M568" s="156"/>
      <c r="N568" s="156"/>
      <c r="O568" s="156"/>
      <c r="P568" s="156"/>
      <c r="Q568" s="156"/>
      <c r="R568" s="156"/>
      <c r="S568" s="156"/>
      <c r="T568" s="156"/>
      <c r="U568" s="156"/>
      <c r="V568" s="156"/>
      <c r="W568" s="156"/>
      <c r="X568" s="156"/>
      <c r="Y568" s="156"/>
      <c r="Z568" s="156"/>
      <c r="AA568" s="156"/>
      <c r="AB568" s="156"/>
      <c r="AC568" s="156"/>
    </row>
    <row r="569" spans="1:29" ht="13">
      <c r="A569" s="140"/>
      <c r="B569" s="140"/>
      <c r="C569" s="156"/>
      <c r="D569" s="156"/>
      <c r="E569" s="156"/>
      <c r="F569" s="156"/>
      <c r="G569" s="185"/>
      <c r="H569" s="156"/>
      <c r="I569" s="156"/>
      <c r="J569" s="156"/>
      <c r="K569" s="156"/>
      <c r="L569" s="157"/>
      <c r="M569" s="156"/>
      <c r="N569" s="156"/>
      <c r="O569" s="156"/>
      <c r="P569" s="156"/>
      <c r="Q569" s="156"/>
      <c r="R569" s="156"/>
      <c r="S569" s="156"/>
      <c r="T569" s="156"/>
      <c r="U569" s="156"/>
      <c r="V569" s="156"/>
      <c r="W569" s="156"/>
      <c r="X569" s="156"/>
      <c r="Y569" s="156"/>
      <c r="Z569" s="156"/>
      <c r="AA569" s="156"/>
      <c r="AB569" s="156"/>
      <c r="AC569" s="156"/>
    </row>
    <row r="570" spans="1:29" ht="13">
      <c r="A570" s="140"/>
      <c r="B570" s="140"/>
      <c r="C570" s="156"/>
      <c r="D570" s="156"/>
      <c r="E570" s="156"/>
      <c r="F570" s="156"/>
      <c r="G570" s="185"/>
      <c r="H570" s="156"/>
      <c r="I570" s="156"/>
      <c r="J570" s="156"/>
      <c r="K570" s="156"/>
      <c r="L570" s="157"/>
      <c r="M570" s="156"/>
      <c r="N570" s="156"/>
      <c r="O570" s="156"/>
      <c r="P570" s="156"/>
      <c r="Q570" s="156"/>
      <c r="R570" s="156"/>
      <c r="S570" s="156"/>
      <c r="T570" s="156"/>
      <c r="U570" s="156"/>
      <c r="V570" s="156"/>
      <c r="W570" s="156"/>
      <c r="X570" s="156"/>
      <c r="Y570" s="156"/>
      <c r="Z570" s="156"/>
      <c r="AA570" s="156"/>
      <c r="AB570" s="156"/>
      <c r="AC570" s="156"/>
    </row>
    <row r="571" spans="1:29" ht="13">
      <c r="A571" s="140"/>
      <c r="B571" s="140"/>
      <c r="C571" s="156"/>
      <c r="D571" s="156"/>
      <c r="E571" s="156"/>
      <c r="F571" s="156"/>
      <c r="G571" s="185"/>
      <c r="H571" s="156"/>
      <c r="I571" s="156"/>
      <c r="J571" s="156"/>
      <c r="K571" s="156"/>
      <c r="L571" s="157"/>
      <c r="M571" s="156"/>
      <c r="N571" s="156"/>
      <c r="O571" s="156"/>
      <c r="P571" s="156"/>
      <c r="Q571" s="156"/>
      <c r="R571" s="156"/>
      <c r="S571" s="156"/>
      <c r="T571" s="156"/>
      <c r="U571" s="156"/>
      <c r="V571" s="156"/>
      <c r="W571" s="156"/>
      <c r="X571" s="156"/>
      <c r="Y571" s="156"/>
      <c r="Z571" s="156"/>
      <c r="AA571" s="156"/>
      <c r="AB571" s="156"/>
      <c r="AC571" s="156"/>
    </row>
    <row r="572" spans="1:29" ht="13">
      <c r="A572" s="140"/>
      <c r="B572" s="140"/>
      <c r="C572" s="156"/>
      <c r="D572" s="156"/>
      <c r="E572" s="156"/>
      <c r="F572" s="156"/>
      <c r="G572" s="185"/>
      <c r="H572" s="156"/>
      <c r="I572" s="156"/>
      <c r="J572" s="156"/>
      <c r="K572" s="156"/>
      <c r="L572" s="157"/>
      <c r="M572" s="156"/>
      <c r="N572" s="156"/>
      <c r="O572" s="156"/>
      <c r="P572" s="156"/>
      <c r="Q572" s="156"/>
      <c r="R572" s="156"/>
      <c r="S572" s="156"/>
      <c r="T572" s="156"/>
      <c r="U572" s="156"/>
      <c r="V572" s="156"/>
      <c r="W572" s="156"/>
      <c r="X572" s="156"/>
      <c r="Y572" s="156"/>
      <c r="Z572" s="156"/>
      <c r="AA572" s="156"/>
      <c r="AB572" s="156"/>
      <c r="AC572" s="156"/>
    </row>
    <row r="573" spans="1:29" ht="13">
      <c r="A573" s="140"/>
      <c r="B573" s="140"/>
      <c r="C573" s="156"/>
      <c r="D573" s="156"/>
      <c r="E573" s="156"/>
      <c r="F573" s="156"/>
      <c r="G573" s="185"/>
      <c r="H573" s="156"/>
      <c r="I573" s="156"/>
      <c r="J573" s="156"/>
      <c r="K573" s="156"/>
      <c r="L573" s="157"/>
      <c r="M573" s="156"/>
      <c r="N573" s="156"/>
      <c r="O573" s="156"/>
      <c r="P573" s="156"/>
      <c r="Q573" s="156"/>
      <c r="R573" s="156"/>
      <c r="S573" s="156"/>
      <c r="T573" s="156"/>
      <c r="U573" s="156"/>
      <c r="V573" s="156"/>
      <c r="W573" s="156"/>
      <c r="X573" s="156"/>
      <c r="Y573" s="156"/>
      <c r="Z573" s="156"/>
      <c r="AA573" s="156"/>
      <c r="AB573" s="156"/>
      <c r="AC573" s="156"/>
    </row>
    <row r="574" spans="1:29" ht="13">
      <c r="A574" s="140"/>
      <c r="B574" s="140"/>
      <c r="C574" s="156"/>
      <c r="D574" s="156"/>
      <c r="E574" s="156"/>
      <c r="F574" s="156"/>
      <c r="G574" s="185"/>
      <c r="H574" s="156"/>
      <c r="I574" s="156"/>
      <c r="J574" s="156"/>
      <c r="K574" s="156"/>
      <c r="L574" s="157"/>
      <c r="M574" s="156"/>
      <c r="N574" s="156"/>
      <c r="O574" s="156"/>
      <c r="P574" s="156"/>
      <c r="Q574" s="156"/>
      <c r="R574" s="156"/>
      <c r="S574" s="156"/>
      <c r="T574" s="156"/>
      <c r="U574" s="156"/>
      <c r="V574" s="156"/>
      <c r="W574" s="156"/>
      <c r="X574" s="156"/>
      <c r="Y574" s="156"/>
      <c r="Z574" s="156"/>
      <c r="AA574" s="156"/>
      <c r="AB574" s="156"/>
      <c r="AC574" s="156"/>
    </row>
    <row r="575" spans="1:29" ht="13">
      <c r="A575" s="140"/>
      <c r="B575" s="140"/>
      <c r="C575" s="156"/>
      <c r="D575" s="156"/>
      <c r="E575" s="156"/>
      <c r="F575" s="156"/>
      <c r="G575" s="185"/>
      <c r="H575" s="156"/>
      <c r="I575" s="156"/>
      <c r="J575" s="156"/>
      <c r="K575" s="156"/>
      <c r="L575" s="157"/>
      <c r="M575" s="156"/>
      <c r="N575" s="156"/>
      <c r="O575" s="156"/>
      <c r="P575" s="156"/>
      <c r="Q575" s="156"/>
      <c r="R575" s="156"/>
      <c r="S575" s="156"/>
      <c r="T575" s="156"/>
      <c r="U575" s="156"/>
      <c r="V575" s="156"/>
      <c r="W575" s="156"/>
      <c r="X575" s="156"/>
      <c r="Y575" s="156"/>
      <c r="Z575" s="156"/>
      <c r="AA575" s="156"/>
      <c r="AB575" s="156"/>
      <c r="AC575" s="156"/>
    </row>
    <row r="576" spans="1:29" ht="13">
      <c r="A576" s="140"/>
      <c r="B576" s="140"/>
      <c r="C576" s="156"/>
      <c r="D576" s="156"/>
      <c r="E576" s="156"/>
      <c r="F576" s="156"/>
      <c r="G576" s="185"/>
      <c r="H576" s="156"/>
      <c r="I576" s="156"/>
      <c r="J576" s="156"/>
      <c r="K576" s="156"/>
      <c r="L576" s="157"/>
      <c r="M576" s="156"/>
      <c r="N576" s="156"/>
      <c r="O576" s="156"/>
      <c r="P576" s="156"/>
      <c r="Q576" s="156"/>
      <c r="R576" s="156"/>
      <c r="S576" s="156"/>
      <c r="T576" s="156"/>
      <c r="U576" s="156"/>
      <c r="V576" s="156"/>
      <c r="W576" s="156"/>
      <c r="X576" s="156"/>
      <c r="Y576" s="156"/>
      <c r="Z576" s="156"/>
      <c r="AA576" s="156"/>
      <c r="AB576" s="156"/>
      <c r="AC576" s="156"/>
    </row>
    <row r="577" spans="1:29" ht="13">
      <c r="A577" s="140"/>
      <c r="B577" s="140"/>
      <c r="C577" s="156"/>
      <c r="D577" s="156"/>
      <c r="E577" s="156"/>
      <c r="F577" s="156"/>
      <c r="G577" s="185"/>
      <c r="H577" s="156"/>
      <c r="I577" s="156"/>
      <c r="J577" s="156"/>
      <c r="K577" s="156"/>
      <c r="L577" s="157"/>
      <c r="M577" s="156"/>
      <c r="N577" s="156"/>
      <c r="O577" s="156"/>
      <c r="P577" s="156"/>
      <c r="Q577" s="156"/>
      <c r="R577" s="156"/>
      <c r="S577" s="156"/>
      <c r="T577" s="156"/>
      <c r="U577" s="156"/>
      <c r="V577" s="156"/>
      <c r="W577" s="156"/>
      <c r="X577" s="156"/>
      <c r="Y577" s="156"/>
      <c r="Z577" s="156"/>
      <c r="AA577" s="156"/>
      <c r="AB577" s="156"/>
      <c r="AC577" s="156"/>
    </row>
    <row r="578" spans="1:29" ht="13">
      <c r="A578" s="140"/>
      <c r="B578" s="140"/>
      <c r="C578" s="156"/>
      <c r="D578" s="156"/>
      <c r="E578" s="156"/>
      <c r="F578" s="156"/>
      <c r="G578" s="185"/>
      <c r="H578" s="156"/>
      <c r="I578" s="156"/>
      <c r="J578" s="156"/>
      <c r="K578" s="156"/>
      <c r="L578" s="157"/>
      <c r="M578" s="156"/>
      <c r="N578" s="156"/>
      <c r="O578" s="156"/>
      <c r="P578" s="156"/>
      <c r="Q578" s="156"/>
      <c r="R578" s="156"/>
      <c r="S578" s="156"/>
      <c r="T578" s="156"/>
      <c r="U578" s="156"/>
      <c r="V578" s="156"/>
      <c r="W578" s="156"/>
      <c r="X578" s="156"/>
      <c r="Y578" s="156"/>
      <c r="Z578" s="156"/>
      <c r="AA578" s="156"/>
      <c r="AB578" s="156"/>
      <c r="AC578" s="156"/>
    </row>
    <row r="579" spans="1:29" ht="13">
      <c r="A579" s="140"/>
      <c r="B579" s="140"/>
      <c r="C579" s="156"/>
      <c r="D579" s="156"/>
      <c r="E579" s="156"/>
      <c r="F579" s="156"/>
      <c r="G579" s="185"/>
      <c r="H579" s="156"/>
      <c r="I579" s="156"/>
      <c r="J579" s="156"/>
      <c r="K579" s="156"/>
      <c r="L579" s="157"/>
      <c r="M579" s="156"/>
      <c r="N579" s="156"/>
      <c r="O579" s="156"/>
      <c r="P579" s="156"/>
      <c r="Q579" s="156"/>
      <c r="R579" s="156"/>
      <c r="S579" s="156"/>
      <c r="T579" s="156"/>
      <c r="U579" s="156"/>
      <c r="V579" s="156"/>
      <c r="W579" s="156"/>
      <c r="X579" s="156"/>
      <c r="Y579" s="156"/>
      <c r="Z579" s="156"/>
      <c r="AA579" s="156"/>
      <c r="AB579" s="156"/>
      <c r="AC579" s="156"/>
    </row>
    <row r="580" spans="1:29" ht="13">
      <c r="A580" s="140"/>
      <c r="B580" s="140"/>
      <c r="C580" s="156"/>
      <c r="D580" s="156"/>
      <c r="E580" s="156"/>
      <c r="F580" s="156"/>
      <c r="G580" s="185"/>
      <c r="H580" s="156"/>
      <c r="I580" s="156"/>
      <c r="J580" s="156"/>
      <c r="K580" s="156"/>
      <c r="L580" s="157"/>
      <c r="M580" s="156"/>
      <c r="N580" s="156"/>
      <c r="O580" s="156"/>
      <c r="P580" s="156"/>
      <c r="Q580" s="156"/>
      <c r="R580" s="156"/>
      <c r="S580" s="156"/>
      <c r="T580" s="156"/>
      <c r="U580" s="156"/>
      <c r="V580" s="156"/>
      <c r="W580" s="156"/>
      <c r="X580" s="156"/>
      <c r="Y580" s="156"/>
      <c r="Z580" s="156"/>
      <c r="AA580" s="156"/>
      <c r="AB580" s="156"/>
      <c r="AC580" s="156"/>
    </row>
    <row r="581" spans="1:29" ht="13">
      <c r="A581" s="140"/>
      <c r="B581" s="140"/>
      <c r="C581" s="156"/>
      <c r="D581" s="156"/>
      <c r="E581" s="156"/>
      <c r="F581" s="156"/>
      <c r="G581" s="185"/>
      <c r="H581" s="156"/>
      <c r="I581" s="156"/>
      <c r="J581" s="156"/>
      <c r="K581" s="156"/>
      <c r="L581" s="157"/>
      <c r="M581" s="156"/>
      <c r="N581" s="156"/>
      <c r="O581" s="156"/>
      <c r="P581" s="156"/>
      <c r="Q581" s="156"/>
      <c r="R581" s="156"/>
      <c r="S581" s="156"/>
      <c r="T581" s="156"/>
      <c r="U581" s="156"/>
      <c r="V581" s="156"/>
      <c r="W581" s="156"/>
      <c r="X581" s="156"/>
      <c r="Y581" s="156"/>
      <c r="Z581" s="156"/>
      <c r="AA581" s="156"/>
      <c r="AB581" s="156"/>
      <c r="AC581" s="156"/>
    </row>
    <row r="582" spans="1:29" ht="13">
      <c r="A582" s="140"/>
      <c r="B582" s="140"/>
      <c r="C582" s="156"/>
      <c r="D582" s="156"/>
      <c r="E582" s="156"/>
      <c r="F582" s="156"/>
      <c r="G582" s="185"/>
      <c r="H582" s="156"/>
      <c r="I582" s="156"/>
      <c r="J582" s="156"/>
      <c r="K582" s="156"/>
      <c r="L582" s="157"/>
      <c r="M582" s="156"/>
      <c r="N582" s="156"/>
      <c r="O582" s="156"/>
      <c r="P582" s="156"/>
      <c r="Q582" s="156"/>
      <c r="R582" s="156"/>
      <c r="S582" s="156"/>
      <c r="T582" s="156"/>
      <c r="U582" s="156"/>
      <c r="V582" s="156"/>
      <c r="W582" s="156"/>
      <c r="X582" s="156"/>
      <c r="Y582" s="156"/>
      <c r="Z582" s="156"/>
      <c r="AA582" s="156"/>
      <c r="AB582" s="156"/>
      <c r="AC582" s="156"/>
    </row>
    <row r="583" spans="1:29" ht="13">
      <c r="A583" s="140"/>
      <c r="B583" s="140"/>
      <c r="C583" s="156"/>
      <c r="D583" s="156"/>
      <c r="E583" s="156"/>
      <c r="F583" s="156"/>
      <c r="G583" s="185"/>
      <c r="H583" s="156"/>
      <c r="I583" s="156"/>
      <c r="J583" s="156"/>
      <c r="K583" s="156"/>
      <c r="L583" s="157"/>
      <c r="M583" s="156"/>
      <c r="N583" s="156"/>
      <c r="O583" s="156"/>
      <c r="P583" s="156"/>
      <c r="Q583" s="156"/>
      <c r="R583" s="156"/>
      <c r="S583" s="156"/>
      <c r="T583" s="156"/>
      <c r="U583" s="156"/>
      <c r="V583" s="156"/>
      <c r="W583" s="156"/>
      <c r="X583" s="156"/>
      <c r="Y583" s="156"/>
      <c r="Z583" s="156"/>
      <c r="AA583" s="156"/>
      <c r="AB583" s="156"/>
      <c r="AC583" s="156"/>
    </row>
    <row r="584" spans="1:29" ht="13">
      <c r="A584" s="140"/>
      <c r="B584" s="140"/>
      <c r="C584" s="156"/>
      <c r="D584" s="156"/>
      <c r="E584" s="156"/>
      <c r="F584" s="156"/>
      <c r="G584" s="185"/>
      <c r="H584" s="156"/>
      <c r="I584" s="156"/>
      <c r="J584" s="156"/>
      <c r="K584" s="156"/>
      <c r="L584" s="157"/>
      <c r="M584" s="156"/>
      <c r="N584" s="156"/>
      <c r="O584" s="156"/>
      <c r="P584" s="156"/>
      <c r="Q584" s="156"/>
      <c r="R584" s="156"/>
      <c r="S584" s="156"/>
      <c r="T584" s="156"/>
      <c r="U584" s="156"/>
      <c r="V584" s="156"/>
      <c r="W584" s="156"/>
      <c r="X584" s="156"/>
      <c r="Y584" s="156"/>
      <c r="Z584" s="156"/>
      <c r="AA584" s="156"/>
      <c r="AB584" s="156"/>
      <c r="AC584" s="156"/>
    </row>
    <row r="585" spans="1:29" ht="13">
      <c r="A585" s="140"/>
      <c r="B585" s="140"/>
      <c r="C585" s="156"/>
      <c r="D585" s="156"/>
      <c r="E585" s="156"/>
      <c r="F585" s="156"/>
      <c r="G585" s="185"/>
      <c r="H585" s="156"/>
      <c r="I585" s="156"/>
      <c r="J585" s="156"/>
      <c r="K585" s="156"/>
      <c r="L585" s="157"/>
      <c r="M585" s="156"/>
      <c r="N585" s="156"/>
      <c r="O585" s="156"/>
      <c r="P585" s="156"/>
      <c r="Q585" s="156"/>
      <c r="R585" s="156"/>
      <c r="S585" s="156"/>
      <c r="T585" s="156"/>
      <c r="U585" s="156"/>
      <c r="V585" s="156"/>
      <c r="W585" s="156"/>
      <c r="X585" s="156"/>
      <c r="Y585" s="156"/>
      <c r="Z585" s="156"/>
      <c r="AA585" s="156"/>
      <c r="AB585" s="156"/>
      <c r="AC585" s="156"/>
    </row>
    <row r="586" spans="1:29" ht="13">
      <c r="A586" s="140"/>
      <c r="B586" s="140"/>
      <c r="C586" s="156"/>
      <c r="D586" s="156"/>
      <c r="E586" s="156"/>
      <c r="F586" s="156"/>
      <c r="G586" s="185"/>
      <c r="H586" s="156"/>
      <c r="I586" s="156"/>
      <c r="J586" s="156"/>
      <c r="K586" s="156"/>
      <c r="L586" s="157"/>
      <c r="M586" s="156"/>
      <c r="N586" s="156"/>
      <c r="O586" s="156"/>
      <c r="P586" s="156"/>
      <c r="Q586" s="156"/>
      <c r="R586" s="156"/>
      <c r="S586" s="156"/>
      <c r="T586" s="156"/>
      <c r="U586" s="156"/>
      <c r="V586" s="156"/>
      <c r="W586" s="156"/>
      <c r="X586" s="156"/>
      <c r="Y586" s="156"/>
      <c r="Z586" s="156"/>
      <c r="AA586" s="156"/>
      <c r="AB586" s="156"/>
      <c r="AC586" s="156"/>
    </row>
    <row r="587" spans="1:29" ht="13">
      <c r="A587" s="140"/>
      <c r="B587" s="140"/>
      <c r="C587" s="156"/>
      <c r="D587" s="156"/>
      <c r="E587" s="156"/>
      <c r="F587" s="156"/>
      <c r="G587" s="185"/>
      <c r="H587" s="156"/>
      <c r="I587" s="156"/>
      <c r="J587" s="156"/>
      <c r="K587" s="156"/>
      <c r="L587" s="157"/>
      <c r="M587" s="156"/>
      <c r="N587" s="156"/>
      <c r="O587" s="156"/>
      <c r="P587" s="156"/>
      <c r="Q587" s="156"/>
      <c r="R587" s="156"/>
      <c r="S587" s="156"/>
      <c r="T587" s="156"/>
      <c r="U587" s="156"/>
      <c r="V587" s="156"/>
      <c r="W587" s="156"/>
      <c r="X587" s="156"/>
      <c r="Y587" s="156"/>
      <c r="Z587" s="156"/>
      <c r="AA587" s="156"/>
      <c r="AB587" s="156"/>
      <c r="AC587" s="156"/>
    </row>
    <row r="588" spans="1:29" ht="13">
      <c r="A588" s="140"/>
      <c r="B588" s="140"/>
      <c r="C588" s="156"/>
      <c r="D588" s="156"/>
      <c r="E588" s="156"/>
      <c r="F588" s="156"/>
      <c r="G588" s="185"/>
      <c r="H588" s="156"/>
      <c r="I588" s="156"/>
      <c r="J588" s="156"/>
      <c r="K588" s="156"/>
      <c r="L588" s="157"/>
      <c r="M588" s="156"/>
      <c r="N588" s="156"/>
      <c r="O588" s="156"/>
      <c r="P588" s="156"/>
      <c r="Q588" s="156"/>
      <c r="R588" s="156"/>
      <c r="S588" s="156"/>
      <c r="T588" s="156"/>
      <c r="U588" s="156"/>
      <c r="V588" s="156"/>
      <c r="W588" s="156"/>
      <c r="X588" s="156"/>
      <c r="Y588" s="156"/>
      <c r="Z588" s="156"/>
      <c r="AA588" s="156"/>
      <c r="AB588" s="156"/>
      <c r="AC588" s="156"/>
    </row>
    <row r="589" spans="1:29" ht="13">
      <c r="A589" s="140"/>
      <c r="B589" s="140"/>
      <c r="C589" s="156"/>
      <c r="D589" s="156"/>
      <c r="E589" s="156"/>
      <c r="F589" s="156"/>
      <c r="G589" s="185"/>
      <c r="H589" s="156"/>
      <c r="I589" s="156"/>
      <c r="J589" s="156"/>
      <c r="K589" s="156"/>
      <c r="L589" s="157"/>
      <c r="M589" s="156"/>
      <c r="N589" s="156"/>
      <c r="O589" s="156"/>
      <c r="P589" s="156"/>
      <c r="Q589" s="156"/>
      <c r="R589" s="156"/>
      <c r="S589" s="156"/>
      <c r="T589" s="156"/>
      <c r="U589" s="156"/>
      <c r="V589" s="156"/>
      <c r="W589" s="156"/>
      <c r="X589" s="156"/>
      <c r="Y589" s="156"/>
      <c r="Z589" s="156"/>
      <c r="AA589" s="156"/>
      <c r="AB589" s="156"/>
      <c r="AC589" s="156"/>
    </row>
    <row r="590" spans="1:29" ht="13">
      <c r="A590" s="140"/>
      <c r="B590" s="140"/>
      <c r="C590" s="156"/>
      <c r="D590" s="156"/>
      <c r="E590" s="156"/>
      <c r="F590" s="156"/>
      <c r="G590" s="185"/>
      <c r="H590" s="156"/>
      <c r="I590" s="156"/>
      <c r="J590" s="156"/>
      <c r="K590" s="156"/>
      <c r="L590" s="157"/>
      <c r="M590" s="156"/>
      <c r="N590" s="156"/>
      <c r="O590" s="156"/>
      <c r="P590" s="156"/>
      <c r="Q590" s="156"/>
      <c r="R590" s="156"/>
      <c r="S590" s="156"/>
      <c r="T590" s="156"/>
      <c r="U590" s="156"/>
      <c r="V590" s="156"/>
      <c r="W590" s="156"/>
      <c r="X590" s="156"/>
      <c r="Y590" s="156"/>
      <c r="Z590" s="156"/>
      <c r="AA590" s="156"/>
      <c r="AB590" s="156"/>
      <c r="AC590" s="156"/>
    </row>
    <row r="591" spans="1:29" ht="13">
      <c r="A591" s="140"/>
      <c r="B591" s="140"/>
      <c r="C591" s="156"/>
      <c r="D591" s="156"/>
      <c r="E591" s="156"/>
      <c r="F591" s="156"/>
      <c r="G591" s="185"/>
      <c r="H591" s="156"/>
      <c r="I591" s="156"/>
      <c r="J591" s="156"/>
      <c r="K591" s="156"/>
      <c r="L591" s="157"/>
      <c r="M591" s="156"/>
      <c r="N591" s="156"/>
      <c r="O591" s="156"/>
      <c r="P591" s="156"/>
      <c r="Q591" s="156"/>
      <c r="R591" s="156"/>
      <c r="S591" s="156"/>
      <c r="T591" s="156"/>
      <c r="U591" s="156"/>
      <c r="V591" s="156"/>
      <c r="W591" s="156"/>
      <c r="X591" s="156"/>
      <c r="Y591" s="156"/>
      <c r="Z591" s="156"/>
      <c r="AA591" s="156"/>
      <c r="AB591" s="156"/>
      <c r="AC591" s="156"/>
    </row>
    <row r="592" spans="1:29" ht="13">
      <c r="A592" s="140"/>
      <c r="B592" s="140"/>
      <c r="C592" s="156"/>
      <c r="D592" s="156"/>
      <c r="E592" s="156"/>
      <c r="F592" s="156"/>
      <c r="G592" s="185"/>
      <c r="H592" s="156"/>
      <c r="I592" s="156"/>
      <c r="J592" s="156"/>
      <c r="K592" s="156"/>
      <c r="L592" s="157"/>
      <c r="M592" s="156"/>
      <c r="N592" s="156"/>
      <c r="O592" s="156"/>
      <c r="P592" s="156"/>
      <c r="Q592" s="156"/>
      <c r="R592" s="156"/>
      <c r="S592" s="156"/>
      <c r="T592" s="156"/>
      <c r="U592" s="156"/>
      <c r="V592" s="156"/>
      <c r="W592" s="156"/>
      <c r="X592" s="156"/>
      <c r="Y592" s="156"/>
      <c r="Z592" s="156"/>
      <c r="AA592" s="156"/>
      <c r="AB592" s="156"/>
      <c r="AC592" s="156"/>
    </row>
    <row r="593" spans="1:29" ht="13">
      <c r="A593" s="140"/>
      <c r="B593" s="140"/>
      <c r="C593" s="156"/>
      <c r="D593" s="156"/>
      <c r="E593" s="156"/>
      <c r="F593" s="156"/>
      <c r="G593" s="185"/>
      <c r="H593" s="156"/>
      <c r="I593" s="156"/>
      <c r="J593" s="156"/>
      <c r="K593" s="156"/>
      <c r="L593" s="157"/>
      <c r="M593" s="156"/>
      <c r="N593" s="156"/>
      <c r="O593" s="156"/>
      <c r="P593" s="156"/>
      <c r="Q593" s="156"/>
      <c r="R593" s="156"/>
      <c r="S593" s="156"/>
      <c r="T593" s="156"/>
      <c r="U593" s="156"/>
      <c r="V593" s="156"/>
      <c r="W593" s="156"/>
      <c r="X593" s="156"/>
      <c r="Y593" s="156"/>
      <c r="Z593" s="156"/>
      <c r="AA593" s="156"/>
      <c r="AB593" s="156"/>
      <c r="AC593" s="156"/>
    </row>
    <row r="594" spans="1:29" ht="13">
      <c r="A594" s="140"/>
      <c r="B594" s="140"/>
      <c r="C594" s="156"/>
      <c r="D594" s="156"/>
      <c r="E594" s="156"/>
      <c r="F594" s="156"/>
      <c r="G594" s="185"/>
      <c r="H594" s="156"/>
      <c r="I594" s="156"/>
      <c r="J594" s="156"/>
      <c r="K594" s="156"/>
      <c r="L594" s="157"/>
      <c r="M594" s="156"/>
      <c r="N594" s="156"/>
      <c r="O594" s="156"/>
      <c r="P594" s="156"/>
      <c r="Q594" s="156"/>
      <c r="R594" s="156"/>
      <c r="S594" s="156"/>
      <c r="T594" s="156"/>
      <c r="U594" s="156"/>
      <c r="V594" s="156"/>
      <c r="W594" s="156"/>
      <c r="X594" s="156"/>
      <c r="Y594" s="156"/>
      <c r="Z594" s="156"/>
      <c r="AA594" s="156"/>
      <c r="AB594" s="156"/>
      <c r="AC594" s="156"/>
    </row>
    <row r="595" spans="1:29" ht="13">
      <c r="A595" s="140"/>
      <c r="B595" s="140"/>
      <c r="C595" s="156"/>
      <c r="D595" s="156"/>
      <c r="E595" s="156"/>
      <c r="F595" s="156"/>
      <c r="G595" s="185"/>
      <c r="H595" s="156"/>
      <c r="I595" s="156"/>
      <c r="J595" s="156"/>
      <c r="K595" s="156"/>
      <c r="L595" s="157"/>
      <c r="M595" s="156"/>
      <c r="N595" s="156"/>
      <c r="O595" s="156"/>
      <c r="P595" s="156"/>
      <c r="Q595" s="156"/>
      <c r="R595" s="156"/>
      <c r="S595" s="156"/>
      <c r="T595" s="156"/>
      <c r="U595" s="156"/>
      <c r="V595" s="156"/>
      <c r="W595" s="156"/>
      <c r="X595" s="156"/>
      <c r="Y595" s="156"/>
      <c r="Z595" s="156"/>
      <c r="AA595" s="156"/>
      <c r="AB595" s="156"/>
      <c r="AC595" s="156"/>
    </row>
    <row r="596" spans="1:29" ht="13">
      <c r="A596" s="140"/>
      <c r="B596" s="140"/>
      <c r="C596" s="156"/>
      <c r="D596" s="156"/>
      <c r="E596" s="156"/>
      <c r="F596" s="156"/>
      <c r="G596" s="185"/>
      <c r="H596" s="156"/>
      <c r="I596" s="156"/>
      <c r="J596" s="156"/>
      <c r="K596" s="156"/>
      <c r="L596" s="157"/>
      <c r="M596" s="156"/>
      <c r="N596" s="156"/>
      <c r="O596" s="156"/>
      <c r="P596" s="156"/>
      <c r="Q596" s="156"/>
      <c r="R596" s="156"/>
      <c r="S596" s="156"/>
      <c r="T596" s="156"/>
      <c r="U596" s="156"/>
      <c r="V596" s="156"/>
      <c r="W596" s="156"/>
      <c r="X596" s="156"/>
      <c r="Y596" s="156"/>
      <c r="Z596" s="156"/>
      <c r="AA596" s="156"/>
      <c r="AB596" s="156"/>
      <c r="AC596" s="156"/>
    </row>
    <row r="597" spans="1:29" ht="13">
      <c r="A597" s="140"/>
      <c r="B597" s="140"/>
      <c r="C597" s="156"/>
      <c r="D597" s="156"/>
      <c r="E597" s="156"/>
      <c r="F597" s="156"/>
      <c r="G597" s="185"/>
      <c r="H597" s="156"/>
      <c r="I597" s="156"/>
      <c r="J597" s="156"/>
      <c r="K597" s="156"/>
      <c r="L597" s="157"/>
      <c r="M597" s="156"/>
      <c r="N597" s="156"/>
      <c r="O597" s="156"/>
      <c r="P597" s="156"/>
      <c r="Q597" s="156"/>
      <c r="R597" s="156"/>
      <c r="S597" s="156"/>
      <c r="T597" s="156"/>
      <c r="U597" s="156"/>
      <c r="V597" s="156"/>
      <c r="W597" s="156"/>
      <c r="X597" s="156"/>
      <c r="Y597" s="156"/>
      <c r="Z597" s="156"/>
      <c r="AA597" s="156"/>
      <c r="AB597" s="156"/>
      <c r="AC597" s="156"/>
    </row>
    <row r="598" spans="1:29" ht="13">
      <c r="A598" s="140"/>
      <c r="B598" s="140"/>
      <c r="C598" s="156"/>
      <c r="D598" s="156"/>
      <c r="E598" s="156"/>
      <c r="F598" s="156"/>
      <c r="G598" s="185"/>
      <c r="H598" s="156"/>
      <c r="I598" s="156"/>
      <c r="J598" s="156"/>
      <c r="K598" s="156"/>
      <c r="L598" s="157"/>
      <c r="M598" s="156"/>
      <c r="N598" s="156"/>
      <c r="O598" s="156"/>
      <c r="P598" s="156"/>
      <c r="Q598" s="156"/>
      <c r="R598" s="156"/>
      <c r="S598" s="156"/>
      <c r="T598" s="156"/>
      <c r="U598" s="156"/>
      <c r="V598" s="156"/>
      <c r="W598" s="156"/>
      <c r="X598" s="156"/>
      <c r="Y598" s="156"/>
      <c r="Z598" s="156"/>
      <c r="AA598" s="156"/>
      <c r="AB598" s="156"/>
      <c r="AC598" s="156"/>
    </row>
    <row r="599" spans="1:29" ht="13">
      <c r="A599" s="140"/>
      <c r="B599" s="140"/>
      <c r="C599" s="156"/>
      <c r="D599" s="156"/>
      <c r="E599" s="156"/>
      <c r="F599" s="156"/>
      <c r="G599" s="185"/>
      <c r="H599" s="156"/>
      <c r="I599" s="156"/>
      <c r="J599" s="156"/>
      <c r="K599" s="156"/>
      <c r="L599" s="157"/>
      <c r="M599" s="156"/>
      <c r="N599" s="156"/>
      <c r="O599" s="156"/>
      <c r="P599" s="156"/>
      <c r="Q599" s="156"/>
      <c r="R599" s="156"/>
      <c r="S599" s="156"/>
      <c r="T599" s="156"/>
      <c r="U599" s="156"/>
      <c r="V599" s="156"/>
      <c r="W599" s="156"/>
      <c r="X599" s="156"/>
      <c r="Y599" s="156"/>
      <c r="Z599" s="156"/>
      <c r="AA599" s="156"/>
      <c r="AB599" s="156"/>
      <c r="AC599" s="156"/>
    </row>
    <row r="600" spans="1:29" ht="13">
      <c r="A600" s="140"/>
      <c r="B600" s="140"/>
      <c r="C600" s="156"/>
      <c r="D600" s="156"/>
      <c r="E600" s="156"/>
      <c r="F600" s="156"/>
      <c r="G600" s="185"/>
      <c r="H600" s="156"/>
      <c r="I600" s="156"/>
      <c r="J600" s="156"/>
      <c r="K600" s="156"/>
      <c r="L600" s="157"/>
      <c r="M600" s="156"/>
      <c r="N600" s="156"/>
      <c r="O600" s="156"/>
      <c r="P600" s="156"/>
      <c r="Q600" s="156"/>
      <c r="R600" s="156"/>
      <c r="S600" s="156"/>
      <c r="T600" s="156"/>
      <c r="U600" s="156"/>
      <c r="V600" s="156"/>
      <c r="W600" s="156"/>
      <c r="X600" s="156"/>
      <c r="Y600" s="156"/>
      <c r="Z600" s="156"/>
      <c r="AA600" s="156"/>
      <c r="AB600" s="156"/>
      <c r="AC600" s="156"/>
    </row>
    <row r="601" spans="1:29" ht="13">
      <c r="A601" s="140"/>
      <c r="B601" s="140"/>
      <c r="C601" s="156"/>
      <c r="D601" s="156"/>
      <c r="E601" s="156"/>
      <c r="F601" s="156"/>
      <c r="G601" s="185"/>
      <c r="H601" s="156"/>
      <c r="I601" s="156"/>
      <c r="J601" s="156"/>
      <c r="K601" s="156"/>
      <c r="L601" s="157"/>
      <c r="M601" s="156"/>
      <c r="N601" s="156"/>
      <c r="O601" s="156"/>
      <c r="P601" s="156"/>
      <c r="Q601" s="156"/>
      <c r="R601" s="156"/>
      <c r="S601" s="156"/>
      <c r="T601" s="156"/>
      <c r="U601" s="156"/>
      <c r="V601" s="156"/>
      <c r="W601" s="156"/>
      <c r="X601" s="156"/>
      <c r="Y601" s="156"/>
      <c r="Z601" s="156"/>
      <c r="AA601" s="156"/>
      <c r="AB601" s="156"/>
      <c r="AC601" s="156"/>
    </row>
    <row r="602" spans="1:29" ht="13">
      <c r="A602" s="140"/>
      <c r="B602" s="140"/>
      <c r="C602" s="156"/>
      <c r="D602" s="156"/>
      <c r="E602" s="156"/>
      <c r="F602" s="156"/>
      <c r="G602" s="185"/>
      <c r="H602" s="156"/>
      <c r="I602" s="156"/>
      <c r="J602" s="156"/>
      <c r="K602" s="156"/>
      <c r="L602" s="157"/>
      <c r="M602" s="156"/>
      <c r="N602" s="156"/>
      <c r="O602" s="156"/>
      <c r="P602" s="156"/>
      <c r="Q602" s="156"/>
      <c r="R602" s="156"/>
      <c r="S602" s="156"/>
      <c r="T602" s="156"/>
      <c r="U602" s="156"/>
      <c r="V602" s="156"/>
      <c r="W602" s="156"/>
      <c r="X602" s="156"/>
      <c r="Y602" s="156"/>
      <c r="Z602" s="156"/>
      <c r="AA602" s="156"/>
      <c r="AB602" s="156"/>
      <c r="AC602" s="156"/>
    </row>
    <row r="603" spans="1:29" ht="13">
      <c r="A603" s="140"/>
      <c r="B603" s="140"/>
      <c r="C603" s="156"/>
      <c r="D603" s="156"/>
      <c r="E603" s="156"/>
      <c r="F603" s="156"/>
      <c r="G603" s="185"/>
      <c r="H603" s="156"/>
      <c r="I603" s="156"/>
      <c r="J603" s="156"/>
      <c r="K603" s="156"/>
      <c r="L603" s="157"/>
      <c r="M603" s="156"/>
      <c r="N603" s="156"/>
      <c r="O603" s="156"/>
      <c r="P603" s="156"/>
      <c r="Q603" s="156"/>
      <c r="R603" s="156"/>
      <c r="S603" s="156"/>
      <c r="T603" s="156"/>
      <c r="U603" s="156"/>
      <c r="V603" s="156"/>
      <c r="W603" s="156"/>
      <c r="X603" s="156"/>
      <c r="Y603" s="156"/>
      <c r="Z603" s="156"/>
      <c r="AA603" s="156"/>
      <c r="AB603" s="156"/>
      <c r="AC603" s="156"/>
    </row>
    <row r="604" spans="1:29" ht="13">
      <c r="A604" s="140"/>
      <c r="B604" s="140"/>
      <c r="C604" s="156"/>
      <c r="D604" s="156"/>
      <c r="E604" s="156"/>
      <c r="F604" s="156"/>
      <c r="G604" s="185"/>
      <c r="H604" s="156"/>
      <c r="I604" s="156"/>
      <c r="J604" s="156"/>
      <c r="K604" s="156"/>
      <c r="L604" s="157"/>
      <c r="M604" s="156"/>
      <c r="N604" s="156"/>
      <c r="O604" s="156"/>
      <c r="P604" s="156"/>
      <c r="Q604" s="156"/>
      <c r="R604" s="156"/>
      <c r="S604" s="156"/>
      <c r="T604" s="156"/>
      <c r="U604" s="156"/>
      <c r="V604" s="156"/>
      <c r="W604" s="156"/>
      <c r="X604" s="156"/>
      <c r="Y604" s="156"/>
      <c r="Z604" s="156"/>
      <c r="AA604" s="156"/>
      <c r="AB604" s="156"/>
      <c r="AC604" s="156"/>
    </row>
    <row r="605" spans="1:29" ht="13">
      <c r="A605" s="140"/>
      <c r="B605" s="140"/>
      <c r="C605" s="156"/>
      <c r="D605" s="156"/>
      <c r="E605" s="156"/>
      <c r="F605" s="156"/>
      <c r="G605" s="185"/>
      <c r="H605" s="156"/>
      <c r="I605" s="156"/>
      <c r="J605" s="156"/>
      <c r="K605" s="156"/>
      <c r="L605" s="157"/>
      <c r="M605" s="156"/>
      <c r="N605" s="156"/>
      <c r="O605" s="156"/>
      <c r="P605" s="156"/>
      <c r="Q605" s="156"/>
      <c r="R605" s="156"/>
      <c r="S605" s="156"/>
      <c r="T605" s="156"/>
      <c r="U605" s="156"/>
      <c r="V605" s="156"/>
      <c r="W605" s="156"/>
      <c r="X605" s="156"/>
      <c r="Y605" s="156"/>
      <c r="Z605" s="156"/>
      <c r="AA605" s="156"/>
      <c r="AB605" s="156"/>
      <c r="AC605" s="156"/>
    </row>
    <row r="606" spans="1:29" ht="13">
      <c r="A606" s="140"/>
      <c r="B606" s="140"/>
      <c r="C606" s="156"/>
      <c r="D606" s="156"/>
      <c r="E606" s="156"/>
      <c r="F606" s="156"/>
      <c r="G606" s="185"/>
      <c r="H606" s="156"/>
      <c r="I606" s="156"/>
      <c r="J606" s="156"/>
      <c r="K606" s="156"/>
      <c r="L606" s="157"/>
      <c r="M606" s="156"/>
      <c r="N606" s="156"/>
      <c r="O606" s="156"/>
      <c r="P606" s="156"/>
      <c r="Q606" s="156"/>
      <c r="R606" s="156"/>
      <c r="S606" s="156"/>
      <c r="T606" s="156"/>
      <c r="U606" s="156"/>
      <c r="V606" s="156"/>
      <c r="W606" s="156"/>
      <c r="X606" s="156"/>
      <c r="Y606" s="156"/>
      <c r="Z606" s="156"/>
      <c r="AA606" s="156"/>
      <c r="AB606" s="156"/>
      <c r="AC606" s="156"/>
    </row>
    <row r="607" spans="1:29" ht="13">
      <c r="A607" s="140"/>
      <c r="B607" s="140"/>
      <c r="C607" s="156"/>
      <c r="D607" s="156"/>
      <c r="E607" s="156"/>
      <c r="F607" s="156"/>
      <c r="G607" s="185"/>
      <c r="H607" s="156"/>
      <c r="I607" s="156"/>
      <c r="J607" s="156"/>
      <c r="K607" s="156"/>
      <c r="L607" s="157"/>
      <c r="M607" s="156"/>
      <c r="N607" s="156"/>
      <c r="O607" s="156"/>
      <c r="P607" s="156"/>
      <c r="Q607" s="156"/>
      <c r="R607" s="156"/>
      <c r="S607" s="156"/>
      <c r="T607" s="156"/>
      <c r="U607" s="156"/>
      <c r="V607" s="156"/>
      <c r="W607" s="156"/>
      <c r="X607" s="156"/>
      <c r="Y607" s="156"/>
      <c r="Z607" s="156"/>
      <c r="AA607" s="156"/>
      <c r="AB607" s="156"/>
      <c r="AC607" s="156"/>
    </row>
    <row r="608" spans="1:29" ht="13">
      <c r="A608" s="140"/>
      <c r="B608" s="140"/>
      <c r="C608" s="156"/>
      <c r="D608" s="156"/>
      <c r="E608" s="156"/>
      <c r="F608" s="156"/>
      <c r="G608" s="185"/>
      <c r="H608" s="156"/>
      <c r="I608" s="156"/>
      <c r="J608" s="156"/>
      <c r="K608" s="156"/>
      <c r="L608" s="157"/>
      <c r="M608" s="156"/>
      <c r="N608" s="156"/>
      <c r="O608" s="156"/>
      <c r="P608" s="156"/>
      <c r="Q608" s="156"/>
      <c r="R608" s="156"/>
      <c r="S608" s="156"/>
      <c r="T608" s="156"/>
      <c r="U608" s="156"/>
      <c r="V608" s="156"/>
      <c r="W608" s="156"/>
      <c r="X608" s="156"/>
      <c r="Y608" s="156"/>
      <c r="Z608" s="156"/>
      <c r="AA608" s="156"/>
      <c r="AB608" s="156"/>
      <c r="AC608" s="156"/>
    </row>
    <row r="609" spans="1:29" ht="13">
      <c r="A609" s="140"/>
      <c r="B609" s="140"/>
      <c r="C609" s="156"/>
      <c r="D609" s="156"/>
      <c r="E609" s="156"/>
      <c r="F609" s="156"/>
      <c r="G609" s="185"/>
      <c r="H609" s="156"/>
      <c r="I609" s="156"/>
      <c r="J609" s="156"/>
      <c r="K609" s="156"/>
      <c r="L609" s="157"/>
      <c r="M609" s="156"/>
      <c r="N609" s="156"/>
      <c r="O609" s="156"/>
      <c r="P609" s="156"/>
      <c r="Q609" s="156"/>
      <c r="R609" s="156"/>
      <c r="S609" s="156"/>
      <c r="T609" s="156"/>
      <c r="U609" s="156"/>
      <c r="V609" s="156"/>
      <c r="W609" s="156"/>
      <c r="X609" s="156"/>
      <c r="Y609" s="156"/>
      <c r="Z609" s="156"/>
      <c r="AA609" s="156"/>
      <c r="AB609" s="156"/>
      <c r="AC609" s="156"/>
    </row>
    <row r="610" spans="1:29" ht="13">
      <c r="A610" s="140"/>
      <c r="B610" s="140"/>
      <c r="C610" s="156"/>
      <c r="D610" s="156"/>
      <c r="E610" s="156"/>
      <c r="F610" s="156"/>
      <c r="G610" s="185"/>
      <c r="H610" s="156"/>
      <c r="I610" s="156"/>
      <c r="J610" s="156"/>
      <c r="K610" s="156"/>
      <c r="L610" s="157"/>
      <c r="M610" s="156"/>
      <c r="N610" s="156"/>
      <c r="O610" s="156"/>
      <c r="P610" s="156"/>
      <c r="Q610" s="156"/>
      <c r="R610" s="156"/>
      <c r="S610" s="156"/>
      <c r="T610" s="156"/>
      <c r="U610" s="156"/>
      <c r="V610" s="156"/>
      <c r="W610" s="156"/>
      <c r="X610" s="156"/>
      <c r="Y610" s="156"/>
      <c r="Z610" s="156"/>
      <c r="AA610" s="156"/>
      <c r="AB610" s="156"/>
      <c r="AC610" s="156"/>
    </row>
    <row r="611" spans="1:29" ht="13">
      <c r="A611" s="140"/>
      <c r="B611" s="140"/>
      <c r="C611" s="156"/>
      <c r="D611" s="156"/>
      <c r="E611" s="156"/>
      <c r="F611" s="156"/>
      <c r="G611" s="185"/>
      <c r="H611" s="156"/>
      <c r="I611" s="156"/>
      <c r="J611" s="156"/>
      <c r="K611" s="156"/>
      <c r="L611" s="157"/>
      <c r="M611" s="156"/>
      <c r="N611" s="156"/>
      <c r="O611" s="156"/>
      <c r="P611" s="156"/>
      <c r="Q611" s="156"/>
      <c r="R611" s="156"/>
      <c r="S611" s="156"/>
      <c r="T611" s="156"/>
      <c r="U611" s="156"/>
      <c r="V611" s="156"/>
      <c r="W611" s="156"/>
      <c r="X611" s="156"/>
      <c r="Y611" s="156"/>
      <c r="Z611" s="156"/>
      <c r="AA611" s="156"/>
      <c r="AB611" s="156"/>
      <c r="AC611" s="156"/>
    </row>
    <row r="612" spans="1:29" ht="13">
      <c r="A612" s="140"/>
      <c r="B612" s="140"/>
      <c r="C612" s="156"/>
      <c r="D612" s="156"/>
      <c r="E612" s="156"/>
      <c r="F612" s="156"/>
      <c r="G612" s="185"/>
      <c r="H612" s="156"/>
      <c r="I612" s="156"/>
      <c r="J612" s="156"/>
      <c r="K612" s="156"/>
      <c r="L612" s="157"/>
      <c r="M612" s="156"/>
      <c r="N612" s="156"/>
      <c r="O612" s="156"/>
      <c r="P612" s="156"/>
      <c r="Q612" s="156"/>
      <c r="R612" s="156"/>
      <c r="S612" s="156"/>
      <c r="T612" s="156"/>
      <c r="U612" s="156"/>
      <c r="V612" s="156"/>
      <c r="W612" s="156"/>
      <c r="X612" s="156"/>
      <c r="Y612" s="156"/>
      <c r="Z612" s="156"/>
      <c r="AA612" s="156"/>
      <c r="AB612" s="156"/>
      <c r="AC612" s="156"/>
    </row>
    <row r="613" spans="1:29" ht="13">
      <c r="A613" s="140"/>
      <c r="B613" s="140"/>
      <c r="C613" s="156"/>
      <c r="D613" s="156"/>
      <c r="E613" s="156"/>
      <c r="F613" s="156"/>
      <c r="G613" s="185"/>
      <c r="H613" s="156"/>
      <c r="I613" s="156"/>
      <c r="J613" s="156"/>
      <c r="K613" s="156"/>
      <c r="L613" s="157"/>
      <c r="M613" s="156"/>
      <c r="N613" s="156"/>
      <c r="O613" s="156"/>
      <c r="P613" s="156"/>
      <c r="Q613" s="156"/>
      <c r="R613" s="156"/>
      <c r="S613" s="156"/>
      <c r="T613" s="156"/>
      <c r="U613" s="156"/>
      <c r="V613" s="156"/>
      <c r="W613" s="156"/>
      <c r="X613" s="156"/>
      <c r="Y613" s="156"/>
      <c r="Z613" s="156"/>
      <c r="AA613" s="156"/>
      <c r="AB613" s="156"/>
      <c r="AC613" s="156"/>
    </row>
    <row r="614" spans="1:29" ht="13">
      <c r="A614" s="140"/>
      <c r="B614" s="140"/>
      <c r="C614" s="156"/>
      <c r="D614" s="156"/>
      <c r="E614" s="156"/>
      <c r="F614" s="156"/>
      <c r="G614" s="185"/>
      <c r="H614" s="156"/>
      <c r="I614" s="156"/>
      <c r="J614" s="156"/>
      <c r="K614" s="156"/>
      <c r="L614" s="157"/>
      <c r="M614" s="156"/>
      <c r="N614" s="156"/>
      <c r="O614" s="156"/>
      <c r="P614" s="156"/>
      <c r="Q614" s="156"/>
      <c r="R614" s="156"/>
      <c r="S614" s="156"/>
      <c r="T614" s="156"/>
      <c r="U614" s="156"/>
      <c r="V614" s="156"/>
      <c r="W614" s="156"/>
      <c r="X614" s="156"/>
      <c r="Y614" s="156"/>
      <c r="Z614" s="156"/>
      <c r="AA614" s="156"/>
      <c r="AB614" s="156"/>
      <c r="AC614" s="156"/>
    </row>
    <row r="615" spans="1:29" ht="13">
      <c r="A615" s="140"/>
      <c r="B615" s="140"/>
      <c r="C615" s="156"/>
      <c r="D615" s="156"/>
      <c r="E615" s="156"/>
      <c r="F615" s="156"/>
      <c r="G615" s="185"/>
      <c r="H615" s="156"/>
      <c r="I615" s="156"/>
      <c r="J615" s="156"/>
      <c r="K615" s="156"/>
      <c r="L615" s="157"/>
      <c r="M615" s="156"/>
      <c r="N615" s="156"/>
      <c r="O615" s="156"/>
      <c r="P615" s="156"/>
      <c r="Q615" s="156"/>
      <c r="R615" s="156"/>
      <c r="S615" s="156"/>
      <c r="T615" s="156"/>
      <c r="U615" s="156"/>
      <c r="V615" s="156"/>
      <c r="W615" s="156"/>
      <c r="X615" s="156"/>
      <c r="Y615" s="156"/>
      <c r="Z615" s="156"/>
      <c r="AA615" s="156"/>
      <c r="AB615" s="156"/>
      <c r="AC615" s="156"/>
    </row>
    <row r="616" spans="1:29" ht="13">
      <c r="A616" s="140"/>
      <c r="B616" s="140"/>
      <c r="C616" s="156"/>
      <c r="D616" s="156"/>
      <c r="E616" s="156"/>
      <c r="F616" s="156"/>
      <c r="G616" s="185"/>
      <c r="H616" s="156"/>
      <c r="I616" s="156"/>
      <c r="J616" s="156"/>
      <c r="K616" s="156"/>
      <c r="L616" s="157"/>
      <c r="M616" s="156"/>
      <c r="N616" s="156"/>
      <c r="O616" s="156"/>
      <c r="P616" s="156"/>
      <c r="Q616" s="156"/>
      <c r="R616" s="156"/>
      <c r="S616" s="156"/>
      <c r="T616" s="156"/>
      <c r="U616" s="156"/>
      <c r="V616" s="156"/>
      <c r="W616" s="156"/>
      <c r="X616" s="156"/>
      <c r="Y616" s="156"/>
      <c r="Z616" s="156"/>
      <c r="AA616" s="156"/>
      <c r="AB616" s="156"/>
      <c r="AC616" s="156"/>
    </row>
    <row r="617" spans="1:29" ht="13">
      <c r="A617" s="140"/>
      <c r="B617" s="140"/>
      <c r="C617" s="156"/>
      <c r="D617" s="156"/>
      <c r="E617" s="156"/>
      <c r="F617" s="156"/>
      <c r="G617" s="185"/>
      <c r="H617" s="156"/>
      <c r="I617" s="156"/>
      <c r="J617" s="156"/>
      <c r="K617" s="156"/>
      <c r="L617" s="157"/>
      <c r="M617" s="156"/>
      <c r="N617" s="156"/>
      <c r="O617" s="156"/>
      <c r="P617" s="156"/>
      <c r="Q617" s="156"/>
      <c r="R617" s="156"/>
      <c r="S617" s="156"/>
      <c r="T617" s="156"/>
      <c r="U617" s="156"/>
      <c r="V617" s="156"/>
      <c r="W617" s="156"/>
      <c r="X617" s="156"/>
      <c r="Y617" s="156"/>
      <c r="Z617" s="156"/>
      <c r="AA617" s="156"/>
      <c r="AB617" s="156"/>
      <c r="AC617" s="156"/>
    </row>
    <row r="618" spans="1:29" ht="13">
      <c r="A618" s="140"/>
      <c r="B618" s="140"/>
      <c r="C618" s="156"/>
      <c r="D618" s="156"/>
      <c r="E618" s="156"/>
      <c r="F618" s="156"/>
      <c r="G618" s="185"/>
      <c r="H618" s="156"/>
      <c r="I618" s="156"/>
      <c r="J618" s="156"/>
      <c r="K618" s="156"/>
      <c r="L618" s="157"/>
      <c r="M618" s="156"/>
      <c r="N618" s="156"/>
      <c r="O618" s="156"/>
      <c r="P618" s="156"/>
      <c r="Q618" s="156"/>
      <c r="R618" s="156"/>
      <c r="S618" s="156"/>
      <c r="T618" s="156"/>
      <c r="U618" s="156"/>
      <c r="V618" s="156"/>
      <c r="W618" s="156"/>
      <c r="X618" s="156"/>
      <c r="Y618" s="156"/>
      <c r="Z618" s="156"/>
      <c r="AA618" s="156"/>
      <c r="AB618" s="156"/>
      <c r="AC618" s="156"/>
    </row>
    <row r="619" spans="1:29" ht="13">
      <c r="A619" s="140"/>
      <c r="B619" s="140"/>
      <c r="C619" s="156"/>
      <c r="D619" s="156"/>
      <c r="E619" s="156"/>
      <c r="F619" s="156"/>
      <c r="G619" s="185"/>
      <c r="H619" s="156"/>
      <c r="I619" s="156"/>
      <c r="J619" s="156"/>
      <c r="K619" s="156"/>
      <c r="L619" s="157"/>
      <c r="M619" s="156"/>
      <c r="N619" s="156"/>
      <c r="O619" s="156"/>
      <c r="P619" s="156"/>
      <c r="Q619" s="156"/>
      <c r="R619" s="156"/>
      <c r="S619" s="156"/>
      <c r="T619" s="156"/>
      <c r="U619" s="156"/>
      <c r="V619" s="156"/>
      <c r="W619" s="156"/>
      <c r="X619" s="156"/>
      <c r="Y619" s="156"/>
      <c r="Z619" s="156"/>
      <c r="AA619" s="156"/>
      <c r="AB619" s="156"/>
      <c r="AC619" s="156"/>
    </row>
    <row r="620" spans="1:29" ht="13">
      <c r="A620" s="140"/>
      <c r="B620" s="140"/>
      <c r="C620" s="156"/>
      <c r="D620" s="156"/>
      <c r="E620" s="156"/>
      <c r="F620" s="156"/>
      <c r="G620" s="185"/>
      <c r="H620" s="156"/>
      <c r="I620" s="156"/>
      <c r="J620" s="156"/>
      <c r="K620" s="156"/>
      <c r="L620" s="157"/>
      <c r="M620" s="156"/>
      <c r="N620" s="156"/>
      <c r="O620" s="156"/>
      <c r="P620" s="156"/>
      <c r="Q620" s="156"/>
      <c r="R620" s="156"/>
      <c r="S620" s="156"/>
      <c r="T620" s="156"/>
      <c r="U620" s="156"/>
      <c r="V620" s="156"/>
      <c r="W620" s="156"/>
      <c r="X620" s="156"/>
      <c r="Y620" s="156"/>
      <c r="Z620" s="156"/>
      <c r="AA620" s="156"/>
      <c r="AB620" s="156"/>
      <c r="AC620" s="156"/>
    </row>
    <row r="621" spans="1:29" ht="13">
      <c r="A621" s="140"/>
      <c r="B621" s="140"/>
      <c r="C621" s="156"/>
      <c r="D621" s="156"/>
      <c r="E621" s="156"/>
      <c r="F621" s="156"/>
      <c r="G621" s="185"/>
      <c r="H621" s="156"/>
      <c r="I621" s="156"/>
      <c r="J621" s="156"/>
      <c r="K621" s="156"/>
      <c r="L621" s="157"/>
      <c r="M621" s="156"/>
      <c r="N621" s="156"/>
      <c r="O621" s="156"/>
      <c r="P621" s="156"/>
      <c r="Q621" s="156"/>
      <c r="R621" s="156"/>
      <c r="S621" s="156"/>
      <c r="T621" s="156"/>
      <c r="U621" s="156"/>
      <c r="V621" s="156"/>
      <c r="W621" s="156"/>
      <c r="X621" s="156"/>
      <c r="Y621" s="156"/>
      <c r="Z621" s="156"/>
      <c r="AA621" s="156"/>
      <c r="AB621" s="156"/>
      <c r="AC621" s="156"/>
    </row>
    <row r="622" spans="1:29" ht="13">
      <c r="A622" s="140"/>
      <c r="B622" s="140"/>
      <c r="C622" s="156"/>
      <c r="D622" s="156"/>
      <c r="E622" s="156"/>
      <c r="F622" s="156"/>
      <c r="G622" s="185"/>
      <c r="H622" s="156"/>
      <c r="I622" s="156"/>
      <c r="J622" s="156"/>
      <c r="K622" s="156"/>
      <c r="L622" s="157"/>
      <c r="M622" s="156"/>
      <c r="N622" s="156"/>
      <c r="O622" s="156"/>
      <c r="P622" s="156"/>
      <c r="Q622" s="156"/>
      <c r="R622" s="156"/>
      <c r="S622" s="156"/>
      <c r="T622" s="156"/>
      <c r="U622" s="156"/>
      <c r="V622" s="156"/>
      <c r="W622" s="156"/>
      <c r="X622" s="156"/>
      <c r="Y622" s="156"/>
      <c r="Z622" s="156"/>
      <c r="AA622" s="156"/>
      <c r="AB622" s="156"/>
      <c r="AC622" s="156"/>
    </row>
    <row r="623" spans="1:29" ht="13">
      <c r="A623" s="140"/>
      <c r="B623" s="140"/>
      <c r="C623" s="156"/>
      <c r="D623" s="156"/>
      <c r="E623" s="156"/>
      <c r="F623" s="156"/>
      <c r="G623" s="185"/>
      <c r="H623" s="156"/>
      <c r="I623" s="156"/>
      <c r="J623" s="156"/>
      <c r="K623" s="156"/>
      <c r="L623" s="157"/>
      <c r="M623" s="156"/>
      <c r="N623" s="156"/>
      <c r="O623" s="156"/>
      <c r="P623" s="156"/>
      <c r="Q623" s="156"/>
      <c r="R623" s="156"/>
      <c r="S623" s="156"/>
      <c r="T623" s="156"/>
      <c r="U623" s="156"/>
      <c r="V623" s="156"/>
      <c r="W623" s="156"/>
      <c r="X623" s="156"/>
      <c r="Y623" s="156"/>
      <c r="Z623" s="156"/>
      <c r="AA623" s="156"/>
      <c r="AB623" s="156"/>
      <c r="AC623" s="156"/>
    </row>
    <row r="624" spans="1:29" ht="13">
      <c r="A624" s="140"/>
      <c r="B624" s="140"/>
      <c r="C624" s="156"/>
      <c r="D624" s="156"/>
      <c r="E624" s="156"/>
      <c r="F624" s="156"/>
      <c r="G624" s="185"/>
      <c r="H624" s="156"/>
      <c r="I624" s="156"/>
      <c r="J624" s="156"/>
      <c r="K624" s="156"/>
      <c r="L624" s="157"/>
      <c r="M624" s="156"/>
      <c r="N624" s="156"/>
      <c r="O624" s="156"/>
      <c r="P624" s="156"/>
      <c r="Q624" s="156"/>
      <c r="R624" s="156"/>
      <c r="S624" s="156"/>
      <c r="T624" s="156"/>
      <c r="U624" s="156"/>
      <c r="V624" s="156"/>
      <c r="W624" s="156"/>
      <c r="X624" s="156"/>
      <c r="Y624" s="156"/>
      <c r="Z624" s="156"/>
      <c r="AA624" s="156"/>
      <c r="AB624" s="156"/>
      <c r="AC624" s="156"/>
    </row>
    <row r="625" spans="1:29" ht="13">
      <c r="A625" s="140"/>
      <c r="B625" s="140"/>
      <c r="C625" s="156"/>
      <c r="D625" s="156"/>
      <c r="E625" s="156"/>
      <c r="F625" s="156"/>
      <c r="G625" s="185"/>
      <c r="H625" s="156"/>
      <c r="I625" s="156"/>
      <c r="J625" s="156"/>
      <c r="K625" s="156"/>
      <c r="L625" s="157"/>
      <c r="M625" s="156"/>
      <c r="N625" s="156"/>
      <c r="O625" s="156"/>
      <c r="P625" s="156"/>
      <c r="Q625" s="156"/>
      <c r="R625" s="156"/>
      <c r="S625" s="156"/>
      <c r="T625" s="156"/>
      <c r="U625" s="156"/>
      <c r="V625" s="156"/>
      <c r="W625" s="156"/>
      <c r="X625" s="156"/>
      <c r="Y625" s="156"/>
      <c r="Z625" s="156"/>
      <c r="AA625" s="156"/>
      <c r="AB625" s="156"/>
      <c r="AC625" s="156"/>
    </row>
    <row r="626" spans="1:29" ht="13">
      <c r="A626" s="140"/>
      <c r="B626" s="140"/>
      <c r="C626" s="156"/>
      <c r="D626" s="156"/>
      <c r="E626" s="156"/>
      <c r="F626" s="156"/>
      <c r="G626" s="185"/>
      <c r="H626" s="156"/>
      <c r="I626" s="156"/>
      <c r="J626" s="156"/>
      <c r="K626" s="156"/>
      <c r="L626" s="157"/>
      <c r="M626" s="156"/>
      <c r="N626" s="156"/>
      <c r="O626" s="156"/>
      <c r="P626" s="156"/>
      <c r="Q626" s="156"/>
      <c r="R626" s="156"/>
      <c r="S626" s="156"/>
      <c r="T626" s="156"/>
      <c r="U626" s="156"/>
      <c r="V626" s="156"/>
      <c r="W626" s="156"/>
      <c r="X626" s="156"/>
      <c r="Y626" s="156"/>
      <c r="Z626" s="156"/>
      <c r="AA626" s="156"/>
      <c r="AB626" s="156"/>
      <c r="AC626" s="156"/>
    </row>
    <row r="627" spans="1:29" ht="13">
      <c r="A627" s="140"/>
      <c r="B627" s="140"/>
      <c r="C627" s="156"/>
      <c r="D627" s="156"/>
      <c r="E627" s="156"/>
      <c r="F627" s="156"/>
      <c r="G627" s="185"/>
      <c r="H627" s="156"/>
      <c r="I627" s="156"/>
      <c r="J627" s="156"/>
      <c r="K627" s="156"/>
      <c r="L627" s="157"/>
      <c r="M627" s="156"/>
      <c r="N627" s="156"/>
      <c r="O627" s="156"/>
      <c r="P627" s="156"/>
      <c r="Q627" s="156"/>
      <c r="R627" s="156"/>
      <c r="S627" s="156"/>
      <c r="T627" s="156"/>
      <c r="U627" s="156"/>
      <c r="V627" s="156"/>
      <c r="W627" s="156"/>
      <c r="X627" s="156"/>
      <c r="Y627" s="156"/>
      <c r="Z627" s="156"/>
      <c r="AA627" s="156"/>
      <c r="AB627" s="156"/>
      <c r="AC627" s="156"/>
    </row>
    <row r="628" spans="1:29" ht="13">
      <c r="A628" s="140"/>
      <c r="B628" s="140"/>
      <c r="C628" s="156"/>
      <c r="D628" s="156"/>
      <c r="E628" s="156"/>
      <c r="F628" s="156"/>
      <c r="G628" s="185"/>
      <c r="H628" s="156"/>
      <c r="I628" s="156"/>
      <c r="J628" s="156"/>
      <c r="K628" s="156"/>
      <c r="L628" s="157"/>
      <c r="M628" s="156"/>
      <c r="N628" s="156"/>
      <c r="O628" s="156"/>
      <c r="P628" s="156"/>
      <c r="Q628" s="156"/>
      <c r="R628" s="156"/>
      <c r="S628" s="156"/>
      <c r="T628" s="156"/>
      <c r="U628" s="156"/>
      <c r="V628" s="156"/>
      <c r="W628" s="156"/>
      <c r="X628" s="156"/>
      <c r="Y628" s="156"/>
      <c r="Z628" s="156"/>
      <c r="AA628" s="156"/>
      <c r="AB628" s="156"/>
      <c r="AC628" s="156"/>
    </row>
    <row r="629" spans="1:29" ht="13">
      <c r="A629" s="140"/>
      <c r="B629" s="140"/>
      <c r="C629" s="156"/>
      <c r="D629" s="156"/>
      <c r="E629" s="156"/>
      <c r="F629" s="156"/>
      <c r="G629" s="185"/>
      <c r="H629" s="156"/>
      <c r="I629" s="156"/>
      <c r="J629" s="156"/>
      <c r="K629" s="156"/>
      <c r="L629" s="157"/>
      <c r="M629" s="156"/>
      <c r="N629" s="156"/>
      <c r="O629" s="156"/>
      <c r="P629" s="156"/>
      <c r="Q629" s="156"/>
      <c r="R629" s="156"/>
      <c r="S629" s="156"/>
      <c r="T629" s="156"/>
      <c r="U629" s="156"/>
      <c r="V629" s="156"/>
      <c r="W629" s="156"/>
      <c r="X629" s="156"/>
      <c r="Y629" s="156"/>
      <c r="Z629" s="156"/>
      <c r="AA629" s="156"/>
      <c r="AB629" s="156"/>
      <c r="AC629" s="156"/>
    </row>
    <row r="630" spans="1:29" ht="13">
      <c r="A630" s="140"/>
      <c r="B630" s="140"/>
      <c r="C630" s="156"/>
      <c r="D630" s="156"/>
      <c r="E630" s="156"/>
      <c r="F630" s="156"/>
      <c r="G630" s="185"/>
      <c r="H630" s="156"/>
      <c r="I630" s="156"/>
      <c r="J630" s="156"/>
      <c r="K630" s="156"/>
      <c r="L630" s="157"/>
      <c r="M630" s="156"/>
      <c r="N630" s="156"/>
      <c r="O630" s="156"/>
      <c r="P630" s="156"/>
      <c r="Q630" s="156"/>
      <c r="R630" s="156"/>
      <c r="S630" s="156"/>
      <c r="T630" s="156"/>
      <c r="U630" s="156"/>
      <c r="V630" s="156"/>
      <c r="W630" s="156"/>
      <c r="X630" s="156"/>
      <c r="Y630" s="156"/>
      <c r="Z630" s="156"/>
      <c r="AA630" s="156"/>
      <c r="AB630" s="156"/>
      <c r="AC630" s="156"/>
    </row>
    <row r="631" spans="1:29" ht="13">
      <c r="A631" s="140"/>
      <c r="B631" s="140"/>
      <c r="C631" s="156"/>
      <c r="D631" s="156"/>
      <c r="E631" s="156"/>
      <c r="F631" s="156"/>
      <c r="G631" s="185"/>
      <c r="H631" s="156"/>
      <c r="I631" s="156"/>
      <c r="J631" s="156"/>
      <c r="K631" s="156"/>
      <c r="L631" s="157"/>
      <c r="M631" s="156"/>
      <c r="N631" s="156"/>
      <c r="O631" s="156"/>
      <c r="P631" s="156"/>
      <c r="Q631" s="156"/>
      <c r="R631" s="156"/>
      <c r="S631" s="156"/>
      <c r="T631" s="156"/>
      <c r="U631" s="156"/>
      <c r="V631" s="156"/>
      <c r="W631" s="156"/>
      <c r="X631" s="156"/>
      <c r="Y631" s="156"/>
      <c r="Z631" s="156"/>
      <c r="AA631" s="156"/>
      <c r="AB631" s="156"/>
      <c r="AC631" s="156"/>
    </row>
    <row r="632" spans="1:29" ht="13">
      <c r="A632" s="140"/>
      <c r="B632" s="140"/>
      <c r="C632" s="156"/>
      <c r="D632" s="156"/>
      <c r="E632" s="156"/>
      <c r="F632" s="156"/>
      <c r="G632" s="185"/>
      <c r="H632" s="156"/>
      <c r="I632" s="156"/>
      <c r="J632" s="156"/>
      <c r="K632" s="156"/>
      <c r="L632" s="157"/>
      <c r="M632" s="156"/>
      <c r="N632" s="156"/>
      <c r="O632" s="156"/>
      <c r="P632" s="156"/>
      <c r="Q632" s="156"/>
      <c r="R632" s="156"/>
      <c r="S632" s="156"/>
      <c r="T632" s="156"/>
      <c r="U632" s="156"/>
      <c r="V632" s="156"/>
      <c r="W632" s="156"/>
      <c r="X632" s="156"/>
      <c r="Y632" s="156"/>
      <c r="Z632" s="156"/>
      <c r="AA632" s="156"/>
      <c r="AB632" s="156"/>
      <c r="AC632" s="156"/>
    </row>
    <row r="633" spans="1:29" ht="13">
      <c r="A633" s="140"/>
      <c r="B633" s="140"/>
      <c r="C633" s="156"/>
      <c r="D633" s="156"/>
      <c r="E633" s="156"/>
      <c r="F633" s="156"/>
      <c r="G633" s="185"/>
      <c r="H633" s="156"/>
      <c r="I633" s="156"/>
      <c r="J633" s="156"/>
      <c r="K633" s="156"/>
      <c r="L633" s="157"/>
      <c r="M633" s="156"/>
      <c r="N633" s="156"/>
      <c r="O633" s="156"/>
      <c r="P633" s="156"/>
      <c r="Q633" s="156"/>
      <c r="R633" s="156"/>
      <c r="S633" s="156"/>
      <c r="T633" s="156"/>
      <c r="U633" s="156"/>
      <c r="V633" s="156"/>
      <c r="W633" s="156"/>
      <c r="X633" s="156"/>
      <c r="Y633" s="156"/>
      <c r="Z633" s="156"/>
      <c r="AA633" s="156"/>
      <c r="AB633" s="156"/>
      <c r="AC633" s="156"/>
    </row>
    <row r="634" spans="1:29" ht="13">
      <c r="A634" s="140"/>
      <c r="B634" s="140"/>
      <c r="C634" s="156"/>
      <c r="D634" s="156"/>
      <c r="E634" s="156"/>
      <c r="F634" s="156"/>
      <c r="G634" s="185"/>
      <c r="H634" s="156"/>
      <c r="I634" s="156"/>
      <c r="J634" s="156"/>
      <c r="K634" s="156"/>
      <c r="L634" s="157"/>
      <c r="M634" s="156"/>
      <c r="N634" s="156"/>
      <c r="O634" s="156"/>
      <c r="P634" s="156"/>
      <c r="Q634" s="156"/>
      <c r="R634" s="156"/>
      <c r="S634" s="156"/>
      <c r="T634" s="156"/>
      <c r="U634" s="156"/>
      <c r="V634" s="156"/>
      <c r="W634" s="156"/>
      <c r="X634" s="156"/>
      <c r="Y634" s="156"/>
      <c r="Z634" s="156"/>
      <c r="AA634" s="156"/>
      <c r="AB634" s="156"/>
      <c r="AC634" s="156"/>
    </row>
    <row r="635" spans="1:29" ht="13">
      <c r="A635" s="140"/>
      <c r="B635" s="140"/>
      <c r="C635" s="156"/>
      <c r="D635" s="156"/>
      <c r="E635" s="156"/>
      <c r="F635" s="156"/>
      <c r="G635" s="185"/>
      <c r="H635" s="156"/>
      <c r="I635" s="156"/>
      <c r="J635" s="156"/>
      <c r="K635" s="156"/>
      <c r="L635" s="157"/>
      <c r="M635" s="156"/>
      <c r="N635" s="156"/>
      <c r="O635" s="156"/>
      <c r="P635" s="156"/>
      <c r="Q635" s="156"/>
      <c r="R635" s="156"/>
      <c r="S635" s="156"/>
      <c r="T635" s="156"/>
      <c r="U635" s="156"/>
      <c r="V635" s="156"/>
      <c r="W635" s="156"/>
      <c r="X635" s="156"/>
      <c r="Y635" s="156"/>
      <c r="Z635" s="156"/>
      <c r="AA635" s="156"/>
      <c r="AB635" s="156"/>
      <c r="AC635" s="156"/>
    </row>
    <row r="636" spans="1:29" ht="13">
      <c r="A636" s="140"/>
      <c r="B636" s="140"/>
      <c r="C636" s="156"/>
      <c r="D636" s="156"/>
      <c r="E636" s="156"/>
      <c r="F636" s="156"/>
      <c r="G636" s="185"/>
      <c r="H636" s="156"/>
      <c r="I636" s="156"/>
      <c r="J636" s="156"/>
      <c r="K636" s="156"/>
      <c r="L636" s="157"/>
      <c r="M636" s="156"/>
      <c r="N636" s="156"/>
      <c r="O636" s="156"/>
      <c r="P636" s="156"/>
      <c r="Q636" s="156"/>
      <c r="R636" s="156"/>
      <c r="S636" s="156"/>
      <c r="T636" s="156"/>
      <c r="U636" s="156"/>
      <c r="V636" s="156"/>
      <c r="W636" s="156"/>
      <c r="X636" s="156"/>
      <c r="Y636" s="156"/>
      <c r="Z636" s="156"/>
      <c r="AA636" s="156"/>
      <c r="AB636" s="156"/>
      <c r="AC636" s="156"/>
    </row>
    <row r="637" spans="1:29" ht="13">
      <c r="A637" s="140"/>
      <c r="B637" s="140"/>
      <c r="C637" s="156"/>
      <c r="D637" s="156"/>
      <c r="E637" s="156"/>
      <c r="F637" s="156"/>
      <c r="G637" s="185"/>
      <c r="H637" s="156"/>
      <c r="I637" s="156"/>
      <c r="J637" s="156"/>
      <c r="K637" s="156"/>
      <c r="L637" s="157"/>
      <c r="M637" s="156"/>
      <c r="N637" s="156"/>
      <c r="O637" s="156"/>
      <c r="P637" s="156"/>
      <c r="Q637" s="156"/>
      <c r="R637" s="156"/>
      <c r="S637" s="156"/>
      <c r="T637" s="156"/>
      <c r="U637" s="156"/>
      <c r="V637" s="156"/>
      <c r="W637" s="156"/>
      <c r="X637" s="156"/>
      <c r="Y637" s="156"/>
      <c r="Z637" s="156"/>
      <c r="AA637" s="156"/>
      <c r="AB637" s="156"/>
      <c r="AC637" s="156"/>
    </row>
    <row r="638" spans="1:29" ht="13">
      <c r="A638" s="140"/>
      <c r="B638" s="140"/>
      <c r="C638" s="156"/>
      <c r="D638" s="156"/>
      <c r="E638" s="156"/>
      <c r="F638" s="156"/>
      <c r="G638" s="185"/>
      <c r="H638" s="156"/>
      <c r="I638" s="156"/>
      <c r="J638" s="156"/>
      <c r="K638" s="156"/>
      <c r="L638" s="157"/>
      <c r="M638" s="156"/>
      <c r="N638" s="156"/>
      <c r="O638" s="156"/>
      <c r="P638" s="156"/>
      <c r="Q638" s="156"/>
      <c r="R638" s="156"/>
      <c r="S638" s="156"/>
      <c r="T638" s="156"/>
      <c r="U638" s="156"/>
      <c r="V638" s="156"/>
      <c r="W638" s="156"/>
      <c r="X638" s="156"/>
      <c r="Y638" s="156"/>
      <c r="Z638" s="156"/>
      <c r="AA638" s="156"/>
      <c r="AB638" s="156"/>
      <c r="AC638" s="156"/>
    </row>
    <row r="639" spans="1:29" ht="13">
      <c r="A639" s="140"/>
      <c r="B639" s="140"/>
      <c r="C639" s="156"/>
      <c r="D639" s="156"/>
      <c r="E639" s="156"/>
      <c r="F639" s="156"/>
      <c r="G639" s="185"/>
      <c r="H639" s="156"/>
      <c r="I639" s="156"/>
      <c r="J639" s="156"/>
      <c r="K639" s="156"/>
      <c r="L639" s="157"/>
      <c r="M639" s="156"/>
      <c r="N639" s="156"/>
      <c r="O639" s="156"/>
      <c r="P639" s="156"/>
      <c r="Q639" s="156"/>
      <c r="R639" s="156"/>
      <c r="S639" s="156"/>
      <c r="T639" s="156"/>
      <c r="U639" s="156"/>
      <c r="V639" s="156"/>
      <c r="W639" s="156"/>
      <c r="X639" s="156"/>
      <c r="Y639" s="156"/>
      <c r="Z639" s="156"/>
      <c r="AA639" s="156"/>
      <c r="AB639" s="156"/>
      <c r="AC639" s="156"/>
    </row>
    <row r="640" spans="1:29" ht="13">
      <c r="A640" s="140"/>
      <c r="B640" s="140"/>
      <c r="C640" s="156"/>
      <c r="D640" s="156"/>
      <c r="E640" s="156"/>
      <c r="F640" s="156"/>
      <c r="G640" s="185"/>
      <c r="H640" s="156"/>
      <c r="I640" s="156"/>
      <c r="J640" s="156"/>
      <c r="K640" s="156"/>
      <c r="L640" s="157"/>
      <c r="M640" s="156"/>
      <c r="N640" s="156"/>
      <c r="O640" s="156"/>
      <c r="P640" s="156"/>
      <c r="Q640" s="156"/>
      <c r="R640" s="156"/>
      <c r="S640" s="156"/>
      <c r="T640" s="156"/>
      <c r="U640" s="156"/>
      <c r="V640" s="156"/>
      <c r="W640" s="156"/>
      <c r="X640" s="156"/>
      <c r="Y640" s="156"/>
      <c r="Z640" s="156"/>
      <c r="AA640" s="156"/>
      <c r="AB640" s="156"/>
      <c r="AC640" s="156"/>
    </row>
    <row r="641" spans="1:29" ht="13">
      <c r="A641" s="140"/>
      <c r="B641" s="140"/>
      <c r="C641" s="156"/>
      <c r="D641" s="156"/>
      <c r="E641" s="156"/>
      <c r="F641" s="156"/>
      <c r="G641" s="185"/>
      <c r="H641" s="156"/>
      <c r="I641" s="156"/>
      <c r="J641" s="156"/>
      <c r="K641" s="156"/>
      <c r="L641" s="157"/>
      <c r="M641" s="156"/>
      <c r="N641" s="156"/>
      <c r="O641" s="156"/>
      <c r="P641" s="156"/>
      <c r="Q641" s="156"/>
      <c r="R641" s="156"/>
      <c r="S641" s="156"/>
      <c r="T641" s="156"/>
      <c r="U641" s="156"/>
      <c r="V641" s="156"/>
      <c r="W641" s="156"/>
      <c r="X641" s="156"/>
      <c r="Y641" s="156"/>
      <c r="Z641" s="156"/>
      <c r="AA641" s="156"/>
      <c r="AB641" s="156"/>
      <c r="AC641" s="156"/>
    </row>
    <row r="642" spans="1:29" ht="13">
      <c r="A642" s="140"/>
      <c r="B642" s="140"/>
      <c r="C642" s="156"/>
      <c r="D642" s="156"/>
      <c r="E642" s="156"/>
      <c r="F642" s="156"/>
      <c r="G642" s="185"/>
      <c r="H642" s="156"/>
      <c r="I642" s="156"/>
      <c r="J642" s="156"/>
      <c r="K642" s="156"/>
      <c r="L642" s="157"/>
      <c r="M642" s="156"/>
      <c r="N642" s="156"/>
      <c r="O642" s="156"/>
      <c r="P642" s="156"/>
      <c r="Q642" s="156"/>
      <c r="R642" s="156"/>
      <c r="S642" s="156"/>
      <c r="T642" s="156"/>
      <c r="U642" s="156"/>
      <c r="V642" s="156"/>
      <c r="W642" s="156"/>
      <c r="X642" s="156"/>
      <c r="Y642" s="156"/>
      <c r="Z642" s="156"/>
      <c r="AA642" s="156"/>
      <c r="AB642" s="156"/>
      <c r="AC642" s="156"/>
    </row>
    <row r="643" spans="1:29" ht="13">
      <c r="A643" s="140"/>
      <c r="B643" s="140"/>
      <c r="C643" s="156"/>
      <c r="D643" s="156"/>
      <c r="E643" s="156"/>
      <c r="F643" s="156"/>
      <c r="G643" s="185"/>
      <c r="H643" s="156"/>
      <c r="I643" s="156"/>
      <c r="J643" s="156"/>
      <c r="K643" s="156"/>
      <c r="L643" s="157"/>
      <c r="M643" s="156"/>
      <c r="N643" s="156"/>
      <c r="O643" s="156"/>
      <c r="P643" s="156"/>
      <c r="Q643" s="156"/>
      <c r="R643" s="156"/>
      <c r="S643" s="156"/>
      <c r="T643" s="156"/>
      <c r="U643" s="156"/>
      <c r="V643" s="156"/>
      <c r="W643" s="156"/>
      <c r="X643" s="156"/>
      <c r="Y643" s="156"/>
      <c r="Z643" s="156"/>
      <c r="AA643" s="156"/>
      <c r="AB643" s="156"/>
      <c r="AC643" s="156"/>
    </row>
    <row r="644" spans="1:29" ht="13">
      <c r="A644" s="140"/>
      <c r="B644" s="140"/>
      <c r="C644" s="156"/>
      <c r="D644" s="156"/>
      <c r="E644" s="156"/>
      <c r="F644" s="156"/>
      <c r="G644" s="185"/>
      <c r="H644" s="156"/>
      <c r="I644" s="156"/>
      <c r="J644" s="156"/>
      <c r="K644" s="156"/>
      <c r="L644" s="157"/>
      <c r="M644" s="156"/>
      <c r="N644" s="156"/>
      <c r="O644" s="156"/>
      <c r="P644" s="156"/>
      <c r="Q644" s="156"/>
      <c r="R644" s="156"/>
      <c r="S644" s="156"/>
      <c r="T644" s="156"/>
      <c r="U644" s="156"/>
      <c r="V644" s="156"/>
      <c r="W644" s="156"/>
      <c r="X644" s="156"/>
      <c r="Y644" s="156"/>
      <c r="Z644" s="156"/>
      <c r="AA644" s="156"/>
      <c r="AB644" s="156"/>
      <c r="AC644" s="156"/>
    </row>
    <row r="645" spans="1:29" ht="13">
      <c r="A645" s="140"/>
      <c r="B645" s="140"/>
      <c r="C645" s="156"/>
      <c r="D645" s="156"/>
      <c r="E645" s="156"/>
      <c r="F645" s="156"/>
      <c r="G645" s="185"/>
      <c r="H645" s="156"/>
      <c r="I645" s="156"/>
      <c r="J645" s="156"/>
      <c r="K645" s="156"/>
      <c r="L645" s="157"/>
      <c r="M645" s="156"/>
      <c r="N645" s="156"/>
      <c r="O645" s="156"/>
      <c r="P645" s="156"/>
      <c r="Q645" s="156"/>
      <c r="R645" s="156"/>
      <c r="S645" s="156"/>
      <c r="T645" s="156"/>
      <c r="U645" s="156"/>
      <c r="V645" s="156"/>
      <c r="W645" s="156"/>
      <c r="X645" s="156"/>
      <c r="Y645" s="156"/>
      <c r="Z645" s="156"/>
      <c r="AA645" s="156"/>
      <c r="AB645" s="156"/>
      <c r="AC645" s="156"/>
    </row>
    <row r="646" spans="1:29" ht="13">
      <c r="A646" s="140"/>
      <c r="B646" s="140"/>
      <c r="C646" s="156"/>
      <c r="D646" s="156"/>
      <c r="E646" s="156"/>
      <c r="F646" s="156"/>
      <c r="G646" s="185"/>
      <c r="H646" s="156"/>
      <c r="I646" s="156"/>
      <c r="J646" s="156"/>
      <c r="K646" s="156"/>
      <c r="L646" s="157"/>
      <c r="M646" s="156"/>
      <c r="N646" s="156"/>
      <c r="O646" s="156"/>
      <c r="P646" s="156"/>
      <c r="Q646" s="156"/>
      <c r="R646" s="156"/>
      <c r="S646" s="156"/>
      <c r="T646" s="156"/>
      <c r="U646" s="156"/>
      <c r="V646" s="156"/>
      <c r="W646" s="156"/>
      <c r="X646" s="156"/>
      <c r="Y646" s="156"/>
      <c r="Z646" s="156"/>
      <c r="AA646" s="156"/>
      <c r="AB646" s="156"/>
      <c r="AC646" s="156"/>
    </row>
    <row r="647" spans="1:29" ht="13">
      <c r="A647" s="140"/>
      <c r="B647" s="140"/>
      <c r="C647" s="156"/>
      <c r="D647" s="156"/>
      <c r="E647" s="156"/>
      <c r="F647" s="156"/>
      <c r="G647" s="185"/>
      <c r="H647" s="156"/>
      <c r="I647" s="156"/>
      <c r="J647" s="156"/>
      <c r="K647" s="156"/>
      <c r="L647" s="157"/>
      <c r="M647" s="156"/>
      <c r="N647" s="156"/>
      <c r="O647" s="156"/>
      <c r="P647" s="156"/>
      <c r="Q647" s="156"/>
      <c r="R647" s="156"/>
      <c r="S647" s="156"/>
      <c r="T647" s="156"/>
      <c r="U647" s="156"/>
      <c r="V647" s="156"/>
      <c r="W647" s="156"/>
      <c r="X647" s="156"/>
      <c r="Y647" s="156"/>
      <c r="Z647" s="156"/>
      <c r="AA647" s="156"/>
      <c r="AB647" s="156"/>
      <c r="AC647" s="156"/>
    </row>
    <row r="648" spans="1:29" ht="13">
      <c r="A648" s="140"/>
      <c r="B648" s="140"/>
      <c r="C648" s="156"/>
      <c r="D648" s="156"/>
      <c r="E648" s="156"/>
      <c r="F648" s="156"/>
      <c r="G648" s="185"/>
      <c r="H648" s="156"/>
      <c r="I648" s="156"/>
      <c r="J648" s="156"/>
      <c r="K648" s="156"/>
      <c r="L648" s="157"/>
      <c r="M648" s="156"/>
      <c r="N648" s="156"/>
      <c r="O648" s="156"/>
      <c r="P648" s="156"/>
      <c r="Q648" s="156"/>
      <c r="R648" s="156"/>
      <c r="S648" s="156"/>
      <c r="T648" s="156"/>
      <c r="U648" s="156"/>
      <c r="V648" s="156"/>
      <c r="W648" s="156"/>
      <c r="X648" s="156"/>
      <c r="Y648" s="156"/>
      <c r="Z648" s="156"/>
      <c r="AA648" s="156"/>
      <c r="AB648" s="156"/>
      <c r="AC648" s="156"/>
    </row>
    <row r="649" spans="1:29" ht="13">
      <c r="A649" s="140"/>
      <c r="B649" s="140"/>
      <c r="C649" s="156"/>
      <c r="D649" s="156"/>
      <c r="E649" s="156"/>
      <c r="F649" s="156"/>
      <c r="G649" s="185"/>
      <c r="H649" s="156"/>
      <c r="I649" s="156"/>
      <c r="J649" s="156"/>
      <c r="K649" s="156"/>
      <c r="L649" s="157"/>
      <c r="M649" s="156"/>
      <c r="N649" s="156"/>
      <c r="O649" s="156"/>
      <c r="P649" s="156"/>
      <c r="Q649" s="156"/>
      <c r="R649" s="156"/>
      <c r="S649" s="156"/>
      <c r="T649" s="156"/>
      <c r="U649" s="156"/>
      <c r="V649" s="156"/>
      <c r="W649" s="156"/>
      <c r="X649" s="156"/>
      <c r="Y649" s="156"/>
      <c r="Z649" s="156"/>
      <c r="AA649" s="156"/>
      <c r="AB649" s="156"/>
      <c r="AC649" s="156"/>
    </row>
    <row r="650" spans="1:29" ht="13">
      <c r="A650" s="140"/>
      <c r="B650" s="140"/>
      <c r="C650" s="156"/>
      <c r="D650" s="156"/>
      <c r="E650" s="156"/>
      <c r="F650" s="156"/>
      <c r="G650" s="185"/>
      <c r="H650" s="156"/>
      <c r="I650" s="156"/>
      <c r="J650" s="156"/>
      <c r="K650" s="156"/>
      <c r="L650" s="157"/>
      <c r="M650" s="156"/>
      <c r="N650" s="156"/>
      <c r="O650" s="156"/>
      <c r="P650" s="156"/>
      <c r="Q650" s="156"/>
      <c r="R650" s="156"/>
      <c r="S650" s="156"/>
      <c r="T650" s="156"/>
      <c r="U650" s="156"/>
      <c r="V650" s="156"/>
      <c r="W650" s="156"/>
      <c r="X650" s="156"/>
      <c r="Y650" s="156"/>
      <c r="Z650" s="156"/>
      <c r="AA650" s="156"/>
      <c r="AB650" s="156"/>
      <c r="AC650" s="156"/>
    </row>
    <row r="651" spans="1:29" ht="13">
      <c r="A651" s="140"/>
      <c r="B651" s="140"/>
      <c r="C651" s="156"/>
      <c r="D651" s="156"/>
      <c r="E651" s="156"/>
      <c r="F651" s="156"/>
      <c r="G651" s="185"/>
      <c r="H651" s="156"/>
      <c r="I651" s="156"/>
      <c r="J651" s="156"/>
      <c r="K651" s="156"/>
      <c r="L651" s="157"/>
      <c r="M651" s="156"/>
      <c r="N651" s="156"/>
      <c r="O651" s="156"/>
      <c r="P651" s="156"/>
      <c r="Q651" s="156"/>
      <c r="R651" s="156"/>
      <c r="S651" s="156"/>
      <c r="T651" s="156"/>
      <c r="U651" s="156"/>
      <c r="V651" s="156"/>
      <c r="W651" s="156"/>
      <c r="X651" s="156"/>
      <c r="Y651" s="156"/>
      <c r="Z651" s="156"/>
      <c r="AA651" s="156"/>
      <c r="AB651" s="156"/>
      <c r="AC651" s="156"/>
    </row>
    <row r="652" spans="1:29" ht="13">
      <c r="A652" s="140"/>
      <c r="B652" s="140"/>
      <c r="C652" s="156"/>
      <c r="D652" s="156"/>
      <c r="E652" s="156"/>
      <c r="F652" s="156"/>
      <c r="G652" s="185"/>
      <c r="H652" s="156"/>
      <c r="I652" s="156"/>
      <c r="J652" s="156"/>
      <c r="K652" s="156"/>
      <c r="L652" s="157"/>
      <c r="M652" s="156"/>
      <c r="N652" s="156"/>
      <c r="O652" s="156"/>
      <c r="P652" s="156"/>
      <c r="Q652" s="156"/>
      <c r="R652" s="156"/>
      <c r="S652" s="156"/>
      <c r="T652" s="156"/>
      <c r="U652" s="156"/>
      <c r="V652" s="156"/>
      <c r="W652" s="156"/>
      <c r="X652" s="156"/>
      <c r="Y652" s="156"/>
      <c r="Z652" s="156"/>
      <c r="AA652" s="156"/>
      <c r="AB652" s="156"/>
      <c r="AC652" s="156"/>
    </row>
    <row r="653" spans="1:29" ht="13">
      <c r="A653" s="140"/>
      <c r="B653" s="140"/>
      <c r="C653" s="156"/>
      <c r="D653" s="156"/>
      <c r="E653" s="156"/>
      <c r="F653" s="156"/>
      <c r="G653" s="185"/>
      <c r="H653" s="156"/>
      <c r="I653" s="156"/>
      <c r="J653" s="156"/>
      <c r="K653" s="156"/>
      <c r="L653" s="157"/>
      <c r="M653" s="156"/>
      <c r="N653" s="156"/>
      <c r="O653" s="156"/>
      <c r="P653" s="156"/>
      <c r="Q653" s="156"/>
      <c r="R653" s="156"/>
      <c r="S653" s="156"/>
      <c r="T653" s="156"/>
      <c r="U653" s="156"/>
      <c r="V653" s="156"/>
      <c r="W653" s="156"/>
      <c r="X653" s="156"/>
      <c r="Y653" s="156"/>
      <c r="Z653" s="156"/>
      <c r="AA653" s="156"/>
      <c r="AB653" s="156"/>
      <c r="AC653" s="156"/>
    </row>
    <row r="654" spans="1:29" ht="13">
      <c r="A654" s="140"/>
      <c r="B654" s="140"/>
      <c r="C654" s="156"/>
      <c r="D654" s="156"/>
      <c r="E654" s="156"/>
      <c r="F654" s="156"/>
      <c r="G654" s="185"/>
      <c r="H654" s="156"/>
      <c r="I654" s="156"/>
      <c r="J654" s="156"/>
      <c r="K654" s="156"/>
      <c r="L654" s="157"/>
      <c r="M654" s="156"/>
      <c r="N654" s="156"/>
      <c r="O654" s="156"/>
      <c r="P654" s="156"/>
      <c r="Q654" s="156"/>
      <c r="R654" s="156"/>
      <c r="S654" s="156"/>
      <c r="T654" s="156"/>
      <c r="U654" s="156"/>
      <c r="V654" s="156"/>
      <c r="W654" s="156"/>
      <c r="X654" s="156"/>
      <c r="Y654" s="156"/>
      <c r="Z654" s="156"/>
      <c r="AA654" s="156"/>
      <c r="AB654" s="156"/>
      <c r="AC654" s="156"/>
    </row>
    <row r="655" spans="1:29" ht="13">
      <c r="A655" s="140"/>
      <c r="B655" s="140"/>
      <c r="C655" s="156"/>
      <c r="D655" s="156"/>
      <c r="E655" s="156"/>
      <c r="F655" s="156"/>
      <c r="G655" s="185"/>
      <c r="H655" s="156"/>
      <c r="I655" s="156"/>
      <c r="J655" s="156"/>
      <c r="K655" s="156"/>
      <c r="L655" s="157"/>
      <c r="M655" s="156"/>
      <c r="N655" s="156"/>
      <c r="O655" s="156"/>
      <c r="P655" s="156"/>
      <c r="Q655" s="156"/>
      <c r="R655" s="156"/>
      <c r="S655" s="156"/>
      <c r="T655" s="156"/>
      <c r="U655" s="156"/>
      <c r="V655" s="156"/>
      <c r="W655" s="156"/>
      <c r="X655" s="156"/>
      <c r="Y655" s="156"/>
      <c r="Z655" s="156"/>
      <c r="AA655" s="156"/>
      <c r="AB655" s="156"/>
      <c r="AC655" s="156"/>
    </row>
    <row r="656" spans="1:29" ht="13">
      <c r="A656" s="140"/>
      <c r="B656" s="140"/>
      <c r="C656" s="156"/>
      <c r="D656" s="156"/>
      <c r="E656" s="156"/>
      <c r="F656" s="156"/>
      <c r="G656" s="185"/>
      <c r="H656" s="156"/>
      <c r="I656" s="156"/>
      <c r="J656" s="156"/>
      <c r="K656" s="156"/>
      <c r="L656" s="157"/>
      <c r="M656" s="156"/>
      <c r="N656" s="156"/>
      <c r="O656" s="156"/>
      <c r="P656" s="156"/>
      <c r="Q656" s="156"/>
      <c r="R656" s="156"/>
      <c r="S656" s="156"/>
      <c r="T656" s="156"/>
      <c r="U656" s="156"/>
      <c r="V656" s="156"/>
      <c r="W656" s="156"/>
      <c r="X656" s="156"/>
      <c r="Y656" s="156"/>
      <c r="Z656" s="156"/>
      <c r="AA656" s="156"/>
      <c r="AB656" s="156"/>
      <c r="AC656" s="156"/>
    </row>
    <row r="657" spans="1:29" ht="13">
      <c r="A657" s="140"/>
      <c r="B657" s="140"/>
      <c r="C657" s="156"/>
      <c r="D657" s="156"/>
      <c r="E657" s="156"/>
      <c r="F657" s="156"/>
      <c r="G657" s="185"/>
      <c r="H657" s="156"/>
      <c r="I657" s="156"/>
      <c r="J657" s="156"/>
      <c r="K657" s="156"/>
      <c r="L657" s="157"/>
      <c r="M657" s="156"/>
      <c r="N657" s="156"/>
      <c r="O657" s="156"/>
      <c r="P657" s="156"/>
      <c r="Q657" s="156"/>
      <c r="R657" s="156"/>
      <c r="S657" s="156"/>
      <c r="T657" s="156"/>
      <c r="U657" s="156"/>
      <c r="V657" s="156"/>
      <c r="W657" s="156"/>
      <c r="X657" s="156"/>
      <c r="Y657" s="156"/>
      <c r="Z657" s="156"/>
      <c r="AA657" s="156"/>
      <c r="AB657" s="156"/>
      <c r="AC657" s="156"/>
    </row>
    <row r="658" spans="1:29" ht="13">
      <c r="A658" s="140"/>
      <c r="B658" s="140"/>
      <c r="C658" s="156"/>
      <c r="D658" s="156"/>
      <c r="E658" s="156"/>
      <c r="F658" s="156"/>
      <c r="G658" s="185"/>
      <c r="H658" s="156"/>
      <c r="I658" s="156"/>
      <c r="J658" s="156"/>
      <c r="K658" s="156"/>
      <c r="L658" s="157"/>
      <c r="M658" s="156"/>
      <c r="N658" s="156"/>
      <c r="O658" s="156"/>
      <c r="P658" s="156"/>
      <c r="Q658" s="156"/>
      <c r="R658" s="156"/>
      <c r="S658" s="156"/>
      <c r="T658" s="156"/>
      <c r="U658" s="156"/>
      <c r="V658" s="156"/>
      <c r="W658" s="156"/>
      <c r="X658" s="156"/>
      <c r="Y658" s="156"/>
      <c r="Z658" s="156"/>
      <c r="AA658" s="156"/>
      <c r="AB658" s="156"/>
      <c r="AC658" s="156"/>
    </row>
    <row r="659" spans="1:29" ht="13">
      <c r="A659" s="140"/>
      <c r="B659" s="140"/>
      <c r="C659" s="156"/>
      <c r="D659" s="156"/>
      <c r="E659" s="156"/>
      <c r="F659" s="156"/>
      <c r="G659" s="185"/>
      <c r="H659" s="156"/>
      <c r="I659" s="156"/>
      <c r="J659" s="156"/>
      <c r="K659" s="156"/>
      <c r="L659" s="157"/>
      <c r="M659" s="156"/>
      <c r="N659" s="156"/>
      <c r="O659" s="156"/>
      <c r="P659" s="156"/>
      <c r="Q659" s="156"/>
      <c r="R659" s="156"/>
      <c r="S659" s="156"/>
      <c r="T659" s="156"/>
      <c r="U659" s="156"/>
      <c r="V659" s="156"/>
      <c r="W659" s="156"/>
      <c r="X659" s="156"/>
      <c r="Y659" s="156"/>
      <c r="Z659" s="156"/>
      <c r="AA659" s="156"/>
      <c r="AB659" s="156"/>
      <c r="AC659" s="156"/>
    </row>
    <row r="660" spans="1:29" ht="13">
      <c r="A660" s="140"/>
      <c r="B660" s="140"/>
      <c r="C660" s="156"/>
      <c r="D660" s="156"/>
      <c r="E660" s="156"/>
      <c r="F660" s="156"/>
      <c r="G660" s="185"/>
      <c r="H660" s="156"/>
      <c r="I660" s="156"/>
      <c r="J660" s="156"/>
      <c r="K660" s="156"/>
      <c r="L660" s="157"/>
      <c r="M660" s="156"/>
      <c r="N660" s="156"/>
      <c r="O660" s="156"/>
      <c r="P660" s="156"/>
      <c r="Q660" s="156"/>
      <c r="R660" s="156"/>
      <c r="S660" s="156"/>
      <c r="T660" s="156"/>
      <c r="U660" s="156"/>
      <c r="V660" s="156"/>
      <c r="W660" s="156"/>
      <c r="X660" s="156"/>
      <c r="Y660" s="156"/>
      <c r="Z660" s="156"/>
      <c r="AA660" s="156"/>
      <c r="AB660" s="156"/>
      <c r="AC660" s="156"/>
    </row>
    <row r="661" spans="1:29" ht="13">
      <c r="A661" s="140"/>
      <c r="B661" s="140"/>
      <c r="C661" s="156"/>
      <c r="D661" s="156"/>
      <c r="E661" s="156"/>
      <c r="F661" s="156"/>
      <c r="G661" s="185"/>
      <c r="H661" s="156"/>
      <c r="I661" s="156"/>
      <c r="J661" s="156"/>
      <c r="K661" s="156"/>
      <c r="L661" s="157"/>
      <c r="M661" s="156"/>
      <c r="N661" s="156"/>
      <c r="O661" s="156"/>
      <c r="P661" s="156"/>
      <c r="Q661" s="156"/>
      <c r="R661" s="156"/>
      <c r="S661" s="156"/>
      <c r="T661" s="156"/>
      <c r="U661" s="156"/>
      <c r="V661" s="156"/>
      <c r="W661" s="156"/>
      <c r="X661" s="156"/>
      <c r="Y661" s="156"/>
      <c r="Z661" s="156"/>
      <c r="AA661" s="156"/>
      <c r="AB661" s="156"/>
      <c r="AC661" s="156"/>
    </row>
    <row r="662" spans="1:29" ht="13">
      <c r="A662" s="140"/>
      <c r="B662" s="140"/>
      <c r="C662" s="156"/>
      <c r="D662" s="156"/>
      <c r="E662" s="156"/>
      <c r="F662" s="156"/>
      <c r="G662" s="185"/>
      <c r="H662" s="156"/>
      <c r="I662" s="156"/>
      <c r="J662" s="156"/>
      <c r="K662" s="156"/>
      <c r="L662" s="157"/>
      <c r="M662" s="156"/>
      <c r="N662" s="156"/>
      <c r="O662" s="156"/>
      <c r="P662" s="156"/>
      <c r="Q662" s="156"/>
      <c r="R662" s="156"/>
      <c r="S662" s="156"/>
      <c r="T662" s="156"/>
      <c r="U662" s="156"/>
      <c r="V662" s="156"/>
      <c r="W662" s="156"/>
      <c r="X662" s="156"/>
      <c r="Y662" s="156"/>
      <c r="Z662" s="156"/>
      <c r="AA662" s="156"/>
      <c r="AB662" s="156"/>
      <c r="AC662" s="156"/>
    </row>
    <row r="663" spans="1:29" ht="13">
      <c r="A663" s="140"/>
      <c r="B663" s="140"/>
      <c r="C663" s="156"/>
      <c r="D663" s="156"/>
      <c r="E663" s="156"/>
      <c r="F663" s="156"/>
      <c r="G663" s="185"/>
      <c r="H663" s="156"/>
      <c r="I663" s="156"/>
      <c r="J663" s="156"/>
      <c r="K663" s="156"/>
      <c r="L663" s="157"/>
      <c r="M663" s="156"/>
      <c r="N663" s="156"/>
      <c r="O663" s="156"/>
      <c r="P663" s="156"/>
      <c r="Q663" s="156"/>
      <c r="R663" s="156"/>
      <c r="S663" s="156"/>
      <c r="T663" s="156"/>
      <c r="U663" s="156"/>
      <c r="V663" s="156"/>
      <c r="W663" s="156"/>
      <c r="X663" s="156"/>
      <c r="Y663" s="156"/>
      <c r="Z663" s="156"/>
      <c r="AA663" s="156"/>
      <c r="AB663" s="156"/>
      <c r="AC663" s="156"/>
    </row>
    <row r="664" spans="1:29" ht="13">
      <c r="A664" s="140"/>
      <c r="B664" s="140"/>
      <c r="C664" s="156"/>
      <c r="D664" s="156"/>
      <c r="E664" s="156"/>
      <c r="F664" s="156"/>
      <c r="G664" s="185"/>
      <c r="H664" s="156"/>
      <c r="I664" s="156"/>
      <c r="J664" s="156"/>
      <c r="K664" s="156"/>
      <c r="L664" s="157"/>
      <c r="M664" s="156"/>
      <c r="N664" s="156"/>
      <c r="O664" s="156"/>
      <c r="P664" s="156"/>
      <c r="Q664" s="156"/>
      <c r="R664" s="156"/>
      <c r="S664" s="156"/>
      <c r="T664" s="156"/>
      <c r="U664" s="156"/>
      <c r="V664" s="156"/>
      <c r="W664" s="156"/>
      <c r="X664" s="156"/>
      <c r="Y664" s="156"/>
      <c r="Z664" s="156"/>
      <c r="AA664" s="156"/>
      <c r="AB664" s="156"/>
      <c r="AC664" s="156"/>
    </row>
    <row r="665" spans="1:29" ht="13">
      <c r="A665" s="140"/>
      <c r="B665" s="140"/>
      <c r="C665" s="156"/>
      <c r="D665" s="156"/>
      <c r="E665" s="156"/>
      <c r="F665" s="156"/>
      <c r="G665" s="185"/>
      <c r="H665" s="156"/>
      <c r="I665" s="156"/>
      <c r="J665" s="156"/>
      <c r="K665" s="156"/>
      <c r="L665" s="157"/>
      <c r="M665" s="156"/>
      <c r="N665" s="156"/>
      <c r="O665" s="156"/>
      <c r="P665" s="156"/>
      <c r="Q665" s="156"/>
      <c r="R665" s="156"/>
      <c r="S665" s="156"/>
      <c r="T665" s="156"/>
      <c r="U665" s="156"/>
      <c r="V665" s="156"/>
      <c r="W665" s="156"/>
      <c r="X665" s="156"/>
      <c r="Y665" s="156"/>
      <c r="Z665" s="156"/>
      <c r="AA665" s="156"/>
      <c r="AB665" s="156"/>
      <c r="AC665" s="156"/>
    </row>
    <row r="666" spans="1:29" ht="13">
      <c r="A666" s="140"/>
      <c r="B666" s="140"/>
      <c r="C666" s="156"/>
      <c r="D666" s="156"/>
      <c r="E666" s="156"/>
      <c r="F666" s="156"/>
      <c r="G666" s="185"/>
      <c r="H666" s="156"/>
      <c r="I666" s="156"/>
      <c r="J666" s="156"/>
      <c r="K666" s="156"/>
      <c r="L666" s="157"/>
      <c r="M666" s="156"/>
      <c r="N666" s="156"/>
      <c r="O666" s="156"/>
      <c r="P666" s="156"/>
      <c r="Q666" s="156"/>
      <c r="R666" s="156"/>
      <c r="S666" s="156"/>
      <c r="T666" s="156"/>
      <c r="U666" s="156"/>
      <c r="V666" s="156"/>
      <c r="W666" s="156"/>
      <c r="X666" s="156"/>
      <c r="Y666" s="156"/>
      <c r="Z666" s="156"/>
      <c r="AA666" s="156"/>
      <c r="AB666" s="156"/>
      <c r="AC666" s="156"/>
    </row>
    <row r="667" spans="1:29" ht="13">
      <c r="A667" s="140"/>
      <c r="B667" s="140"/>
      <c r="C667" s="156"/>
      <c r="D667" s="156"/>
      <c r="E667" s="156"/>
      <c r="F667" s="156"/>
      <c r="G667" s="185"/>
      <c r="H667" s="156"/>
      <c r="I667" s="156"/>
      <c r="J667" s="156"/>
      <c r="K667" s="156"/>
      <c r="L667" s="157"/>
      <c r="M667" s="156"/>
      <c r="N667" s="156"/>
      <c r="O667" s="156"/>
      <c r="P667" s="156"/>
      <c r="Q667" s="156"/>
      <c r="R667" s="156"/>
      <c r="S667" s="156"/>
      <c r="T667" s="156"/>
      <c r="U667" s="156"/>
      <c r="V667" s="156"/>
      <c r="W667" s="156"/>
      <c r="X667" s="156"/>
      <c r="Y667" s="156"/>
      <c r="Z667" s="156"/>
      <c r="AA667" s="156"/>
      <c r="AB667" s="156"/>
      <c r="AC667" s="156"/>
    </row>
    <row r="668" spans="1:29" ht="13">
      <c r="A668" s="140"/>
      <c r="B668" s="140"/>
      <c r="C668" s="156"/>
      <c r="D668" s="156"/>
      <c r="E668" s="156"/>
      <c r="F668" s="156"/>
      <c r="G668" s="185"/>
      <c r="H668" s="156"/>
      <c r="I668" s="156"/>
      <c r="J668" s="156"/>
      <c r="K668" s="156"/>
      <c r="L668" s="157"/>
      <c r="M668" s="156"/>
      <c r="N668" s="156"/>
      <c r="O668" s="156"/>
      <c r="P668" s="156"/>
      <c r="Q668" s="156"/>
      <c r="R668" s="156"/>
      <c r="S668" s="156"/>
      <c r="T668" s="156"/>
      <c r="U668" s="156"/>
      <c r="V668" s="156"/>
      <c r="W668" s="156"/>
      <c r="X668" s="156"/>
      <c r="Y668" s="156"/>
      <c r="Z668" s="156"/>
      <c r="AA668" s="156"/>
      <c r="AB668" s="156"/>
      <c r="AC668" s="156"/>
    </row>
    <row r="669" spans="1:29" ht="13">
      <c r="A669" s="140"/>
      <c r="B669" s="140"/>
      <c r="C669" s="156"/>
      <c r="D669" s="156"/>
      <c r="E669" s="156"/>
      <c r="F669" s="156"/>
      <c r="G669" s="185"/>
      <c r="H669" s="156"/>
      <c r="I669" s="156"/>
      <c r="J669" s="156"/>
      <c r="K669" s="156"/>
      <c r="L669" s="157"/>
      <c r="M669" s="156"/>
      <c r="N669" s="156"/>
      <c r="O669" s="156"/>
      <c r="P669" s="156"/>
      <c r="Q669" s="156"/>
      <c r="R669" s="156"/>
      <c r="S669" s="156"/>
      <c r="T669" s="156"/>
      <c r="U669" s="156"/>
      <c r="V669" s="156"/>
      <c r="W669" s="156"/>
      <c r="X669" s="156"/>
      <c r="Y669" s="156"/>
      <c r="Z669" s="156"/>
      <c r="AA669" s="156"/>
      <c r="AB669" s="156"/>
      <c r="AC669" s="156"/>
    </row>
    <row r="670" spans="1:29" ht="13">
      <c r="A670" s="140"/>
      <c r="B670" s="140"/>
      <c r="C670" s="156"/>
      <c r="D670" s="156"/>
      <c r="E670" s="156"/>
      <c r="F670" s="156"/>
      <c r="G670" s="185"/>
      <c r="H670" s="156"/>
      <c r="I670" s="156"/>
      <c r="J670" s="156"/>
      <c r="K670" s="156"/>
      <c r="L670" s="157"/>
      <c r="M670" s="156"/>
      <c r="N670" s="156"/>
      <c r="O670" s="156"/>
      <c r="P670" s="156"/>
      <c r="Q670" s="156"/>
      <c r="R670" s="156"/>
      <c r="S670" s="156"/>
      <c r="T670" s="156"/>
      <c r="U670" s="156"/>
      <c r="V670" s="156"/>
      <c r="W670" s="156"/>
      <c r="X670" s="156"/>
      <c r="Y670" s="156"/>
      <c r="Z670" s="156"/>
      <c r="AA670" s="156"/>
      <c r="AB670" s="156"/>
      <c r="AC670" s="156"/>
    </row>
    <row r="671" spans="1:29" ht="13">
      <c r="A671" s="140"/>
      <c r="B671" s="140"/>
      <c r="C671" s="156"/>
      <c r="D671" s="156"/>
      <c r="E671" s="156"/>
      <c r="F671" s="156"/>
      <c r="G671" s="185"/>
      <c r="H671" s="156"/>
      <c r="I671" s="156"/>
      <c r="J671" s="156"/>
      <c r="K671" s="156"/>
      <c r="L671" s="157"/>
      <c r="M671" s="156"/>
      <c r="N671" s="156"/>
      <c r="O671" s="156"/>
      <c r="P671" s="156"/>
      <c r="Q671" s="156"/>
      <c r="R671" s="156"/>
      <c r="S671" s="156"/>
      <c r="T671" s="156"/>
      <c r="U671" s="156"/>
      <c r="V671" s="156"/>
      <c r="W671" s="156"/>
      <c r="X671" s="156"/>
      <c r="Y671" s="156"/>
      <c r="Z671" s="156"/>
      <c r="AA671" s="156"/>
      <c r="AB671" s="156"/>
      <c r="AC671" s="156"/>
    </row>
    <row r="672" spans="1:29" ht="13">
      <c r="A672" s="140"/>
      <c r="B672" s="140"/>
      <c r="C672" s="156"/>
      <c r="D672" s="156"/>
      <c r="E672" s="156"/>
      <c r="F672" s="156"/>
      <c r="G672" s="185"/>
      <c r="H672" s="156"/>
      <c r="I672" s="156"/>
      <c r="J672" s="156"/>
      <c r="K672" s="156"/>
      <c r="L672" s="157"/>
      <c r="M672" s="156"/>
      <c r="N672" s="156"/>
      <c r="O672" s="156"/>
      <c r="P672" s="156"/>
      <c r="Q672" s="156"/>
      <c r="R672" s="156"/>
      <c r="S672" s="156"/>
      <c r="T672" s="156"/>
      <c r="U672" s="156"/>
      <c r="V672" s="156"/>
      <c r="W672" s="156"/>
      <c r="X672" s="156"/>
      <c r="Y672" s="156"/>
      <c r="Z672" s="156"/>
      <c r="AA672" s="156"/>
      <c r="AB672" s="156"/>
      <c r="AC672" s="156"/>
    </row>
    <row r="673" spans="1:29" ht="13">
      <c r="A673" s="140"/>
      <c r="B673" s="140"/>
      <c r="C673" s="156"/>
      <c r="D673" s="156"/>
      <c r="E673" s="156"/>
      <c r="F673" s="156"/>
      <c r="G673" s="185"/>
      <c r="H673" s="156"/>
      <c r="I673" s="156"/>
      <c r="J673" s="156"/>
      <c r="K673" s="156"/>
      <c r="L673" s="157"/>
      <c r="M673" s="156"/>
      <c r="N673" s="156"/>
      <c r="O673" s="156"/>
      <c r="P673" s="156"/>
      <c r="Q673" s="156"/>
      <c r="R673" s="156"/>
      <c r="S673" s="156"/>
      <c r="T673" s="156"/>
      <c r="U673" s="156"/>
      <c r="V673" s="156"/>
      <c r="W673" s="156"/>
      <c r="X673" s="156"/>
      <c r="Y673" s="156"/>
      <c r="Z673" s="156"/>
      <c r="AA673" s="156"/>
      <c r="AB673" s="156"/>
      <c r="AC673" s="156"/>
    </row>
    <row r="674" spans="1:29" ht="13">
      <c r="A674" s="140"/>
      <c r="B674" s="140"/>
      <c r="C674" s="156"/>
      <c r="D674" s="156"/>
      <c r="E674" s="156"/>
      <c r="F674" s="156"/>
      <c r="G674" s="185"/>
      <c r="H674" s="156"/>
      <c r="I674" s="156"/>
      <c r="J674" s="156"/>
      <c r="K674" s="156"/>
      <c r="L674" s="157"/>
      <c r="M674" s="156"/>
      <c r="N674" s="156"/>
      <c r="O674" s="156"/>
      <c r="P674" s="156"/>
      <c r="Q674" s="156"/>
      <c r="R674" s="156"/>
      <c r="S674" s="156"/>
      <c r="T674" s="156"/>
      <c r="U674" s="156"/>
      <c r="V674" s="156"/>
      <c r="W674" s="156"/>
      <c r="X674" s="156"/>
      <c r="Y674" s="156"/>
      <c r="Z674" s="156"/>
      <c r="AA674" s="156"/>
      <c r="AB674" s="156"/>
      <c r="AC674" s="156"/>
    </row>
    <row r="675" spans="1:29" ht="13">
      <c r="A675" s="140"/>
      <c r="B675" s="140"/>
      <c r="C675" s="156"/>
      <c r="D675" s="156"/>
      <c r="E675" s="156"/>
      <c r="F675" s="156"/>
      <c r="G675" s="185"/>
      <c r="H675" s="156"/>
      <c r="I675" s="156"/>
      <c r="J675" s="156"/>
      <c r="K675" s="156"/>
      <c r="L675" s="157"/>
      <c r="M675" s="156"/>
      <c r="N675" s="156"/>
      <c r="O675" s="156"/>
      <c r="P675" s="156"/>
      <c r="Q675" s="156"/>
      <c r="R675" s="156"/>
      <c r="S675" s="156"/>
      <c r="T675" s="156"/>
      <c r="U675" s="156"/>
      <c r="V675" s="156"/>
      <c r="W675" s="156"/>
      <c r="X675" s="156"/>
      <c r="Y675" s="156"/>
      <c r="Z675" s="156"/>
      <c r="AA675" s="156"/>
      <c r="AB675" s="156"/>
      <c r="AC675" s="156"/>
    </row>
    <row r="676" spans="1:29" ht="13">
      <c r="A676" s="140"/>
      <c r="B676" s="140"/>
      <c r="C676" s="156"/>
      <c r="D676" s="156"/>
      <c r="E676" s="156"/>
      <c r="F676" s="156"/>
      <c r="G676" s="185"/>
      <c r="H676" s="156"/>
      <c r="I676" s="156"/>
      <c r="J676" s="156"/>
      <c r="K676" s="156"/>
      <c r="L676" s="157"/>
      <c r="M676" s="156"/>
      <c r="N676" s="156"/>
      <c r="O676" s="156"/>
      <c r="P676" s="156"/>
      <c r="Q676" s="156"/>
      <c r="R676" s="156"/>
      <c r="S676" s="156"/>
      <c r="T676" s="156"/>
      <c r="U676" s="156"/>
      <c r="V676" s="156"/>
      <c r="W676" s="156"/>
      <c r="X676" s="156"/>
      <c r="Y676" s="156"/>
      <c r="Z676" s="156"/>
      <c r="AA676" s="156"/>
      <c r="AB676" s="156"/>
      <c r="AC676" s="156"/>
    </row>
    <row r="677" spans="1:29" ht="13">
      <c r="A677" s="140"/>
      <c r="B677" s="140"/>
      <c r="C677" s="156"/>
      <c r="D677" s="156"/>
      <c r="E677" s="156"/>
      <c r="F677" s="156"/>
      <c r="G677" s="185"/>
      <c r="H677" s="156"/>
      <c r="I677" s="156"/>
      <c r="J677" s="156"/>
      <c r="K677" s="156"/>
      <c r="L677" s="157"/>
      <c r="M677" s="156"/>
      <c r="N677" s="156"/>
      <c r="O677" s="156"/>
      <c r="P677" s="156"/>
      <c r="Q677" s="156"/>
      <c r="R677" s="156"/>
      <c r="S677" s="156"/>
      <c r="T677" s="156"/>
      <c r="U677" s="156"/>
      <c r="V677" s="156"/>
      <c r="W677" s="156"/>
      <c r="X677" s="156"/>
      <c r="Y677" s="156"/>
      <c r="Z677" s="156"/>
      <c r="AA677" s="156"/>
      <c r="AB677" s="156"/>
      <c r="AC677" s="156"/>
    </row>
    <row r="678" spans="1:29" ht="13">
      <c r="A678" s="140"/>
      <c r="B678" s="140"/>
      <c r="C678" s="156"/>
      <c r="D678" s="156"/>
      <c r="E678" s="156"/>
      <c r="F678" s="156"/>
      <c r="G678" s="185"/>
      <c r="H678" s="156"/>
      <c r="I678" s="156"/>
      <c r="J678" s="156"/>
      <c r="K678" s="156"/>
      <c r="L678" s="157"/>
      <c r="M678" s="156"/>
      <c r="N678" s="156"/>
      <c r="O678" s="156"/>
      <c r="P678" s="156"/>
      <c r="Q678" s="156"/>
      <c r="R678" s="156"/>
      <c r="S678" s="156"/>
      <c r="T678" s="156"/>
      <c r="U678" s="156"/>
      <c r="V678" s="156"/>
      <c r="W678" s="156"/>
      <c r="X678" s="156"/>
      <c r="Y678" s="156"/>
      <c r="Z678" s="156"/>
      <c r="AA678" s="156"/>
      <c r="AB678" s="156"/>
      <c r="AC678" s="156"/>
    </row>
    <row r="679" spans="1:29" ht="13">
      <c r="A679" s="140"/>
      <c r="B679" s="140"/>
      <c r="C679" s="156"/>
      <c r="D679" s="156"/>
      <c r="E679" s="156"/>
      <c r="F679" s="156"/>
      <c r="G679" s="185"/>
      <c r="H679" s="156"/>
      <c r="I679" s="156"/>
      <c r="J679" s="156"/>
      <c r="K679" s="156"/>
      <c r="L679" s="157"/>
      <c r="M679" s="156"/>
      <c r="N679" s="156"/>
      <c r="O679" s="156"/>
      <c r="P679" s="156"/>
      <c r="Q679" s="156"/>
      <c r="R679" s="156"/>
      <c r="S679" s="156"/>
      <c r="T679" s="156"/>
      <c r="U679" s="156"/>
      <c r="V679" s="156"/>
      <c r="W679" s="156"/>
      <c r="X679" s="156"/>
      <c r="Y679" s="156"/>
      <c r="Z679" s="156"/>
      <c r="AA679" s="156"/>
      <c r="AB679" s="156"/>
      <c r="AC679" s="156"/>
    </row>
    <row r="680" spans="1:29" ht="13">
      <c r="A680" s="140"/>
      <c r="B680" s="140"/>
      <c r="C680" s="156"/>
      <c r="D680" s="156"/>
      <c r="E680" s="156"/>
      <c r="F680" s="156"/>
      <c r="G680" s="185"/>
      <c r="H680" s="156"/>
      <c r="I680" s="156"/>
      <c r="J680" s="156"/>
      <c r="K680" s="156"/>
      <c r="L680" s="157"/>
      <c r="M680" s="156"/>
      <c r="N680" s="156"/>
      <c r="O680" s="156"/>
      <c r="P680" s="156"/>
      <c r="Q680" s="156"/>
      <c r="R680" s="156"/>
      <c r="S680" s="156"/>
      <c r="T680" s="156"/>
      <c r="U680" s="156"/>
      <c r="V680" s="156"/>
      <c r="W680" s="156"/>
      <c r="X680" s="156"/>
      <c r="Y680" s="156"/>
      <c r="Z680" s="156"/>
      <c r="AA680" s="156"/>
      <c r="AB680" s="156"/>
      <c r="AC680" s="156"/>
    </row>
    <row r="681" spans="1:29" ht="13">
      <c r="A681" s="140"/>
      <c r="B681" s="140"/>
      <c r="C681" s="156"/>
      <c r="D681" s="156"/>
      <c r="E681" s="156"/>
      <c r="F681" s="156"/>
      <c r="G681" s="185"/>
      <c r="H681" s="156"/>
      <c r="I681" s="156"/>
      <c r="J681" s="156"/>
      <c r="K681" s="156"/>
      <c r="L681" s="157"/>
      <c r="M681" s="156"/>
      <c r="N681" s="156"/>
      <c r="O681" s="156"/>
      <c r="P681" s="156"/>
      <c r="Q681" s="156"/>
      <c r="R681" s="156"/>
      <c r="S681" s="156"/>
      <c r="T681" s="156"/>
      <c r="U681" s="156"/>
      <c r="V681" s="156"/>
      <c r="W681" s="156"/>
      <c r="X681" s="156"/>
      <c r="Y681" s="156"/>
      <c r="Z681" s="156"/>
      <c r="AA681" s="156"/>
      <c r="AB681" s="156"/>
      <c r="AC681" s="156"/>
    </row>
    <row r="682" spans="1:29" ht="13">
      <c r="A682" s="140"/>
      <c r="B682" s="140"/>
      <c r="C682" s="156"/>
      <c r="D682" s="156"/>
      <c r="E682" s="156"/>
      <c r="F682" s="156"/>
      <c r="G682" s="185"/>
      <c r="H682" s="156"/>
      <c r="I682" s="156"/>
      <c r="J682" s="156"/>
      <c r="K682" s="156"/>
      <c r="L682" s="157"/>
      <c r="M682" s="156"/>
      <c r="N682" s="156"/>
      <c r="O682" s="156"/>
      <c r="P682" s="156"/>
      <c r="Q682" s="156"/>
      <c r="R682" s="156"/>
      <c r="S682" s="156"/>
      <c r="T682" s="156"/>
      <c r="U682" s="156"/>
      <c r="V682" s="156"/>
      <c r="W682" s="156"/>
      <c r="X682" s="156"/>
      <c r="Y682" s="156"/>
      <c r="Z682" s="156"/>
      <c r="AA682" s="156"/>
      <c r="AB682" s="156"/>
      <c r="AC682" s="156"/>
    </row>
    <row r="683" spans="1:29" ht="13">
      <c r="A683" s="140"/>
      <c r="B683" s="140"/>
      <c r="C683" s="156"/>
      <c r="D683" s="156"/>
      <c r="E683" s="156"/>
      <c r="F683" s="156"/>
      <c r="G683" s="185"/>
      <c r="H683" s="156"/>
      <c r="I683" s="156"/>
      <c r="J683" s="156"/>
      <c r="K683" s="156"/>
      <c r="L683" s="157"/>
      <c r="M683" s="156"/>
      <c r="N683" s="156"/>
      <c r="O683" s="156"/>
      <c r="P683" s="156"/>
      <c r="Q683" s="156"/>
      <c r="R683" s="156"/>
      <c r="S683" s="156"/>
      <c r="T683" s="156"/>
      <c r="U683" s="156"/>
      <c r="V683" s="156"/>
      <c r="W683" s="156"/>
      <c r="X683" s="156"/>
      <c r="Y683" s="156"/>
      <c r="Z683" s="156"/>
      <c r="AA683" s="156"/>
      <c r="AB683" s="156"/>
      <c r="AC683" s="156"/>
    </row>
    <row r="684" spans="1:29" ht="13">
      <c r="A684" s="140"/>
      <c r="B684" s="140"/>
      <c r="C684" s="156"/>
      <c r="D684" s="156"/>
      <c r="E684" s="156"/>
      <c r="F684" s="156"/>
      <c r="G684" s="185"/>
      <c r="H684" s="156"/>
      <c r="I684" s="156"/>
      <c r="J684" s="156"/>
      <c r="K684" s="156"/>
      <c r="L684" s="157"/>
      <c r="M684" s="156"/>
      <c r="N684" s="156"/>
      <c r="O684" s="156"/>
      <c r="P684" s="156"/>
      <c r="Q684" s="156"/>
      <c r="R684" s="156"/>
      <c r="S684" s="156"/>
      <c r="T684" s="156"/>
      <c r="U684" s="156"/>
      <c r="V684" s="156"/>
      <c r="W684" s="156"/>
      <c r="X684" s="156"/>
      <c r="Y684" s="156"/>
      <c r="Z684" s="156"/>
      <c r="AA684" s="156"/>
      <c r="AB684" s="156"/>
      <c r="AC684" s="156"/>
    </row>
    <row r="685" spans="1:29" ht="13">
      <c r="A685" s="140"/>
      <c r="B685" s="140"/>
      <c r="C685" s="156"/>
      <c r="D685" s="156"/>
      <c r="E685" s="156"/>
      <c r="F685" s="156"/>
      <c r="G685" s="185"/>
      <c r="H685" s="156"/>
      <c r="I685" s="156"/>
      <c r="J685" s="156"/>
      <c r="K685" s="156"/>
      <c r="L685" s="157"/>
      <c r="M685" s="156"/>
      <c r="N685" s="156"/>
      <c r="O685" s="156"/>
      <c r="P685" s="156"/>
      <c r="Q685" s="156"/>
      <c r="R685" s="156"/>
      <c r="S685" s="156"/>
      <c r="T685" s="156"/>
      <c r="U685" s="156"/>
      <c r="V685" s="156"/>
      <c r="W685" s="156"/>
      <c r="X685" s="156"/>
      <c r="Y685" s="156"/>
      <c r="Z685" s="156"/>
      <c r="AA685" s="156"/>
      <c r="AB685" s="156"/>
      <c r="AC685" s="156"/>
    </row>
    <row r="686" spans="1:29" ht="13">
      <c r="A686" s="140"/>
      <c r="B686" s="140"/>
      <c r="C686" s="156"/>
      <c r="D686" s="156"/>
      <c r="E686" s="156"/>
      <c r="F686" s="156"/>
      <c r="G686" s="185"/>
      <c r="H686" s="156"/>
      <c r="I686" s="156"/>
      <c r="J686" s="156"/>
      <c r="K686" s="156"/>
      <c r="L686" s="157"/>
      <c r="M686" s="156"/>
      <c r="N686" s="156"/>
      <c r="O686" s="156"/>
      <c r="P686" s="156"/>
      <c r="Q686" s="156"/>
      <c r="R686" s="156"/>
      <c r="S686" s="156"/>
      <c r="T686" s="156"/>
      <c r="U686" s="156"/>
      <c r="V686" s="156"/>
      <c r="W686" s="156"/>
      <c r="X686" s="156"/>
      <c r="Y686" s="156"/>
      <c r="Z686" s="156"/>
      <c r="AA686" s="156"/>
      <c r="AB686" s="156"/>
      <c r="AC686" s="156"/>
    </row>
    <row r="687" spans="1:29" ht="13">
      <c r="A687" s="140"/>
      <c r="B687" s="140"/>
      <c r="C687" s="156"/>
      <c r="D687" s="156"/>
      <c r="E687" s="156"/>
      <c r="F687" s="156"/>
      <c r="G687" s="185"/>
      <c r="H687" s="156"/>
      <c r="I687" s="156"/>
      <c r="J687" s="156"/>
      <c r="K687" s="156"/>
      <c r="L687" s="157"/>
      <c r="M687" s="156"/>
      <c r="N687" s="156"/>
      <c r="O687" s="156"/>
      <c r="P687" s="156"/>
      <c r="Q687" s="156"/>
      <c r="R687" s="156"/>
      <c r="S687" s="156"/>
      <c r="T687" s="156"/>
      <c r="U687" s="156"/>
      <c r="V687" s="156"/>
      <c r="W687" s="156"/>
      <c r="X687" s="156"/>
      <c r="Y687" s="156"/>
      <c r="Z687" s="156"/>
      <c r="AA687" s="156"/>
      <c r="AB687" s="156"/>
      <c r="AC687" s="156"/>
    </row>
    <row r="688" spans="1:29" ht="13">
      <c r="A688" s="140"/>
      <c r="B688" s="140"/>
      <c r="C688" s="156"/>
      <c r="D688" s="156"/>
      <c r="E688" s="156"/>
      <c r="F688" s="156"/>
      <c r="G688" s="185"/>
      <c r="H688" s="156"/>
      <c r="I688" s="156"/>
      <c r="J688" s="156"/>
      <c r="K688" s="156"/>
      <c r="L688" s="157"/>
      <c r="M688" s="156"/>
      <c r="N688" s="156"/>
      <c r="O688" s="156"/>
      <c r="P688" s="156"/>
      <c r="Q688" s="156"/>
      <c r="R688" s="156"/>
      <c r="S688" s="156"/>
      <c r="T688" s="156"/>
      <c r="U688" s="156"/>
      <c r="V688" s="156"/>
      <c r="W688" s="156"/>
      <c r="X688" s="156"/>
      <c r="Y688" s="156"/>
      <c r="Z688" s="156"/>
      <c r="AA688" s="156"/>
      <c r="AB688" s="156"/>
      <c r="AC688" s="156"/>
    </row>
    <row r="689" spans="1:29" ht="13">
      <c r="A689" s="140"/>
      <c r="B689" s="140"/>
      <c r="C689" s="156"/>
      <c r="D689" s="156"/>
      <c r="E689" s="156"/>
      <c r="F689" s="156"/>
      <c r="G689" s="185"/>
      <c r="H689" s="156"/>
      <c r="I689" s="156"/>
      <c r="J689" s="156"/>
      <c r="K689" s="156"/>
      <c r="L689" s="157"/>
      <c r="M689" s="156"/>
      <c r="N689" s="156"/>
      <c r="O689" s="156"/>
      <c r="P689" s="156"/>
      <c r="Q689" s="156"/>
      <c r="R689" s="156"/>
      <c r="S689" s="156"/>
      <c r="T689" s="156"/>
      <c r="U689" s="156"/>
      <c r="V689" s="156"/>
      <c r="W689" s="156"/>
      <c r="X689" s="156"/>
      <c r="Y689" s="156"/>
      <c r="Z689" s="156"/>
      <c r="AA689" s="156"/>
      <c r="AB689" s="156"/>
      <c r="AC689" s="156"/>
    </row>
    <row r="690" spans="1:29" ht="13">
      <c r="A690" s="140"/>
      <c r="B690" s="140"/>
      <c r="C690" s="156"/>
      <c r="D690" s="156"/>
      <c r="E690" s="156"/>
      <c r="F690" s="156"/>
      <c r="G690" s="185"/>
      <c r="H690" s="156"/>
      <c r="I690" s="156"/>
      <c r="J690" s="156"/>
      <c r="K690" s="156"/>
      <c r="L690" s="157"/>
      <c r="M690" s="156"/>
      <c r="N690" s="156"/>
      <c r="O690" s="156"/>
      <c r="P690" s="156"/>
      <c r="Q690" s="156"/>
      <c r="R690" s="156"/>
      <c r="S690" s="156"/>
      <c r="T690" s="156"/>
      <c r="U690" s="156"/>
      <c r="V690" s="156"/>
      <c r="W690" s="156"/>
      <c r="X690" s="156"/>
      <c r="Y690" s="156"/>
      <c r="Z690" s="156"/>
      <c r="AA690" s="156"/>
      <c r="AB690" s="156"/>
      <c r="AC690" s="156"/>
    </row>
    <row r="691" spans="1:29" ht="13">
      <c r="A691" s="140"/>
      <c r="B691" s="140"/>
      <c r="C691" s="156"/>
      <c r="D691" s="156"/>
      <c r="E691" s="156"/>
      <c r="F691" s="156"/>
      <c r="G691" s="185"/>
      <c r="H691" s="156"/>
      <c r="I691" s="156"/>
      <c r="J691" s="156"/>
      <c r="K691" s="156"/>
      <c r="L691" s="157"/>
      <c r="M691" s="156"/>
      <c r="N691" s="156"/>
      <c r="O691" s="156"/>
      <c r="P691" s="156"/>
      <c r="Q691" s="156"/>
      <c r="R691" s="156"/>
      <c r="S691" s="156"/>
      <c r="T691" s="156"/>
      <c r="U691" s="156"/>
      <c r="V691" s="156"/>
      <c r="W691" s="156"/>
      <c r="X691" s="156"/>
      <c r="Y691" s="156"/>
      <c r="Z691" s="156"/>
      <c r="AA691" s="156"/>
      <c r="AB691" s="156"/>
      <c r="AC691" s="156"/>
    </row>
    <row r="692" spans="1:29" ht="13">
      <c r="A692" s="140"/>
      <c r="B692" s="140"/>
      <c r="C692" s="156"/>
      <c r="D692" s="156"/>
      <c r="E692" s="156"/>
      <c r="F692" s="156"/>
      <c r="G692" s="185"/>
      <c r="H692" s="156"/>
      <c r="I692" s="156"/>
      <c r="J692" s="156"/>
      <c r="K692" s="156"/>
      <c r="L692" s="157"/>
      <c r="M692" s="156"/>
      <c r="N692" s="156"/>
      <c r="O692" s="156"/>
      <c r="P692" s="156"/>
      <c r="Q692" s="156"/>
      <c r="R692" s="156"/>
      <c r="S692" s="156"/>
      <c r="T692" s="156"/>
      <c r="U692" s="156"/>
      <c r="V692" s="156"/>
      <c r="W692" s="156"/>
      <c r="X692" s="156"/>
      <c r="Y692" s="156"/>
      <c r="Z692" s="156"/>
      <c r="AA692" s="156"/>
      <c r="AB692" s="156"/>
      <c r="AC692" s="156"/>
    </row>
    <row r="693" spans="1:29" ht="13">
      <c r="A693" s="140"/>
      <c r="B693" s="140"/>
      <c r="C693" s="156"/>
      <c r="D693" s="156"/>
      <c r="E693" s="156"/>
      <c r="F693" s="156"/>
      <c r="G693" s="185"/>
      <c r="H693" s="156"/>
      <c r="I693" s="156"/>
      <c r="J693" s="156"/>
      <c r="K693" s="156"/>
      <c r="L693" s="157"/>
      <c r="M693" s="156"/>
      <c r="N693" s="156"/>
      <c r="O693" s="156"/>
      <c r="P693" s="156"/>
      <c r="Q693" s="156"/>
      <c r="R693" s="156"/>
      <c r="S693" s="156"/>
      <c r="T693" s="156"/>
      <c r="U693" s="156"/>
      <c r="V693" s="156"/>
      <c r="W693" s="156"/>
      <c r="X693" s="156"/>
      <c r="Y693" s="156"/>
      <c r="Z693" s="156"/>
      <c r="AA693" s="156"/>
      <c r="AB693" s="156"/>
      <c r="AC693" s="156"/>
    </row>
    <row r="694" spans="1:29" ht="13">
      <c r="A694" s="140"/>
      <c r="B694" s="140"/>
      <c r="C694" s="156"/>
      <c r="D694" s="156"/>
      <c r="E694" s="156"/>
      <c r="F694" s="156"/>
      <c r="G694" s="185"/>
      <c r="H694" s="156"/>
      <c r="I694" s="156"/>
      <c r="J694" s="156"/>
      <c r="K694" s="156"/>
      <c r="L694" s="157"/>
      <c r="M694" s="156"/>
      <c r="N694" s="156"/>
      <c r="O694" s="156"/>
      <c r="P694" s="156"/>
      <c r="Q694" s="156"/>
      <c r="R694" s="156"/>
      <c r="S694" s="156"/>
      <c r="T694" s="156"/>
      <c r="U694" s="156"/>
      <c r="V694" s="156"/>
      <c r="W694" s="156"/>
      <c r="X694" s="156"/>
      <c r="Y694" s="156"/>
      <c r="Z694" s="156"/>
      <c r="AA694" s="156"/>
      <c r="AB694" s="156"/>
      <c r="AC694" s="156"/>
    </row>
    <row r="695" spans="1:29" ht="13">
      <c r="A695" s="140"/>
      <c r="B695" s="140"/>
      <c r="C695" s="156"/>
      <c r="D695" s="156"/>
      <c r="E695" s="156"/>
      <c r="F695" s="156"/>
      <c r="G695" s="185"/>
      <c r="H695" s="156"/>
      <c r="I695" s="156"/>
      <c r="J695" s="156"/>
      <c r="K695" s="156"/>
      <c r="L695" s="157"/>
      <c r="M695" s="156"/>
      <c r="N695" s="156"/>
      <c r="O695" s="156"/>
      <c r="P695" s="156"/>
      <c r="Q695" s="156"/>
      <c r="R695" s="156"/>
      <c r="S695" s="156"/>
      <c r="T695" s="156"/>
      <c r="U695" s="156"/>
      <c r="V695" s="156"/>
      <c r="W695" s="156"/>
      <c r="X695" s="156"/>
      <c r="Y695" s="156"/>
      <c r="Z695" s="156"/>
      <c r="AA695" s="156"/>
      <c r="AB695" s="156"/>
      <c r="AC695" s="156"/>
    </row>
    <row r="696" spans="1:29" ht="13">
      <c r="A696" s="140"/>
      <c r="B696" s="140"/>
      <c r="C696" s="156"/>
      <c r="D696" s="156"/>
      <c r="E696" s="156"/>
      <c r="F696" s="156"/>
      <c r="G696" s="185"/>
      <c r="H696" s="156"/>
      <c r="I696" s="156"/>
      <c r="J696" s="156"/>
      <c r="K696" s="156"/>
      <c r="L696" s="157"/>
      <c r="M696" s="156"/>
      <c r="N696" s="156"/>
      <c r="O696" s="156"/>
      <c r="P696" s="156"/>
      <c r="Q696" s="156"/>
      <c r="R696" s="156"/>
      <c r="S696" s="156"/>
      <c r="T696" s="156"/>
      <c r="U696" s="156"/>
      <c r="V696" s="156"/>
      <c r="W696" s="156"/>
      <c r="X696" s="156"/>
      <c r="Y696" s="156"/>
      <c r="Z696" s="156"/>
      <c r="AA696" s="156"/>
      <c r="AB696" s="156"/>
      <c r="AC696" s="156"/>
    </row>
    <row r="697" spans="1:29" ht="13">
      <c r="A697" s="140"/>
      <c r="B697" s="140"/>
      <c r="C697" s="156"/>
      <c r="D697" s="156"/>
      <c r="E697" s="156"/>
      <c r="F697" s="156"/>
      <c r="G697" s="185"/>
      <c r="H697" s="156"/>
      <c r="I697" s="156"/>
      <c r="J697" s="156"/>
      <c r="K697" s="156"/>
      <c r="L697" s="157"/>
      <c r="M697" s="156"/>
      <c r="N697" s="156"/>
      <c r="O697" s="156"/>
      <c r="P697" s="156"/>
      <c r="Q697" s="156"/>
      <c r="R697" s="156"/>
      <c r="S697" s="156"/>
      <c r="T697" s="156"/>
      <c r="U697" s="156"/>
      <c r="V697" s="156"/>
      <c r="W697" s="156"/>
      <c r="X697" s="156"/>
      <c r="Y697" s="156"/>
      <c r="Z697" s="156"/>
      <c r="AA697" s="156"/>
      <c r="AB697" s="156"/>
      <c r="AC697" s="156"/>
    </row>
    <row r="698" spans="1:29" ht="13">
      <c r="A698" s="140"/>
      <c r="B698" s="140"/>
      <c r="C698" s="156"/>
      <c r="D698" s="156"/>
      <c r="E698" s="156"/>
      <c r="F698" s="156"/>
      <c r="G698" s="185"/>
      <c r="H698" s="156"/>
      <c r="I698" s="156"/>
      <c r="J698" s="156"/>
      <c r="K698" s="156"/>
      <c r="L698" s="157"/>
      <c r="M698" s="156"/>
      <c r="N698" s="156"/>
      <c r="O698" s="156"/>
      <c r="P698" s="156"/>
      <c r="Q698" s="156"/>
      <c r="R698" s="156"/>
      <c r="S698" s="156"/>
      <c r="T698" s="156"/>
      <c r="U698" s="156"/>
      <c r="V698" s="156"/>
      <c r="W698" s="156"/>
      <c r="X698" s="156"/>
      <c r="Y698" s="156"/>
      <c r="Z698" s="156"/>
      <c r="AA698" s="156"/>
      <c r="AB698" s="156"/>
      <c r="AC698" s="156"/>
    </row>
    <row r="699" spans="1:29" ht="13">
      <c r="A699" s="140"/>
      <c r="B699" s="140"/>
      <c r="C699" s="156"/>
      <c r="D699" s="156"/>
      <c r="E699" s="156"/>
      <c r="F699" s="156"/>
      <c r="G699" s="185"/>
      <c r="H699" s="156"/>
      <c r="I699" s="156"/>
      <c r="J699" s="156"/>
      <c r="K699" s="156"/>
      <c r="L699" s="157"/>
      <c r="M699" s="156"/>
      <c r="N699" s="156"/>
      <c r="O699" s="156"/>
      <c r="P699" s="156"/>
      <c r="Q699" s="156"/>
      <c r="R699" s="156"/>
      <c r="S699" s="156"/>
      <c r="T699" s="156"/>
      <c r="U699" s="156"/>
      <c r="V699" s="156"/>
      <c r="W699" s="156"/>
      <c r="X699" s="156"/>
      <c r="Y699" s="156"/>
      <c r="Z699" s="156"/>
      <c r="AA699" s="156"/>
      <c r="AB699" s="156"/>
      <c r="AC699" s="156"/>
    </row>
    <row r="700" spans="1:29" ht="13">
      <c r="A700" s="140"/>
      <c r="B700" s="140"/>
      <c r="C700" s="156"/>
      <c r="D700" s="156"/>
      <c r="E700" s="156"/>
      <c r="F700" s="156"/>
      <c r="G700" s="185"/>
      <c r="H700" s="156"/>
      <c r="I700" s="156"/>
      <c r="J700" s="156"/>
      <c r="K700" s="156"/>
      <c r="L700" s="157"/>
      <c r="M700" s="156"/>
      <c r="N700" s="156"/>
      <c r="O700" s="156"/>
      <c r="P700" s="156"/>
      <c r="Q700" s="156"/>
      <c r="R700" s="156"/>
      <c r="S700" s="156"/>
      <c r="T700" s="156"/>
      <c r="U700" s="156"/>
      <c r="V700" s="156"/>
      <c r="W700" s="156"/>
      <c r="X700" s="156"/>
      <c r="Y700" s="156"/>
      <c r="Z700" s="156"/>
      <c r="AA700" s="156"/>
      <c r="AB700" s="156"/>
      <c r="AC700" s="156"/>
    </row>
    <row r="701" spans="1:29" ht="13">
      <c r="A701" s="140"/>
      <c r="B701" s="140"/>
      <c r="C701" s="156"/>
      <c r="D701" s="156"/>
      <c r="E701" s="156"/>
      <c r="F701" s="156"/>
      <c r="G701" s="185"/>
      <c r="H701" s="156"/>
      <c r="I701" s="156"/>
      <c r="J701" s="156"/>
      <c r="K701" s="156"/>
      <c r="L701" s="157"/>
      <c r="M701" s="156"/>
      <c r="N701" s="156"/>
      <c r="O701" s="156"/>
      <c r="P701" s="156"/>
      <c r="Q701" s="156"/>
      <c r="R701" s="156"/>
      <c r="S701" s="156"/>
      <c r="T701" s="156"/>
      <c r="U701" s="156"/>
      <c r="V701" s="156"/>
      <c r="W701" s="156"/>
      <c r="X701" s="156"/>
      <c r="Y701" s="156"/>
      <c r="Z701" s="156"/>
      <c r="AA701" s="156"/>
      <c r="AB701" s="156"/>
      <c r="AC701" s="156"/>
    </row>
    <row r="702" spans="1:29" ht="13">
      <c r="A702" s="140"/>
      <c r="B702" s="140"/>
      <c r="C702" s="156"/>
      <c r="D702" s="156"/>
      <c r="E702" s="156"/>
      <c r="F702" s="156"/>
      <c r="G702" s="185"/>
      <c r="H702" s="156"/>
      <c r="I702" s="156"/>
      <c r="J702" s="156"/>
      <c r="K702" s="156"/>
      <c r="L702" s="157"/>
      <c r="M702" s="156"/>
      <c r="N702" s="156"/>
      <c r="O702" s="156"/>
      <c r="P702" s="156"/>
      <c r="Q702" s="156"/>
      <c r="R702" s="156"/>
      <c r="S702" s="156"/>
      <c r="T702" s="156"/>
      <c r="U702" s="156"/>
      <c r="V702" s="156"/>
      <c r="W702" s="156"/>
      <c r="X702" s="156"/>
      <c r="Y702" s="156"/>
      <c r="Z702" s="156"/>
      <c r="AA702" s="156"/>
      <c r="AB702" s="156"/>
      <c r="AC702" s="156"/>
    </row>
    <row r="703" spans="1:29" ht="13">
      <c r="A703" s="140"/>
      <c r="B703" s="140"/>
      <c r="C703" s="156"/>
      <c r="D703" s="156"/>
      <c r="E703" s="156"/>
      <c r="F703" s="156"/>
      <c r="G703" s="185"/>
      <c r="H703" s="156"/>
      <c r="I703" s="156"/>
      <c r="J703" s="156"/>
      <c r="K703" s="156"/>
      <c r="L703" s="157"/>
      <c r="M703" s="156"/>
      <c r="N703" s="156"/>
      <c r="O703" s="156"/>
      <c r="P703" s="156"/>
      <c r="Q703" s="156"/>
      <c r="R703" s="156"/>
      <c r="S703" s="156"/>
      <c r="T703" s="156"/>
      <c r="U703" s="156"/>
      <c r="V703" s="156"/>
      <c r="W703" s="156"/>
      <c r="X703" s="156"/>
      <c r="Y703" s="156"/>
      <c r="Z703" s="156"/>
      <c r="AA703" s="156"/>
      <c r="AB703" s="156"/>
      <c r="AC703" s="156"/>
    </row>
    <row r="704" spans="1:29" ht="13">
      <c r="A704" s="140"/>
      <c r="B704" s="140"/>
      <c r="C704" s="156"/>
      <c r="D704" s="156"/>
      <c r="E704" s="156"/>
      <c r="F704" s="156"/>
      <c r="G704" s="185"/>
      <c r="H704" s="156"/>
      <c r="I704" s="156"/>
      <c r="J704" s="156"/>
      <c r="K704" s="156"/>
      <c r="L704" s="157"/>
      <c r="M704" s="156"/>
      <c r="N704" s="156"/>
      <c r="O704" s="156"/>
      <c r="P704" s="156"/>
      <c r="Q704" s="156"/>
      <c r="R704" s="156"/>
      <c r="S704" s="156"/>
      <c r="T704" s="156"/>
      <c r="U704" s="156"/>
      <c r="V704" s="156"/>
      <c r="W704" s="156"/>
      <c r="X704" s="156"/>
      <c r="Y704" s="156"/>
      <c r="Z704" s="156"/>
      <c r="AA704" s="156"/>
      <c r="AB704" s="156"/>
      <c r="AC704" s="156"/>
    </row>
    <row r="705" spans="1:29" ht="13">
      <c r="A705" s="140"/>
      <c r="B705" s="140"/>
      <c r="C705" s="156"/>
      <c r="D705" s="156"/>
      <c r="E705" s="156"/>
      <c r="F705" s="156"/>
      <c r="G705" s="185"/>
      <c r="H705" s="156"/>
      <c r="I705" s="156"/>
      <c r="J705" s="156"/>
      <c r="K705" s="156"/>
      <c r="L705" s="157"/>
      <c r="M705" s="156"/>
      <c r="N705" s="156"/>
      <c r="O705" s="156"/>
      <c r="P705" s="156"/>
      <c r="Q705" s="156"/>
      <c r="R705" s="156"/>
      <c r="S705" s="156"/>
      <c r="T705" s="156"/>
      <c r="U705" s="156"/>
      <c r="V705" s="156"/>
      <c r="W705" s="156"/>
      <c r="X705" s="156"/>
      <c r="Y705" s="156"/>
      <c r="Z705" s="156"/>
      <c r="AA705" s="156"/>
      <c r="AB705" s="156"/>
      <c r="AC705" s="156"/>
    </row>
    <row r="706" spans="1:29" ht="13">
      <c r="A706" s="140"/>
      <c r="B706" s="140"/>
      <c r="C706" s="156"/>
      <c r="D706" s="156"/>
      <c r="E706" s="156"/>
      <c r="F706" s="156"/>
      <c r="G706" s="185"/>
      <c r="H706" s="156"/>
      <c r="I706" s="156"/>
      <c r="J706" s="156"/>
      <c r="K706" s="156"/>
      <c r="L706" s="157"/>
      <c r="M706" s="156"/>
      <c r="N706" s="156"/>
      <c r="O706" s="156"/>
      <c r="P706" s="156"/>
      <c r="Q706" s="156"/>
      <c r="R706" s="156"/>
      <c r="S706" s="156"/>
      <c r="T706" s="156"/>
      <c r="U706" s="156"/>
      <c r="V706" s="156"/>
      <c r="W706" s="156"/>
      <c r="X706" s="156"/>
      <c r="Y706" s="156"/>
      <c r="Z706" s="156"/>
      <c r="AA706" s="156"/>
      <c r="AB706" s="156"/>
      <c r="AC706" s="156"/>
    </row>
    <row r="707" spans="1:29" ht="13">
      <c r="A707" s="140"/>
      <c r="B707" s="140"/>
      <c r="C707" s="156"/>
      <c r="D707" s="156"/>
      <c r="E707" s="156"/>
      <c r="F707" s="156"/>
      <c r="G707" s="185"/>
      <c r="H707" s="156"/>
      <c r="I707" s="156"/>
      <c r="J707" s="156"/>
      <c r="K707" s="156"/>
      <c r="L707" s="157"/>
      <c r="M707" s="156"/>
      <c r="N707" s="156"/>
      <c r="O707" s="156"/>
      <c r="P707" s="156"/>
      <c r="Q707" s="156"/>
      <c r="R707" s="156"/>
      <c r="S707" s="156"/>
      <c r="T707" s="156"/>
      <c r="U707" s="156"/>
      <c r="V707" s="156"/>
      <c r="W707" s="156"/>
      <c r="X707" s="156"/>
      <c r="Y707" s="156"/>
      <c r="Z707" s="156"/>
      <c r="AA707" s="156"/>
      <c r="AB707" s="156"/>
      <c r="AC707" s="156"/>
    </row>
    <row r="708" spans="1:29" ht="13">
      <c r="A708" s="140"/>
      <c r="B708" s="140"/>
      <c r="C708" s="156"/>
      <c r="D708" s="156"/>
      <c r="E708" s="156"/>
      <c r="F708" s="156"/>
      <c r="G708" s="185"/>
      <c r="H708" s="156"/>
      <c r="I708" s="156"/>
      <c r="J708" s="156"/>
      <c r="K708" s="156"/>
      <c r="L708" s="157"/>
      <c r="M708" s="156"/>
      <c r="N708" s="156"/>
      <c r="O708" s="156"/>
      <c r="P708" s="156"/>
      <c r="Q708" s="156"/>
      <c r="R708" s="156"/>
      <c r="S708" s="156"/>
      <c r="T708" s="156"/>
      <c r="U708" s="156"/>
      <c r="V708" s="156"/>
      <c r="W708" s="156"/>
      <c r="X708" s="156"/>
      <c r="Y708" s="156"/>
      <c r="Z708" s="156"/>
      <c r="AA708" s="156"/>
      <c r="AB708" s="156"/>
      <c r="AC708" s="156"/>
    </row>
    <row r="709" spans="1:29" ht="13">
      <c r="A709" s="140"/>
      <c r="B709" s="140"/>
      <c r="C709" s="156"/>
      <c r="D709" s="156"/>
      <c r="E709" s="156"/>
      <c r="F709" s="156"/>
      <c r="G709" s="185"/>
      <c r="H709" s="156"/>
      <c r="I709" s="156"/>
      <c r="J709" s="156"/>
      <c r="K709" s="156"/>
      <c r="L709" s="157"/>
      <c r="M709" s="156"/>
      <c r="N709" s="156"/>
      <c r="O709" s="156"/>
      <c r="P709" s="156"/>
      <c r="Q709" s="156"/>
      <c r="R709" s="156"/>
      <c r="S709" s="156"/>
      <c r="T709" s="156"/>
      <c r="U709" s="156"/>
      <c r="V709" s="156"/>
      <c r="W709" s="156"/>
      <c r="X709" s="156"/>
      <c r="Y709" s="156"/>
      <c r="Z709" s="156"/>
      <c r="AA709" s="156"/>
      <c r="AB709" s="156"/>
      <c r="AC709" s="156"/>
    </row>
    <row r="710" spans="1:29" ht="13">
      <c r="A710" s="140"/>
      <c r="B710" s="140"/>
      <c r="C710" s="156"/>
      <c r="D710" s="156"/>
      <c r="E710" s="156"/>
      <c r="F710" s="156"/>
      <c r="G710" s="185"/>
      <c r="H710" s="156"/>
      <c r="I710" s="156"/>
      <c r="J710" s="156"/>
      <c r="K710" s="156"/>
      <c r="L710" s="157"/>
      <c r="M710" s="156"/>
      <c r="N710" s="156"/>
      <c r="O710" s="156"/>
      <c r="P710" s="156"/>
      <c r="Q710" s="156"/>
      <c r="R710" s="156"/>
      <c r="S710" s="156"/>
      <c r="T710" s="156"/>
      <c r="U710" s="156"/>
      <c r="V710" s="156"/>
      <c r="W710" s="156"/>
      <c r="X710" s="156"/>
      <c r="Y710" s="156"/>
      <c r="Z710" s="156"/>
      <c r="AA710" s="156"/>
      <c r="AB710" s="156"/>
      <c r="AC710" s="156"/>
    </row>
    <row r="711" spans="1:29" ht="13">
      <c r="A711" s="140"/>
      <c r="B711" s="140"/>
      <c r="C711" s="156"/>
      <c r="D711" s="156"/>
      <c r="E711" s="156"/>
      <c r="F711" s="156"/>
      <c r="G711" s="185"/>
      <c r="H711" s="156"/>
      <c r="I711" s="156"/>
      <c r="J711" s="156"/>
      <c r="K711" s="156"/>
      <c r="L711" s="157"/>
      <c r="M711" s="156"/>
      <c r="N711" s="156"/>
      <c r="O711" s="156"/>
      <c r="P711" s="156"/>
      <c r="Q711" s="156"/>
      <c r="R711" s="156"/>
      <c r="S711" s="156"/>
      <c r="T711" s="156"/>
      <c r="U711" s="156"/>
      <c r="V711" s="156"/>
      <c r="W711" s="156"/>
      <c r="X711" s="156"/>
      <c r="Y711" s="156"/>
      <c r="Z711" s="156"/>
      <c r="AA711" s="156"/>
      <c r="AB711" s="156"/>
      <c r="AC711" s="156"/>
    </row>
    <row r="712" spans="1:29" ht="13">
      <c r="A712" s="140"/>
      <c r="B712" s="140"/>
      <c r="C712" s="156"/>
      <c r="D712" s="156"/>
      <c r="E712" s="156"/>
      <c r="F712" s="156"/>
      <c r="G712" s="185"/>
      <c r="H712" s="156"/>
      <c r="I712" s="156"/>
      <c r="J712" s="156"/>
      <c r="K712" s="156"/>
      <c r="L712" s="157"/>
      <c r="M712" s="156"/>
      <c r="N712" s="156"/>
      <c r="O712" s="156"/>
      <c r="P712" s="156"/>
      <c r="Q712" s="156"/>
      <c r="R712" s="156"/>
      <c r="S712" s="156"/>
      <c r="T712" s="156"/>
      <c r="U712" s="156"/>
      <c r="V712" s="156"/>
      <c r="W712" s="156"/>
      <c r="X712" s="156"/>
      <c r="Y712" s="156"/>
      <c r="Z712" s="156"/>
      <c r="AA712" s="156"/>
      <c r="AB712" s="156"/>
      <c r="AC712" s="156"/>
    </row>
    <row r="713" spans="1:29" ht="13">
      <c r="A713" s="140"/>
      <c r="B713" s="140"/>
      <c r="C713" s="156"/>
      <c r="D713" s="156"/>
      <c r="E713" s="156"/>
      <c r="F713" s="156"/>
      <c r="G713" s="185"/>
      <c r="H713" s="156"/>
      <c r="I713" s="156"/>
      <c r="J713" s="156"/>
      <c r="K713" s="156"/>
      <c r="L713" s="157"/>
      <c r="M713" s="156"/>
      <c r="N713" s="156"/>
      <c r="O713" s="156"/>
      <c r="P713" s="156"/>
      <c r="Q713" s="156"/>
      <c r="R713" s="156"/>
      <c r="S713" s="156"/>
      <c r="T713" s="156"/>
      <c r="U713" s="156"/>
      <c r="V713" s="156"/>
      <c r="W713" s="156"/>
      <c r="X713" s="156"/>
      <c r="Y713" s="156"/>
      <c r="Z713" s="156"/>
      <c r="AA713" s="156"/>
      <c r="AB713" s="156"/>
      <c r="AC713" s="156"/>
    </row>
    <row r="714" spans="1:29" ht="13">
      <c r="A714" s="140"/>
      <c r="B714" s="140"/>
      <c r="C714" s="156"/>
      <c r="D714" s="156"/>
      <c r="E714" s="156"/>
      <c r="F714" s="156"/>
      <c r="G714" s="185"/>
      <c r="H714" s="156"/>
      <c r="I714" s="156"/>
      <c r="J714" s="156"/>
      <c r="K714" s="156"/>
      <c r="L714" s="157"/>
      <c r="M714" s="156"/>
      <c r="N714" s="156"/>
      <c r="O714" s="156"/>
      <c r="P714" s="156"/>
      <c r="Q714" s="156"/>
      <c r="R714" s="156"/>
      <c r="S714" s="156"/>
      <c r="T714" s="156"/>
      <c r="U714" s="156"/>
      <c r="V714" s="156"/>
      <c r="W714" s="156"/>
      <c r="X714" s="156"/>
      <c r="Y714" s="156"/>
      <c r="Z714" s="156"/>
      <c r="AA714" s="156"/>
      <c r="AB714" s="156"/>
      <c r="AC714" s="156"/>
    </row>
    <row r="715" spans="1:29" ht="13">
      <c r="A715" s="140"/>
      <c r="B715" s="140"/>
      <c r="C715" s="156"/>
      <c r="D715" s="156"/>
      <c r="E715" s="156"/>
      <c r="F715" s="156"/>
      <c r="G715" s="185"/>
      <c r="H715" s="156"/>
      <c r="I715" s="156"/>
      <c r="J715" s="156"/>
      <c r="K715" s="156"/>
      <c r="L715" s="157"/>
      <c r="M715" s="156"/>
      <c r="N715" s="156"/>
      <c r="O715" s="156"/>
      <c r="P715" s="156"/>
      <c r="Q715" s="156"/>
      <c r="R715" s="156"/>
      <c r="S715" s="156"/>
      <c r="T715" s="156"/>
      <c r="U715" s="156"/>
      <c r="V715" s="156"/>
      <c r="W715" s="156"/>
      <c r="X715" s="156"/>
      <c r="Y715" s="156"/>
      <c r="Z715" s="156"/>
      <c r="AA715" s="156"/>
      <c r="AB715" s="156"/>
      <c r="AC715" s="156"/>
    </row>
    <row r="716" spans="1:29" ht="13">
      <c r="A716" s="140"/>
      <c r="B716" s="140"/>
      <c r="C716" s="156"/>
      <c r="D716" s="156"/>
      <c r="E716" s="156"/>
      <c r="F716" s="156"/>
      <c r="G716" s="185"/>
      <c r="H716" s="156"/>
      <c r="I716" s="156"/>
      <c r="J716" s="156"/>
      <c r="K716" s="156"/>
      <c r="L716" s="157"/>
      <c r="M716" s="156"/>
      <c r="N716" s="156"/>
      <c r="O716" s="156"/>
      <c r="P716" s="156"/>
      <c r="Q716" s="156"/>
      <c r="R716" s="156"/>
      <c r="S716" s="156"/>
      <c r="T716" s="156"/>
      <c r="U716" s="156"/>
      <c r="V716" s="156"/>
      <c r="W716" s="156"/>
      <c r="X716" s="156"/>
      <c r="Y716" s="156"/>
      <c r="Z716" s="156"/>
      <c r="AA716" s="156"/>
      <c r="AB716" s="156"/>
      <c r="AC716" s="156"/>
    </row>
    <row r="717" spans="1:29" ht="13">
      <c r="A717" s="140"/>
      <c r="B717" s="140"/>
      <c r="C717" s="156"/>
      <c r="D717" s="156"/>
      <c r="E717" s="156"/>
      <c r="F717" s="156"/>
      <c r="G717" s="185"/>
      <c r="H717" s="156"/>
      <c r="I717" s="156"/>
      <c r="J717" s="156"/>
      <c r="K717" s="156"/>
      <c r="L717" s="157"/>
      <c r="M717" s="156"/>
      <c r="N717" s="156"/>
      <c r="O717" s="156"/>
      <c r="P717" s="156"/>
      <c r="Q717" s="156"/>
      <c r="R717" s="156"/>
      <c r="S717" s="156"/>
      <c r="T717" s="156"/>
      <c r="U717" s="156"/>
      <c r="V717" s="156"/>
      <c r="W717" s="156"/>
      <c r="X717" s="156"/>
      <c r="Y717" s="156"/>
      <c r="Z717" s="156"/>
      <c r="AA717" s="156"/>
      <c r="AB717" s="156"/>
      <c r="AC717" s="156"/>
    </row>
    <row r="718" spans="1:29" ht="13">
      <c r="A718" s="140"/>
      <c r="B718" s="140"/>
      <c r="C718" s="156"/>
      <c r="D718" s="156"/>
      <c r="E718" s="156"/>
      <c r="F718" s="156"/>
      <c r="G718" s="185"/>
      <c r="H718" s="156"/>
      <c r="I718" s="156"/>
      <c r="J718" s="156"/>
      <c r="K718" s="156"/>
      <c r="L718" s="157"/>
      <c r="M718" s="156"/>
      <c r="N718" s="156"/>
      <c r="O718" s="156"/>
      <c r="P718" s="156"/>
      <c r="Q718" s="156"/>
      <c r="R718" s="156"/>
      <c r="S718" s="156"/>
      <c r="T718" s="156"/>
      <c r="U718" s="156"/>
      <c r="V718" s="156"/>
      <c r="W718" s="156"/>
      <c r="X718" s="156"/>
      <c r="Y718" s="156"/>
      <c r="Z718" s="156"/>
      <c r="AA718" s="156"/>
      <c r="AB718" s="156"/>
      <c r="AC718" s="156"/>
    </row>
    <row r="719" spans="1:29" ht="13">
      <c r="A719" s="140"/>
      <c r="B719" s="140"/>
      <c r="C719" s="156"/>
      <c r="D719" s="156"/>
      <c r="E719" s="156"/>
      <c r="F719" s="156"/>
      <c r="G719" s="185"/>
      <c r="H719" s="156"/>
      <c r="I719" s="156"/>
      <c r="J719" s="156"/>
      <c r="K719" s="156"/>
      <c r="L719" s="157"/>
      <c r="M719" s="156"/>
      <c r="N719" s="156"/>
      <c r="O719" s="156"/>
      <c r="P719" s="156"/>
      <c r="Q719" s="156"/>
      <c r="R719" s="156"/>
      <c r="S719" s="156"/>
      <c r="T719" s="156"/>
      <c r="U719" s="156"/>
      <c r="V719" s="156"/>
      <c r="W719" s="156"/>
      <c r="X719" s="156"/>
      <c r="Y719" s="156"/>
      <c r="Z719" s="156"/>
      <c r="AA719" s="156"/>
      <c r="AB719" s="156"/>
      <c r="AC719" s="156"/>
    </row>
    <row r="720" spans="1:29" ht="13">
      <c r="A720" s="140"/>
      <c r="B720" s="140"/>
      <c r="C720" s="156"/>
      <c r="D720" s="156"/>
      <c r="E720" s="156"/>
      <c r="F720" s="156"/>
      <c r="G720" s="185"/>
      <c r="H720" s="156"/>
      <c r="I720" s="156"/>
      <c r="J720" s="156"/>
      <c r="K720" s="156"/>
      <c r="L720" s="157"/>
      <c r="M720" s="156"/>
      <c r="N720" s="156"/>
      <c r="O720" s="156"/>
      <c r="P720" s="156"/>
      <c r="Q720" s="156"/>
      <c r="R720" s="156"/>
      <c r="S720" s="156"/>
      <c r="T720" s="156"/>
      <c r="U720" s="156"/>
      <c r="V720" s="156"/>
      <c r="W720" s="156"/>
      <c r="X720" s="156"/>
      <c r="Y720" s="156"/>
      <c r="Z720" s="156"/>
      <c r="AA720" s="156"/>
      <c r="AB720" s="156"/>
      <c r="AC720" s="156"/>
    </row>
    <row r="721" spans="1:29" ht="13">
      <c r="A721" s="140"/>
      <c r="B721" s="140"/>
      <c r="C721" s="156"/>
      <c r="D721" s="156"/>
      <c r="E721" s="156"/>
      <c r="F721" s="156"/>
      <c r="G721" s="185"/>
      <c r="H721" s="156"/>
      <c r="I721" s="156"/>
      <c r="J721" s="156"/>
      <c r="K721" s="156"/>
      <c r="L721" s="157"/>
      <c r="M721" s="156"/>
      <c r="N721" s="156"/>
      <c r="O721" s="156"/>
      <c r="P721" s="156"/>
      <c r="Q721" s="156"/>
      <c r="R721" s="156"/>
      <c r="S721" s="156"/>
      <c r="T721" s="156"/>
      <c r="U721" s="156"/>
      <c r="V721" s="156"/>
      <c r="W721" s="156"/>
      <c r="X721" s="156"/>
      <c r="Y721" s="156"/>
      <c r="Z721" s="156"/>
      <c r="AA721" s="156"/>
      <c r="AB721" s="156"/>
      <c r="AC721" s="156"/>
    </row>
    <row r="722" spans="1:29" ht="13">
      <c r="A722" s="140"/>
      <c r="B722" s="140"/>
      <c r="C722" s="156"/>
      <c r="D722" s="156"/>
      <c r="E722" s="156"/>
      <c r="F722" s="156"/>
      <c r="G722" s="185"/>
      <c r="H722" s="156"/>
      <c r="I722" s="156"/>
      <c r="J722" s="156"/>
      <c r="K722" s="156"/>
      <c r="L722" s="157"/>
      <c r="M722" s="156"/>
      <c r="N722" s="156"/>
      <c r="O722" s="156"/>
      <c r="P722" s="156"/>
      <c r="Q722" s="156"/>
      <c r="R722" s="156"/>
      <c r="S722" s="156"/>
      <c r="T722" s="156"/>
      <c r="U722" s="156"/>
      <c r="V722" s="156"/>
      <c r="W722" s="156"/>
      <c r="X722" s="156"/>
      <c r="Y722" s="156"/>
      <c r="Z722" s="156"/>
      <c r="AA722" s="156"/>
      <c r="AB722" s="156"/>
      <c r="AC722" s="156"/>
    </row>
    <row r="723" spans="1:29" ht="13">
      <c r="A723" s="140"/>
      <c r="B723" s="140"/>
      <c r="C723" s="156"/>
      <c r="D723" s="156"/>
      <c r="E723" s="156"/>
      <c r="F723" s="156"/>
      <c r="G723" s="185"/>
      <c r="H723" s="156"/>
      <c r="I723" s="156"/>
      <c r="J723" s="156"/>
      <c r="K723" s="156"/>
      <c r="L723" s="157"/>
      <c r="M723" s="156"/>
      <c r="N723" s="156"/>
      <c r="O723" s="156"/>
      <c r="P723" s="156"/>
      <c r="Q723" s="156"/>
      <c r="R723" s="156"/>
      <c r="S723" s="156"/>
      <c r="T723" s="156"/>
      <c r="U723" s="156"/>
      <c r="V723" s="156"/>
      <c r="W723" s="156"/>
      <c r="X723" s="156"/>
      <c r="Y723" s="156"/>
      <c r="Z723" s="156"/>
      <c r="AA723" s="156"/>
      <c r="AB723" s="156"/>
      <c r="AC723" s="156"/>
    </row>
    <row r="724" spans="1:29" ht="13">
      <c r="A724" s="140"/>
      <c r="B724" s="140"/>
      <c r="C724" s="156"/>
      <c r="D724" s="156"/>
      <c r="E724" s="156"/>
      <c r="F724" s="156"/>
      <c r="G724" s="185"/>
      <c r="H724" s="156"/>
      <c r="I724" s="156"/>
      <c r="J724" s="156"/>
      <c r="K724" s="156"/>
      <c r="L724" s="157"/>
      <c r="M724" s="156"/>
      <c r="N724" s="156"/>
      <c r="O724" s="156"/>
      <c r="P724" s="156"/>
      <c r="Q724" s="156"/>
      <c r="R724" s="156"/>
      <c r="S724" s="156"/>
      <c r="T724" s="156"/>
      <c r="U724" s="156"/>
      <c r="V724" s="156"/>
      <c r="W724" s="156"/>
      <c r="X724" s="156"/>
      <c r="Y724" s="156"/>
      <c r="Z724" s="156"/>
      <c r="AA724" s="156"/>
      <c r="AB724" s="156"/>
      <c r="AC724" s="156"/>
    </row>
    <row r="725" spans="1:29" ht="13">
      <c r="A725" s="140"/>
      <c r="B725" s="140"/>
      <c r="C725" s="156"/>
      <c r="D725" s="156"/>
      <c r="E725" s="156"/>
      <c r="F725" s="156"/>
      <c r="G725" s="185"/>
      <c r="H725" s="156"/>
      <c r="I725" s="156"/>
      <c r="J725" s="156"/>
      <c r="K725" s="156"/>
      <c r="L725" s="157"/>
      <c r="M725" s="156"/>
      <c r="N725" s="156"/>
      <c r="O725" s="156"/>
      <c r="P725" s="156"/>
      <c r="Q725" s="156"/>
      <c r="R725" s="156"/>
      <c r="S725" s="156"/>
      <c r="T725" s="156"/>
      <c r="U725" s="156"/>
      <c r="V725" s="156"/>
      <c r="W725" s="156"/>
      <c r="X725" s="156"/>
      <c r="Y725" s="156"/>
      <c r="Z725" s="156"/>
      <c r="AA725" s="156"/>
      <c r="AB725" s="156"/>
      <c r="AC725" s="156"/>
    </row>
    <row r="726" spans="1:29" ht="13">
      <c r="A726" s="140"/>
      <c r="B726" s="140"/>
      <c r="C726" s="156"/>
      <c r="D726" s="156"/>
      <c r="E726" s="156"/>
      <c r="F726" s="156"/>
      <c r="G726" s="185"/>
      <c r="H726" s="156"/>
      <c r="I726" s="156"/>
      <c r="J726" s="156"/>
      <c r="K726" s="156"/>
      <c r="L726" s="157"/>
      <c r="M726" s="156"/>
      <c r="N726" s="156"/>
      <c r="O726" s="156"/>
      <c r="P726" s="156"/>
      <c r="Q726" s="156"/>
      <c r="R726" s="156"/>
      <c r="S726" s="156"/>
      <c r="T726" s="156"/>
      <c r="U726" s="156"/>
      <c r="V726" s="156"/>
      <c r="W726" s="156"/>
      <c r="X726" s="156"/>
      <c r="Y726" s="156"/>
      <c r="Z726" s="156"/>
      <c r="AA726" s="156"/>
      <c r="AB726" s="156"/>
      <c r="AC726" s="156"/>
    </row>
    <row r="727" spans="1:29" ht="13">
      <c r="A727" s="140"/>
      <c r="B727" s="140"/>
      <c r="C727" s="156"/>
      <c r="D727" s="156"/>
      <c r="E727" s="156"/>
      <c r="F727" s="156"/>
      <c r="G727" s="185"/>
      <c r="H727" s="156"/>
      <c r="I727" s="156"/>
      <c r="J727" s="156"/>
      <c r="K727" s="156"/>
      <c r="L727" s="157"/>
      <c r="M727" s="156"/>
      <c r="N727" s="156"/>
      <c r="O727" s="156"/>
      <c r="P727" s="156"/>
      <c r="Q727" s="156"/>
      <c r="R727" s="156"/>
      <c r="S727" s="156"/>
      <c r="T727" s="156"/>
      <c r="U727" s="156"/>
      <c r="V727" s="156"/>
      <c r="W727" s="156"/>
      <c r="X727" s="156"/>
      <c r="Y727" s="156"/>
      <c r="Z727" s="156"/>
      <c r="AA727" s="156"/>
      <c r="AB727" s="156"/>
      <c r="AC727" s="156"/>
    </row>
    <row r="728" spans="1:29" ht="13">
      <c r="A728" s="140"/>
      <c r="B728" s="140"/>
      <c r="C728" s="156"/>
      <c r="D728" s="156"/>
      <c r="E728" s="156"/>
      <c r="F728" s="156"/>
      <c r="G728" s="185"/>
      <c r="H728" s="156"/>
      <c r="I728" s="156"/>
      <c r="J728" s="156"/>
      <c r="K728" s="156"/>
      <c r="L728" s="157"/>
      <c r="M728" s="156"/>
      <c r="N728" s="156"/>
      <c r="O728" s="156"/>
      <c r="P728" s="156"/>
      <c r="Q728" s="156"/>
      <c r="R728" s="156"/>
      <c r="S728" s="156"/>
      <c r="T728" s="156"/>
      <c r="U728" s="156"/>
      <c r="V728" s="156"/>
      <c r="W728" s="156"/>
      <c r="X728" s="156"/>
      <c r="Y728" s="156"/>
      <c r="Z728" s="156"/>
      <c r="AA728" s="156"/>
      <c r="AB728" s="156"/>
      <c r="AC728" s="156"/>
    </row>
    <row r="729" spans="1:29" ht="13">
      <c r="A729" s="140"/>
      <c r="B729" s="140"/>
      <c r="C729" s="156"/>
      <c r="D729" s="156"/>
      <c r="E729" s="156"/>
      <c r="F729" s="156"/>
      <c r="G729" s="185"/>
      <c r="H729" s="156"/>
      <c r="I729" s="156"/>
      <c r="J729" s="156"/>
      <c r="K729" s="156"/>
      <c r="L729" s="157"/>
      <c r="M729" s="156"/>
      <c r="N729" s="156"/>
      <c r="O729" s="156"/>
      <c r="P729" s="156"/>
      <c r="Q729" s="156"/>
      <c r="R729" s="156"/>
      <c r="S729" s="156"/>
      <c r="T729" s="156"/>
      <c r="U729" s="156"/>
      <c r="V729" s="156"/>
      <c r="W729" s="156"/>
      <c r="X729" s="156"/>
      <c r="Y729" s="156"/>
      <c r="Z729" s="156"/>
      <c r="AA729" s="156"/>
      <c r="AB729" s="156"/>
      <c r="AC729" s="156"/>
    </row>
    <row r="730" spans="1:29" ht="13">
      <c r="A730" s="140"/>
      <c r="B730" s="140"/>
      <c r="C730" s="156"/>
      <c r="D730" s="156"/>
      <c r="E730" s="156"/>
      <c r="F730" s="156"/>
      <c r="G730" s="185"/>
      <c r="H730" s="156"/>
      <c r="I730" s="156"/>
      <c r="J730" s="156"/>
      <c r="K730" s="156"/>
      <c r="L730" s="157"/>
      <c r="M730" s="156"/>
      <c r="N730" s="156"/>
      <c r="O730" s="156"/>
      <c r="P730" s="156"/>
      <c r="Q730" s="156"/>
      <c r="R730" s="156"/>
      <c r="S730" s="156"/>
      <c r="T730" s="156"/>
      <c r="U730" s="156"/>
      <c r="V730" s="156"/>
      <c r="W730" s="156"/>
      <c r="X730" s="156"/>
      <c r="Y730" s="156"/>
      <c r="Z730" s="156"/>
      <c r="AA730" s="156"/>
      <c r="AB730" s="156"/>
      <c r="AC730" s="156"/>
    </row>
    <row r="731" spans="1:29" ht="13">
      <c r="A731" s="140"/>
      <c r="B731" s="140"/>
      <c r="C731" s="156"/>
      <c r="D731" s="156"/>
      <c r="E731" s="156"/>
      <c r="F731" s="156"/>
      <c r="G731" s="185"/>
      <c r="H731" s="156"/>
      <c r="I731" s="156"/>
      <c r="J731" s="156"/>
      <c r="K731" s="156"/>
      <c r="L731" s="157"/>
      <c r="M731" s="156"/>
      <c r="N731" s="156"/>
      <c r="O731" s="156"/>
      <c r="P731" s="156"/>
      <c r="Q731" s="156"/>
      <c r="R731" s="156"/>
      <c r="S731" s="156"/>
      <c r="T731" s="156"/>
      <c r="U731" s="156"/>
      <c r="V731" s="156"/>
      <c r="W731" s="156"/>
      <c r="X731" s="156"/>
      <c r="Y731" s="156"/>
      <c r="Z731" s="156"/>
      <c r="AA731" s="156"/>
      <c r="AB731" s="156"/>
      <c r="AC731" s="156"/>
    </row>
    <row r="732" spans="1:29" ht="13">
      <c r="A732" s="140"/>
      <c r="B732" s="140"/>
      <c r="C732" s="156"/>
      <c r="D732" s="156"/>
      <c r="E732" s="156"/>
      <c r="F732" s="156"/>
      <c r="G732" s="185"/>
      <c r="H732" s="156"/>
      <c r="I732" s="156"/>
      <c r="J732" s="156"/>
      <c r="K732" s="156"/>
      <c r="L732" s="157"/>
      <c r="M732" s="156"/>
      <c r="N732" s="156"/>
      <c r="O732" s="156"/>
      <c r="P732" s="156"/>
      <c r="Q732" s="156"/>
      <c r="R732" s="156"/>
      <c r="S732" s="156"/>
      <c r="T732" s="156"/>
      <c r="U732" s="156"/>
      <c r="V732" s="156"/>
      <c r="W732" s="156"/>
      <c r="X732" s="156"/>
      <c r="Y732" s="156"/>
      <c r="Z732" s="156"/>
      <c r="AA732" s="156"/>
      <c r="AB732" s="156"/>
      <c r="AC732" s="156"/>
    </row>
    <row r="733" spans="1:29" ht="13">
      <c r="A733" s="140"/>
      <c r="B733" s="140"/>
      <c r="C733" s="156"/>
      <c r="D733" s="156"/>
      <c r="E733" s="156"/>
      <c r="F733" s="156"/>
      <c r="G733" s="185"/>
      <c r="H733" s="156"/>
      <c r="I733" s="156"/>
      <c r="J733" s="156"/>
      <c r="K733" s="156"/>
      <c r="L733" s="157"/>
      <c r="M733" s="156"/>
      <c r="N733" s="156"/>
      <c r="O733" s="156"/>
      <c r="P733" s="156"/>
      <c r="Q733" s="156"/>
      <c r="R733" s="156"/>
      <c r="S733" s="156"/>
      <c r="T733" s="156"/>
      <c r="U733" s="156"/>
      <c r="V733" s="156"/>
      <c r="W733" s="156"/>
      <c r="X733" s="156"/>
      <c r="Y733" s="156"/>
      <c r="Z733" s="156"/>
      <c r="AA733" s="156"/>
      <c r="AB733" s="156"/>
      <c r="AC733" s="156"/>
    </row>
    <row r="734" spans="1:29" ht="13">
      <c r="A734" s="140"/>
      <c r="B734" s="140"/>
      <c r="C734" s="156"/>
      <c r="D734" s="156"/>
      <c r="E734" s="156"/>
      <c r="F734" s="156"/>
      <c r="G734" s="185"/>
      <c r="H734" s="156"/>
      <c r="I734" s="156"/>
      <c r="J734" s="156"/>
      <c r="K734" s="156"/>
      <c r="L734" s="157"/>
      <c r="M734" s="156"/>
      <c r="N734" s="156"/>
      <c r="O734" s="156"/>
      <c r="P734" s="156"/>
      <c r="Q734" s="156"/>
      <c r="R734" s="156"/>
      <c r="S734" s="156"/>
      <c r="T734" s="156"/>
      <c r="U734" s="156"/>
      <c r="V734" s="156"/>
      <c r="W734" s="156"/>
      <c r="X734" s="156"/>
      <c r="Y734" s="156"/>
      <c r="Z734" s="156"/>
      <c r="AA734" s="156"/>
      <c r="AB734" s="156"/>
      <c r="AC734" s="156"/>
    </row>
    <row r="735" spans="1:29" ht="13">
      <c r="A735" s="140"/>
      <c r="B735" s="140"/>
      <c r="C735" s="156"/>
      <c r="D735" s="156"/>
      <c r="E735" s="156"/>
      <c r="F735" s="156"/>
      <c r="G735" s="185"/>
      <c r="H735" s="156"/>
      <c r="I735" s="156"/>
      <c r="J735" s="156"/>
      <c r="K735" s="156"/>
      <c r="L735" s="157"/>
      <c r="M735" s="156"/>
      <c r="N735" s="156"/>
      <c r="O735" s="156"/>
      <c r="P735" s="156"/>
      <c r="Q735" s="156"/>
      <c r="R735" s="156"/>
      <c r="S735" s="156"/>
      <c r="T735" s="156"/>
      <c r="U735" s="156"/>
      <c r="V735" s="156"/>
      <c r="W735" s="156"/>
      <c r="X735" s="156"/>
      <c r="Y735" s="156"/>
      <c r="Z735" s="156"/>
      <c r="AA735" s="156"/>
      <c r="AB735" s="156"/>
      <c r="AC735" s="156"/>
    </row>
    <row r="736" spans="1:29" ht="13">
      <c r="A736" s="140"/>
      <c r="B736" s="140"/>
      <c r="C736" s="156"/>
      <c r="D736" s="156"/>
      <c r="E736" s="156"/>
      <c r="F736" s="156"/>
      <c r="G736" s="185"/>
      <c r="H736" s="156"/>
      <c r="I736" s="156"/>
      <c r="J736" s="156"/>
      <c r="K736" s="156"/>
      <c r="L736" s="157"/>
      <c r="M736" s="156"/>
      <c r="N736" s="156"/>
      <c r="O736" s="156"/>
      <c r="P736" s="156"/>
      <c r="Q736" s="156"/>
      <c r="R736" s="156"/>
      <c r="S736" s="156"/>
      <c r="T736" s="156"/>
      <c r="U736" s="156"/>
      <c r="V736" s="156"/>
      <c r="W736" s="156"/>
      <c r="X736" s="156"/>
      <c r="Y736" s="156"/>
      <c r="Z736" s="156"/>
      <c r="AA736" s="156"/>
      <c r="AB736" s="156"/>
      <c r="AC736" s="156"/>
    </row>
    <row r="737" spans="1:29" ht="13">
      <c r="A737" s="140"/>
      <c r="B737" s="140"/>
      <c r="C737" s="156"/>
      <c r="D737" s="156"/>
      <c r="E737" s="156"/>
      <c r="F737" s="156"/>
      <c r="G737" s="185"/>
      <c r="H737" s="156"/>
      <c r="I737" s="156"/>
      <c r="J737" s="156"/>
      <c r="K737" s="156"/>
      <c r="L737" s="157"/>
      <c r="M737" s="156"/>
      <c r="N737" s="156"/>
      <c r="O737" s="156"/>
      <c r="P737" s="156"/>
      <c r="Q737" s="156"/>
      <c r="R737" s="156"/>
      <c r="S737" s="156"/>
      <c r="T737" s="156"/>
      <c r="U737" s="156"/>
      <c r="V737" s="156"/>
      <c r="W737" s="156"/>
      <c r="X737" s="156"/>
      <c r="Y737" s="156"/>
      <c r="Z737" s="156"/>
      <c r="AA737" s="156"/>
      <c r="AB737" s="156"/>
      <c r="AC737" s="156"/>
    </row>
    <row r="738" spans="1:29" ht="13">
      <c r="A738" s="140"/>
      <c r="B738" s="140"/>
      <c r="C738" s="156"/>
      <c r="D738" s="156"/>
      <c r="E738" s="156"/>
      <c r="F738" s="156"/>
      <c r="G738" s="185"/>
      <c r="H738" s="156"/>
      <c r="I738" s="156"/>
      <c r="J738" s="156"/>
      <c r="K738" s="156"/>
      <c r="L738" s="157"/>
      <c r="M738" s="156"/>
      <c r="N738" s="156"/>
      <c r="O738" s="156"/>
      <c r="P738" s="156"/>
      <c r="Q738" s="156"/>
      <c r="R738" s="156"/>
      <c r="S738" s="156"/>
      <c r="T738" s="156"/>
      <c r="U738" s="156"/>
      <c r="V738" s="156"/>
      <c r="W738" s="156"/>
      <c r="X738" s="156"/>
      <c r="Y738" s="156"/>
      <c r="Z738" s="156"/>
      <c r="AA738" s="156"/>
      <c r="AB738" s="156"/>
      <c r="AC738" s="156"/>
    </row>
    <row r="739" spans="1:29" ht="13">
      <c r="A739" s="140"/>
      <c r="B739" s="140"/>
      <c r="C739" s="156"/>
      <c r="D739" s="156"/>
      <c r="E739" s="156"/>
      <c r="F739" s="156"/>
      <c r="G739" s="185"/>
      <c r="H739" s="156"/>
      <c r="I739" s="156"/>
      <c r="J739" s="156"/>
      <c r="K739" s="156"/>
      <c r="L739" s="157"/>
      <c r="M739" s="156"/>
      <c r="N739" s="156"/>
      <c r="O739" s="156"/>
      <c r="P739" s="156"/>
      <c r="Q739" s="156"/>
      <c r="R739" s="156"/>
      <c r="S739" s="156"/>
      <c r="T739" s="156"/>
      <c r="U739" s="156"/>
      <c r="V739" s="156"/>
      <c r="W739" s="156"/>
      <c r="X739" s="156"/>
      <c r="Y739" s="156"/>
      <c r="Z739" s="156"/>
      <c r="AA739" s="156"/>
      <c r="AB739" s="156"/>
      <c r="AC739" s="156"/>
    </row>
    <row r="740" spans="1:29" ht="13">
      <c r="A740" s="140"/>
      <c r="B740" s="140"/>
      <c r="C740" s="156"/>
      <c r="D740" s="156"/>
      <c r="E740" s="156"/>
      <c r="F740" s="156"/>
      <c r="G740" s="185"/>
      <c r="H740" s="156"/>
      <c r="I740" s="156"/>
      <c r="J740" s="156"/>
      <c r="K740" s="156"/>
      <c r="L740" s="157"/>
      <c r="M740" s="156"/>
      <c r="N740" s="156"/>
      <c r="O740" s="156"/>
      <c r="P740" s="156"/>
      <c r="Q740" s="156"/>
      <c r="R740" s="156"/>
      <c r="S740" s="156"/>
      <c r="T740" s="156"/>
      <c r="U740" s="156"/>
      <c r="V740" s="156"/>
      <c r="W740" s="156"/>
      <c r="X740" s="156"/>
      <c r="Y740" s="156"/>
      <c r="Z740" s="156"/>
      <c r="AA740" s="156"/>
      <c r="AB740" s="156"/>
      <c r="AC740" s="156"/>
    </row>
    <row r="741" spans="1:29" ht="13">
      <c r="A741" s="140"/>
      <c r="B741" s="140"/>
      <c r="C741" s="156"/>
      <c r="D741" s="156"/>
      <c r="E741" s="156"/>
      <c r="F741" s="156"/>
      <c r="G741" s="185"/>
      <c r="H741" s="156"/>
      <c r="I741" s="156"/>
      <c r="J741" s="156"/>
      <c r="K741" s="156"/>
      <c r="L741" s="157"/>
      <c r="M741" s="156"/>
      <c r="N741" s="156"/>
      <c r="O741" s="156"/>
      <c r="P741" s="156"/>
      <c r="Q741" s="156"/>
      <c r="R741" s="156"/>
      <c r="S741" s="156"/>
      <c r="T741" s="156"/>
      <c r="U741" s="156"/>
      <c r="V741" s="156"/>
      <c r="W741" s="156"/>
      <c r="X741" s="156"/>
      <c r="Y741" s="156"/>
      <c r="Z741" s="156"/>
      <c r="AA741" s="156"/>
      <c r="AB741" s="156"/>
      <c r="AC741" s="156"/>
    </row>
    <row r="742" spans="1:29" ht="13">
      <c r="A742" s="140"/>
      <c r="B742" s="140"/>
      <c r="C742" s="156"/>
      <c r="D742" s="156"/>
      <c r="E742" s="156"/>
      <c r="F742" s="156"/>
      <c r="G742" s="185"/>
      <c r="H742" s="156"/>
      <c r="I742" s="156"/>
      <c r="J742" s="156"/>
      <c r="K742" s="156"/>
      <c r="L742" s="157"/>
      <c r="M742" s="156"/>
      <c r="N742" s="156"/>
      <c r="O742" s="156"/>
      <c r="P742" s="156"/>
      <c r="Q742" s="156"/>
      <c r="R742" s="156"/>
      <c r="S742" s="156"/>
      <c r="T742" s="156"/>
      <c r="U742" s="156"/>
      <c r="V742" s="156"/>
      <c r="W742" s="156"/>
      <c r="X742" s="156"/>
      <c r="Y742" s="156"/>
      <c r="Z742" s="156"/>
      <c r="AA742" s="156"/>
      <c r="AB742" s="156"/>
      <c r="AC742" s="156"/>
    </row>
    <row r="743" spans="1:29" ht="13">
      <c r="A743" s="140"/>
      <c r="B743" s="140"/>
      <c r="C743" s="156"/>
      <c r="D743" s="156"/>
      <c r="E743" s="156"/>
      <c r="F743" s="156"/>
      <c r="G743" s="185"/>
      <c r="H743" s="156"/>
      <c r="I743" s="156"/>
      <c r="J743" s="156"/>
      <c r="K743" s="156"/>
      <c r="L743" s="157"/>
      <c r="M743" s="156"/>
      <c r="N743" s="156"/>
      <c r="O743" s="156"/>
      <c r="P743" s="156"/>
      <c r="Q743" s="156"/>
      <c r="R743" s="156"/>
      <c r="S743" s="156"/>
      <c r="T743" s="156"/>
      <c r="U743" s="156"/>
      <c r="V743" s="156"/>
      <c r="W743" s="156"/>
      <c r="X743" s="156"/>
      <c r="Y743" s="156"/>
      <c r="Z743" s="156"/>
      <c r="AA743" s="156"/>
      <c r="AB743" s="156"/>
      <c r="AC743" s="156"/>
    </row>
    <row r="744" spans="1:29" ht="13">
      <c r="A744" s="140"/>
      <c r="B744" s="140"/>
      <c r="C744" s="156"/>
      <c r="D744" s="156"/>
      <c r="E744" s="156"/>
      <c r="F744" s="156"/>
      <c r="G744" s="185"/>
      <c r="H744" s="156"/>
      <c r="I744" s="156"/>
      <c r="J744" s="156"/>
      <c r="K744" s="156"/>
      <c r="L744" s="157"/>
      <c r="M744" s="156"/>
      <c r="N744" s="156"/>
      <c r="O744" s="156"/>
      <c r="P744" s="156"/>
      <c r="Q744" s="156"/>
      <c r="R744" s="156"/>
      <c r="S744" s="156"/>
      <c r="T744" s="156"/>
      <c r="U744" s="156"/>
      <c r="V744" s="156"/>
      <c r="W744" s="156"/>
      <c r="X744" s="156"/>
      <c r="Y744" s="156"/>
      <c r="Z744" s="156"/>
      <c r="AA744" s="156"/>
      <c r="AB744" s="156"/>
      <c r="AC744" s="156"/>
    </row>
    <row r="745" spans="1:29" ht="13">
      <c r="A745" s="140"/>
      <c r="B745" s="140"/>
      <c r="C745" s="156"/>
      <c r="D745" s="156"/>
      <c r="E745" s="156"/>
      <c r="F745" s="156"/>
      <c r="G745" s="185"/>
      <c r="H745" s="156"/>
      <c r="I745" s="156"/>
      <c r="J745" s="156"/>
      <c r="K745" s="156"/>
      <c r="L745" s="157"/>
      <c r="M745" s="156"/>
      <c r="N745" s="156"/>
      <c r="O745" s="156"/>
      <c r="P745" s="156"/>
      <c r="Q745" s="156"/>
      <c r="R745" s="156"/>
      <c r="S745" s="156"/>
      <c r="T745" s="156"/>
      <c r="U745" s="156"/>
      <c r="V745" s="156"/>
      <c r="W745" s="156"/>
      <c r="X745" s="156"/>
      <c r="Y745" s="156"/>
      <c r="Z745" s="156"/>
      <c r="AA745" s="156"/>
      <c r="AB745" s="156"/>
      <c r="AC745" s="156"/>
    </row>
    <row r="746" spans="1:29" ht="13">
      <c r="A746" s="140"/>
      <c r="B746" s="140"/>
      <c r="C746" s="156"/>
      <c r="D746" s="156"/>
      <c r="E746" s="156"/>
      <c r="F746" s="156"/>
      <c r="G746" s="185"/>
      <c r="H746" s="156"/>
      <c r="I746" s="156"/>
      <c r="J746" s="156"/>
      <c r="K746" s="156"/>
      <c r="L746" s="157"/>
      <c r="M746" s="156"/>
      <c r="N746" s="156"/>
      <c r="O746" s="156"/>
      <c r="P746" s="156"/>
      <c r="Q746" s="156"/>
      <c r="R746" s="156"/>
      <c r="S746" s="156"/>
      <c r="T746" s="156"/>
      <c r="U746" s="156"/>
      <c r="V746" s="156"/>
      <c r="W746" s="156"/>
      <c r="X746" s="156"/>
      <c r="Y746" s="156"/>
      <c r="Z746" s="156"/>
      <c r="AA746" s="156"/>
      <c r="AB746" s="156"/>
      <c r="AC746" s="156"/>
    </row>
    <row r="747" spans="1:29" ht="13">
      <c r="A747" s="140"/>
      <c r="B747" s="140"/>
      <c r="C747" s="156"/>
      <c r="D747" s="156"/>
      <c r="E747" s="156"/>
      <c r="F747" s="156"/>
      <c r="G747" s="185"/>
      <c r="H747" s="156"/>
      <c r="I747" s="156"/>
      <c r="J747" s="156"/>
      <c r="K747" s="156"/>
      <c r="L747" s="157"/>
      <c r="M747" s="156"/>
      <c r="N747" s="156"/>
      <c r="O747" s="156"/>
      <c r="P747" s="156"/>
      <c r="Q747" s="156"/>
      <c r="R747" s="156"/>
      <c r="S747" s="156"/>
      <c r="T747" s="156"/>
      <c r="U747" s="156"/>
      <c r="V747" s="156"/>
      <c r="W747" s="156"/>
      <c r="X747" s="156"/>
      <c r="Y747" s="156"/>
      <c r="Z747" s="156"/>
      <c r="AA747" s="156"/>
      <c r="AB747" s="156"/>
      <c r="AC747" s="156"/>
    </row>
    <row r="748" spans="1:29" ht="13">
      <c r="A748" s="140"/>
      <c r="B748" s="140"/>
      <c r="C748" s="156"/>
      <c r="D748" s="156"/>
      <c r="E748" s="156"/>
      <c r="F748" s="156"/>
      <c r="G748" s="185"/>
      <c r="H748" s="156"/>
      <c r="I748" s="156"/>
      <c r="J748" s="156"/>
      <c r="K748" s="156"/>
      <c r="L748" s="157"/>
      <c r="M748" s="156"/>
      <c r="N748" s="156"/>
      <c r="O748" s="156"/>
      <c r="P748" s="156"/>
      <c r="Q748" s="156"/>
      <c r="R748" s="156"/>
      <c r="S748" s="156"/>
      <c r="T748" s="156"/>
      <c r="U748" s="156"/>
      <c r="V748" s="156"/>
      <c r="W748" s="156"/>
      <c r="X748" s="156"/>
      <c r="Y748" s="156"/>
      <c r="Z748" s="156"/>
      <c r="AA748" s="156"/>
      <c r="AB748" s="156"/>
      <c r="AC748" s="156"/>
    </row>
    <row r="749" spans="1:29" ht="13">
      <c r="A749" s="140"/>
      <c r="B749" s="140"/>
      <c r="C749" s="156"/>
      <c r="D749" s="156"/>
      <c r="E749" s="156"/>
      <c r="F749" s="156"/>
      <c r="G749" s="185"/>
      <c r="H749" s="156"/>
      <c r="I749" s="156"/>
      <c r="J749" s="156"/>
      <c r="K749" s="156"/>
      <c r="L749" s="157"/>
      <c r="M749" s="156"/>
      <c r="N749" s="156"/>
      <c r="O749" s="156"/>
      <c r="P749" s="156"/>
      <c r="Q749" s="156"/>
      <c r="R749" s="156"/>
      <c r="S749" s="156"/>
      <c r="T749" s="156"/>
      <c r="U749" s="156"/>
      <c r="V749" s="156"/>
      <c r="W749" s="156"/>
      <c r="X749" s="156"/>
      <c r="Y749" s="156"/>
      <c r="Z749" s="156"/>
      <c r="AA749" s="156"/>
      <c r="AB749" s="156"/>
      <c r="AC749" s="156"/>
    </row>
    <row r="750" spans="1:29" ht="13">
      <c r="A750" s="140"/>
      <c r="B750" s="140"/>
      <c r="C750" s="156"/>
      <c r="D750" s="156"/>
      <c r="E750" s="156"/>
      <c r="F750" s="156"/>
      <c r="G750" s="185"/>
      <c r="H750" s="156"/>
      <c r="I750" s="156"/>
      <c r="J750" s="156"/>
      <c r="K750" s="156"/>
      <c r="L750" s="157"/>
      <c r="M750" s="156"/>
      <c r="N750" s="156"/>
      <c r="O750" s="156"/>
      <c r="P750" s="156"/>
      <c r="Q750" s="156"/>
      <c r="R750" s="156"/>
      <c r="S750" s="156"/>
      <c r="T750" s="156"/>
      <c r="U750" s="156"/>
      <c r="V750" s="156"/>
      <c r="W750" s="156"/>
      <c r="X750" s="156"/>
      <c r="Y750" s="156"/>
      <c r="Z750" s="156"/>
      <c r="AA750" s="156"/>
      <c r="AB750" s="156"/>
      <c r="AC750" s="156"/>
    </row>
    <row r="751" spans="1:29" ht="13">
      <c r="A751" s="140"/>
      <c r="B751" s="140"/>
      <c r="C751" s="156"/>
      <c r="D751" s="156"/>
      <c r="E751" s="156"/>
      <c r="F751" s="156"/>
      <c r="G751" s="185"/>
      <c r="H751" s="156"/>
      <c r="I751" s="156"/>
      <c r="J751" s="156"/>
      <c r="K751" s="156"/>
      <c r="L751" s="157"/>
      <c r="M751" s="156"/>
      <c r="N751" s="156"/>
      <c r="O751" s="156"/>
      <c r="P751" s="156"/>
      <c r="Q751" s="156"/>
      <c r="R751" s="156"/>
      <c r="S751" s="156"/>
      <c r="T751" s="156"/>
      <c r="U751" s="156"/>
      <c r="V751" s="156"/>
      <c r="W751" s="156"/>
      <c r="X751" s="156"/>
      <c r="Y751" s="156"/>
      <c r="Z751" s="156"/>
      <c r="AA751" s="156"/>
      <c r="AB751" s="156"/>
      <c r="AC751" s="156"/>
    </row>
    <row r="752" spans="1:29" ht="13">
      <c r="A752" s="140"/>
      <c r="B752" s="140"/>
      <c r="C752" s="156"/>
      <c r="D752" s="156"/>
      <c r="E752" s="156"/>
      <c r="F752" s="156"/>
      <c r="G752" s="185"/>
      <c r="H752" s="156"/>
      <c r="I752" s="156"/>
      <c r="J752" s="156"/>
      <c r="K752" s="156"/>
      <c r="L752" s="157"/>
      <c r="M752" s="156"/>
      <c r="N752" s="156"/>
      <c r="O752" s="156"/>
      <c r="P752" s="156"/>
      <c r="Q752" s="156"/>
      <c r="R752" s="156"/>
      <c r="S752" s="156"/>
      <c r="T752" s="156"/>
      <c r="U752" s="156"/>
      <c r="V752" s="156"/>
      <c r="W752" s="156"/>
      <c r="X752" s="156"/>
      <c r="Y752" s="156"/>
      <c r="Z752" s="156"/>
      <c r="AA752" s="156"/>
      <c r="AB752" s="156"/>
      <c r="AC752" s="156"/>
    </row>
    <row r="753" spans="1:29" ht="13">
      <c r="A753" s="140"/>
      <c r="B753" s="140"/>
      <c r="C753" s="156"/>
      <c r="D753" s="156"/>
      <c r="E753" s="156"/>
      <c r="F753" s="156"/>
      <c r="G753" s="185"/>
      <c r="H753" s="156"/>
      <c r="I753" s="156"/>
      <c r="J753" s="156"/>
      <c r="K753" s="156"/>
      <c r="L753" s="157"/>
      <c r="M753" s="156"/>
      <c r="N753" s="156"/>
      <c r="O753" s="156"/>
      <c r="P753" s="156"/>
      <c r="Q753" s="156"/>
      <c r="R753" s="156"/>
      <c r="S753" s="156"/>
      <c r="T753" s="156"/>
      <c r="U753" s="156"/>
      <c r="V753" s="156"/>
      <c r="W753" s="156"/>
      <c r="X753" s="156"/>
      <c r="Y753" s="156"/>
      <c r="Z753" s="156"/>
      <c r="AA753" s="156"/>
      <c r="AB753" s="156"/>
      <c r="AC753" s="156"/>
    </row>
    <row r="754" spans="1:29" ht="13">
      <c r="A754" s="140"/>
      <c r="B754" s="140"/>
      <c r="C754" s="156"/>
      <c r="D754" s="156"/>
      <c r="E754" s="156"/>
      <c r="F754" s="156"/>
      <c r="G754" s="185"/>
      <c r="H754" s="156"/>
      <c r="I754" s="156"/>
      <c r="J754" s="156"/>
      <c r="K754" s="156"/>
      <c r="L754" s="157"/>
      <c r="M754" s="156"/>
      <c r="N754" s="156"/>
      <c r="O754" s="156"/>
      <c r="P754" s="156"/>
      <c r="Q754" s="156"/>
      <c r="R754" s="156"/>
      <c r="S754" s="156"/>
      <c r="T754" s="156"/>
      <c r="U754" s="156"/>
      <c r="V754" s="156"/>
      <c r="W754" s="156"/>
      <c r="X754" s="156"/>
      <c r="Y754" s="156"/>
      <c r="Z754" s="156"/>
      <c r="AA754" s="156"/>
      <c r="AB754" s="156"/>
      <c r="AC754" s="156"/>
    </row>
    <row r="755" spans="1:29" ht="13">
      <c r="A755" s="140"/>
      <c r="B755" s="140"/>
      <c r="C755" s="156"/>
      <c r="D755" s="156"/>
      <c r="E755" s="156"/>
      <c r="F755" s="156"/>
      <c r="G755" s="185"/>
      <c r="H755" s="156"/>
      <c r="I755" s="156"/>
      <c r="J755" s="156"/>
      <c r="K755" s="156"/>
      <c r="L755" s="157"/>
      <c r="M755" s="156"/>
      <c r="N755" s="156"/>
      <c r="O755" s="156"/>
      <c r="P755" s="156"/>
      <c r="Q755" s="156"/>
      <c r="R755" s="156"/>
      <c r="S755" s="156"/>
      <c r="T755" s="156"/>
      <c r="U755" s="156"/>
      <c r="V755" s="156"/>
      <c r="W755" s="156"/>
      <c r="X755" s="156"/>
      <c r="Y755" s="156"/>
      <c r="Z755" s="156"/>
      <c r="AA755" s="156"/>
      <c r="AB755" s="156"/>
      <c r="AC755" s="156"/>
    </row>
    <row r="756" spans="1:29" ht="13">
      <c r="A756" s="140"/>
      <c r="B756" s="140"/>
      <c r="C756" s="156"/>
      <c r="D756" s="156"/>
      <c r="E756" s="156"/>
      <c r="F756" s="156"/>
      <c r="G756" s="185"/>
      <c r="H756" s="156"/>
      <c r="I756" s="156"/>
      <c r="J756" s="156"/>
      <c r="K756" s="156"/>
      <c r="L756" s="157"/>
      <c r="M756" s="156"/>
      <c r="N756" s="156"/>
      <c r="O756" s="156"/>
      <c r="P756" s="156"/>
      <c r="Q756" s="156"/>
      <c r="R756" s="156"/>
      <c r="S756" s="156"/>
      <c r="T756" s="156"/>
      <c r="U756" s="156"/>
      <c r="V756" s="156"/>
      <c r="W756" s="156"/>
      <c r="X756" s="156"/>
      <c r="Y756" s="156"/>
      <c r="Z756" s="156"/>
      <c r="AA756" s="156"/>
      <c r="AB756" s="156"/>
      <c r="AC756" s="156"/>
    </row>
    <row r="757" spans="1:29" ht="13">
      <c r="A757" s="140"/>
      <c r="B757" s="140"/>
      <c r="C757" s="156"/>
      <c r="D757" s="156"/>
      <c r="E757" s="156"/>
      <c r="F757" s="156"/>
      <c r="G757" s="185"/>
      <c r="H757" s="156"/>
      <c r="I757" s="156"/>
      <c r="J757" s="156"/>
      <c r="K757" s="156"/>
      <c r="L757" s="157"/>
      <c r="M757" s="156"/>
      <c r="N757" s="156"/>
      <c r="O757" s="156"/>
      <c r="P757" s="156"/>
      <c r="Q757" s="156"/>
      <c r="R757" s="156"/>
      <c r="S757" s="156"/>
      <c r="T757" s="156"/>
      <c r="U757" s="156"/>
      <c r="V757" s="156"/>
      <c r="W757" s="156"/>
      <c r="X757" s="156"/>
      <c r="Y757" s="156"/>
      <c r="Z757" s="156"/>
      <c r="AA757" s="156"/>
      <c r="AB757" s="156"/>
      <c r="AC757" s="156"/>
    </row>
    <row r="758" spans="1:29" ht="13">
      <c r="A758" s="140"/>
      <c r="B758" s="140"/>
      <c r="C758" s="156"/>
      <c r="D758" s="156"/>
      <c r="E758" s="156"/>
      <c r="F758" s="156"/>
      <c r="G758" s="185"/>
      <c r="H758" s="156"/>
      <c r="I758" s="156"/>
      <c r="J758" s="156"/>
      <c r="K758" s="156"/>
      <c r="L758" s="157"/>
      <c r="M758" s="156"/>
      <c r="N758" s="156"/>
      <c r="O758" s="156"/>
      <c r="P758" s="156"/>
      <c r="Q758" s="156"/>
      <c r="R758" s="156"/>
      <c r="S758" s="156"/>
      <c r="T758" s="156"/>
      <c r="U758" s="156"/>
      <c r="V758" s="156"/>
      <c r="W758" s="156"/>
      <c r="X758" s="156"/>
      <c r="Y758" s="156"/>
      <c r="Z758" s="156"/>
      <c r="AA758" s="156"/>
      <c r="AB758" s="156"/>
      <c r="AC758" s="156"/>
    </row>
    <row r="759" spans="1:29" ht="13">
      <c r="A759" s="140"/>
      <c r="B759" s="140"/>
      <c r="C759" s="156"/>
      <c r="D759" s="156"/>
      <c r="E759" s="156"/>
      <c r="F759" s="156"/>
      <c r="G759" s="185"/>
      <c r="H759" s="156"/>
      <c r="I759" s="156"/>
      <c r="J759" s="156"/>
      <c r="K759" s="156"/>
      <c r="L759" s="157"/>
      <c r="M759" s="156"/>
      <c r="N759" s="156"/>
      <c r="O759" s="156"/>
      <c r="P759" s="156"/>
      <c r="Q759" s="156"/>
      <c r="R759" s="156"/>
      <c r="S759" s="156"/>
      <c r="T759" s="156"/>
      <c r="U759" s="156"/>
      <c r="V759" s="156"/>
      <c r="W759" s="156"/>
      <c r="X759" s="156"/>
      <c r="Y759" s="156"/>
      <c r="Z759" s="156"/>
      <c r="AA759" s="156"/>
      <c r="AB759" s="156"/>
      <c r="AC759" s="156"/>
    </row>
    <row r="760" spans="1:29" ht="13">
      <c r="A760" s="140"/>
      <c r="B760" s="140"/>
      <c r="C760" s="156"/>
      <c r="D760" s="156"/>
      <c r="E760" s="156"/>
      <c r="F760" s="156"/>
      <c r="G760" s="185"/>
      <c r="H760" s="156"/>
      <c r="I760" s="156"/>
      <c r="J760" s="156"/>
      <c r="K760" s="156"/>
      <c r="L760" s="157"/>
      <c r="M760" s="156"/>
      <c r="N760" s="156"/>
      <c r="O760" s="156"/>
      <c r="P760" s="156"/>
      <c r="Q760" s="156"/>
      <c r="R760" s="156"/>
      <c r="S760" s="156"/>
      <c r="T760" s="156"/>
      <c r="U760" s="156"/>
      <c r="V760" s="156"/>
      <c r="W760" s="156"/>
      <c r="X760" s="156"/>
      <c r="Y760" s="156"/>
      <c r="Z760" s="156"/>
      <c r="AA760" s="156"/>
      <c r="AB760" s="156"/>
      <c r="AC760" s="156"/>
    </row>
    <row r="761" spans="1:29" ht="13">
      <c r="A761" s="140"/>
      <c r="B761" s="140"/>
      <c r="C761" s="156"/>
      <c r="D761" s="156"/>
      <c r="E761" s="156"/>
      <c r="F761" s="156"/>
      <c r="G761" s="185"/>
      <c r="H761" s="156"/>
      <c r="I761" s="156"/>
      <c r="J761" s="156"/>
      <c r="K761" s="156"/>
      <c r="L761" s="157"/>
      <c r="M761" s="156"/>
      <c r="N761" s="156"/>
      <c r="O761" s="156"/>
      <c r="P761" s="156"/>
      <c r="Q761" s="156"/>
      <c r="R761" s="156"/>
      <c r="S761" s="156"/>
      <c r="T761" s="156"/>
      <c r="U761" s="156"/>
      <c r="V761" s="156"/>
      <c r="W761" s="156"/>
      <c r="X761" s="156"/>
      <c r="Y761" s="156"/>
      <c r="Z761" s="156"/>
      <c r="AA761" s="156"/>
      <c r="AB761" s="156"/>
      <c r="AC761" s="156"/>
    </row>
    <row r="762" spans="1:29" ht="13">
      <c r="A762" s="140"/>
      <c r="B762" s="140"/>
      <c r="C762" s="156"/>
      <c r="D762" s="156"/>
      <c r="E762" s="156"/>
      <c r="F762" s="156"/>
      <c r="G762" s="185"/>
      <c r="H762" s="156"/>
      <c r="I762" s="156"/>
      <c r="J762" s="156"/>
      <c r="K762" s="156"/>
      <c r="L762" s="157"/>
      <c r="M762" s="156"/>
      <c r="N762" s="156"/>
      <c r="O762" s="156"/>
      <c r="P762" s="156"/>
      <c r="Q762" s="156"/>
      <c r="R762" s="156"/>
      <c r="S762" s="156"/>
      <c r="T762" s="156"/>
      <c r="U762" s="156"/>
      <c r="V762" s="156"/>
      <c r="W762" s="156"/>
      <c r="X762" s="156"/>
      <c r="Y762" s="156"/>
      <c r="Z762" s="156"/>
      <c r="AA762" s="156"/>
      <c r="AB762" s="156"/>
      <c r="AC762" s="156"/>
    </row>
    <row r="763" spans="1:29" ht="13">
      <c r="A763" s="140"/>
      <c r="B763" s="140"/>
      <c r="C763" s="156"/>
      <c r="D763" s="156"/>
      <c r="E763" s="156"/>
      <c r="F763" s="156"/>
      <c r="G763" s="185"/>
      <c r="H763" s="156"/>
      <c r="I763" s="156"/>
      <c r="J763" s="156"/>
      <c r="K763" s="156"/>
      <c r="L763" s="157"/>
      <c r="M763" s="156"/>
      <c r="N763" s="156"/>
      <c r="O763" s="156"/>
      <c r="P763" s="156"/>
      <c r="Q763" s="156"/>
      <c r="R763" s="156"/>
      <c r="S763" s="156"/>
      <c r="T763" s="156"/>
      <c r="U763" s="156"/>
      <c r="V763" s="156"/>
      <c r="W763" s="156"/>
      <c r="X763" s="156"/>
      <c r="Y763" s="156"/>
      <c r="Z763" s="156"/>
      <c r="AA763" s="156"/>
      <c r="AB763" s="156"/>
      <c r="AC763" s="156"/>
    </row>
    <row r="764" spans="1:29" ht="13">
      <c r="A764" s="140"/>
      <c r="B764" s="140"/>
      <c r="C764" s="156"/>
      <c r="D764" s="156"/>
      <c r="E764" s="156"/>
      <c r="F764" s="156"/>
      <c r="G764" s="185"/>
      <c r="H764" s="156"/>
      <c r="I764" s="156"/>
      <c r="J764" s="156"/>
      <c r="K764" s="156"/>
      <c r="L764" s="157"/>
      <c r="M764" s="156"/>
      <c r="N764" s="156"/>
      <c r="O764" s="156"/>
      <c r="P764" s="156"/>
      <c r="Q764" s="156"/>
      <c r="R764" s="156"/>
      <c r="S764" s="156"/>
      <c r="T764" s="156"/>
      <c r="U764" s="156"/>
      <c r="V764" s="156"/>
      <c r="W764" s="156"/>
      <c r="X764" s="156"/>
      <c r="Y764" s="156"/>
      <c r="Z764" s="156"/>
      <c r="AA764" s="156"/>
      <c r="AB764" s="156"/>
      <c r="AC764" s="156"/>
    </row>
    <row r="765" spans="1:29" ht="13">
      <c r="A765" s="140"/>
      <c r="B765" s="140"/>
      <c r="C765" s="156"/>
      <c r="D765" s="156"/>
      <c r="E765" s="156"/>
      <c r="F765" s="156"/>
      <c r="G765" s="185"/>
      <c r="H765" s="156"/>
      <c r="I765" s="156"/>
      <c r="J765" s="156"/>
      <c r="K765" s="156"/>
      <c r="L765" s="157"/>
      <c r="M765" s="156"/>
      <c r="N765" s="156"/>
      <c r="O765" s="156"/>
      <c r="P765" s="156"/>
      <c r="Q765" s="156"/>
      <c r="R765" s="156"/>
      <c r="S765" s="156"/>
      <c r="T765" s="156"/>
      <c r="U765" s="156"/>
      <c r="V765" s="156"/>
      <c r="W765" s="156"/>
      <c r="X765" s="156"/>
      <c r="Y765" s="156"/>
      <c r="Z765" s="156"/>
      <c r="AA765" s="156"/>
      <c r="AB765" s="156"/>
      <c r="AC765" s="156"/>
    </row>
    <row r="766" spans="1:29" ht="13">
      <c r="A766" s="140"/>
      <c r="B766" s="140"/>
      <c r="C766" s="156"/>
      <c r="D766" s="156"/>
      <c r="E766" s="156"/>
      <c r="F766" s="156"/>
      <c r="G766" s="185"/>
      <c r="H766" s="156"/>
      <c r="I766" s="156"/>
      <c r="J766" s="156"/>
      <c r="K766" s="156"/>
      <c r="L766" s="157"/>
      <c r="M766" s="156"/>
      <c r="N766" s="156"/>
      <c r="O766" s="156"/>
      <c r="P766" s="156"/>
      <c r="Q766" s="156"/>
      <c r="R766" s="156"/>
      <c r="S766" s="156"/>
      <c r="T766" s="156"/>
      <c r="U766" s="156"/>
      <c r="V766" s="156"/>
      <c r="W766" s="156"/>
      <c r="X766" s="156"/>
      <c r="Y766" s="156"/>
      <c r="Z766" s="156"/>
      <c r="AA766" s="156"/>
      <c r="AB766" s="156"/>
      <c r="AC766" s="156"/>
    </row>
    <row r="767" spans="1:29" ht="13">
      <c r="A767" s="140"/>
      <c r="B767" s="140"/>
      <c r="C767" s="156"/>
      <c r="D767" s="156"/>
      <c r="E767" s="156"/>
      <c r="F767" s="156"/>
      <c r="G767" s="185"/>
      <c r="H767" s="156"/>
      <c r="I767" s="156"/>
      <c r="J767" s="156"/>
      <c r="K767" s="156"/>
      <c r="L767" s="157"/>
      <c r="M767" s="156"/>
      <c r="N767" s="156"/>
      <c r="O767" s="156"/>
      <c r="P767" s="156"/>
      <c r="Q767" s="156"/>
      <c r="R767" s="156"/>
      <c r="S767" s="156"/>
      <c r="T767" s="156"/>
      <c r="U767" s="156"/>
      <c r="V767" s="156"/>
      <c r="W767" s="156"/>
      <c r="X767" s="156"/>
      <c r="Y767" s="156"/>
      <c r="Z767" s="156"/>
      <c r="AA767" s="156"/>
      <c r="AB767" s="156"/>
      <c r="AC767" s="156"/>
    </row>
    <row r="768" spans="1:29" ht="13">
      <c r="A768" s="140"/>
      <c r="B768" s="140"/>
      <c r="C768" s="156"/>
      <c r="D768" s="156"/>
      <c r="E768" s="156"/>
      <c r="F768" s="156"/>
      <c r="G768" s="185"/>
      <c r="H768" s="156"/>
      <c r="I768" s="156"/>
      <c r="J768" s="156"/>
      <c r="K768" s="156"/>
      <c r="L768" s="157"/>
      <c r="M768" s="156"/>
      <c r="N768" s="156"/>
      <c r="O768" s="156"/>
      <c r="P768" s="156"/>
      <c r="Q768" s="156"/>
      <c r="R768" s="156"/>
      <c r="S768" s="156"/>
      <c r="T768" s="156"/>
      <c r="U768" s="156"/>
      <c r="V768" s="156"/>
      <c r="W768" s="156"/>
      <c r="X768" s="156"/>
      <c r="Y768" s="156"/>
      <c r="Z768" s="156"/>
      <c r="AA768" s="156"/>
      <c r="AB768" s="156"/>
      <c r="AC768" s="156"/>
    </row>
    <row r="769" spans="1:29" ht="13">
      <c r="A769" s="140"/>
      <c r="B769" s="140"/>
      <c r="C769" s="156"/>
      <c r="D769" s="156"/>
      <c r="E769" s="156"/>
      <c r="F769" s="156"/>
      <c r="G769" s="185"/>
      <c r="H769" s="156"/>
      <c r="I769" s="156"/>
      <c r="J769" s="156"/>
      <c r="K769" s="156"/>
      <c r="L769" s="157"/>
      <c r="M769" s="156"/>
      <c r="N769" s="156"/>
      <c r="O769" s="156"/>
      <c r="P769" s="156"/>
      <c r="Q769" s="156"/>
      <c r="R769" s="156"/>
      <c r="S769" s="156"/>
      <c r="T769" s="156"/>
      <c r="U769" s="156"/>
      <c r="V769" s="156"/>
      <c r="W769" s="156"/>
      <c r="X769" s="156"/>
      <c r="Y769" s="156"/>
      <c r="Z769" s="156"/>
      <c r="AA769" s="156"/>
      <c r="AB769" s="156"/>
      <c r="AC769" s="156"/>
    </row>
    <row r="770" spans="1:29" ht="13">
      <c r="A770" s="140"/>
      <c r="B770" s="140"/>
      <c r="C770" s="156"/>
      <c r="D770" s="156"/>
      <c r="E770" s="156"/>
      <c r="F770" s="156"/>
      <c r="G770" s="185"/>
      <c r="H770" s="156"/>
      <c r="I770" s="156"/>
      <c r="J770" s="156"/>
      <c r="K770" s="156"/>
      <c r="L770" s="157"/>
      <c r="M770" s="156"/>
      <c r="N770" s="156"/>
      <c r="O770" s="156"/>
      <c r="P770" s="156"/>
      <c r="Q770" s="156"/>
      <c r="R770" s="156"/>
      <c r="S770" s="156"/>
      <c r="T770" s="156"/>
      <c r="U770" s="156"/>
      <c r="V770" s="156"/>
      <c r="W770" s="156"/>
      <c r="X770" s="156"/>
      <c r="Y770" s="156"/>
      <c r="Z770" s="156"/>
      <c r="AA770" s="156"/>
      <c r="AB770" s="156"/>
      <c r="AC770" s="156"/>
    </row>
    <row r="771" spans="1:29" ht="13">
      <c r="A771" s="140"/>
      <c r="B771" s="140"/>
      <c r="C771" s="156"/>
      <c r="D771" s="156"/>
      <c r="E771" s="156"/>
      <c r="F771" s="156"/>
      <c r="G771" s="185"/>
      <c r="H771" s="156"/>
      <c r="I771" s="156"/>
      <c r="J771" s="156"/>
      <c r="K771" s="156"/>
      <c r="L771" s="157"/>
      <c r="M771" s="156"/>
      <c r="N771" s="156"/>
      <c r="O771" s="156"/>
      <c r="P771" s="156"/>
      <c r="Q771" s="156"/>
      <c r="R771" s="156"/>
      <c r="S771" s="156"/>
      <c r="T771" s="156"/>
      <c r="U771" s="156"/>
      <c r="V771" s="156"/>
      <c r="W771" s="156"/>
      <c r="X771" s="156"/>
      <c r="Y771" s="156"/>
      <c r="Z771" s="156"/>
      <c r="AA771" s="156"/>
      <c r="AB771" s="156"/>
      <c r="AC771" s="156"/>
    </row>
    <row r="772" spans="1:29" ht="13">
      <c r="A772" s="140"/>
      <c r="B772" s="140"/>
      <c r="C772" s="156"/>
      <c r="D772" s="156"/>
      <c r="E772" s="156"/>
      <c r="F772" s="156"/>
      <c r="G772" s="185"/>
      <c r="H772" s="156"/>
      <c r="I772" s="156"/>
      <c r="J772" s="156"/>
      <c r="K772" s="156"/>
      <c r="L772" s="157"/>
      <c r="M772" s="156"/>
      <c r="N772" s="156"/>
      <c r="O772" s="156"/>
      <c r="P772" s="156"/>
      <c r="Q772" s="156"/>
      <c r="R772" s="156"/>
      <c r="S772" s="156"/>
      <c r="T772" s="156"/>
      <c r="U772" s="156"/>
      <c r="V772" s="156"/>
      <c r="W772" s="156"/>
      <c r="X772" s="156"/>
      <c r="Y772" s="156"/>
      <c r="Z772" s="156"/>
      <c r="AA772" s="156"/>
      <c r="AB772" s="156"/>
      <c r="AC772" s="156"/>
    </row>
    <row r="773" spans="1:29" ht="13">
      <c r="A773" s="140"/>
      <c r="B773" s="140"/>
      <c r="C773" s="156"/>
      <c r="D773" s="156"/>
      <c r="E773" s="156"/>
      <c r="F773" s="156"/>
      <c r="G773" s="185"/>
      <c r="H773" s="156"/>
      <c r="I773" s="156"/>
      <c r="J773" s="156"/>
      <c r="K773" s="156"/>
      <c r="L773" s="157"/>
      <c r="M773" s="156"/>
      <c r="N773" s="156"/>
      <c r="O773" s="156"/>
      <c r="P773" s="156"/>
      <c r="Q773" s="156"/>
      <c r="R773" s="156"/>
      <c r="S773" s="156"/>
      <c r="T773" s="156"/>
      <c r="U773" s="156"/>
      <c r="V773" s="156"/>
      <c r="W773" s="156"/>
      <c r="X773" s="156"/>
      <c r="Y773" s="156"/>
      <c r="Z773" s="156"/>
      <c r="AA773" s="156"/>
      <c r="AB773" s="156"/>
      <c r="AC773" s="156"/>
    </row>
    <row r="774" spans="1:29" ht="13">
      <c r="A774" s="140"/>
      <c r="B774" s="140"/>
      <c r="C774" s="156"/>
      <c r="D774" s="156"/>
      <c r="E774" s="156"/>
      <c r="F774" s="156"/>
      <c r="G774" s="185"/>
      <c r="H774" s="156"/>
      <c r="I774" s="156"/>
      <c r="J774" s="156"/>
      <c r="K774" s="156"/>
      <c r="L774" s="157"/>
      <c r="M774" s="156"/>
      <c r="N774" s="156"/>
      <c r="O774" s="156"/>
      <c r="P774" s="156"/>
      <c r="Q774" s="156"/>
      <c r="R774" s="156"/>
      <c r="S774" s="156"/>
      <c r="T774" s="156"/>
      <c r="U774" s="156"/>
      <c r="V774" s="156"/>
      <c r="W774" s="156"/>
      <c r="X774" s="156"/>
      <c r="Y774" s="156"/>
      <c r="Z774" s="156"/>
      <c r="AA774" s="156"/>
      <c r="AB774" s="156"/>
      <c r="AC774" s="156"/>
    </row>
    <row r="775" spans="1:29" ht="13">
      <c r="A775" s="140"/>
      <c r="B775" s="140"/>
      <c r="C775" s="156"/>
      <c r="D775" s="156"/>
      <c r="E775" s="156"/>
      <c r="F775" s="156"/>
      <c r="G775" s="185"/>
      <c r="H775" s="156"/>
      <c r="I775" s="156"/>
      <c r="J775" s="156"/>
      <c r="K775" s="156"/>
      <c r="L775" s="157"/>
      <c r="M775" s="156"/>
      <c r="N775" s="156"/>
      <c r="O775" s="156"/>
      <c r="P775" s="156"/>
      <c r="Q775" s="156"/>
      <c r="R775" s="156"/>
      <c r="S775" s="156"/>
      <c r="T775" s="156"/>
      <c r="U775" s="156"/>
      <c r="V775" s="156"/>
      <c r="W775" s="156"/>
      <c r="X775" s="156"/>
      <c r="Y775" s="156"/>
      <c r="Z775" s="156"/>
      <c r="AA775" s="156"/>
      <c r="AB775" s="156"/>
      <c r="AC775" s="156"/>
    </row>
    <row r="776" spans="1:29" ht="13">
      <c r="A776" s="140"/>
      <c r="B776" s="140"/>
      <c r="C776" s="156"/>
      <c r="D776" s="156"/>
      <c r="E776" s="156"/>
      <c r="F776" s="156"/>
      <c r="G776" s="185"/>
      <c r="H776" s="156"/>
      <c r="I776" s="156"/>
      <c r="J776" s="156"/>
      <c r="K776" s="156"/>
      <c r="L776" s="157"/>
      <c r="M776" s="156"/>
      <c r="N776" s="156"/>
      <c r="O776" s="156"/>
      <c r="P776" s="156"/>
      <c r="Q776" s="156"/>
      <c r="R776" s="156"/>
      <c r="S776" s="156"/>
      <c r="T776" s="156"/>
      <c r="U776" s="156"/>
      <c r="V776" s="156"/>
      <c r="W776" s="156"/>
      <c r="X776" s="156"/>
      <c r="Y776" s="156"/>
      <c r="Z776" s="156"/>
      <c r="AA776" s="156"/>
      <c r="AB776" s="156"/>
      <c r="AC776" s="156"/>
    </row>
    <row r="777" spans="1:29" ht="13">
      <c r="A777" s="140"/>
      <c r="B777" s="140"/>
      <c r="C777" s="156"/>
      <c r="D777" s="156"/>
      <c r="E777" s="156"/>
      <c r="F777" s="156"/>
      <c r="G777" s="185"/>
      <c r="H777" s="156"/>
      <c r="I777" s="156"/>
      <c r="J777" s="156"/>
      <c r="K777" s="156"/>
      <c r="L777" s="157"/>
      <c r="M777" s="156"/>
      <c r="N777" s="156"/>
      <c r="O777" s="156"/>
      <c r="P777" s="156"/>
      <c r="Q777" s="156"/>
      <c r="R777" s="156"/>
      <c r="S777" s="156"/>
      <c r="T777" s="156"/>
      <c r="U777" s="156"/>
      <c r="V777" s="156"/>
      <c r="W777" s="156"/>
      <c r="X777" s="156"/>
      <c r="Y777" s="156"/>
      <c r="Z777" s="156"/>
      <c r="AA777" s="156"/>
      <c r="AB777" s="156"/>
      <c r="AC777" s="156"/>
    </row>
    <row r="778" spans="1:29" ht="13">
      <c r="A778" s="140"/>
      <c r="B778" s="140"/>
      <c r="C778" s="156"/>
      <c r="D778" s="156"/>
      <c r="E778" s="156"/>
      <c r="F778" s="156"/>
      <c r="G778" s="185"/>
      <c r="H778" s="156"/>
      <c r="I778" s="156"/>
      <c r="J778" s="156"/>
      <c r="K778" s="156"/>
      <c r="L778" s="157"/>
      <c r="M778" s="156"/>
      <c r="N778" s="156"/>
      <c r="O778" s="156"/>
      <c r="P778" s="156"/>
      <c r="Q778" s="156"/>
      <c r="R778" s="156"/>
      <c r="S778" s="156"/>
      <c r="T778" s="156"/>
      <c r="U778" s="156"/>
      <c r="V778" s="156"/>
      <c r="W778" s="156"/>
      <c r="X778" s="156"/>
      <c r="Y778" s="156"/>
      <c r="Z778" s="156"/>
      <c r="AA778" s="156"/>
      <c r="AB778" s="156"/>
      <c r="AC778" s="156"/>
    </row>
    <row r="779" spans="1:29" ht="13">
      <c r="A779" s="140"/>
      <c r="B779" s="140"/>
      <c r="C779" s="156"/>
      <c r="D779" s="156"/>
      <c r="E779" s="156"/>
      <c r="F779" s="156"/>
      <c r="G779" s="185"/>
      <c r="H779" s="156"/>
      <c r="I779" s="156"/>
      <c r="J779" s="156"/>
      <c r="K779" s="156"/>
      <c r="L779" s="157"/>
      <c r="M779" s="156"/>
      <c r="N779" s="156"/>
      <c r="O779" s="156"/>
      <c r="P779" s="156"/>
      <c r="Q779" s="156"/>
      <c r="R779" s="156"/>
      <c r="S779" s="156"/>
      <c r="T779" s="156"/>
      <c r="U779" s="156"/>
      <c r="V779" s="156"/>
      <c r="W779" s="156"/>
      <c r="X779" s="156"/>
      <c r="Y779" s="156"/>
      <c r="Z779" s="156"/>
      <c r="AA779" s="156"/>
      <c r="AB779" s="156"/>
      <c r="AC779" s="156"/>
    </row>
    <row r="780" spans="1:29" ht="13">
      <c r="A780" s="140"/>
      <c r="B780" s="140"/>
      <c r="C780" s="156"/>
      <c r="D780" s="156"/>
      <c r="E780" s="156"/>
      <c r="F780" s="156"/>
      <c r="G780" s="185"/>
      <c r="H780" s="156"/>
      <c r="I780" s="156"/>
      <c r="J780" s="156"/>
      <c r="K780" s="156"/>
      <c r="L780" s="157"/>
      <c r="M780" s="156"/>
      <c r="N780" s="156"/>
      <c r="O780" s="156"/>
      <c r="P780" s="156"/>
      <c r="Q780" s="156"/>
      <c r="R780" s="156"/>
      <c r="S780" s="156"/>
      <c r="T780" s="156"/>
      <c r="U780" s="156"/>
      <c r="V780" s="156"/>
      <c r="W780" s="156"/>
      <c r="X780" s="156"/>
      <c r="Y780" s="156"/>
      <c r="Z780" s="156"/>
      <c r="AA780" s="156"/>
      <c r="AB780" s="156"/>
      <c r="AC780" s="156"/>
    </row>
    <row r="781" spans="1:29" ht="13">
      <c r="A781" s="140"/>
      <c r="B781" s="140"/>
      <c r="C781" s="156"/>
      <c r="D781" s="156"/>
      <c r="E781" s="156"/>
      <c r="F781" s="156"/>
      <c r="G781" s="185"/>
      <c r="H781" s="156"/>
      <c r="I781" s="156"/>
      <c r="J781" s="156"/>
      <c r="K781" s="156"/>
      <c r="L781" s="157"/>
      <c r="M781" s="156"/>
      <c r="N781" s="156"/>
      <c r="O781" s="156"/>
      <c r="P781" s="156"/>
      <c r="Q781" s="156"/>
      <c r="R781" s="156"/>
      <c r="S781" s="156"/>
      <c r="T781" s="156"/>
      <c r="U781" s="156"/>
      <c r="V781" s="156"/>
      <c r="W781" s="156"/>
      <c r="X781" s="156"/>
      <c r="Y781" s="156"/>
      <c r="Z781" s="156"/>
      <c r="AA781" s="156"/>
      <c r="AB781" s="156"/>
      <c r="AC781" s="156"/>
    </row>
    <row r="782" spans="1:29" ht="13">
      <c r="A782" s="140"/>
      <c r="B782" s="140"/>
      <c r="C782" s="156"/>
      <c r="D782" s="156"/>
      <c r="E782" s="156"/>
      <c r="F782" s="156"/>
      <c r="G782" s="185"/>
      <c r="H782" s="156"/>
      <c r="I782" s="156"/>
      <c r="J782" s="156"/>
      <c r="K782" s="156"/>
      <c r="L782" s="157"/>
      <c r="M782" s="156"/>
      <c r="N782" s="156"/>
      <c r="O782" s="156"/>
      <c r="P782" s="156"/>
      <c r="Q782" s="156"/>
      <c r="R782" s="156"/>
      <c r="S782" s="156"/>
      <c r="T782" s="156"/>
      <c r="U782" s="156"/>
      <c r="V782" s="156"/>
      <c r="W782" s="156"/>
      <c r="X782" s="156"/>
      <c r="Y782" s="156"/>
      <c r="Z782" s="156"/>
      <c r="AA782" s="156"/>
      <c r="AB782" s="156"/>
      <c r="AC782" s="156"/>
    </row>
    <row r="783" spans="1:29" ht="13">
      <c r="A783" s="140"/>
      <c r="B783" s="140"/>
      <c r="C783" s="156"/>
      <c r="D783" s="156"/>
      <c r="E783" s="156"/>
      <c r="F783" s="156"/>
      <c r="G783" s="185"/>
      <c r="H783" s="156"/>
      <c r="I783" s="156"/>
      <c r="J783" s="156"/>
      <c r="K783" s="156"/>
      <c r="L783" s="157"/>
      <c r="M783" s="156"/>
      <c r="N783" s="156"/>
      <c r="O783" s="156"/>
      <c r="P783" s="156"/>
      <c r="Q783" s="156"/>
      <c r="R783" s="156"/>
      <c r="S783" s="156"/>
      <c r="T783" s="156"/>
      <c r="U783" s="156"/>
      <c r="V783" s="156"/>
      <c r="W783" s="156"/>
      <c r="X783" s="156"/>
      <c r="Y783" s="156"/>
      <c r="Z783" s="156"/>
      <c r="AA783" s="156"/>
      <c r="AB783" s="156"/>
      <c r="AC783" s="156"/>
    </row>
    <row r="784" spans="1:29" ht="13">
      <c r="A784" s="140"/>
      <c r="B784" s="140"/>
      <c r="C784" s="156"/>
      <c r="D784" s="156"/>
      <c r="E784" s="156"/>
      <c r="F784" s="156"/>
      <c r="G784" s="185"/>
      <c r="H784" s="156"/>
      <c r="I784" s="156"/>
      <c r="J784" s="156"/>
      <c r="K784" s="156"/>
      <c r="L784" s="157"/>
      <c r="M784" s="156"/>
      <c r="N784" s="156"/>
      <c r="O784" s="156"/>
      <c r="P784" s="156"/>
      <c r="Q784" s="156"/>
      <c r="R784" s="156"/>
      <c r="S784" s="156"/>
      <c r="T784" s="156"/>
      <c r="U784" s="156"/>
      <c r="V784" s="156"/>
      <c r="W784" s="156"/>
      <c r="X784" s="156"/>
      <c r="Y784" s="156"/>
      <c r="Z784" s="156"/>
      <c r="AA784" s="156"/>
      <c r="AB784" s="156"/>
      <c r="AC784" s="156"/>
    </row>
    <row r="785" spans="1:29" ht="13">
      <c r="A785" s="140"/>
      <c r="B785" s="140"/>
      <c r="C785" s="156"/>
      <c r="D785" s="156"/>
      <c r="E785" s="156"/>
      <c r="F785" s="156"/>
      <c r="G785" s="185"/>
      <c r="H785" s="156"/>
      <c r="I785" s="156"/>
      <c r="J785" s="156"/>
      <c r="K785" s="156"/>
      <c r="L785" s="157"/>
      <c r="M785" s="156"/>
      <c r="N785" s="156"/>
      <c r="O785" s="156"/>
      <c r="P785" s="156"/>
      <c r="Q785" s="156"/>
      <c r="R785" s="156"/>
      <c r="S785" s="156"/>
      <c r="T785" s="156"/>
      <c r="U785" s="156"/>
      <c r="V785" s="156"/>
      <c r="W785" s="156"/>
      <c r="X785" s="156"/>
      <c r="Y785" s="156"/>
      <c r="Z785" s="156"/>
      <c r="AA785" s="156"/>
      <c r="AB785" s="156"/>
      <c r="AC785" s="156"/>
    </row>
    <row r="786" spans="1:29" ht="13">
      <c r="A786" s="140"/>
      <c r="B786" s="140"/>
      <c r="C786" s="156"/>
      <c r="D786" s="156"/>
      <c r="E786" s="156"/>
      <c r="F786" s="156"/>
      <c r="G786" s="185"/>
      <c r="H786" s="156"/>
      <c r="I786" s="156"/>
      <c r="J786" s="156"/>
      <c r="K786" s="156"/>
      <c r="L786" s="157"/>
      <c r="M786" s="156"/>
      <c r="N786" s="156"/>
      <c r="O786" s="156"/>
      <c r="P786" s="156"/>
      <c r="Q786" s="156"/>
      <c r="R786" s="156"/>
      <c r="S786" s="156"/>
      <c r="T786" s="156"/>
      <c r="U786" s="156"/>
      <c r="V786" s="156"/>
      <c r="W786" s="156"/>
      <c r="X786" s="156"/>
      <c r="Y786" s="156"/>
      <c r="Z786" s="156"/>
      <c r="AA786" s="156"/>
      <c r="AB786" s="156"/>
      <c r="AC786" s="156"/>
    </row>
    <row r="787" spans="1:29" ht="13">
      <c r="A787" s="140"/>
      <c r="B787" s="140"/>
      <c r="C787" s="156"/>
      <c r="D787" s="156"/>
      <c r="E787" s="156"/>
      <c r="F787" s="156"/>
      <c r="G787" s="185"/>
      <c r="H787" s="156"/>
      <c r="I787" s="156"/>
      <c r="J787" s="156"/>
      <c r="K787" s="156"/>
      <c r="L787" s="157"/>
      <c r="M787" s="156"/>
      <c r="N787" s="156"/>
      <c r="O787" s="156"/>
      <c r="P787" s="156"/>
      <c r="Q787" s="156"/>
      <c r="R787" s="156"/>
      <c r="S787" s="156"/>
      <c r="T787" s="156"/>
      <c r="U787" s="156"/>
      <c r="V787" s="156"/>
      <c r="W787" s="156"/>
      <c r="X787" s="156"/>
      <c r="Y787" s="156"/>
      <c r="Z787" s="156"/>
      <c r="AA787" s="156"/>
      <c r="AB787" s="156"/>
      <c r="AC787" s="156"/>
    </row>
    <row r="788" spans="1:29" ht="13">
      <c r="A788" s="140"/>
      <c r="B788" s="140"/>
      <c r="C788" s="156"/>
      <c r="D788" s="156"/>
      <c r="E788" s="156"/>
      <c r="F788" s="156"/>
      <c r="G788" s="185"/>
      <c r="H788" s="156"/>
      <c r="I788" s="156"/>
      <c r="J788" s="156"/>
      <c r="K788" s="156"/>
      <c r="L788" s="157"/>
      <c r="M788" s="156"/>
      <c r="N788" s="156"/>
      <c r="O788" s="156"/>
      <c r="P788" s="156"/>
      <c r="Q788" s="156"/>
      <c r="R788" s="156"/>
      <c r="S788" s="156"/>
      <c r="T788" s="156"/>
      <c r="U788" s="156"/>
      <c r="V788" s="156"/>
      <c r="W788" s="156"/>
      <c r="X788" s="156"/>
      <c r="Y788" s="156"/>
      <c r="Z788" s="156"/>
      <c r="AA788" s="156"/>
      <c r="AB788" s="156"/>
      <c r="AC788" s="156"/>
    </row>
    <row r="789" spans="1:29" ht="13">
      <c r="A789" s="140"/>
      <c r="B789" s="140"/>
      <c r="C789" s="156"/>
      <c r="D789" s="156"/>
      <c r="E789" s="156"/>
      <c r="F789" s="156"/>
      <c r="G789" s="185"/>
      <c r="H789" s="156"/>
      <c r="I789" s="156"/>
      <c r="J789" s="156"/>
      <c r="K789" s="156"/>
      <c r="L789" s="157"/>
      <c r="M789" s="156"/>
      <c r="N789" s="156"/>
      <c r="O789" s="156"/>
      <c r="P789" s="156"/>
      <c r="Q789" s="156"/>
      <c r="R789" s="156"/>
      <c r="S789" s="156"/>
      <c r="T789" s="156"/>
      <c r="U789" s="156"/>
      <c r="V789" s="156"/>
      <c r="W789" s="156"/>
      <c r="X789" s="156"/>
      <c r="Y789" s="156"/>
      <c r="Z789" s="156"/>
      <c r="AA789" s="156"/>
      <c r="AB789" s="156"/>
      <c r="AC789" s="156"/>
    </row>
    <row r="790" spans="1:29" ht="13">
      <c r="A790" s="140"/>
      <c r="B790" s="140"/>
      <c r="C790" s="156"/>
      <c r="D790" s="156"/>
      <c r="E790" s="156"/>
      <c r="F790" s="156"/>
      <c r="G790" s="185"/>
      <c r="H790" s="156"/>
      <c r="I790" s="156"/>
      <c r="J790" s="156"/>
      <c r="K790" s="156"/>
      <c r="L790" s="157"/>
      <c r="M790" s="156"/>
      <c r="N790" s="156"/>
      <c r="O790" s="156"/>
      <c r="P790" s="156"/>
      <c r="Q790" s="156"/>
      <c r="R790" s="156"/>
      <c r="S790" s="156"/>
      <c r="T790" s="156"/>
      <c r="U790" s="156"/>
      <c r="V790" s="156"/>
      <c r="W790" s="156"/>
      <c r="X790" s="156"/>
      <c r="Y790" s="156"/>
      <c r="Z790" s="156"/>
      <c r="AA790" s="156"/>
      <c r="AB790" s="156"/>
      <c r="AC790" s="156"/>
    </row>
    <row r="791" spans="1:29" ht="13">
      <c r="A791" s="140"/>
      <c r="B791" s="140"/>
      <c r="C791" s="156"/>
      <c r="D791" s="156"/>
      <c r="E791" s="156"/>
      <c r="F791" s="156"/>
      <c r="G791" s="185"/>
      <c r="H791" s="156"/>
      <c r="I791" s="156"/>
      <c r="J791" s="156"/>
      <c r="K791" s="156"/>
      <c r="L791" s="157"/>
      <c r="M791" s="156"/>
      <c r="N791" s="156"/>
      <c r="O791" s="156"/>
      <c r="P791" s="156"/>
      <c r="Q791" s="156"/>
      <c r="R791" s="156"/>
      <c r="S791" s="156"/>
      <c r="T791" s="156"/>
      <c r="U791" s="156"/>
      <c r="V791" s="156"/>
      <c r="W791" s="156"/>
      <c r="X791" s="156"/>
      <c r="Y791" s="156"/>
      <c r="Z791" s="156"/>
      <c r="AA791" s="156"/>
      <c r="AB791" s="156"/>
      <c r="AC791" s="156"/>
    </row>
    <row r="792" spans="1:29" ht="13">
      <c r="A792" s="140"/>
      <c r="B792" s="140"/>
      <c r="C792" s="156"/>
      <c r="D792" s="156"/>
      <c r="E792" s="156"/>
      <c r="F792" s="156"/>
      <c r="G792" s="185"/>
      <c r="H792" s="156"/>
      <c r="I792" s="156"/>
      <c r="J792" s="156"/>
      <c r="K792" s="156"/>
      <c r="L792" s="157"/>
      <c r="M792" s="156"/>
      <c r="N792" s="156"/>
      <c r="O792" s="156"/>
      <c r="P792" s="156"/>
      <c r="Q792" s="156"/>
      <c r="R792" s="156"/>
      <c r="S792" s="156"/>
      <c r="T792" s="156"/>
      <c r="U792" s="156"/>
      <c r="V792" s="156"/>
      <c r="W792" s="156"/>
      <c r="X792" s="156"/>
      <c r="Y792" s="156"/>
      <c r="Z792" s="156"/>
      <c r="AA792" s="156"/>
      <c r="AB792" s="156"/>
      <c r="AC792" s="156"/>
    </row>
    <row r="793" spans="1:29" ht="13">
      <c r="A793" s="140"/>
      <c r="B793" s="140"/>
      <c r="C793" s="156"/>
      <c r="D793" s="156"/>
      <c r="E793" s="156"/>
      <c r="F793" s="156"/>
      <c r="G793" s="185"/>
      <c r="H793" s="156"/>
      <c r="I793" s="156"/>
      <c r="J793" s="156"/>
      <c r="K793" s="156"/>
      <c r="L793" s="157"/>
      <c r="M793" s="156"/>
      <c r="N793" s="156"/>
      <c r="O793" s="156"/>
      <c r="P793" s="156"/>
      <c r="Q793" s="156"/>
      <c r="R793" s="156"/>
      <c r="S793" s="156"/>
      <c r="T793" s="156"/>
      <c r="U793" s="156"/>
      <c r="V793" s="156"/>
      <c r="W793" s="156"/>
      <c r="X793" s="156"/>
      <c r="Y793" s="156"/>
      <c r="Z793" s="156"/>
      <c r="AA793" s="156"/>
      <c r="AB793" s="156"/>
      <c r="AC793" s="156"/>
    </row>
    <row r="794" spans="1:29" ht="13">
      <c r="A794" s="140"/>
      <c r="B794" s="140"/>
      <c r="C794" s="156"/>
      <c r="D794" s="156"/>
      <c r="E794" s="156"/>
      <c r="F794" s="156"/>
      <c r="G794" s="185"/>
      <c r="H794" s="156"/>
      <c r="I794" s="156"/>
      <c r="J794" s="156"/>
      <c r="K794" s="156"/>
      <c r="L794" s="157"/>
      <c r="M794" s="156"/>
      <c r="N794" s="156"/>
      <c r="O794" s="156"/>
      <c r="P794" s="156"/>
      <c r="Q794" s="156"/>
      <c r="R794" s="156"/>
      <c r="S794" s="156"/>
      <c r="T794" s="156"/>
      <c r="U794" s="156"/>
      <c r="V794" s="156"/>
      <c r="W794" s="156"/>
      <c r="X794" s="156"/>
      <c r="Y794" s="156"/>
      <c r="Z794" s="156"/>
      <c r="AA794" s="156"/>
      <c r="AB794" s="156"/>
      <c r="AC794" s="156"/>
    </row>
    <row r="795" spans="1:29" ht="13">
      <c r="A795" s="140"/>
      <c r="B795" s="140"/>
      <c r="C795" s="156"/>
      <c r="D795" s="156"/>
      <c r="E795" s="156"/>
      <c r="F795" s="156"/>
      <c r="G795" s="185"/>
      <c r="H795" s="156"/>
      <c r="I795" s="156"/>
      <c r="J795" s="156"/>
      <c r="K795" s="156"/>
      <c r="L795" s="157"/>
      <c r="M795" s="156"/>
      <c r="N795" s="156"/>
      <c r="O795" s="156"/>
      <c r="P795" s="156"/>
      <c r="Q795" s="156"/>
      <c r="R795" s="156"/>
      <c r="S795" s="156"/>
      <c r="T795" s="156"/>
      <c r="U795" s="156"/>
      <c r="V795" s="156"/>
      <c r="W795" s="156"/>
      <c r="X795" s="156"/>
      <c r="Y795" s="156"/>
      <c r="Z795" s="156"/>
      <c r="AA795" s="156"/>
      <c r="AB795" s="156"/>
      <c r="AC795" s="156"/>
    </row>
    <row r="796" spans="1:29" ht="13">
      <c r="A796" s="140"/>
      <c r="B796" s="140"/>
      <c r="C796" s="156"/>
      <c r="D796" s="156"/>
      <c r="E796" s="156"/>
      <c r="F796" s="156"/>
      <c r="G796" s="185"/>
      <c r="H796" s="156"/>
      <c r="I796" s="156"/>
      <c r="J796" s="156"/>
      <c r="K796" s="156"/>
      <c r="L796" s="157"/>
      <c r="M796" s="156"/>
      <c r="N796" s="156"/>
      <c r="O796" s="156"/>
      <c r="P796" s="156"/>
      <c r="Q796" s="156"/>
      <c r="R796" s="156"/>
      <c r="S796" s="156"/>
      <c r="T796" s="156"/>
      <c r="U796" s="156"/>
      <c r="V796" s="156"/>
      <c r="W796" s="156"/>
      <c r="X796" s="156"/>
      <c r="Y796" s="156"/>
      <c r="Z796" s="156"/>
      <c r="AA796" s="156"/>
      <c r="AB796" s="156"/>
      <c r="AC796" s="156"/>
    </row>
    <row r="797" spans="1:29" ht="13">
      <c r="A797" s="140"/>
      <c r="B797" s="140"/>
      <c r="C797" s="156"/>
      <c r="D797" s="156"/>
      <c r="E797" s="156"/>
      <c r="F797" s="156"/>
      <c r="G797" s="185"/>
      <c r="H797" s="156"/>
      <c r="I797" s="156"/>
      <c r="J797" s="156"/>
      <c r="K797" s="156"/>
      <c r="L797" s="157"/>
      <c r="M797" s="156"/>
      <c r="N797" s="156"/>
      <c r="O797" s="156"/>
      <c r="P797" s="156"/>
      <c r="Q797" s="156"/>
      <c r="R797" s="156"/>
      <c r="S797" s="156"/>
      <c r="T797" s="156"/>
      <c r="U797" s="156"/>
      <c r="V797" s="156"/>
      <c r="W797" s="156"/>
      <c r="X797" s="156"/>
      <c r="Y797" s="156"/>
      <c r="Z797" s="156"/>
      <c r="AA797" s="156"/>
      <c r="AB797" s="156"/>
      <c r="AC797" s="156"/>
    </row>
    <row r="798" spans="1:29" ht="13">
      <c r="A798" s="140"/>
      <c r="B798" s="140"/>
      <c r="C798" s="156"/>
      <c r="D798" s="156"/>
      <c r="E798" s="156"/>
      <c r="F798" s="156"/>
      <c r="G798" s="185"/>
      <c r="H798" s="156"/>
      <c r="I798" s="156"/>
      <c r="J798" s="156"/>
      <c r="K798" s="156"/>
      <c r="L798" s="157"/>
      <c r="M798" s="156"/>
      <c r="N798" s="156"/>
      <c r="O798" s="156"/>
      <c r="P798" s="156"/>
      <c r="Q798" s="156"/>
      <c r="R798" s="156"/>
      <c r="S798" s="156"/>
      <c r="T798" s="156"/>
      <c r="U798" s="156"/>
      <c r="V798" s="156"/>
      <c r="W798" s="156"/>
      <c r="X798" s="156"/>
      <c r="Y798" s="156"/>
      <c r="Z798" s="156"/>
      <c r="AA798" s="156"/>
      <c r="AB798" s="156"/>
      <c r="AC798" s="156"/>
    </row>
    <row r="799" spans="1:29" ht="13">
      <c r="A799" s="140"/>
      <c r="B799" s="140"/>
      <c r="C799" s="156"/>
      <c r="D799" s="156"/>
      <c r="E799" s="156"/>
      <c r="F799" s="156"/>
      <c r="G799" s="185"/>
      <c r="H799" s="156"/>
      <c r="I799" s="156"/>
      <c r="J799" s="156"/>
      <c r="K799" s="156"/>
      <c r="L799" s="157"/>
      <c r="M799" s="156"/>
      <c r="N799" s="156"/>
      <c r="O799" s="156"/>
      <c r="P799" s="156"/>
      <c r="Q799" s="156"/>
      <c r="R799" s="156"/>
      <c r="S799" s="156"/>
      <c r="T799" s="156"/>
      <c r="U799" s="156"/>
      <c r="V799" s="156"/>
      <c r="W799" s="156"/>
      <c r="X799" s="156"/>
      <c r="Y799" s="156"/>
      <c r="Z799" s="156"/>
      <c r="AA799" s="156"/>
      <c r="AB799" s="156"/>
      <c r="AC799" s="156"/>
    </row>
    <row r="800" spans="1:29" ht="13">
      <c r="A800" s="140"/>
      <c r="B800" s="140"/>
      <c r="C800" s="156"/>
      <c r="D800" s="156"/>
      <c r="E800" s="156"/>
      <c r="F800" s="156"/>
      <c r="G800" s="185"/>
      <c r="H800" s="156"/>
      <c r="I800" s="156"/>
      <c r="J800" s="156"/>
      <c r="K800" s="156"/>
      <c r="L800" s="157"/>
      <c r="M800" s="156"/>
      <c r="N800" s="156"/>
      <c r="O800" s="156"/>
      <c r="P800" s="156"/>
      <c r="Q800" s="156"/>
      <c r="R800" s="156"/>
      <c r="S800" s="156"/>
      <c r="T800" s="156"/>
      <c r="U800" s="156"/>
      <c r="V800" s="156"/>
      <c r="W800" s="156"/>
      <c r="X800" s="156"/>
      <c r="Y800" s="156"/>
      <c r="Z800" s="156"/>
      <c r="AA800" s="156"/>
      <c r="AB800" s="156"/>
      <c r="AC800" s="156"/>
    </row>
    <row r="801" spans="1:29" ht="13">
      <c r="A801" s="140"/>
      <c r="B801" s="140"/>
      <c r="C801" s="156"/>
      <c r="D801" s="156"/>
      <c r="E801" s="156"/>
      <c r="F801" s="156"/>
      <c r="G801" s="185"/>
      <c r="H801" s="156"/>
      <c r="I801" s="156"/>
      <c r="J801" s="156"/>
      <c r="K801" s="156"/>
      <c r="L801" s="157"/>
      <c r="M801" s="156"/>
      <c r="N801" s="156"/>
      <c r="O801" s="156"/>
      <c r="P801" s="156"/>
      <c r="Q801" s="156"/>
      <c r="R801" s="156"/>
      <c r="S801" s="156"/>
      <c r="T801" s="156"/>
      <c r="U801" s="156"/>
      <c r="V801" s="156"/>
      <c r="W801" s="156"/>
      <c r="X801" s="156"/>
      <c r="Y801" s="156"/>
      <c r="Z801" s="156"/>
      <c r="AA801" s="156"/>
      <c r="AB801" s="156"/>
      <c r="AC801" s="156"/>
    </row>
    <row r="802" spans="1:29" ht="13">
      <c r="A802" s="140"/>
      <c r="B802" s="140"/>
      <c r="C802" s="156"/>
      <c r="D802" s="156"/>
      <c r="E802" s="156"/>
      <c r="F802" s="156"/>
      <c r="G802" s="185"/>
      <c r="H802" s="156"/>
      <c r="I802" s="156"/>
      <c r="J802" s="156"/>
      <c r="K802" s="156"/>
      <c r="L802" s="157"/>
      <c r="M802" s="156"/>
      <c r="N802" s="156"/>
      <c r="O802" s="156"/>
      <c r="P802" s="156"/>
      <c r="Q802" s="156"/>
      <c r="R802" s="156"/>
      <c r="S802" s="156"/>
      <c r="T802" s="156"/>
      <c r="U802" s="156"/>
      <c r="V802" s="156"/>
      <c r="W802" s="156"/>
      <c r="X802" s="156"/>
      <c r="Y802" s="156"/>
      <c r="Z802" s="156"/>
      <c r="AA802" s="156"/>
      <c r="AB802" s="156"/>
      <c r="AC802" s="156"/>
    </row>
    <row r="803" spans="1:29" ht="13">
      <c r="A803" s="140"/>
      <c r="B803" s="140"/>
      <c r="C803" s="156"/>
      <c r="D803" s="156"/>
      <c r="E803" s="156"/>
      <c r="F803" s="156"/>
      <c r="G803" s="185"/>
      <c r="H803" s="156"/>
      <c r="I803" s="156"/>
      <c r="J803" s="156"/>
      <c r="K803" s="156"/>
      <c r="L803" s="157"/>
      <c r="M803" s="156"/>
      <c r="N803" s="156"/>
      <c r="O803" s="156"/>
      <c r="P803" s="156"/>
      <c r="Q803" s="156"/>
      <c r="R803" s="156"/>
      <c r="S803" s="156"/>
      <c r="T803" s="156"/>
      <c r="U803" s="156"/>
      <c r="V803" s="156"/>
      <c r="W803" s="156"/>
      <c r="X803" s="156"/>
      <c r="Y803" s="156"/>
      <c r="Z803" s="156"/>
      <c r="AA803" s="156"/>
      <c r="AB803" s="156"/>
      <c r="AC803" s="156"/>
    </row>
    <row r="804" spans="1:29" ht="13">
      <c r="A804" s="140"/>
      <c r="B804" s="140"/>
      <c r="C804" s="156"/>
      <c r="D804" s="156"/>
      <c r="E804" s="156"/>
      <c r="F804" s="156"/>
      <c r="G804" s="185"/>
      <c r="H804" s="156"/>
      <c r="I804" s="156"/>
      <c r="J804" s="156"/>
      <c r="K804" s="156"/>
      <c r="L804" s="157"/>
      <c r="M804" s="156"/>
      <c r="N804" s="156"/>
      <c r="O804" s="156"/>
      <c r="P804" s="156"/>
      <c r="Q804" s="156"/>
      <c r="R804" s="156"/>
      <c r="S804" s="156"/>
      <c r="T804" s="156"/>
      <c r="U804" s="156"/>
      <c r="V804" s="156"/>
      <c r="W804" s="156"/>
      <c r="X804" s="156"/>
      <c r="Y804" s="156"/>
      <c r="Z804" s="156"/>
      <c r="AA804" s="156"/>
      <c r="AB804" s="156"/>
      <c r="AC804" s="156"/>
    </row>
    <row r="805" spans="1:29" ht="13">
      <c r="A805" s="140"/>
      <c r="B805" s="140"/>
      <c r="C805" s="156"/>
      <c r="D805" s="156"/>
      <c r="E805" s="156"/>
      <c r="F805" s="156"/>
      <c r="G805" s="185"/>
      <c r="H805" s="156"/>
      <c r="I805" s="156"/>
      <c r="J805" s="156"/>
      <c r="K805" s="156"/>
      <c r="L805" s="157"/>
      <c r="M805" s="156"/>
      <c r="N805" s="156"/>
      <c r="O805" s="156"/>
      <c r="P805" s="156"/>
      <c r="Q805" s="156"/>
      <c r="R805" s="156"/>
      <c r="S805" s="156"/>
      <c r="T805" s="156"/>
      <c r="U805" s="156"/>
      <c r="V805" s="156"/>
      <c r="W805" s="156"/>
      <c r="X805" s="156"/>
      <c r="Y805" s="156"/>
      <c r="Z805" s="156"/>
      <c r="AA805" s="156"/>
      <c r="AB805" s="156"/>
      <c r="AC805" s="156"/>
    </row>
    <row r="806" spans="1:29" ht="13">
      <c r="A806" s="140"/>
      <c r="B806" s="140"/>
      <c r="C806" s="156"/>
      <c r="D806" s="156"/>
      <c r="E806" s="156"/>
      <c r="F806" s="156"/>
      <c r="G806" s="185"/>
      <c r="H806" s="156"/>
      <c r="I806" s="156"/>
      <c r="J806" s="156"/>
      <c r="K806" s="156"/>
      <c r="L806" s="157"/>
      <c r="M806" s="156"/>
      <c r="N806" s="156"/>
      <c r="O806" s="156"/>
      <c r="P806" s="156"/>
      <c r="Q806" s="156"/>
      <c r="R806" s="156"/>
      <c r="S806" s="156"/>
      <c r="T806" s="156"/>
      <c r="U806" s="156"/>
      <c r="V806" s="156"/>
      <c r="W806" s="156"/>
      <c r="X806" s="156"/>
      <c r="Y806" s="156"/>
      <c r="Z806" s="156"/>
      <c r="AA806" s="156"/>
      <c r="AB806" s="156"/>
      <c r="AC806" s="156"/>
    </row>
    <row r="807" spans="1:29" ht="13">
      <c r="A807" s="140"/>
      <c r="B807" s="140"/>
      <c r="C807" s="156"/>
      <c r="D807" s="156"/>
      <c r="E807" s="156"/>
      <c r="F807" s="156"/>
      <c r="G807" s="185"/>
      <c r="H807" s="156"/>
      <c r="I807" s="156"/>
      <c r="J807" s="156"/>
      <c r="K807" s="156"/>
      <c r="L807" s="157"/>
      <c r="M807" s="156"/>
      <c r="N807" s="156"/>
      <c r="O807" s="156"/>
      <c r="P807" s="156"/>
      <c r="Q807" s="156"/>
      <c r="R807" s="156"/>
      <c r="S807" s="156"/>
      <c r="T807" s="156"/>
      <c r="U807" s="156"/>
      <c r="V807" s="156"/>
      <c r="W807" s="156"/>
      <c r="X807" s="156"/>
      <c r="Y807" s="156"/>
      <c r="Z807" s="156"/>
      <c r="AA807" s="156"/>
      <c r="AB807" s="156"/>
      <c r="AC807" s="156"/>
    </row>
    <row r="808" spans="1:29" ht="13">
      <c r="A808" s="140"/>
      <c r="B808" s="140"/>
      <c r="C808" s="156"/>
      <c r="D808" s="156"/>
      <c r="E808" s="156"/>
      <c r="F808" s="156"/>
      <c r="G808" s="185"/>
      <c r="H808" s="156"/>
      <c r="I808" s="156"/>
      <c r="J808" s="156"/>
      <c r="K808" s="156"/>
      <c r="L808" s="157"/>
      <c r="M808" s="156"/>
      <c r="N808" s="156"/>
      <c r="O808" s="156"/>
      <c r="P808" s="156"/>
      <c r="Q808" s="156"/>
      <c r="R808" s="156"/>
      <c r="S808" s="156"/>
      <c r="T808" s="156"/>
      <c r="U808" s="156"/>
      <c r="V808" s="156"/>
      <c r="W808" s="156"/>
      <c r="X808" s="156"/>
      <c r="Y808" s="156"/>
      <c r="Z808" s="156"/>
      <c r="AA808" s="156"/>
      <c r="AB808" s="156"/>
      <c r="AC808" s="156"/>
    </row>
    <row r="809" spans="1:29" ht="13">
      <c r="A809" s="140"/>
      <c r="B809" s="140"/>
      <c r="C809" s="156"/>
      <c r="D809" s="156"/>
      <c r="E809" s="156"/>
      <c r="F809" s="156"/>
      <c r="G809" s="185"/>
      <c r="H809" s="156"/>
      <c r="I809" s="156"/>
      <c r="J809" s="156"/>
      <c r="K809" s="156"/>
      <c r="L809" s="157"/>
      <c r="M809" s="156"/>
      <c r="N809" s="156"/>
      <c r="O809" s="156"/>
      <c r="P809" s="156"/>
      <c r="Q809" s="156"/>
      <c r="R809" s="156"/>
      <c r="S809" s="156"/>
      <c r="T809" s="156"/>
      <c r="U809" s="156"/>
      <c r="V809" s="156"/>
      <c r="W809" s="156"/>
      <c r="X809" s="156"/>
      <c r="Y809" s="156"/>
      <c r="Z809" s="156"/>
      <c r="AA809" s="156"/>
      <c r="AB809" s="156"/>
      <c r="AC809" s="156"/>
    </row>
    <row r="810" spans="1:29" ht="13">
      <c r="A810" s="140"/>
      <c r="B810" s="140"/>
      <c r="C810" s="156"/>
      <c r="D810" s="156"/>
      <c r="E810" s="156"/>
      <c r="F810" s="156"/>
      <c r="G810" s="185"/>
      <c r="H810" s="156"/>
      <c r="I810" s="156"/>
      <c r="J810" s="156"/>
      <c r="K810" s="156"/>
      <c r="L810" s="157"/>
      <c r="M810" s="156"/>
      <c r="N810" s="156"/>
      <c r="O810" s="156"/>
      <c r="P810" s="156"/>
      <c r="Q810" s="156"/>
      <c r="R810" s="156"/>
      <c r="S810" s="156"/>
      <c r="T810" s="156"/>
      <c r="U810" s="156"/>
      <c r="V810" s="156"/>
      <c r="W810" s="156"/>
      <c r="X810" s="156"/>
      <c r="Y810" s="156"/>
      <c r="Z810" s="156"/>
      <c r="AA810" s="156"/>
      <c r="AB810" s="156"/>
      <c r="AC810" s="156"/>
    </row>
    <row r="811" spans="1:29" ht="13">
      <c r="A811" s="140"/>
      <c r="B811" s="140"/>
      <c r="C811" s="156"/>
      <c r="D811" s="156"/>
      <c r="E811" s="156"/>
      <c r="F811" s="156"/>
      <c r="G811" s="185"/>
      <c r="H811" s="156"/>
      <c r="I811" s="156"/>
      <c r="J811" s="156"/>
      <c r="K811" s="156"/>
      <c r="L811" s="157"/>
      <c r="M811" s="156"/>
      <c r="N811" s="156"/>
      <c r="O811" s="156"/>
      <c r="P811" s="156"/>
      <c r="Q811" s="156"/>
      <c r="R811" s="156"/>
      <c r="S811" s="156"/>
      <c r="T811" s="156"/>
      <c r="U811" s="156"/>
      <c r="V811" s="156"/>
      <c r="W811" s="156"/>
      <c r="X811" s="156"/>
      <c r="Y811" s="156"/>
      <c r="Z811" s="156"/>
      <c r="AA811" s="156"/>
      <c r="AB811" s="156"/>
      <c r="AC811" s="156"/>
    </row>
    <row r="812" spans="1:29" ht="13">
      <c r="A812" s="140"/>
      <c r="B812" s="140"/>
      <c r="C812" s="156"/>
      <c r="D812" s="156"/>
      <c r="E812" s="156"/>
      <c r="F812" s="156"/>
      <c r="G812" s="185"/>
      <c r="H812" s="156"/>
      <c r="I812" s="156"/>
      <c r="J812" s="156"/>
      <c r="K812" s="156"/>
      <c r="L812" s="157"/>
      <c r="M812" s="156"/>
      <c r="N812" s="156"/>
      <c r="O812" s="156"/>
      <c r="P812" s="156"/>
      <c r="Q812" s="156"/>
      <c r="R812" s="156"/>
      <c r="S812" s="156"/>
      <c r="T812" s="156"/>
      <c r="U812" s="156"/>
      <c r="V812" s="156"/>
      <c r="W812" s="156"/>
      <c r="X812" s="156"/>
      <c r="Y812" s="156"/>
      <c r="Z812" s="156"/>
      <c r="AA812" s="156"/>
      <c r="AB812" s="156"/>
      <c r="AC812" s="156"/>
    </row>
    <row r="813" spans="1:29" ht="13">
      <c r="A813" s="140"/>
      <c r="B813" s="140"/>
      <c r="C813" s="156"/>
      <c r="D813" s="156"/>
      <c r="E813" s="156"/>
      <c r="F813" s="156"/>
      <c r="G813" s="185"/>
      <c r="H813" s="156"/>
      <c r="I813" s="156"/>
      <c r="J813" s="156"/>
      <c r="K813" s="156"/>
      <c r="L813" s="157"/>
      <c r="M813" s="156"/>
      <c r="N813" s="156"/>
      <c r="O813" s="156"/>
      <c r="P813" s="156"/>
      <c r="Q813" s="156"/>
      <c r="R813" s="156"/>
      <c r="S813" s="156"/>
      <c r="T813" s="156"/>
      <c r="U813" s="156"/>
      <c r="V813" s="156"/>
      <c r="W813" s="156"/>
      <c r="X813" s="156"/>
      <c r="Y813" s="156"/>
      <c r="Z813" s="156"/>
      <c r="AA813" s="156"/>
      <c r="AB813" s="156"/>
      <c r="AC813" s="156"/>
    </row>
    <row r="814" spans="1:29" ht="13">
      <c r="A814" s="140"/>
      <c r="B814" s="140"/>
      <c r="C814" s="156"/>
      <c r="D814" s="156"/>
      <c r="E814" s="156"/>
      <c r="F814" s="156"/>
      <c r="G814" s="185"/>
      <c r="H814" s="156"/>
      <c r="I814" s="156"/>
      <c r="J814" s="156"/>
      <c r="K814" s="156"/>
      <c r="L814" s="157"/>
      <c r="M814" s="156"/>
      <c r="N814" s="156"/>
      <c r="O814" s="156"/>
      <c r="P814" s="156"/>
      <c r="Q814" s="156"/>
      <c r="R814" s="156"/>
      <c r="S814" s="156"/>
      <c r="T814" s="156"/>
      <c r="U814" s="156"/>
      <c r="V814" s="156"/>
      <c r="W814" s="156"/>
      <c r="X814" s="156"/>
      <c r="Y814" s="156"/>
      <c r="Z814" s="156"/>
      <c r="AA814" s="156"/>
      <c r="AB814" s="156"/>
      <c r="AC814" s="156"/>
    </row>
    <row r="815" spans="1:29" ht="13">
      <c r="A815" s="140"/>
      <c r="B815" s="140"/>
      <c r="C815" s="156"/>
      <c r="D815" s="156"/>
      <c r="E815" s="156"/>
      <c r="F815" s="156"/>
      <c r="G815" s="185"/>
      <c r="H815" s="156"/>
      <c r="I815" s="156"/>
      <c r="J815" s="156"/>
      <c r="K815" s="156"/>
      <c r="L815" s="157"/>
      <c r="M815" s="156"/>
      <c r="N815" s="156"/>
      <c r="O815" s="156"/>
      <c r="P815" s="156"/>
      <c r="Q815" s="156"/>
      <c r="R815" s="156"/>
      <c r="S815" s="156"/>
      <c r="T815" s="156"/>
      <c r="U815" s="156"/>
      <c r="V815" s="156"/>
      <c r="W815" s="156"/>
      <c r="X815" s="156"/>
      <c r="Y815" s="156"/>
      <c r="Z815" s="156"/>
      <c r="AA815" s="156"/>
      <c r="AB815" s="156"/>
      <c r="AC815" s="156"/>
    </row>
    <row r="816" spans="1:29" ht="13">
      <c r="A816" s="140"/>
      <c r="B816" s="140"/>
      <c r="C816" s="156"/>
      <c r="D816" s="156"/>
      <c r="E816" s="156"/>
      <c r="F816" s="156"/>
      <c r="G816" s="185"/>
      <c r="H816" s="156"/>
      <c r="I816" s="156"/>
      <c r="J816" s="156"/>
      <c r="K816" s="156"/>
      <c r="L816" s="157"/>
      <c r="M816" s="156"/>
      <c r="N816" s="156"/>
      <c r="O816" s="156"/>
      <c r="P816" s="156"/>
      <c r="Q816" s="156"/>
      <c r="R816" s="156"/>
      <c r="S816" s="156"/>
      <c r="T816" s="156"/>
      <c r="U816" s="156"/>
      <c r="V816" s="156"/>
      <c r="W816" s="156"/>
      <c r="X816" s="156"/>
      <c r="Y816" s="156"/>
      <c r="Z816" s="156"/>
      <c r="AA816" s="156"/>
      <c r="AB816" s="156"/>
      <c r="AC816" s="156"/>
    </row>
    <row r="817" spans="1:29" ht="13">
      <c r="A817" s="140"/>
      <c r="B817" s="140"/>
      <c r="C817" s="156"/>
      <c r="D817" s="156"/>
      <c r="E817" s="156"/>
      <c r="F817" s="156"/>
      <c r="G817" s="185"/>
      <c r="H817" s="156"/>
      <c r="I817" s="156"/>
      <c r="J817" s="156"/>
      <c r="K817" s="156"/>
      <c r="L817" s="157"/>
      <c r="M817" s="156"/>
      <c r="N817" s="156"/>
      <c r="O817" s="156"/>
      <c r="P817" s="156"/>
      <c r="Q817" s="156"/>
      <c r="R817" s="156"/>
      <c r="S817" s="156"/>
      <c r="T817" s="156"/>
      <c r="U817" s="156"/>
      <c r="V817" s="156"/>
      <c r="W817" s="156"/>
      <c r="X817" s="156"/>
      <c r="Y817" s="156"/>
      <c r="Z817" s="156"/>
      <c r="AA817" s="156"/>
      <c r="AB817" s="156"/>
      <c r="AC817" s="156"/>
    </row>
    <row r="818" spans="1:29" ht="13">
      <c r="A818" s="140"/>
      <c r="B818" s="140"/>
      <c r="C818" s="156"/>
      <c r="D818" s="156"/>
      <c r="E818" s="156"/>
      <c r="F818" s="156"/>
      <c r="G818" s="185"/>
      <c r="H818" s="156"/>
      <c r="I818" s="156"/>
      <c r="J818" s="156"/>
      <c r="K818" s="156"/>
      <c r="L818" s="157"/>
      <c r="M818" s="156"/>
      <c r="N818" s="156"/>
      <c r="O818" s="156"/>
      <c r="P818" s="156"/>
      <c r="Q818" s="156"/>
      <c r="R818" s="156"/>
      <c r="S818" s="156"/>
      <c r="T818" s="156"/>
      <c r="U818" s="156"/>
      <c r="V818" s="156"/>
      <c r="W818" s="156"/>
      <c r="X818" s="156"/>
      <c r="Y818" s="156"/>
      <c r="Z818" s="156"/>
      <c r="AA818" s="156"/>
      <c r="AB818" s="156"/>
      <c r="AC818" s="156"/>
    </row>
    <row r="819" spans="1:29" ht="13">
      <c r="A819" s="140"/>
      <c r="B819" s="140"/>
      <c r="C819" s="156"/>
      <c r="D819" s="156"/>
      <c r="E819" s="156"/>
      <c r="F819" s="156"/>
      <c r="G819" s="185"/>
      <c r="H819" s="156"/>
      <c r="I819" s="156"/>
      <c r="J819" s="156"/>
      <c r="K819" s="156"/>
      <c r="L819" s="157"/>
      <c r="M819" s="156"/>
      <c r="N819" s="156"/>
      <c r="O819" s="156"/>
      <c r="P819" s="156"/>
      <c r="Q819" s="156"/>
      <c r="R819" s="156"/>
      <c r="S819" s="156"/>
      <c r="T819" s="156"/>
      <c r="U819" s="156"/>
      <c r="V819" s="156"/>
      <c r="W819" s="156"/>
      <c r="X819" s="156"/>
      <c r="Y819" s="156"/>
      <c r="Z819" s="156"/>
      <c r="AA819" s="156"/>
      <c r="AB819" s="156"/>
      <c r="AC819" s="156"/>
    </row>
    <row r="820" spans="1:29" ht="13">
      <c r="A820" s="140"/>
      <c r="B820" s="140"/>
      <c r="C820" s="156"/>
      <c r="D820" s="156"/>
      <c r="E820" s="156"/>
      <c r="F820" s="156"/>
      <c r="G820" s="185"/>
      <c r="H820" s="156"/>
      <c r="I820" s="156"/>
      <c r="J820" s="156"/>
      <c r="K820" s="156"/>
      <c r="L820" s="157"/>
      <c r="M820" s="156"/>
      <c r="N820" s="156"/>
      <c r="O820" s="156"/>
      <c r="P820" s="156"/>
      <c r="Q820" s="156"/>
      <c r="R820" s="156"/>
      <c r="S820" s="156"/>
      <c r="T820" s="156"/>
      <c r="U820" s="156"/>
      <c r="V820" s="156"/>
      <c r="W820" s="156"/>
      <c r="X820" s="156"/>
      <c r="Y820" s="156"/>
      <c r="Z820" s="156"/>
      <c r="AA820" s="156"/>
      <c r="AB820" s="156"/>
      <c r="AC820" s="156"/>
    </row>
    <row r="821" spans="1:29" ht="13">
      <c r="A821" s="140"/>
      <c r="B821" s="140"/>
      <c r="C821" s="156"/>
      <c r="D821" s="156"/>
      <c r="E821" s="156"/>
      <c r="F821" s="156"/>
      <c r="G821" s="185"/>
      <c r="H821" s="156"/>
      <c r="I821" s="156"/>
      <c r="J821" s="156"/>
      <c r="K821" s="156"/>
      <c r="L821" s="157"/>
      <c r="M821" s="156"/>
      <c r="N821" s="156"/>
      <c r="O821" s="156"/>
      <c r="P821" s="156"/>
      <c r="Q821" s="156"/>
      <c r="R821" s="156"/>
      <c r="S821" s="156"/>
      <c r="T821" s="156"/>
      <c r="U821" s="156"/>
      <c r="V821" s="156"/>
      <c r="W821" s="156"/>
      <c r="X821" s="156"/>
      <c r="Y821" s="156"/>
      <c r="Z821" s="156"/>
      <c r="AA821" s="156"/>
      <c r="AB821" s="156"/>
      <c r="AC821" s="156"/>
    </row>
    <row r="822" spans="1:29" ht="13">
      <c r="A822" s="140"/>
      <c r="B822" s="140"/>
      <c r="C822" s="156"/>
      <c r="D822" s="156"/>
      <c r="E822" s="156"/>
      <c r="F822" s="156"/>
      <c r="G822" s="185"/>
      <c r="H822" s="156"/>
      <c r="I822" s="156"/>
      <c r="J822" s="156"/>
      <c r="K822" s="156"/>
      <c r="L822" s="157"/>
      <c r="M822" s="156"/>
      <c r="N822" s="156"/>
      <c r="O822" s="156"/>
      <c r="P822" s="156"/>
      <c r="Q822" s="156"/>
      <c r="R822" s="156"/>
      <c r="S822" s="156"/>
      <c r="T822" s="156"/>
      <c r="U822" s="156"/>
      <c r="V822" s="156"/>
      <c r="W822" s="156"/>
      <c r="X822" s="156"/>
      <c r="Y822" s="156"/>
      <c r="Z822" s="156"/>
      <c r="AA822" s="156"/>
      <c r="AB822" s="156"/>
      <c r="AC822" s="156"/>
    </row>
    <row r="823" spans="1:29" ht="13">
      <c r="A823" s="140"/>
      <c r="B823" s="140"/>
      <c r="C823" s="156"/>
      <c r="D823" s="156"/>
      <c r="E823" s="156"/>
      <c r="F823" s="156"/>
      <c r="G823" s="185"/>
      <c r="H823" s="156"/>
      <c r="I823" s="156"/>
      <c r="J823" s="156"/>
      <c r="K823" s="156"/>
      <c r="L823" s="157"/>
      <c r="M823" s="156"/>
      <c r="N823" s="156"/>
      <c r="O823" s="156"/>
      <c r="P823" s="156"/>
      <c r="Q823" s="156"/>
      <c r="R823" s="156"/>
      <c r="S823" s="156"/>
      <c r="T823" s="156"/>
      <c r="U823" s="156"/>
      <c r="V823" s="156"/>
      <c r="W823" s="156"/>
      <c r="X823" s="156"/>
      <c r="Y823" s="156"/>
      <c r="Z823" s="156"/>
      <c r="AA823" s="156"/>
      <c r="AB823" s="156"/>
      <c r="AC823" s="156"/>
    </row>
    <row r="824" spans="1:29" ht="13">
      <c r="A824" s="140"/>
      <c r="B824" s="140"/>
      <c r="C824" s="156"/>
      <c r="D824" s="156"/>
      <c r="E824" s="156"/>
      <c r="F824" s="156"/>
      <c r="G824" s="185"/>
      <c r="H824" s="156"/>
      <c r="I824" s="156"/>
      <c r="J824" s="156"/>
      <c r="K824" s="156"/>
      <c r="L824" s="157"/>
      <c r="M824" s="156"/>
      <c r="N824" s="156"/>
      <c r="O824" s="156"/>
      <c r="P824" s="156"/>
      <c r="Q824" s="156"/>
      <c r="R824" s="156"/>
      <c r="S824" s="156"/>
      <c r="T824" s="156"/>
      <c r="U824" s="156"/>
      <c r="V824" s="156"/>
      <c r="W824" s="156"/>
      <c r="X824" s="156"/>
      <c r="Y824" s="156"/>
      <c r="Z824" s="156"/>
      <c r="AA824" s="156"/>
      <c r="AB824" s="156"/>
      <c r="AC824" s="156"/>
    </row>
    <row r="825" spans="1:29" ht="13">
      <c r="A825" s="140"/>
      <c r="B825" s="140"/>
      <c r="C825" s="156"/>
      <c r="D825" s="156"/>
      <c r="E825" s="156"/>
      <c r="F825" s="156"/>
      <c r="G825" s="185"/>
      <c r="H825" s="156"/>
      <c r="I825" s="156"/>
      <c r="J825" s="156"/>
      <c r="K825" s="156"/>
      <c r="L825" s="157"/>
      <c r="M825" s="156"/>
      <c r="N825" s="156"/>
      <c r="O825" s="156"/>
      <c r="P825" s="156"/>
      <c r="Q825" s="156"/>
      <c r="R825" s="156"/>
      <c r="S825" s="156"/>
      <c r="T825" s="156"/>
      <c r="U825" s="156"/>
      <c r="V825" s="156"/>
      <c r="W825" s="156"/>
      <c r="X825" s="156"/>
      <c r="Y825" s="156"/>
      <c r="Z825" s="156"/>
      <c r="AA825" s="156"/>
      <c r="AB825" s="156"/>
      <c r="AC825" s="156"/>
    </row>
    <row r="826" spans="1:29" ht="13">
      <c r="A826" s="140"/>
      <c r="B826" s="140"/>
      <c r="C826" s="156"/>
      <c r="D826" s="156"/>
      <c r="E826" s="156"/>
      <c r="F826" s="156"/>
      <c r="G826" s="185"/>
      <c r="H826" s="156"/>
      <c r="I826" s="156"/>
      <c r="J826" s="156"/>
      <c r="K826" s="156"/>
      <c r="L826" s="157"/>
      <c r="M826" s="156"/>
      <c r="N826" s="156"/>
      <c r="O826" s="156"/>
      <c r="P826" s="156"/>
      <c r="Q826" s="156"/>
      <c r="R826" s="156"/>
      <c r="S826" s="156"/>
      <c r="T826" s="156"/>
      <c r="U826" s="156"/>
      <c r="V826" s="156"/>
      <c r="W826" s="156"/>
      <c r="X826" s="156"/>
      <c r="Y826" s="156"/>
      <c r="Z826" s="156"/>
      <c r="AA826" s="156"/>
      <c r="AB826" s="156"/>
      <c r="AC826" s="156"/>
    </row>
    <row r="827" spans="1:29" ht="13">
      <c r="A827" s="140"/>
      <c r="B827" s="140"/>
      <c r="C827" s="156"/>
      <c r="D827" s="156"/>
      <c r="E827" s="156"/>
      <c r="F827" s="156"/>
      <c r="G827" s="185"/>
      <c r="H827" s="156"/>
      <c r="I827" s="156"/>
      <c r="J827" s="156"/>
      <c r="K827" s="156"/>
      <c r="L827" s="157"/>
      <c r="M827" s="156"/>
      <c r="N827" s="156"/>
      <c r="O827" s="156"/>
      <c r="P827" s="156"/>
      <c r="Q827" s="156"/>
      <c r="R827" s="156"/>
      <c r="S827" s="156"/>
      <c r="T827" s="156"/>
      <c r="U827" s="156"/>
      <c r="V827" s="156"/>
      <c r="W827" s="156"/>
      <c r="X827" s="156"/>
      <c r="Y827" s="156"/>
      <c r="Z827" s="156"/>
      <c r="AA827" s="156"/>
      <c r="AB827" s="156"/>
      <c r="AC827" s="156"/>
    </row>
    <row r="828" spans="1:29" ht="13">
      <c r="A828" s="140"/>
      <c r="B828" s="140"/>
      <c r="C828" s="156"/>
      <c r="D828" s="156"/>
      <c r="E828" s="156"/>
      <c r="F828" s="156"/>
      <c r="G828" s="185"/>
      <c r="H828" s="156"/>
      <c r="I828" s="156"/>
      <c r="J828" s="156"/>
      <c r="K828" s="156"/>
      <c r="L828" s="157"/>
      <c r="M828" s="156"/>
      <c r="N828" s="156"/>
      <c r="O828" s="156"/>
      <c r="P828" s="156"/>
      <c r="Q828" s="156"/>
      <c r="R828" s="156"/>
      <c r="S828" s="156"/>
      <c r="T828" s="156"/>
      <c r="U828" s="156"/>
      <c r="V828" s="156"/>
      <c r="W828" s="156"/>
      <c r="X828" s="156"/>
      <c r="Y828" s="156"/>
      <c r="Z828" s="156"/>
      <c r="AA828" s="156"/>
      <c r="AB828" s="156"/>
      <c r="AC828" s="156"/>
    </row>
    <row r="829" spans="1:29" ht="13">
      <c r="A829" s="140"/>
      <c r="B829" s="140"/>
      <c r="C829" s="156"/>
      <c r="D829" s="156"/>
      <c r="E829" s="156"/>
      <c r="F829" s="156"/>
      <c r="G829" s="185"/>
      <c r="H829" s="156"/>
      <c r="I829" s="156"/>
      <c r="J829" s="156"/>
      <c r="K829" s="156"/>
      <c r="L829" s="157"/>
      <c r="M829" s="156"/>
      <c r="N829" s="156"/>
      <c r="O829" s="156"/>
      <c r="P829" s="156"/>
      <c r="Q829" s="156"/>
      <c r="R829" s="156"/>
      <c r="S829" s="156"/>
      <c r="T829" s="156"/>
      <c r="U829" s="156"/>
      <c r="V829" s="156"/>
      <c r="W829" s="156"/>
      <c r="X829" s="156"/>
      <c r="Y829" s="156"/>
      <c r="Z829" s="156"/>
      <c r="AA829" s="156"/>
      <c r="AB829" s="156"/>
      <c r="AC829" s="156"/>
    </row>
    <row r="830" spans="1:29" ht="13">
      <c r="A830" s="140"/>
      <c r="B830" s="140"/>
      <c r="C830" s="156"/>
      <c r="D830" s="156"/>
      <c r="E830" s="156"/>
      <c r="F830" s="156"/>
      <c r="G830" s="185"/>
      <c r="H830" s="156"/>
      <c r="I830" s="156"/>
      <c r="J830" s="156"/>
      <c r="K830" s="156"/>
      <c r="L830" s="157"/>
      <c r="M830" s="156"/>
      <c r="N830" s="156"/>
      <c r="O830" s="156"/>
      <c r="P830" s="156"/>
      <c r="Q830" s="156"/>
      <c r="R830" s="156"/>
      <c r="S830" s="156"/>
      <c r="T830" s="156"/>
      <c r="U830" s="156"/>
      <c r="V830" s="156"/>
      <c r="W830" s="156"/>
      <c r="X830" s="156"/>
      <c r="Y830" s="156"/>
      <c r="Z830" s="156"/>
      <c r="AA830" s="156"/>
      <c r="AB830" s="156"/>
      <c r="AC830" s="156"/>
    </row>
    <row r="831" spans="1:29" ht="13">
      <c r="A831" s="140"/>
      <c r="B831" s="140"/>
      <c r="C831" s="156"/>
      <c r="D831" s="156"/>
      <c r="E831" s="156"/>
      <c r="F831" s="156"/>
      <c r="G831" s="185"/>
      <c r="H831" s="156"/>
      <c r="I831" s="156"/>
      <c r="J831" s="156"/>
      <c r="K831" s="156"/>
      <c r="L831" s="157"/>
      <c r="M831" s="156"/>
      <c r="N831" s="156"/>
      <c r="O831" s="156"/>
      <c r="P831" s="156"/>
      <c r="Q831" s="156"/>
      <c r="R831" s="156"/>
      <c r="S831" s="156"/>
      <c r="T831" s="156"/>
      <c r="U831" s="156"/>
      <c r="V831" s="156"/>
      <c r="W831" s="156"/>
      <c r="X831" s="156"/>
      <c r="Y831" s="156"/>
      <c r="Z831" s="156"/>
      <c r="AA831" s="156"/>
      <c r="AB831" s="156"/>
      <c r="AC831" s="156"/>
    </row>
    <row r="832" spans="1:29" ht="13">
      <c r="A832" s="140"/>
      <c r="B832" s="140"/>
      <c r="C832" s="156"/>
      <c r="D832" s="156"/>
      <c r="E832" s="156"/>
      <c r="F832" s="156"/>
      <c r="G832" s="185"/>
      <c r="H832" s="156"/>
      <c r="I832" s="156"/>
      <c r="J832" s="156"/>
      <c r="K832" s="156"/>
      <c r="L832" s="157"/>
      <c r="M832" s="156"/>
      <c r="N832" s="156"/>
      <c r="O832" s="156"/>
      <c r="P832" s="156"/>
      <c r="Q832" s="156"/>
      <c r="R832" s="156"/>
      <c r="S832" s="156"/>
      <c r="T832" s="156"/>
      <c r="U832" s="156"/>
      <c r="V832" s="156"/>
      <c r="W832" s="156"/>
      <c r="X832" s="156"/>
      <c r="Y832" s="156"/>
      <c r="Z832" s="156"/>
      <c r="AA832" s="156"/>
      <c r="AB832" s="156"/>
      <c r="AC832" s="156"/>
    </row>
    <row r="833" spans="1:29" ht="13">
      <c r="A833" s="140"/>
      <c r="B833" s="140"/>
      <c r="C833" s="156"/>
      <c r="D833" s="156"/>
      <c r="E833" s="156"/>
      <c r="F833" s="156"/>
      <c r="G833" s="185"/>
      <c r="H833" s="156"/>
      <c r="I833" s="156"/>
      <c r="J833" s="156"/>
      <c r="K833" s="156"/>
      <c r="L833" s="157"/>
      <c r="M833" s="156"/>
      <c r="N833" s="156"/>
      <c r="O833" s="156"/>
      <c r="P833" s="156"/>
      <c r="Q833" s="156"/>
      <c r="R833" s="156"/>
      <c r="S833" s="156"/>
      <c r="T833" s="156"/>
      <c r="U833" s="156"/>
      <c r="V833" s="156"/>
      <c r="W833" s="156"/>
      <c r="X833" s="156"/>
      <c r="Y833" s="156"/>
      <c r="Z833" s="156"/>
      <c r="AA833" s="156"/>
      <c r="AB833" s="156"/>
      <c r="AC833" s="156"/>
    </row>
    <row r="834" spans="1:29" ht="13">
      <c r="A834" s="140"/>
      <c r="B834" s="140"/>
      <c r="C834" s="156"/>
      <c r="D834" s="156"/>
      <c r="E834" s="156"/>
      <c r="F834" s="156"/>
      <c r="G834" s="185"/>
      <c r="H834" s="156"/>
      <c r="I834" s="156"/>
      <c r="J834" s="156"/>
      <c r="K834" s="156"/>
      <c r="L834" s="157"/>
      <c r="M834" s="156"/>
      <c r="N834" s="156"/>
      <c r="O834" s="156"/>
      <c r="P834" s="156"/>
      <c r="Q834" s="156"/>
      <c r="R834" s="156"/>
      <c r="S834" s="156"/>
      <c r="T834" s="156"/>
      <c r="U834" s="156"/>
      <c r="V834" s="156"/>
      <c r="W834" s="156"/>
      <c r="X834" s="156"/>
      <c r="Y834" s="156"/>
      <c r="Z834" s="156"/>
      <c r="AA834" s="156"/>
      <c r="AB834" s="156"/>
      <c r="AC834" s="156"/>
    </row>
    <row r="835" spans="1:29" ht="13">
      <c r="A835" s="140"/>
      <c r="B835" s="140"/>
      <c r="C835" s="156"/>
      <c r="D835" s="156"/>
      <c r="E835" s="156"/>
      <c r="F835" s="156"/>
      <c r="G835" s="185"/>
      <c r="H835" s="156"/>
      <c r="I835" s="156"/>
      <c r="J835" s="156"/>
      <c r="K835" s="156"/>
      <c r="L835" s="157"/>
      <c r="M835" s="156"/>
      <c r="N835" s="156"/>
      <c r="O835" s="156"/>
      <c r="P835" s="156"/>
      <c r="Q835" s="156"/>
      <c r="R835" s="156"/>
      <c r="S835" s="156"/>
      <c r="T835" s="156"/>
      <c r="U835" s="156"/>
      <c r="V835" s="156"/>
      <c r="W835" s="156"/>
      <c r="X835" s="156"/>
      <c r="Y835" s="156"/>
      <c r="Z835" s="156"/>
      <c r="AA835" s="156"/>
      <c r="AB835" s="156"/>
      <c r="AC835" s="156"/>
    </row>
    <row r="836" spans="1:29" ht="13">
      <c r="A836" s="140"/>
      <c r="B836" s="140"/>
      <c r="C836" s="156"/>
      <c r="D836" s="156"/>
      <c r="E836" s="156"/>
      <c r="F836" s="156"/>
      <c r="G836" s="185"/>
      <c r="H836" s="156"/>
      <c r="I836" s="156"/>
      <c r="J836" s="156"/>
      <c r="K836" s="156"/>
      <c r="L836" s="157"/>
      <c r="M836" s="156"/>
      <c r="N836" s="156"/>
      <c r="O836" s="156"/>
      <c r="P836" s="156"/>
      <c r="Q836" s="156"/>
      <c r="R836" s="156"/>
      <c r="S836" s="156"/>
      <c r="T836" s="156"/>
      <c r="U836" s="156"/>
      <c r="V836" s="156"/>
      <c r="W836" s="156"/>
      <c r="X836" s="156"/>
      <c r="Y836" s="156"/>
      <c r="Z836" s="156"/>
      <c r="AA836" s="156"/>
      <c r="AB836" s="156"/>
      <c r="AC836" s="156"/>
    </row>
    <row r="837" spans="1:29" ht="13">
      <c r="A837" s="140"/>
      <c r="B837" s="140"/>
      <c r="C837" s="156"/>
      <c r="D837" s="156"/>
      <c r="E837" s="156"/>
      <c r="F837" s="156"/>
      <c r="G837" s="185"/>
      <c r="H837" s="156"/>
      <c r="I837" s="156"/>
      <c r="J837" s="156"/>
      <c r="K837" s="156"/>
      <c r="L837" s="157"/>
      <c r="M837" s="156"/>
      <c r="N837" s="156"/>
      <c r="O837" s="156"/>
      <c r="P837" s="156"/>
      <c r="Q837" s="156"/>
      <c r="R837" s="156"/>
      <c r="S837" s="156"/>
      <c r="T837" s="156"/>
      <c r="U837" s="156"/>
      <c r="V837" s="156"/>
      <c r="W837" s="156"/>
      <c r="X837" s="156"/>
      <c r="Y837" s="156"/>
      <c r="Z837" s="156"/>
      <c r="AA837" s="156"/>
      <c r="AB837" s="156"/>
      <c r="AC837" s="156"/>
    </row>
    <row r="838" spans="1:29" ht="13">
      <c r="A838" s="140"/>
      <c r="B838" s="140"/>
      <c r="C838" s="156"/>
      <c r="D838" s="156"/>
      <c r="E838" s="156"/>
      <c r="F838" s="156"/>
      <c r="G838" s="185"/>
      <c r="H838" s="156"/>
      <c r="I838" s="156"/>
      <c r="J838" s="156"/>
      <c r="K838" s="156"/>
      <c r="L838" s="157"/>
      <c r="M838" s="156"/>
      <c r="N838" s="156"/>
      <c r="O838" s="156"/>
      <c r="P838" s="156"/>
      <c r="Q838" s="156"/>
      <c r="R838" s="156"/>
      <c r="S838" s="156"/>
      <c r="T838" s="156"/>
      <c r="U838" s="156"/>
      <c r="V838" s="156"/>
      <c r="W838" s="156"/>
      <c r="X838" s="156"/>
      <c r="Y838" s="156"/>
      <c r="Z838" s="156"/>
      <c r="AA838" s="156"/>
      <c r="AB838" s="156"/>
      <c r="AC838" s="156"/>
    </row>
    <row r="839" spans="1:29" ht="13">
      <c r="A839" s="140"/>
      <c r="B839" s="140"/>
      <c r="C839" s="156"/>
      <c r="D839" s="156"/>
      <c r="E839" s="156"/>
      <c r="F839" s="156"/>
      <c r="G839" s="185"/>
      <c r="H839" s="156"/>
      <c r="I839" s="156"/>
      <c r="J839" s="156"/>
      <c r="K839" s="156"/>
      <c r="L839" s="157"/>
      <c r="M839" s="156"/>
      <c r="N839" s="156"/>
      <c r="O839" s="156"/>
      <c r="P839" s="156"/>
      <c r="Q839" s="156"/>
      <c r="R839" s="156"/>
      <c r="S839" s="156"/>
      <c r="T839" s="156"/>
      <c r="U839" s="156"/>
      <c r="V839" s="156"/>
      <c r="W839" s="156"/>
      <c r="X839" s="156"/>
      <c r="Y839" s="156"/>
      <c r="Z839" s="156"/>
      <c r="AA839" s="156"/>
      <c r="AB839" s="156"/>
      <c r="AC839" s="156"/>
    </row>
    <row r="840" spans="1:29" ht="13">
      <c r="A840" s="140"/>
      <c r="B840" s="140"/>
      <c r="C840" s="156"/>
      <c r="D840" s="156"/>
      <c r="E840" s="156"/>
      <c r="F840" s="156"/>
      <c r="G840" s="185"/>
      <c r="H840" s="156"/>
      <c r="I840" s="156"/>
      <c r="J840" s="156"/>
      <c r="K840" s="156"/>
      <c r="L840" s="157"/>
      <c r="M840" s="156"/>
      <c r="N840" s="156"/>
      <c r="O840" s="156"/>
      <c r="P840" s="156"/>
      <c r="Q840" s="156"/>
      <c r="R840" s="156"/>
      <c r="S840" s="156"/>
      <c r="T840" s="156"/>
      <c r="U840" s="156"/>
      <c r="V840" s="156"/>
      <c r="W840" s="156"/>
      <c r="X840" s="156"/>
      <c r="Y840" s="156"/>
      <c r="Z840" s="156"/>
      <c r="AA840" s="156"/>
      <c r="AB840" s="156"/>
      <c r="AC840" s="156"/>
    </row>
    <row r="841" spans="1:29" ht="13">
      <c r="A841" s="140"/>
      <c r="B841" s="140"/>
      <c r="C841" s="156"/>
      <c r="D841" s="156"/>
      <c r="E841" s="156"/>
      <c r="F841" s="156"/>
      <c r="G841" s="185"/>
      <c r="H841" s="156"/>
      <c r="I841" s="156"/>
      <c r="J841" s="156"/>
      <c r="K841" s="156"/>
      <c r="L841" s="157"/>
      <c r="M841" s="156"/>
      <c r="N841" s="156"/>
      <c r="O841" s="156"/>
      <c r="P841" s="156"/>
      <c r="Q841" s="156"/>
      <c r="R841" s="156"/>
      <c r="S841" s="156"/>
      <c r="T841" s="156"/>
      <c r="U841" s="156"/>
      <c r="V841" s="156"/>
      <c r="W841" s="156"/>
      <c r="X841" s="156"/>
      <c r="Y841" s="156"/>
      <c r="Z841" s="156"/>
      <c r="AA841" s="156"/>
      <c r="AB841" s="156"/>
      <c r="AC841" s="156"/>
    </row>
    <row r="842" spans="1:29" ht="13">
      <c r="A842" s="140"/>
      <c r="B842" s="140"/>
      <c r="C842" s="156"/>
      <c r="D842" s="156"/>
      <c r="E842" s="156"/>
      <c r="F842" s="156"/>
      <c r="G842" s="185"/>
      <c r="H842" s="156"/>
      <c r="I842" s="156"/>
      <c r="J842" s="156"/>
      <c r="K842" s="156"/>
      <c r="L842" s="157"/>
      <c r="M842" s="156"/>
      <c r="N842" s="156"/>
      <c r="O842" s="156"/>
      <c r="P842" s="156"/>
      <c r="Q842" s="156"/>
      <c r="R842" s="156"/>
      <c r="S842" s="156"/>
      <c r="T842" s="156"/>
      <c r="U842" s="156"/>
      <c r="V842" s="156"/>
      <c r="W842" s="156"/>
      <c r="X842" s="156"/>
      <c r="Y842" s="156"/>
      <c r="Z842" s="156"/>
      <c r="AA842" s="156"/>
      <c r="AB842" s="156"/>
      <c r="AC842" s="156"/>
    </row>
    <row r="843" spans="1:29" ht="13">
      <c r="A843" s="140"/>
      <c r="B843" s="140"/>
      <c r="C843" s="156"/>
      <c r="D843" s="156"/>
      <c r="E843" s="156"/>
      <c r="F843" s="156"/>
      <c r="G843" s="185"/>
      <c r="H843" s="156"/>
      <c r="I843" s="156"/>
      <c r="J843" s="156"/>
      <c r="K843" s="156"/>
      <c r="L843" s="157"/>
      <c r="M843" s="156"/>
      <c r="N843" s="156"/>
      <c r="O843" s="156"/>
      <c r="P843" s="156"/>
      <c r="Q843" s="156"/>
      <c r="R843" s="156"/>
      <c r="S843" s="156"/>
      <c r="T843" s="156"/>
      <c r="U843" s="156"/>
      <c r="V843" s="156"/>
      <c r="W843" s="156"/>
      <c r="X843" s="156"/>
      <c r="Y843" s="156"/>
      <c r="Z843" s="156"/>
      <c r="AA843" s="156"/>
      <c r="AB843" s="156"/>
      <c r="AC843" s="156"/>
    </row>
    <row r="844" spans="1:29" ht="13">
      <c r="A844" s="140"/>
      <c r="B844" s="140"/>
      <c r="C844" s="156"/>
      <c r="D844" s="156"/>
      <c r="E844" s="156"/>
      <c r="F844" s="156"/>
      <c r="G844" s="185"/>
      <c r="H844" s="156"/>
      <c r="I844" s="156"/>
      <c r="J844" s="156"/>
      <c r="K844" s="156"/>
      <c r="L844" s="157"/>
      <c r="M844" s="156"/>
      <c r="N844" s="156"/>
      <c r="O844" s="156"/>
      <c r="P844" s="156"/>
      <c r="Q844" s="156"/>
      <c r="R844" s="156"/>
      <c r="S844" s="156"/>
      <c r="T844" s="156"/>
      <c r="U844" s="156"/>
      <c r="V844" s="156"/>
      <c r="W844" s="156"/>
      <c r="X844" s="156"/>
      <c r="Y844" s="156"/>
      <c r="Z844" s="156"/>
      <c r="AA844" s="156"/>
      <c r="AB844" s="156"/>
      <c r="AC844" s="156"/>
    </row>
    <row r="845" spans="1:29" ht="13">
      <c r="A845" s="140"/>
      <c r="B845" s="140"/>
      <c r="C845" s="156"/>
      <c r="D845" s="156"/>
      <c r="E845" s="156"/>
      <c r="F845" s="156"/>
      <c r="G845" s="185"/>
      <c r="H845" s="156"/>
      <c r="I845" s="156"/>
      <c r="J845" s="156"/>
      <c r="K845" s="156"/>
      <c r="L845" s="157"/>
      <c r="M845" s="156"/>
      <c r="N845" s="156"/>
      <c r="O845" s="156"/>
      <c r="P845" s="156"/>
      <c r="Q845" s="156"/>
      <c r="R845" s="156"/>
      <c r="S845" s="156"/>
      <c r="T845" s="156"/>
      <c r="U845" s="156"/>
      <c r="V845" s="156"/>
      <c r="W845" s="156"/>
      <c r="X845" s="156"/>
      <c r="Y845" s="156"/>
      <c r="Z845" s="156"/>
      <c r="AA845" s="156"/>
      <c r="AB845" s="156"/>
      <c r="AC845" s="156"/>
    </row>
    <row r="846" spans="1:29" ht="13">
      <c r="A846" s="140"/>
      <c r="B846" s="140"/>
      <c r="C846" s="156"/>
      <c r="D846" s="156"/>
      <c r="E846" s="156"/>
      <c r="F846" s="156"/>
      <c r="G846" s="185"/>
      <c r="H846" s="156"/>
      <c r="I846" s="156"/>
      <c r="J846" s="156"/>
      <c r="K846" s="156"/>
      <c r="L846" s="157"/>
      <c r="M846" s="156"/>
      <c r="N846" s="156"/>
      <c r="O846" s="156"/>
      <c r="P846" s="156"/>
      <c r="Q846" s="156"/>
      <c r="R846" s="156"/>
      <c r="S846" s="156"/>
      <c r="T846" s="156"/>
      <c r="U846" s="156"/>
      <c r="V846" s="156"/>
      <c r="W846" s="156"/>
      <c r="X846" s="156"/>
      <c r="Y846" s="156"/>
      <c r="Z846" s="156"/>
      <c r="AA846" s="156"/>
      <c r="AB846" s="156"/>
      <c r="AC846" s="156"/>
    </row>
    <row r="847" spans="1:29" ht="13">
      <c r="A847" s="140"/>
      <c r="B847" s="140"/>
      <c r="C847" s="156"/>
      <c r="D847" s="156"/>
      <c r="E847" s="156"/>
      <c r="F847" s="156"/>
      <c r="G847" s="185"/>
      <c r="H847" s="156"/>
      <c r="I847" s="156"/>
      <c r="J847" s="156"/>
      <c r="K847" s="156"/>
      <c r="L847" s="157"/>
      <c r="M847" s="156"/>
      <c r="N847" s="156"/>
      <c r="O847" s="156"/>
      <c r="P847" s="156"/>
      <c r="Q847" s="156"/>
      <c r="R847" s="156"/>
      <c r="S847" s="156"/>
      <c r="T847" s="156"/>
      <c r="U847" s="156"/>
      <c r="V847" s="156"/>
      <c r="W847" s="156"/>
      <c r="X847" s="156"/>
      <c r="Y847" s="156"/>
      <c r="Z847" s="156"/>
      <c r="AA847" s="156"/>
      <c r="AB847" s="156"/>
      <c r="AC847" s="156"/>
    </row>
    <row r="848" spans="1:29" ht="13">
      <c r="A848" s="140"/>
      <c r="B848" s="140"/>
      <c r="C848" s="156"/>
      <c r="D848" s="156"/>
      <c r="E848" s="156"/>
      <c r="F848" s="156"/>
      <c r="G848" s="185"/>
      <c r="H848" s="156"/>
      <c r="I848" s="156"/>
      <c r="J848" s="156"/>
      <c r="K848" s="156"/>
      <c r="L848" s="157"/>
      <c r="M848" s="156"/>
      <c r="N848" s="156"/>
      <c r="O848" s="156"/>
      <c r="P848" s="156"/>
      <c r="Q848" s="156"/>
      <c r="R848" s="156"/>
      <c r="S848" s="156"/>
      <c r="T848" s="156"/>
      <c r="U848" s="156"/>
      <c r="V848" s="156"/>
      <c r="W848" s="156"/>
      <c r="X848" s="156"/>
      <c r="Y848" s="156"/>
      <c r="Z848" s="156"/>
      <c r="AA848" s="156"/>
      <c r="AB848" s="156"/>
      <c r="AC848" s="156"/>
    </row>
    <row r="849" spans="1:29" ht="13">
      <c r="A849" s="140"/>
      <c r="B849" s="140"/>
      <c r="C849" s="156"/>
      <c r="D849" s="156"/>
      <c r="E849" s="156"/>
      <c r="F849" s="156"/>
      <c r="G849" s="185"/>
      <c r="H849" s="156"/>
      <c r="I849" s="156"/>
      <c r="J849" s="156"/>
      <c r="K849" s="156"/>
      <c r="L849" s="157"/>
      <c r="M849" s="156"/>
      <c r="N849" s="156"/>
      <c r="O849" s="156"/>
      <c r="P849" s="156"/>
      <c r="Q849" s="156"/>
      <c r="R849" s="156"/>
      <c r="S849" s="156"/>
      <c r="T849" s="156"/>
      <c r="U849" s="156"/>
      <c r="V849" s="156"/>
      <c r="W849" s="156"/>
      <c r="X849" s="156"/>
      <c r="Y849" s="156"/>
      <c r="Z849" s="156"/>
      <c r="AA849" s="156"/>
      <c r="AB849" s="156"/>
      <c r="AC849" s="156"/>
    </row>
    <row r="850" spans="1:29" ht="13">
      <c r="A850" s="140"/>
      <c r="B850" s="140"/>
      <c r="C850" s="156"/>
      <c r="D850" s="156"/>
      <c r="E850" s="156"/>
      <c r="F850" s="156"/>
      <c r="G850" s="185"/>
      <c r="H850" s="156"/>
      <c r="I850" s="156"/>
      <c r="J850" s="156"/>
      <c r="K850" s="156"/>
      <c r="L850" s="157"/>
      <c r="M850" s="156"/>
      <c r="N850" s="156"/>
      <c r="O850" s="156"/>
      <c r="P850" s="156"/>
      <c r="Q850" s="156"/>
      <c r="R850" s="156"/>
      <c r="S850" s="156"/>
      <c r="T850" s="156"/>
      <c r="U850" s="156"/>
      <c r="V850" s="156"/>
      <c r="W850" s="156"/>
      <c r="X850" s="156"/>
      <c r="Y850" s="156"/>
      <c r="Z850" s="156"/>
      <c r="AA850" s="156"/>
      <c r="AB850" s="156"/>
      <c r="AC850" s="156"/>
    </row>
    <row r="851" spans="1:29" ht="13">
      <c r="A851" s="140"/>
      <c r="B851" s="140"/>
      <c r="C851" s="156"/>
      <c r="D851" s="156"/>
      <c r="E851" s="156"/>
      <c r="F851" s="156"/>
      <c r="G851" s="185"/>
      <c r="H851" s="156"/>
      <c r="I851" s="156"/>
      <c r="J851" s="156"/>
      <c r="K851" s="156"/>
      <c r="L851" s="157"/>
      <c r="M851" s="156"/>
      <c r="N851" s="156"/>
      <c r="O851" s="156"/>
      <c r="P851" s="156"/>
      <c r="Q851" s="156"/>
      <c r="R851" s="156"/>
      <c r="S851" s="156"/>
      <c r="T851" s="156"/>
      <c r="U851" s="156"/>
      <c r="V851" s="156"/>
      <c r="W851" s="156"/>
      <c r="X851" s="156"/>
      <c r="Y851" s="156"/>
      <c r="Z851" s="156"/>
      <c r="AA851" s="156"/>
      <c r="AB851" s="156"/>
      <c r="AC851" s="156"/>
    </row>
    <row r="852" spans="1:29" ht="13">
      <c r="A852" s="140"/>
      <c r="B852" s="140"/>
      <c r="C852" s="156"/>
      <c r="D852" s="156"/>
      <c r="E852" s="156"/>
      <c r="F852" s="156"/>
      <c r="G852" s="185"/>
      <c r="H852" s="156"/>
      <c r="I852" s="156"/>
      <c r="J852" s="156"/>
      <c r="K852" s="156"/>
      <c r="L852" s="157"/>
      <c r="M852" s="156"/>
      <c r="N852" s="156"/>
      <c r="O852" s="156"/>
      <c r="P852" s="156"/>
      <c r="Q852" s="156"/>
      <c r="R852" s="156"/>
      <c r="S852" s="156"/>
      <c r="T852" s="156"/>
      <c r="U852" s="156"/>
      <c r="V852" s="156"/>
      <c r="W852" s="156"/>
      <c r="X852" s="156"/>
      <c r="Y852" s="156"/>
      <c r="Z852" s="156"/>
      <c r="AA852" s="156"/>
      <c r="AB852" s="156"/>
      <c r="AC852" s="156"/>
    </row>
    <row r="853" spans="1:29" ht="13">
      <c r="A853" s="140"/>
      <c r="B853" s="140"/>
      <c r="C853" s="156"/>
      <c r="D853" s="156"/>
      <c r="E853" s="156"/>
      <c r="F853" s="156"/>
      <c r="G853" s="185"/>
      <c r="H853" s="156"/>
      <c r="I853" s="156"/>
      <c r="J853" s="156"/>
      <c r="K853" s="156"/>
      <c r="L853" s="157"/>
      <c r="M853" s="156"/>
      <c r="N853" s="156"/>
      <c r="O853" s="156"/>
      <c r="P853" s="156"/>
      <c r="Q853" s="156"/>
      <c r="R853" s="156"/>
      <c r="S853" s="156"/>
      <c r="T853" s="156"/>
      <c r="U853" s="156"/>
      <c r="V853" s="156"/>
      <c r="W853" s="156"/>
      <c r="X853" s="156"/>
      <c r="Y853" s="156"/>
      <c r="Z853" s="156"/>
      <c r="AA853" s="156"/>
      <c r="AB853" s="156"/>
      <c r="AC853" s="156"/>
    </row>
    <row r="854" spans="1:29" ht="13">
      <c r="A854" s="140"/>
      <c r="B854" s="140"/>
      <c r="C854" s="156"/>
      <c r="D854" s="156"/>
      <c r="E854" s="156"/>
      <c r="F854" s="156"/>
      <c r="G854" s="185"/>
      <c r="H854" s="156"/>
      <c r="I854" s="156"/>
      <c r="J854" s="156"/>
      <c r="K854" s="156"/>
      <c r="L854" s="157"/>
      <c r="M854" s="156"/>
      <c r="N854" s="156"/>
      <c r="O854" s="156"/>
      <c r="P854" s="156"/>
      <c r="Q854" s="156"/>
      <c r="R854" s="156"/>
      <c r="S854" s="156"/>
      <c r="T854" s="156"/>
      <c r="U854" s="156"/>
      <c r="V854" s="156"/>
      <c r="W854" s="156"/>
      <c r="X854" s="156"/>
      <c r="Y854" s="156"/>
      <c r="Z854" s="156"/>
      <c r="AA854" s="156"/>
      <c r="AB854" s="156"/>
      <c r="AC854" s="156"/>
    </row>
    <row r="855" spans="1:29" ht="13">
      <c r="A855" s="140"/>
      <c r="B855" s="140"/>
      <c r="C855" s="156"/>
      <c r="D855" s="156"/>
      <c r="E855" s="156"/>
      <c r="F855" s="156"/>
      <c r="G855" s="185"/>
      <c r="H855" s="156"/>
      <c r="I855" s="156"/>
      <c r="J855" s="156"/>
      <c r="K855" s="156"/>
      <c r="L855" s="157"/>
      <c r="M855" s="156"/>
      <c r="N855" s="156"/>
      <c r="O855" s="156"/>
      <c r="P855" s="156"/>
      <c r="Q855" s="156"/>
      <c r="R855" s="156"/>
      <c r="S855" s="156"/>
      <c r="T855" s="156"/>
      <c r="U855" s="156"/>
      <c r="V855" s="156"/>
      <c r="W855" s="156"/>
      <c r="X855" s="156"/>
      <c r="Y855" s="156"/>
      <c r="Z855" s="156"/>
      <c r="AA855" s="156"/>
      <c r="AB855" s="156"/>
      <c r="AC855" s="156"/>
    </row>
    <row r="856" spans="1:29" ht="13">
      <c r="A856" s="140"/>
      <c r="B856" s="140"/>
      <c r="C856" s="156"/>
      <c r="D856" s="156"/>
      <c r="E856" s="156"/>
      <c r="F856" s="156"/>
      <c r="G856" s="185"/>
      <c r="H856" s="156"/>
      <c r="I856" s="156"/>
      <c r="J856" s="156"/>
      <c r="K856" s="156"/>
      <c r="L856" s="157"/>
      <c r="M856" s="156"/>
      <c r="N856" s="156"/>
      <c r="O856" s="156"/>
      <c r="P856" s="156"/>
      <c r="Q856" s="156"/>
      <c r="R856" s="156"/>
      <c r="S856" s="156"/>
      <c r="T856" s="156"/>
      <c r="U856" s="156"/>
      <c r="V856" s="156"/>
      <c r="W856" s="156"/>
      <c r="X856" s="156"/>
      <c r="Y856" s="156"/>
      <c r="Z856" s="156"/>
      <c r="AA856" s="156"/>
      <c r="AB856" s="156"/>
      <c r="AC856" s="156"/>
    </row>
    <row r="857" spans="1:29" ht="13">
      <c r="A857" s="140"/>
      <c r="B857" s="140"/>
      <c r="C857" s="156"/>
      <c r="D857" s="156"/>
      <c r="E857" s="156"/>
      <c r="F857" s="156"/>
      <c r="G857" s="185"/>
      <c r="H857" s="156"/>
      <c r="I857" s="156"/>
      <c r="J857" s="156"/>
      <c r="K857" s="156"/>
      <c r="L857" s="157"/>
      <c r="M857" s="156"/>
      <c r="N857" s="156"/>
      <c r="O857" s="156"/>
      <c r="P857" s="156"/>
      <c r="Q857" s="156"/>
      <c r="R857" s="156"/>
      <c r="S857" s="156"/>
      <c r="T857" s="156"/>
      <c r="U857" s="156"/>
      <c r="V857" s="156"/>
      <c r="W857" s="156"/>
      <c r="X857" s="156"/>
      <c r="Y857" s="156"/>
      <c r="Z857" s="156"/>
      <c r="AA857" s="156"/>
      <c r="AB857" s="156"/>
      <c r="AC857" s="156"/>
    </row>
    <row r="858" spans="1:29" ht="13">
      <c r="A858" s="140"/>
      <c r="B858" s="140"/>
      <c r="C858" s="156"/>
      <c r="D858" s="156"/>
      <c r="E858" s="156"/>
      <c r="F858" s="156"/>
      <c r="G858" s="185"/>
      <c r="H858" s="156"/>
      <c r="I858" s="156"/>
      <c r="J858" s="156"/>
      <c r="K858" s="156"/>
      <c r="L858" s="157"/>
      <c r="M858" s="156"/>
      <c r="N858" s="156"/>
      <c r="O858" s="156"/>
      <c r="P858" s="156"/>
      <c r="Q858" s="156"/>
      <c r="R858" s="156"/>
      <c r="S858" s="156"/>
      <c r="T858" s="156"/>
      <c r="U858" s="156"/>
      <c r="V858" s="156"/>
      <c r="W858" s="156"/>
      <c r="X858" s="156"/>
      <c r="Y858" s="156"/>
      <c r="Z858" s="156"/>
      <c r="AA858" s="156"/>
      <c r="AB858" s="156"/>
      <c r="AC858" s="156"/>
    </row>
    <row r="859" spans="1:29" ht="13">
      <c r="A859" s="140"/>
      <c r="B859" s="140"/>
      <c r="C859" s="156"/>
      <c r="D859" s="156"/>
      <c r="E859" s="156"/>
      <c r="F859" s="156"/>
      <c r="G859" s="185"/>
      <c r="H859" s="156"/>
      <c r="I859" s="156"/>
      <c r="J859" s="156"/>
      <c r="K859" s="156"/>
      <c r="L859" s="157"/>
      <c r="M859" s="156"/>
      <c r="N859" s="156"/>
      <c r="O859" s="156"/>
      <c r="P859" s="156"/>
      <c r="Q859" s="156"/>
      <c r="R859" s="156"/>
      <c r="S859" s="156"/>
      <c r="T859" s="156"/>
      <c r="U859" s="156"/>
      <c r="V859" s="156"/>
      <c r="W859" s="156"/>
      <c r="X859" s="156"/>
      <c r="Y859" s="156"/>
      <c r="Z859" s="156"/>
      <c r="AA859" s="156"/>
      <c r="AB859" s="156"/>
      <c r="AC859" s="156"/>
    </row>
    <row r="860" spans="1:29" ht="13">
      <c r="A860" s="140"/>
      <c r="B860" s="140"/>
      <c r="C860" s="156"/>
      <c r="D860" s="156"/>
      <c r="E860" s="156"/>
      <c r="F860" s="156"/>
      <c r="G860" s="185"/>
      <c r="H860" s="156"/>
      <c r="I860" s="156"/>
      <c r="J860" s="156"/>
      <c r="K860" s="156"/>
      <c r="L860" s="157"/>
      <c r="M860" s="156"/>
      <c r="N860" s="156"/>
      <c r="O860" s="156"/>
      <c r="P860" s="156"/>
      <c r="Q860" s="156"/>
      <c r="R860" s="156"/>
      <c r="S860" s="156"/>
      <c r="T860" s="156"/>
      <c r="U860" s="156"/>
      <c r="V860" s="156"/>
      <c r="W860" s="156"/>
      <c r="X860" s="156"/>
      <c r="Y860" s="156"/>
      <c r="Z860" s="156"/>
      <c r="AA860" s="156"/>
      <c r="AB860" s="156"/>
      <c r="AC860" s="156"/>
    </row>
    <row r="861" spans="1:29" ht="13">
      <c r="A861" s="140"/>
      <c r="B861" s="140"/>
      <c r="C861" s="156"/>
      <c r="D861" s="156"/>
      <c r="E861" s="156"/>
      <c r="F861" s="156"/>
      <c r="G861" s="185"/>
      <c r="H861" s="156"/>
      <c r="I861" s="156"/>
      <c r="J861" s="156"/>
      <c r="K861" s="156"/>
      <c r="L861" s="157"/>
      <c r="M861" s="156"/>
      <c r="N861" s="156"/>
      <c r="O861" s="156"/>
      <c r="P861" s="156"/>
      <c r="Q861" s="156"/>
      <c r="R861" s="156"/>
      <c r="S861" s="156"/>
      <c r="T861" s="156"/>
      <c r="U861" s="156"/>
      <c r="V861" s="156"/>
      <c r="W861" s="156"/>
      <c r="X861" s="156"/>
      <c r="Y861" s="156"/>
      <c r="Z861" s="156"/>
      <c r="AA861" s="156"/>
      <c r="AB861" s="156"/>
      <c r="AC861" s="156"/>
    </row>
    <row r="862" spans="1:29" ht="13">
      <c r="A862" s="140"/>
      <c r="B862" s="140"/>
      <c r="C862" s="156"/>
      <c r="D862" s="156"/>
      <c r="E862" s="156"/>
      <c r="F862" s="156"/>
      <c r="G862" s="185"/>
      <c r="H862" s="156"/>
      <c r="I862" s="156"/>
      <c r="J862" s="156"/>
      <c r="K862" s="156"/>
      <c r="L862" s="157"/>
      <c r="M862" s="156"/>
      <c r="N862" s="156"/>
      <c r="O862" s="156"/>
      <c r="P862" s="156"/>
      <c r="Q862" s="156"/>
      <c r="R862" s="156"/>
      <c r="S862" s="156"/>
      <c r="T862" s="156"/>
      <c r="U862" s="156"/>
      <c r="V862" s="156"/>
      <c r="W862" s="156"/>
      <c r="X862" s="156"/>
      <c r="Y862" s="156"/>
      <c r="Z862" s="156"/>
      <c r="AA862" s="156"/>
      <c r="AB862" s="156"/>
      <c r="AC862" s="156"/>
    </row>
    <row r="863" spans="1:29" ht="13">
      <c r="A863" s="140"/>
      <c r="B863" s="140"/>
      <c r="C863" s="156"/>
      <c r="D863" s="156"/>
      <c r="E863" s="156"/>
      <c r="F863" s="156"/>
      <c r="G863" s="185"/>
      <c r="H863" s="156"/>
      <c r="I863" s="156"/>
      <c r="J863" s="156"/>
      <c r="K863" s="156"/>
      <c r="L863" s="157"/>
      <c r="M863" s="156"/>
      <c r="N863" s="156"/>
      <c r="O863" s="156"/>
      <c r="P863" s="156"/>
      <c r="Q863" s="156"/>
      <c r="R863" s="156"/>
      <c r="S863" s="156"/>
      <c r="T863" s="156"/>
      <c r="U863" s="156"/>
      <c r="V863" s="156"/>
      <c r="W863" s="156"/>
      <c r="X863" s="156"/>
      <c r="Y863" s="156"/>
      <c r="Z863" s="156"/>
      <c r="AA863" s="156"/>
      <c r="AB863" s="156"/>
      <c r="AC863" s="156"/>
    </row>
    <row r="864" spans="1:29" ht="13">
      <c r="A864" s="140"/>
      <c r="B864" s="140"/>
      <c r="C864" s="156"/>
      <c r="D864" s="156"/>
      <c r="E864" s="156"/>
      <c r="F864" s="156"/>
      <c r="G864" s="185"/>
      <c r="H864" s="156"/>
      <c r="I864" s="156"/>
      <c r="J864" s="156"/>
      <c r="K864" s="156"/>
      <c r="L864" s="157"/>
      <c r="M864" s="156"/>
      <c r="N864" s="156"/>
      <c r="O864" s="156"/>
      <c r="P864" s="156"/>
      <c r="Q864" s="156"/>
      <c r="R864" s="156"/>
      <c r="S864" s="156"/>
      <c r="T864" s="156"/>
      <c r="U864" s="156"/>
      <c r="V864" s="156"/>
      <c r="W864" s="156"/>
      <c r="X864" s="156"/>
      <c r="Y864" s="156"/>
      <c r="Z864" s="156"/>
      <c r="AA864" s="156"/>
      <c r="AB864" s="156"/>
      <c r="AC864" s="156"/>
    </row>
    <row r="865" spans="1:29" ht="13">
      <c r="A865" s="140"/>
      <c r="B865" s="140"/>
      <c r="C865" s="156"/>
      <c r="D865" s="156"/>
      <c r="E865" s="156"/>
      <c r="F865" s="156"/>
      <c r="G865" s="185"/>
      <c r="H865" s="156"/>
      <c r="I865" s="156"/>
      <c r="J865" s="156"/>
      <c r="K865" s="156"/>
      <c r="L865" s="157"/>
      <c r="M865" s="156"/>
      <c r="N865" s="156"/>
      <c r="O865" s="156"/>
      <c r="P865" s="156"/>
      <c r="Q865" s="156"/>
      <c r="R865" s="156"/>
      <c r="S865" s="156"/>
      <c r="T865" s="156"/>
      <c r="U865" s="156"/>
      <c r="V865" s="156"/>
      <c r="W865" s="156"/>
      <c r="X865" s="156"/>
      <c r="Y865" s="156"/>
      <c r="Z865" s="156"/>
      <c r="AA865" s="156"/>
      <c r="AB865" s="156"/>
      <c r="AC865" s="156"/>
    </row>
    <row r="866" spans="1:29" ht="13">
      <c r="A866" s="140"/>
      <c r="B866" s="140"/>
      <c r="C866" s="156"/>
      <c r="D866" s="156"/>
      <c r="E866" s="156"/>
      <c r="F866" s="156"/>
      <c r="G866" s="185"/>
      <c r="H866" s="156"/>
      <c r="I866" s="156"/>
      <c r="J866" s="156"/>
      <c r="K866" s="156"/>
      <c r="L866" s="157"/>
      <c r="M866" s="156"/>
      <c r="N866" s="156"/>
      <c r="O866" s="156"/>
      <c r="P866" s="156"/>
      <c r="Q866" s="156"/>
      <c r="R866" s="156"/>
      <c r="S866" s="156"/>
      <c r="T866" s="156"/>
      <c r="U866" s="156"/>
      <c r="V866" s="156"/>
      <c r="W866" s="156"/>
      <c r="X866" s="156"/>
      <c r="Y866" s="156"/>
      <c r="Z866" s="156"/>
      <c r="AA866" s="156"/>
      <c r="AB866" s="156"/>
      <c r="AC866" s="156"/>
    </row>
    <row r="867" spans="1:29" ht="13">
      <c r="A867" s="140"/>
      <c r="B867" s="140"/>
      <c r="C867" s="156"/>
      <c r="D867" s="156"/>
      <c r="E867" s="156"/>
      <c r="F867" s="156"/>
      <c r="G867" s="185"/>
      <c r="H867" s="156"/>
      <c r="I867" s="156"/>
      <c r="J867" s="156"/>
      <c r="K867" s="156"/>
      <c r="L867" s="157"/>
      <c r="M867" s="156"/>
      <c r="N867" s="156"/>
      <c r="O867" s="156"/>
      <c r="P867" s="156"/>
      <c r="Q867" s="156"/>
      <c r="R867" s="156"/>
      <c r="S867" s="156"/>
      <c r="T867" s="156"/>
      <c r="U867" s="156"/>
      <c r="V867" s="156"/>
      <c r="W867" s="156"/>
      <c r="X867" s="156"/>
      <c r="Y867" s="156"/>
      <c r="Z867" s="156"/>
      <c r="AA867" s="156"/>
      <c r="AB867" s="156"/>
      <c r="AC867" s="156"/>
    </row>
    <row r="868" spans="1:29" ht="13">
      <c r="A868" s="140"/>
      <c r="B868" s="140"/>
      <c r="C868" s="156"/>
      <c r="D868" s="156"/>
      <c r="E868" s="156"/>
      <c r="F868" s="156"/>
      <c r="G868" s="185"/>
      <c r="H868" s="156"/>
      <c r="I868" s="156"/>
      <c r="J868" s="156"/>
      <c r="K868" s="156"/>
      <c r="L868" s="157"/>
      <c r="M868" s="156"/>
      <c r="N868" s="156"/>
      <c r="O868" s="156"/>
      <c r="P868" s="156"/>
      <c r="Q868" s="156"/>
      <c r="R868" s="156"/>
      <c r="S868" s="156"/>
      <c r="T868" s="156"/>
      <c r="U868" s="156"/>
      <c r="V868" s="156"/>
      <c r="W868" s="156"/>
      <c r="X868" s="156"/>
      <c r="Y868" s="156"/>
      <c r="Z868" s="156"/>
      <c r="AA868" s="156"/>
      <c r="AB868" s="156"/>
      <c r="AC868" s="156"/>
    </row>
    <row r="869" spans="1:29" ht="13">
      <c r="A869" s="140"/>
      <c r="B869" s="140"/>
      <c r="C869" s="156"/>
      <c r="D869" s="156"/>
      <c r="E869" s="156"/>
      <c r="F869" s="156"/>
      <c r="G869" s="185"/>
      <c r="H869" s="156"/>
      <c r="I869" s="156"/>
      <c r="J869" s="156"/>
      <c r="K869" s="156"/>
      <c r="L869" s="157"/>
      <c r="M869" s="156"/>
      <c r="N869" s="156"/>
      <c r="O869" s="156"/>
      <c r="P869" s="156"/>
      <c r="Q869" s="156"/>
      <c r="R869" s="156"/>
      <c r="S869" s="156"/>
      <c r="T869" s="156"/>
      <c r="U869" s="156"/>
      <c r="V869" s="156"/>
      <c r="W869" s="156"/>
      <c r="X869" s="156"/>
      <c r="Y869" s="156"/>
      <c r="Z869" s="156"/>
      <c r="AA869" s="156"/>
      <c r="AB869" s="156"/>
      <c r="AC869" s="156"/>
    </row>
    <row r="870" spans="1:29" ht="13">
      <c r="A870" s="140"/>
      <c r="B870" s="140"/>
      <c r="C870" s="156"/>
      <c r="D870" s="156"/>
      <c r="E870" s="156"/>
      <c r="F870" s="156"/>
      <c r="G870" s="185"/>
      <c r="H870" s="156"/>
      <c r="I870" s="156"/>
      <c r="J870" s="156"/>
      <c r="K870" s="156"/>
      <c r="L870" s="157"/>
      <c r="M870" s="156"/>
      <c r="N870" s="156"/>
      <c r="O870" s="156"/>
      <c r="P870" s="156"/>
      <c r="Q870" s="156"/>
      <c r="R870" s="156"/>
      <c r="S870" s="156"/>
      <c r="T870" s="156"/>
      <c r="U870" s="156"/>
      <c r="V870" s="156"/>
      <c r="W870" s="156"/>
      <c r="X870" s="156"/>
      <c r="Y870" s="156"/>
      <c r="Z870" s="156"/>
      <c r="AA870" s="156"/>
      <c r="AB870" s="156"/>
      <c r="AC870" s="156"/>
    </row>
    <row r="871" spans="1:29" ht="13">
      <c r="A871" s="140"/>
      <c r="B871" s="140"/>
      <c r="C871" s="156"/>
      <c r="D871" s="156"/>
      <c r="E871" s="156"/>
      <c r="F871" s="156"/>
      <c r="G871" s="185"/>
      <c r="H871" s="156"/>
      <c r="I871" s="156"/>
      <c r="J871" s="156"/>
      <c r="K871" s="156"/>
      <c r="L871" s="157"/>
      <c r="M871" s="156"/>
      <c r="N871" s="156"/>
      <c r="O871" s="156"/>
      <c r="P871" s="156"/>
      <c r="Q871" s="156"/>
      <c r="R871" s="156"/>
      <c r="S871" s="156"/>
      <c r="T871" s="156"/>
      <c r="U871" s="156"/>
      <c r="V871" s="156"/>
      <c r="W871" s="156"/>
      <c r="X871" s="156"/>
      <c r="Y871" s="156"/>
      <c r="Z871" s="156"/>
      <c r="AA871" s="156"/>
      <c r="AB871" s="156"/>
      <c r="AC871" s="156"/>
    </row>
    <row r="872" spans="1:29" ht="13">
      <c r="A872" s="140"/>
      <c r="B872" s="140"/>
      <c r="C872" s="156"/>
      <c r="D872" s="156"/>
      <c r="E872" s="156"/>
      <c r="F872" s="156"/>
      <c r="G872" s="185"/>
      <c r="H872" s="156"/>
      <c r="I872" s="156"/>
      <c r="J872" s="156"/>
      <c r="K872" s="156"/>
      <c r="L872" s="157"/>
      <c r="M872" s="156"/>
      <c r="N872" s="156"/>
      <c r="O872" s="156"/>
      <c r="P872" s="156"/>
      <c r="Q872" s="156"/>
      <c r="R872" s="156"/>
      <c r="S872" s="156"/>
      <c r="T872" s="156"/>
      <c r="U872" s="156"/>
      <c r="V872" s="156"/>
      <c r="W872" s="156"/>
      <c r="X872" s="156"/>
      <c r="Y872" s="156"/>
      <c r="Z872" s="156"/>
      <c r="AA872" s="156"/>
      <c r="AB872" s="156"/>
      <c r="AC872" s="156"/>
    </row>
    <row r="873" spans="1:29" ht="13">
      <c r="A873" s="140"/>
      <c r="B873" s="140"/>
      <c r="C873" s="156"/>
      <c r="D873" s="156"/>
      <c r="E873" s="156"/>
      <c r="F873" s="156"/>
      <c r="G873" s="185"/>
      <c r="H873" s="156"/>
      <c r="I873" s="156"/>
      <c r="J873" s="156"/>
      <c r="K873" s="156"/>
      <c r="L873" s="157"/>
      <c r="M873" s="156"/>
      <c r="N873" s="156"/>
      <c r="O873" s="156"/>
      <c r="P873" s="156"/>
      <c r="Q873" s="156"/>
      <c r="R873" s="156"/>
      <c r="S873" s="156"/>
      <c r="T873" s="156"/>
      <c r="U873" s="156"/>
      <c r="V873" s="156"/>
      <c r="W873" s="156"/>
      <c r="X873" s="156"/>
      <c r="Y873" s="156"/>
      <c r="Z873" s="156"/>
      <c r="AA873" s="156"/>
      <c r="AB873" s="156"/>
      <c r="AC873" s="156"/>
    </row>
    <row r="874" spans="1:29" ht="13">
      <c r="A874" s="140"/>
      <c r="B874" s="140"/>
      <c r="C874" s="156"/>
      <c r="D874" s="156"/>
      <c r="E874" s="156"/>
      <c r="F874" s="156"/>
      <c r="G874" s="185"/>
      <c r="H874" s="156"/>
      <c r="I874" s="156"/>
      <c r="J874" s="156"/>
      <c r="K874" s="156"/>
      <c r="L874" s="157"/>
      <c r="M874" s="156"/>
      <c r="N874" s="156"/>
      <c r="O874" s="156"/>
      <c r="P874" s="156"/>
      <c r="Q874" s="156"/>
      <c r="R874" s="156"/>
      <c r="S874" s="156"/>
      <c r="T874" s="156"/>
      <c r="U874" s="156"/>
      <c r="V874" s="156"/>
      <c r="W874" s="156"/>
      <c r="X874" s="156"/>
      <c r="Y874" s="156"/>
      <c r="Z874" s="156"/>
      <c r="AA874" s="156"/>
      <c r="AB874" s="156"/>
      <c r="AC874" s="156"/>
    </row>
    <row r="875" spans="1:29" ht="13">
      <c r="A875" s="140"/>
      <c r="B875" s="140"/>
      <c r="C875" s="156"/>
      <c r="D875" s="156"/>
      <c r="E875" s="156"/>
      <c r="F875" s="156"/>
      <c r="G875" s="185"/>
      <c r="H875" s="156"/>
      <c r="I875" s="156"/>
      <c r="J875" s="156"/>
      <c r="K875" s="156"/>
      <c r="L875" s="157"/>
      <c r="M875" s="156"/>
      <c r="N875" s="156"/>
      <c r="O875" s="156"/>
      <c r="P875" s="156"/>
      <c r="Q875" s="156"/>
      <c r="R875" s="156"/>
      <c r="S875" s="156"/>
      <c r="T875" s="156"/>
      <c r="U875" s="156"/>
      <c r="V875" s="156"/>
      <c r="W875" s="156"/>
      <c r="X875" s="156"/>
      <c r="Y875" s="156"/>
      <c r="Z875" s="156"/>
      <c r="AA875" s="156"/>
      <c r="AB875" s="156"/>
      <c r="AC875" s="156"/>
    </row>
    <row r="876" spans="1:29" ht="13">
      <c r="A876" s="140"/>
      <c r="B876" s="140"/>
      <c r="C876" s="156"/>
      <c r="D876" s="156"/>
      <c r="E876" s="156"/>
      <c r="F876" s="156"/>
      <c r="G876" s="185"/>
      <c r="H876" s="156"/>
      <c r="I876" s="156"/>
      <c r="J876" s="156"/>
      <c r="K876" s="156"/>
      <c r="L876" s="157"/>
      <c r="M876" s="156"/>
      <c r="N876" s="156"/>
      <c r="O876" s="156"/>
      <c r="P876" s="156"/>
      <c r="Q876" s="156"/>
      <c r="R876" s="156"/>
      <c r="S876" s="156"/>
      <c r="T876" s="156"/>
      <c r="U876" s="156"/>
      <c r="V876" s="156"/>
      <c r="W876" s="156"/>
      <c r="X876" s="156"/>
      <c r="Y876" s="156"/>
      <c r="Z876" s="156"/>
      <c r="AA876" s="156"/>
      <c r="AB876" s="156"/>
      <c r="AC876" s="156"/>
    </row>
    <row r="877" spans="1:29" ht="13">
      <c r="A877" s="140"/>
      <c r="B877" s="140"/>
      <c r="C877" s="156"/>
      <c r="D877" s="156"/>
      <c r="E877" s="156"/>
      <c r="F877" s="156"/>
      <c r="G877" s="185"/>
      <c r="H877" s="156"/>
      <c r="I877" s="156"/>
      <c r="J877" s="156"/>
      <c r="K877" s="156"/>
      <c r="L877" s="157"/>
      <c r="M877" s="156"/>
      <c r="N877" s="156"/>
      <c r="O877" s="156"/>
      <c r="P877" s="156"/>
      <c r="Q877" s="156"/>
      <c r="R877" s="156"/>
      <c r="S877" s="156"/>
      <c r="T877" s="156"/>
      <c r="U877" s="156"/>
      <c r="V877" s="156"/>
      <c r="W877" s="156"/>
      <c r="X877" s="156"/>
      <c r="Y877" s="156"/>
      <c r="Z877" s="156"/>
      <c r="AA877" s="156"/>
      <c r="AB877" s="156"/>
      <c r="AC877" s="156"/>
    </row>
    <row r="878" spans="1:29" ht="13">
      <c r="A878" s="140"/>
      <c r="B878" s="140"/>
      <c r="C878" s="156"/>
      <c r="D878" s="156"/>
      <c r="E878" s="156"/>
      <c r="F878" s="156"/>
      <c r="G878" s="185"/>
      <c r="H878" s="156"/>
      <c r="I878" s="156"/>
      <c r="J878" s="156"/>
      <c r="K878" s="156"/>
      <c r="L878" s="157"/>
      <c r="M878" s="156"/>
      <c r="N878" s="156"/>
      <c r="O878" s="156"/>
      <c r="P878" s="156"/>
      <c r="Q878" s="156"/>
      <c r="R878" s="156"/>
      <c r="S878" s="156"/>
      <c r="T878" s="156"/>
      <c r="U878" s="156"/>
      <c r="V878" s="156"/>
      <c r="W878" s="156"/>
      <c r="X878" s="156"/>
      <c r="Y878" s="156"/>
      <c r="Z878" s="156"/>
      <c r="AA878" s="156"/>
      <c r="AB878" s="156"/>
      <c r="AC878" s="156"/>
    </row>
    <row r="879" spans="1:29" ht="13">
      <c r="A879" s="140"/>
      <c r="B879" s="140"/>
      <c r="C879" s="156"/>
      <c r="D879" s="156"/>
      <c r="E879" s="156"/>
      <c r="F879" s="156"/>
      <c r="G879" s="185"/>
      <c r="H879" s="156"/>
      <c r="I879" s="156"/>
      <c r="J879" s="156"/>
      <c r="K879" s="156"/>
      <c r="L879" s="157"/>
      <c r="M879" s="156"/>
      <c r="N879" s="156"/>
      <c r="O879" s="156"/>
      <c r="P879" s="156"/>
      <c r="Q879" s="156"/>
      <c r="R879" s="156"/>
      <c r="S879" s="156"/>
      <c r="T879" s="156"/>
      <c r="U879" s="156"/>
      <c r="V879" s="156"/>
      <c r="W879" s="156"/>
      <c r="X879" s="156"/>
      <c r="Y879" s="156"/>
      <c r="Z879" s="156"/>
      <c r="AA879" s="156"/>
      <c r="AB879" s="156"/>
      <c r="AC879" s="156"/>
    </row>
    <row r="880" spans="1:29" ht="13">
      <c r="A880" s="140"/>
      <c r="B880" s="140"/>
      <c r="C880" s="156"/>
      <c r="D880" s="156"/>
      <c r="E880" s="156"/>
      <c r="F880" s="156"/>
      <c r="G880" s="185"/>
      <c r="H880" s="156"/>
      <c r="I880" s="156"/>
      <c r="J880" s="156"/>
      <c r="K880" s="156"/>
      <c r="L880" s="157"/>
      <c r="M880" s="156"/>
      <c r="N880" s="156"/>
      <c r="O880" s="156"/>
      <c r="P880" s="156"/>
      <c r="Q880" s="156"/>
      <c r="R880" s="156"/>
      <c r="S880" s="156"/>
      <c r="T880" s="156"/>
      <c r="U880" s="156"/>
      <c r="V880" s="156"/>
      <c r="W880" s="156"/>
      <c r="X880" s="156"/>
      <c r="Y880" s="156"/>
      <c r="Z880" s="156"/>
      <c r="AA880" s="156"/>
      <c r="AB880" s="156"/>
      <c r="AC880" s="156"/>
    </row>
    <row r="881" spans="1:29" ht="13">
      <c r="A881" s="140"/>
      <c r="B881" s="140"/>
      <c r="C881" s="156"/>
      <c r="D881" s="156"/>
      <c r="E881" s="156"/>
      <c r="F881" s="156"/>
      <c r="G881" s="185"/>
      <c r="H881" s="156"/>
      <c r="I881" s="156"/>
      <c r="J881" s="156"/>
      <c r="K881" s="156"/>
      <c r="L881" s="157"/>
      <c r="M881" s="156"/>
      <c r="N881" s="156"/>
      <c r="O881" s="156"/>
      <c r="P881" s="156"/>
      <c r="Q881" s="156"/>
      <c r="R881" s="156"/>
      <c r="S881" s="156"/>
      <c r="T881" s="156"/>
      <c r="U881" s="156"/>
      <c r="V881" s="156"/>
      <c r="W881" s="156"/>
      <c r="X881" s="156"/>
      <c r="Y881" s="156"/>
      <c r="Z881" s="156"/>
      <c r="AA881" s="156"/>
      <c r="AB881" s="156"/>
      <c r="AC881" s="156"/>
    </row>
    <row r="882" spans="1:29" ht="13">
      <c r="A882" s="140"/>
      <c r="B882" s="140"/>
      <c r="C882" s="156"/>
      <c r="D882" s="156"/>
      <c r="E882" s="156"/>
      <c r="F882" s="156"/>
      <c r="G882" s="185"/>
      <c r="H882" s="156"/>
      <c r="I882" s="156"/>
      <c r="J882" s="156"/>
      <c r="K882" s="156"/>
      <c r="L882" s="157"/>
      <c r="M882" s="156"/>
      <c r="N882" s="156"/>
      <c r="O882" s="156"/>
      <c r="P882" s="156"/>
      <c r="Q882" s="156"/>
      <c r="R882" s="156"/>
      <c r="S882" s="156"/>
      <c r="T882" s="156"/>
      <c r="U882" s="156"/>
      <c r="V882" s="156"/>
      <c r="W882" s="156"/>
      <c r="X882" s="156"/>
      <c r="Y882" s="156"/>
      <c r="Z882" s="156"/>
      <c r="AA882" s="156"/>
      <c r="AB882" s="156"/>
      <c r="AC882" s="156"/>
    </row>
    <row r="883" spans="1:29" ht="13">
      <c r="A883" s="140"/>
      <c r="B883" s="140"/>
      <c r="C883" s="156"/>
      <c r="D883" s="156"/>
      <c r="E883" s="156"/>
      <c r="F883" s="156"/>
      <c r="G883" s="185"/>
      <c r="H883" s="156"/>
      <c r="I883" s="156"/>
      <c r="J883" s="156"/>
      <c r="K883" s="156"/>
      <c r="L883" s="157"/>
      <c r="M883" s="156"/>
      <c r="N883" s="156"/>
      <c r="O883" s="156"/>
      <c r="P883" s="156"/>
      <c r="Q883" s="156"/>
      <c r="R883" s="156"/>
      <c r="S883" s="156"/>
      <c r="T883" s="156"/>
      <c r="U883" s="156"/>
      <c r="V883" s="156"/>
      <c r="W883" s="156"/>
      <c r="X883" s="156"/>
      <c r="Y883" s="156"/>
      <c r="Z883" s="156"/>
      <c r="AA883" s="156"/>
      <c r="AB883" s="156"/>
      <c r="AC883" s="156"/>
    </row>
    <row r="884" spans="1:29" ht="13">
      <c r="A884" s="140"/>
      <c r="B884" s="140"/>
      <c r="C884" s="156"/>
      <c r="D884" s="156"/>
      <c r="E884" s="156"/>
      <c r="F884" s="156"/>
      <c r="G884" s="185"/>
      <c r="H884" s="156"/>
      <c r="I884" s="156"/>
      <c r="J884" s="156"/>
      <c r="K884" s="156"/>
      <c r="L884" s="157"/>
      <c r="M884" s="156"/>
      <c r="N884" s="156"/>
      <c r="O884" s="156"/>
      <c r="P884" s="156"/>
      <c r="Q884" s="156"/>
      <c r="R884" s="156"/>
      <c r="S884" s="156"/>
      <c r="T884" s="156"/>
      <c r="U884" s="156"/>
      <c r="V884" s="156"/>
      <c r="W884" s="156"/>
      <c r="X884" s="156"/>
      <c r="Y884" s="156"/>
      <c r="Z884" s="156"/>
      <c r="AA884" s="156"/>
      <c r="AB884" s="156"/>
      <c r="AC884" s="156"/>
    </row>
    <row r="885" spans="1:29" ht="13">
      <c r="A885" s="140"/>
      <c r="B885" s="140"/>
      <c r="C885" s="156"/>
      <c r="D885" s="156"/>
      <c r="E885" s="156"/>
      <c r="F885" s="156"/>
      <c r="G885" s="185"/>
      <c r="H885" s="156"/>
      <c r="I885" s="156"/>
      <c r="J885" s="156"/>
      <c r="K885" s="156"/>
      <c r="L885" s="157"/>
      <c r="M885" s="156"/>
      <c r="N885" s="156"/>
      <c r="O885" s="156"/>
      <c r="P885" s="156"/>
      <c r="Q885" s="156"/>
      <c r="R885" s="156"/>
      <c r="S885" s="156"/>
      <c r="T885" s="156"/>
      <c r="U885" s="156"/>
      <c r="V885" s="156"/>
      <c r="W885" s="156"/>
      <c r="X885" s="156"/>
      <c r="Y885" s="156"/>
      <c r="Z885" s="156"/>
      <c r="AA885" s="156"/>
      <c r="AB885" s="156"/>
      <c r="AC885" s="156"/>
    </row>
    <row r="886" spans="1:29" ht="13">
      <c r="A886" s="140"/>
      <c r="B886" s="140"/>
      <c r="C886" s="156"/>
      <c r="D886" s="156"/>
      <c r="E886" s="156"/>
      <c r="F886" s="156"/>
      <c r="G886" s="185"/>
      <c r="H886" s="156"/>
      <c r="I886" s="156"/>
      <c r="J886" s="156"/>
      <c r="K886" s="156"/>
      <c r="L886" s="157"/>
      <c r="M886" s="156"/>
      <c r="N886" s="156"/>
      <c r="O886" s="156"/>
      <c r="P886" s="156"/>
      <c r="Q886" s="156"/>
      <c r="R886" s="156"/>
      <c r="S886" s="156"/>
      <c r="T886" s="156"/>
      <c r="U886" s="156"/>
      <c r="V886" s="156"/>
      <c r="W886" s="156"/>
      <c r="X886" s="156"/>
      <c r="Y886" s="156"/>
      <c r="Z886" s="156"/>
      <c r="AA886" s="156"/>
      <c r="AB886" s="156"/>
      <c r="AC886" s="156"/>
    </row>
    <row r="887" spans="1:29" ht="13">
      <c r="A887" s="140"/>
      <c r="B887" s="140"/>
      <c r="C887" s="156"/>
      <c r="D887" s="156"/>
      <c r="E887" s="156"/>
      <c r="F887" s="156"/>
      <c r="G887" s="185"/>
      <c r="H887" s="156"/>
      <c r="I887" s="156"/>
      <c r="J887" s="156"/>
      <c r="K887" s="156"/>
      <c r="L887" s="157"/>
      <c r="M887" s="156"/>
      <c r="N887" s="156"/>
      <c r="O887" s="156"/>
      <c r="P887" s="156"/>
      <c r="Q887" s="156"/>
      <c r="R887" s="156"/>
      <c r="S887" s="156"/>
      <c r="T887" s="156"/>
      <c r="U887" s="156"/>
      <c r="V887" s="156"/>
      <c r="W887" s="156"/>
      <c r="X887" s="156"/>
      <c r="Y887" s="156"/>
      <c r="Z887" s="156"/>
      <c r="AA887" s="156"/>
      <c r="AB887" s="156"/>
      <c r="AC887" s="156"/>
    </row>
    <row r="888" spans="1:29" ht="13">
      <c r="A888" s="140"/>
      <c r="B888" s="140"/>
      <c r="C888" s="156"/>
      <c r="D888" s="156"/>
      <c r="E888" s="156"/>
      <c r="F888" s="156"/>
      <c r="G888" s="185"/>
      <c r="H888" s="156"/>
      <c r="I888" s="156"/>
      <c r="J888" s="156"/>
      <c r="K888" s="156"/>
      <c r="L888" s="157"/>
      <c r="M888" s="156"/>
      <c r="N888" s="156"/>
      <c r="O888" s="156"/>
      <c r="P888" s="156"/>
      <c r="Q888" s="156"/>
      <c r="R888" s="156"/>
      <c r="S888" s="156"/>
      <c r="T888" s="156"/>
      <c r="U888" s="156"/>
      <c r="V888" s="156"/>
      <c r="W888" s="156"/>
      <c r="X888" s="156"/>
      <c r="Y888" s="156"/>
      <c r="Z888" s="156"/>
      <c r="AA888" s="156"/>
      <c r="AB888" s="156"/>
      <c r="AC888" s="156"/>
    </row>
    <row r="889" spans="1:29" ht="13">
      <c r="A889" s="140"/>
      <c r="B889" s="140"/>
      <c r="C889" s="156"/>
      <c r="D889" s="156"/>
      <c r="E889" s="156"/>
      <c r="F889" s="156"/>
      <c r="G889" s="185"/>
      <c r="H889" s="156"/>
      <c r="I889" s="156"/>
      <c r="J889" s="156"/>
      <c r="K889" s="156"/>
      <c r="L889" s="157"/>
      <c r="M889" s="156"/>
      <c r="N889" s="156"/>
      <c r="O889" s="156"/>
      <c r="P889" s="156"/>
      <c r="Q889" s="156"/>
      <c r="R889" s="156"/>
      <c r="S889" s="156"/>
      <c r="T889" s="156"/>
      <c r="U889" s="156"/>
      <c r="V889" s="156"/>
      <c r="W889" s="156"/>
      <c r="X889" s="156"/>
      <c r="Y889" s="156"/>
      <c r="Z889" s="156"/>
      <c r="AA889" s="156"/>
      <c r="AB889" s="156"/>
      <c r="AC889" s="156"/>
    </row>
    <row r="890" spans="1:29" ht="13">
      <c r="A890" s="140"/>
      <c r="B890" s="140"/>
      <c r="C890" s="156"/>
      <c r="D890" s="156"/>
      <c r="E890" s="156"/>
      <c r="F890" s="156"/>
      <c r="G890" s="185"/>
      <c r="H890" s="156"/>
      <c r="I890" s="156"/>
      <c r="J890" s="156"/>
      <c r="K890" s="156"/>
      <c r="L890" s="157"/>
      <c r="M890" s="156"/>
      <c r="N890" s="156"/>
      <c r="O890" s="156"/>
      <c r="P890" s="156"/>
      <c r="Q890" s="156"/>
      <c r="R890" s="156"/>
      <c r="S890" s="156"/>
      <c r="T890" s="156"/>
      <c r="U890" s="156"/>
      <c r="V890" s="156"/>
      <c r="W890" s="156"/>
      <c r="X890" s="156"/>
      <c r="Y890" s="156"/>
      <c r="Z890" s="156"/>
      <c r="AA890" s="156"/>
      <c r="AB890" s="156"/>
      <c r="AC890" s="156"/>
    </row>
    <row r="891" spans="1:29" ht="13">
      <c r="A891" s="140"/>
      <c r="B891" s="140"/>
      <c r="C891" s="156"/>
      <c r="D891" s="156"/>
      <c r="E891" s="156"/>
      <c r="F891" s="156"/>
      <c r="G891" s="185"/>
      <c r="H891" s="156"/>
      <c r="I891" s="156"/>
      <c r="J891" s="156"/>
      <c r="K891" s="156"/>
      <c r="L891" s="157"/>
      <c r="M891" s="156"/>
      <c r="N891" s="156"/>
      <c r="O891" s="156"/>
      <c r="P891" s="156"/>
      <c r="Q891" s="156"/>
      <c r="R891" s="156"/>
      <c r="S891" s="156"/>
      <c r="T891" s="156"/>
      <c r="U891" s="156"/>
      <c r="V891" s="156"/>
      <c r="W891" s="156"/>
      <c r="X891" s="156"/>
      <c r="Y891" s="156"/>
      <c r="Z891" s="156"/>
      <c r="AA891" s="156"/>
      <c r="AB891" s="156"/>
      <c r="AC891" s="156"/>
    </row>
    <row r="892" spans="1:29" ht="13">
      <c r="A892" s="140"/>
      <c r="B892" s="140"/>
      <c r="C892" s="156"/>
      <c r="D892" s="156"/>
      <c r="E892" s="156"/>
      <c r="F892" s="156"/>
      <c r="G892" s="185"/>
      <c r="H892" s="156"/>
      <c r="I892" s="156"/>
      <c r="J892" s="156"/>
      <c r="K892" s="156"/>
      <c r="L892" s="157"/>
      <c r="M892" s="156"/>
      <c r="N892" s="156"/>
      <c r="O892" s="156"/>
      <c r="P892" s="156"/>
      <c r="Q892" s="156"/>
      <c r="R892" s="156"/>
      <c r="S892" s="156"/>
      <c r="T892" s="156"/>
      <c r="U892" s="156"/>
      <c r="V892" s="156"/>
      <c r="W892" s="156"/>
      <c r="X892" s="156"/>
      <c r="Y892" s="156"/>
      <c r="Z892" s="156"/>
      <c r="AA892" s="156"/>
      <c r="AB892" s="156"/>
      <c r="AC892" s="156"/>
    </row>
    <row r="893" spans="1:29" ht="13">
      <c r="A893" s="140"/>
      <c r="B893" s="140"/>
      <c r="C893" s="156"/>
      <c r="D893" s="156"/>
      <c r="E893" s="156"/>
      <c r="F893" s="156"/>
      <c r="G893" s="185"/>
      <c r="H893" s="156"/>
      <c r="I893" s="156"/>
      <c r="J893" s="156"/>
      <c r="K893" s="156"/>
      <c r="L893" s="157"/>
      <c r="M893" s="156"/>
      <c r="N893" s="156"/>
      <c r="O893" s="156"/>
      <c r="P893" s="156"/>
      <c r="Q893" s="156"/>
      <c r="R893" s="156"/>
      <c r="S893" s="156"/>
      <c r="T893" s="156"/>
      <c r="U893" s="156"/>
      <c r="V893" s="156"/>
      <c r="W893" s="156"/>
      <c r="X893" s="156"/>
      <c r="Y893" s="156"/>
      <c r="Z893" s="156"/>
      <c r="AA893" s="156"/>
      <c r="AB893" s="156"/>
      <c r="AC893" s="156"/>
    </row>
    <row r="894" spans="1:29" ht="13">
      <c r="A894" s="140"/>
      <c r="B894" s="140"/>
      <c r="C894" s="156"/>
      <c r="D894" s="156"/>
      <c r="E894" s="156"/>
      <c r="F894" s="156"/>
      <c r="G894" s="185"/>
      <c r="H894" s="156"/>
      <c r="I894" s="156"/>
      <c r="J894" s="156"/>
      <c r="K894" s="156"/>
      <c r="L894" s="157"/>
      <c r="M894" s="156"/>
      <c r="N894" s="156"/>
      <c r="O894" s="156"/>
      <c r="P894" s="156"/>
      <c r="Q894" s="156"/>
      <c r="R894" s="156"/>
      <c r="S894" s="156"/>
      <c r="T894" s="156"/>
      <c r="U894" s="156"/>
      <c r="V894" s="156"/>
      <c r="W894" s="156"/>
      <c r="X894" s="156"/>
      <c r="Y894" s="156"/>
      <c r="Z894" s="156"/>
      <c r="AA894" s="156"/>
      <c r="AB894" s="156"/>
      <c r="AC894" s="156"/>
    </row>
    <row r="895" spans="1:29" ht="13">
      <c r="A895" s="140"/>
      <c r="B895" s="140"/>
      <c r="C895" s="156"/>
      <c r="D895" s="156"/>
      <c r="E895" s="156"/>
      <c r="F895" s="156"/>
      <c r="G895" s="185"/>
      <c r="H895" s="156"/>
      <c r="I895" s="156"/>
      <c r="J895" s="156"/>
      <c r="K895" s="156"/>
      <c r="L895" s="157"/>
      <c r="M895" s="156"/>
      <c r="N895" s="156"/>
      <c r="O895" s="156"/>
      <c r="P895" s="156"/>
      <c r="Q895" s="156"/>
      <c r="R895" s="156"/>
      <c r="S895" s="156"/>
      <c r="T895" s="156"/>
      <c r="U895" s="156"/>
      <c r="V895" s="156"/>
      <c r="W895" s="156"/>
      <c r="X895" s="156"/>
      <c r="Y895" s="156"/>
      <c r="Z895" s="156"/>
      <c r="AA895" s="156"/>
      <c r="AB895" s="156"/>
      <c r="AC895" s="156"/>
    </row>
    <row r="896" spans="1:29" ht="13">
      <c r="A896" s="140"/>
      <c r="B896" s="140"/>
      <c r="C896" s="156"/>
      <c r="D896" s="156"/>
      <c r="E896" s="156"/>
      <c r="F896" s="156"/>
      <c r="G896" s="185"/>
      <c r="H896" s="156"/>
      <c r="I896" s="156"/>
      <c r="J896" s="156"/>
      <c r="K896" s="156"/>
      <c r="L896" s="157"/>
      <c r="M896" s="156"/>
      <c r="N896" s="156"/>
      <c r="O896" s="156"/>
      <c r="P896" s="156"/>
      <c r="Q896" s="156"/>
      <c r="R896" s="156"/>
      <c r="S896" s="156"/>
      <c r="T896" s="156"/>
      <c r="U896" s="156"/>
      <c r="V896" s="156"/>
      <c r="W896" s="156"/>
      <c r="X896" s="156"/>
      <c r="Y896" s="156"/>
      <c r="Z896" s="156"/>
      <c r="AA896" s="156"/>
      <c r="AB896" s="156"/>
      <c r="AC896" s="156"/>
    </row>
    <row r="897" spans="1:29" ht="13">
      <c r="A897" s="140"/>
      <c r="B897" s="140"/>
      <c r="C897" s="156"/>
      <c r="D897" s="156"/>
      <c r="E897" s="156"/>
      <c r="F897" s="156"/>
      <c r="G897" s="185"/>
      <c r="H897" s="156"/>
      <c r="I897" s="156"/>
      <c r="J897" s="156"/>
      <c r="K897" s="156"/>
      <c r="L897" s="157"/>
      <c r="M897" s="156"/>
      <c r="N897" s="156"/>
      <c r="O897" s="156"/>
      <c r="P897" s="156"/>
      <c r="Q897" s="156"/>
      <c r="R897" s="156"/>
      <c r="S897" s="156"/>
      <c r="T897" s="156"/>
      <c r="U897" s="156"/>
      <c r="V897" s="156"/>
      <c r="W897" s="156"/>
      <c r="X897" s="156"/>
      <c r="Y897" s="156"/>
      <c r="Z897" s="156"/>
      <c r="AA897" s="156"/>
      <c r="AB897" s="156"/>
      <c r="AC897" s="156"/>
    </row>
    <row r="898" spans="1:29" ht="13">
      <c r="A898" s="140"/>
      <c r="B898" s="140"/>
      <c r="C898" s="156"/>
      <c r="D898" s="156"/>
      <c r="E898" s="156"/>
      <c r="F898" s="156"/>
      <c r="G898" s="185"/>
      <c r="H898" s="156"/>
      <c r="I898" s="156"/>
      <c r="J898" s="156"/>
      <c r="K898" s="156"/>
      <c r="L898" s="157"/>
      <c r="M898" s="156"/>
      <c r="N898" s="156"/>
      <c r="O898" s="156"/>
      <c r="P898" s="156"/>
      <c r="Q898" s="156"/>
      <c r="R898" s="156"/>
      <c r="S898" s="156"/>
      <c r="T898" s="156"/>
      <c r="U898" s="156"/>
      <c r="V898" s="156"/>
      <c r="W898" s="156"/>
      <c r="X898" s="156"/>
      <c r="Y898" s="156"/>
      <c r="Z898" s="156"/>
      <c r="AA898" s="156"/>
      <c r="AB898" s="156"/>
      <c r="AC898" s="156"/>
    </row>
    <row r="899" spans="1:29" ht="13">
      <c r="A899" s="140"/>
      <c r="B899" s="140"/>
      <c r="C899" s="156"/>
      <c r="D899" s="156"/>
      <c r="E899" s="156"/>
      <c r="F899" s="156"/>
      <c r="G899" s="185"/>
      <c r="H899" s="156"/>
      <c r="I899" s="156"/>
      <c r="J899" s="156"/>
      <c r="K899" s="156"/>
      <c r="L899" s="157"/>
      <c r="M899" s="156"/>
      <c r="N899" s="156"/>
      <c r="O899" s="156"/>
      <c r="P899" s="156"/>
      <c r="Q899" s="156"/>
      <c r="R899" s="156"/>
      <c r="S899" s="156"/>
      <c r="T899" s="156"/>
      <c r="U899" s="156"/>
      <c r="V899" s="156"/>
      <c r="W899" s="156"/>
      <c r="X899" s="156"/>
      <c r="Y899" s="156"/>
      <c r="Z899" s="156"/>
      <c r="AA899" s="156"/>
      <c r="AB899" s="156"/>
      <c r="AC899" s="156"/>
    </row>
    <row r="900" spans="1:29" ht="13">
      <c r="A900" s="140"/>
      <c r="B900" s="140"/>
      <c r="C900" s="156"/>
      <c r="D900" s="156"/>
      <c r="E900" s="156"/>
      <c r="F900" s="156"/>
      <c r="G900" s="185"/>
      <c r="H900" s="156"/>
      <c r="I900" s="156"/>
      <c r="J900" s="156"/>
      <c r="K900" s="156"/>
      <c r="L900" s="157"/>
      <c r="M900" s="156"/>
      <c r="N900" s="156"/>
      <c r="O900" s="156"/>
      <c r="P900" s="156"/>
      <c r="Q900" s="156"/>
      <c r="R900" s="156"/>
      <c r="S900" s="156"/>
      <c r="T900" s="156"/>
      <c r="U900" s="156"/>
      <c r="V900" s="156"/>
      <c r="W900" s="156"/>
      <c r="X900" s="156"/>
      <c r="Y900" s="156"/>
      <c r="Z900" s="156"/>
      <c r="AA900" s="156"/>
      <c r="AB900" s="156"/>
      <c r="AC900" s="156"/>
    </row>
    <row r="901" spans="1:29" ht="13">
      <c r="A901" s="140"/>
      <c r="B901" s="140"/>
      <c r="C901" s="156"/>
      <c r="D901" s="156"/>
      <c r="E901" s="156"/>
      <c r="F901" s="156"/>
      <c r="G901" s="185"/>
      <c r="H901" s="156"/>
      <c r="I901" s="156"/>
      <c r="J901" s="156"/>
      <c r="K901" s="156"/>
      <c r="L901" s="157"/>
      <c r="M901" s="156"/>
      <c r="N901" s="156"/>
      <c r="O901" s="156"/>
      <c r="P901" s="156"/>
      <c r="Q901" s="156"/>
      <c r="R901" s="156"/>
      <c r="S901" s="156"/>
      <c r="T901" s="156"/>
      <c r="U901" s="156"/>
      <c r="V901" s="156"/>
      <c r="W901" s="156"/>
      <c r="X901" s="156"/>
      <c r="Y901" s="156"/>
      <c r="Z901" s="156"/>
      <c r="AA901" s="156"/>
      <c r="AB901" s="156"/>
      <c r="AC901" s="156"/>
    </row>
    <row r="902" spans="1:29" ht="13">
      <c r="A902" s="140"/>
      <c r="B902" s="140"/>
      <c r="C902" s="156"/>
      <c r="D902" s="156"/>
      <c r="E902" s="156"/>
      <c r="F902" s="156"/>
      <c r="G902" s="185"/>
      <c r="H902" s="156"/>
      <c r="I902" s="156"/>
      <c r="J902" s="156"/>
      <c r="K902" s="156"/>
      <c r="L902" s="157"/>
      <c r="M902" s="156"/>
      <c r="N902" s="156"/>
      <c r="O902" s="156"/>
      <c r="P902" s="156"/>
      <c r="Q902" s="156"/>
      <c r="R902" s="156"/>
      <c r="S902" s="156"/>
      <c r="T902" s="156"/>
      <c r="U902" s="156"/>
      <c r="V902" s="156"/>
      <c r="W902" s="156"/>
      <c r="X902" s="156"/>
      <c r="Y902" s="156"/>
      <c r="Z902" s="156"/>
      <c r="AA902" s="156"/>
      <c r="AB902" s="156"/>
      <c r="AC902" s="156"/>
    </row>
    <row r="903" spans="1:29" ht="13">
      <c r="A903" s="140"/>
      <c r="B903" s="140"/>
      <c r="C903" s="156"/>
      <c r="D903" s="156"/>
      <c r="E903" s="156"/>
      <c r="F903" s="156"/>
      <c r="G903" s="185"/>
      <c r="H903" s="156"/>
      <c r="I903" s="156"/>
      <c r="J903" s="156"/>
      <c r="K903" s="156"/>
      <c r="L903" s="157"/>
      <c r="M903" s="156"/>
      <c r="N903" s="156"/>
      <c r="O903" s="156"/>
      <c r="P903" s="156"/>
      <c r="Q903" s="156"/>
      <c r="R903" s="156"/>
      <c r="S903" s="156"/>
      <c r="T903" s="156"/>
      <c r="U903" s="156"/>
      <c r="V903" s="156"/>
      <c r="W903" s="156"/>
      <c r="X903" s="156"/>
      <c r="Y903" s="156"/>
      <c r="Z903" s="156"/>
      <c r="AA903" s="156"/>
      <c r="AB903" s="156"/>
      <c r="AC903" s="156"/>
    </row>
    <row r="904" spans="1:29" ht="13">
      <c r="A904" s="140"/>
      <c r="B904" s="140"/>
      <c r="C904" s="156"/>
      <c r="D904" s="156"/>
      <c r="E904" s="156"/>
      <c r="F904" s="156"/>
      <c r="G904" s="185"/>
      <c r="H904" s="156"/>
      <c r="I904" s="156"/>
      <c r="J904" s="156"/>
      <c r="K904" s="156"/>
      <c r="L904" s="157"/>
      <c r="M904" s="156"/>
      <c r="N904" s="156"/>
      <c r="O904" s="156"/>
      <c r="P904" s="156"/>
      <c r="Q904" s="156"/>
      <c r="R904" s="156"/>
      <c r="S904" s="156"/>
      <c r="T904" s="156"/>
      <c r="U904" s="156"/>
      <c r="V904" s="156"/>
      <c r="W904" s="156"/>
      <c r="X904" s="156"/>
      <c r="Y904" s="156"/>
      <c r="Z904" s="156"/>
      <c r="AA904" s="156"/>
      <c r="AB904" s="156"/>
      <c r="AC904" s="156"/>
    </row>
    <row r="905" spans="1:29" ht="13">
      <c r="A905" s="140"/>
      <c r="B905" s="140"/>
      <c r="C905" s="156"/>
      <c r="D905" s="156"/>
      <c r="E905" s="156"/>
      <c r="F905" s="156"/>
      <c r="G905" s="185"/>
      <c r="H905" s="156"/>
      <c r="I905" s="156"/>
      <c r="J905" s="156"/>
      <c r="K905" s="156"/>
      <c r="L905" s="157"/>
      <c r="M905" s="156"/>
      <c r="N905" s="156"/>
      <c r="O905" s="156"/>
      <c r="P905" s="156"/>
      <c r="Q905" s="156"/>
      <c r="R905" s="156"/>
      <c r="S905" s="156"/>
      <c r="T905" s="156"/>
      <c r="U905" s="156"/>
      <c r="V905" s="156"/>
      <c r="W905" s="156"/>
      <c r="X905" s="156"/>
      <c r="Y905" s="156"/>
      <c r="Z905" s="156"/>
      <c r="AA905" s="156"/>
      <c r="AB905" s="156"/>
      <c r="AC905" s="156"/>
    </row>
    <row r="906" spans="1:29" ht="13">
      <c r="A906" s="140"/>
      <c r="B906" s="140"/>
      <c r="C906" s="156"/>
      <c r="D906" s="156"/>
      <c r="E906" s="156"/>
      <c r="F906" s="156"/>
      <c r="G906" s="185"/>
      <c r="H906" s="156"/>
      <c r="I906" s="156"/>
      <c r="J906" s="156"/>
      <c r="K906" s="156"/>
      <c r="L906" s="157"/>
      <c r="M906" s="156"/>
      <c r="N906" s="156"/>
      <c r="O906" s="156"/>
      <c r="P906" s="156"/>
      <c r="Q906" s="156"/>
      <c r="R906" s="156"/>
      <c r="S906" s="156"/>
      <c r="T906" s="156"/>
      <c r="U906" s="156"/>
      <c r="V906" s="156"/>
      <c r="W906" s="156"/>
      <c r="X906" s="156"/>
      <c r="Y906" s="156"/>
      <c r="Z906" s="156"/>
      <c r="AA906" s="156"/>
      <c r="AB906" s="156"/>
      <c r="AC906" s="156"/>
    </row>
    <row r="907" spans="1:29" ht="13">
      <c r="A907" s="140"/>
      <c r="B907" s="140"/>
      <c r="C907" s="156"/>
      <c r="D907" s="156"/>
      <c r="E907" s="156"/>
      <c r="F907" s="156"/>
      <c r="G907" s="185"/>
      <c r="H907" s="156"/>
      <c r="I907" s="156"/>
      <c r="J907" s="156"/>
      <c r="K907" s="156"/>
      <c r="L907" s="157"/>
      <c r="M907" s="156"/>
      <c r="N907" s="156"/>
      <c r="O907" s="156"/>
      <c r="P907" s="156"/>
      <c r="Q907" s="156"/>
      <c r="R907" s="156"/>
      <c r="S907" s="156"/>
      <c r="T907" s="156"/>
      <c r="U907" s="156"/>
      <c r="V907" s="156"/>
      <c r="W907" s="156"/>
      <c r="X907" s="156"/>
      <c r="Y907" s="156"/>
      <c r="Z907" s="156"/>
      <c r="AA907" s="156"/>
      <c r="AB907" s="156"/>
      <c r="AC907" s="156"/>
    </row>
    <row r="908" spans="1:29" ht="13">
      <c r="A908" s="140"/>
      <c r="B908" s="140"/>
      <c r="C908" s="156"/>
      <c r="D908" s="156"/>
      <c r="E908" s="156"/>
      <c r="F908" s="156"/>
      <c r="G908" s="185"/>
      <c r="H908" s="156"/>
      <c r="I908" s="156"/>
      <c r="J908" s="156"/>
      <c r="K908" s="156"/>
      <c r="L908" s="157"/>
      <c r="M908" s="156"/>
      <c r="N908" s="156"/>
      <c r="O908" s="156"/>
      <c r="P908" s="156"/>
      <c r="Q908" s="156"/>
      <c r="R908" s="156"/>
      <c r="S908" s="156"/>
      <c r="T908" s="156"/>
      <c r="U908" s="156"/>
      <c r="V908" s="156"/>
      <c r="W908" s="156"/>
      <c r="X908" s="156"/>
      <c r="Y908" s="156"/>
      <c r="Z908" s="156"/>
      <c r="AA908" s="156"/>
      <c r="AB908" s="156"/>
      <c r="AC908" s="156"/>
    </row>
    <row r="909" spans="1:29" ht="13">
      <c r="A909" s="140"/>
      <c r="B909" s="140"/>
      <c r="C909" s="156"/>
      <c r="D909" s="156"/>
      <c r="E909" s="156"/>
      <c r="F909" s="156"/>
      <c r="G909" s="185"/>
      <c r="H909" s="156"/>
      <c r="I909" s="156"/>
      <c r="J909" s="156"/>
      <c r="K909" s="156"/>
      <c r="L909" s="157"/>
      <c r="M909" s="156"/>
      <c r="N909" s="156"/>
      <c r="O909" s="156"/>
      <c r="P909" s="156"/>
      <c r="Q909" s="156"/>
      <c r="R909" s="156"/>
      <c r="S909" s="156"/>
      <c r="T909" s="156"/>
      <c r="U909" s="156"/>
      <c r="V909" s="156"/>
      <c r="W909" s="156"/>
      <c r="X909" s="156"/>
      <c r="Y909" s="156"/>
      <c r="Z909" s="156"/>
      <c r="AA909" s="156"/>
      <c r="AB909" s="156"/>
      <c r="AC909" s="156"/>
    </row>
    <row r="910" spans="1:29" ht="13">
      <c r="A910" s="140"/>
      <c r="B910" s="140"/>
      <c r="C910" s="156"/>
      <c r="D910" s="156"/>
      <c r="E910" s="156"/>
      <c r="F910" s="156"/>
      <c r="G910" s="185"/>
      <c r="H910" s="156"/>
      <c r="I910" s="156"/>
      <c r="J910" s="156"/>
      <c r="K910" s="156"/>
      <c r="L910" s="157"/>
      <c r="M910" s="156"/>
      <c r="N910" s="156"/>
      <c r="O910" s="156"/>
      <c r="P910" s="156"/>
      <c r="Q910" s="156"/>
      <c r="R910" s="156"/>
      <c r="S910" s="156"/>
      <c r="T910" s="156"/>
      <c r="U910" s="156"/>
      <c r="V910" s="156"/>
      <c r="W910" s="156"/>
      <c r="X910" s="156"/>
      <c r="Y910" s="156"/>
      <c r="Z910" s="156"/>
      <c r="AA910" s="156"/>
      <c r="AB910" s="156"/>
      <c r="AC910" s="156"/>
    </row>
    <row r="911" spans="1:29" ht="13">
      <c r="A911" s="140"/>
      <c r="B911" s="140"/>
      <c r="C911" s="156"/>
      <c r="D911" s="156"/>
      <c r="E911" s="156"/>
      <c r="F911" s="156"/>
      <c r="G911" s="185"/>
      <c r="H911" s="156"/>
      <c r="I911" s="156"/>
      <c r="J911" s="156"/>
      <c r="K911" s="156"/>
      <c r="L911" s="157"/>
      <c r="M911" s="156"/>
      <c r="N911" s="156"/>
      <c r="O911" s="156"/>
      <c r="P911" s="156"/>
      <c r="Q911" s="156"/>
      <c r="R911" s="156"/>
      <c r="S911" s="156"/>
      <c r="T911" s="156"/>
      <c r="U911" s="156"/>
      <c r="V911" s="156"/>
      <c r="W911" s="156"/>
      <c r="X911" s="156"/>
      <c r="Y911" s="156"/>
      <c r="Z911" s="156"/>
      <c r="AA911" s="156"/>
      <c r="AB911" s="156"/>
      <c r="AC911" s="156"/>
    </row>
    <row r="912" spans="1:29" ht="13">
      <c r="A912" s="140"/>
      <c r="B912" s="140"/>
      <c r="C912" s="156"/>
      <c r="D912" s="156"/>
      <c r="E912" s="156"/>
      <c r="F912" s="156"/>
      <c r="G912" s="185"/>
      <c r="H912" s="156"/>
      <c r="I912" s="156"/>
      <c r="J912" s="156"/>
      <c r="K912" s="156"/>
      <c r="L912" s="157"/>
      <c r="M912" s="156"/>
      <c r="N912" s="156"/>
      <c r="O912" s="156"/>
      <c r="P912" s="156"/>
      <c r="Q912" s="156"/>
      <c r="R912" s="156"/>
      <c r="S912" s="156"/>
      <c r="T912" s="156"/>
      <c r="U912" s="156"/>
      <c r="V912" s="156"/>
      <c r="W912" s="156"/>
      <c r="X912" s="156"/>
      <c r="Y912" s="156"/>
      <c r="Z912" s="156"/>
      <c r="AA912" s="156"/>
      <c r="AB912" s="156"/>
      <c r="AC912" s="156"/>
    </row>
    <row r="913" spans="1:29" ht="13">
      <c r="A913" s="140"/>
      <c r="B913" s="140"/>
      <c r="C913" s="156"/>
      <c r="D913" s="156"/>
      <c r="E913" s="156"/>
      <c r="F913" s="156"/>
      <c r="G913" s="185"/>
      <c r="H913" s="156"/>
      <c r="I913" s="156"/>
      <c r="J913" s="156"/>
      <c r="K913" s="156"/>
      <c r="L913" s="157"/>
      <c r="M913" s="156"/>
      <c r="N913" s="156"/>
      <c r="O913" s="156"/>
      <c r="P913" s="156"/>
      <c r="Q913" s="156"/>
      <c r="R913" s="156"/>
      <c r="S913" s="156"/>
      <c r="T913" s="156"/>
      <c r="U913" s="156"/>
      <c r="V913" s="156"/>
      <c r="W913" s="156"/>
      <c r="X913" s="156"/>
      <c r="Y913" s="156"/>
      <c r="Z913" s="156"/>
      <c r="AA913" s="156"/>
      <c r="AB913" s="156"/>
      <c r="AC913" s="156"/>
    </row>
    <row r="914" spans="1:29" ht="13">
      <c r="A914" s="140"/>
      <c r="B914" s="140"/>
      <c r="C914" s="156"/>
      <c r="D914" s="156"/>
      <c r="E914" s="156"/>
      <c r="F914" s="156"/>
      <c r="G914" s="185"/>
      <c r="H914" s="156"/>
      <c r="I914" s="156"/>
      <c r="J914" s="156"/>
      <c r="K914" s="156"/>
      <c r="L914" s="157"/>
      <c r="M914" s="156"/>
      <c r="N914" s="156"/>
      <c r="O914" s="156"/>
      <c r="P914" s="156"/>
      <c r="Q914" s="156"/>
      <c r="R914" s="156"/>
      <c r="S914" s="156"/>
      <c r="T914" s="156"/>
      <c r="U914" s="156"/>
      <c r="V914" s="156"/>
      <c r="W914" s="156"/>
      <c r="X914" s="156"/>
      <c r="Y914" s="156"/>
      <c r="Z914" s="156"/>
      <c r="AA914" s="156"/>
      <c r="AB914" s="156"/>
      <c r="AC914" s="156"/>
    </row>
    <row r="915" spans="1:29" ht="13">
      <c r="A915" s="140"/>
      <c r="B915" s="140"/>
      <c r="C915" s="156"/>
      <c r="D915" s="156"/>
      <c r="E915" s="156"/>
      <c r="F915" s="156"/>
      <c r="G915" s="185"/>
      <c r="H915" s="156"/>
      <c r="I915" s="156"/>
      <c r="J915" s="156"/>
      <c r="K915" s="156"/>
      <c r="L915" s="157"/>
      <c r="M915" s="156"/>
      <c r="N915" s="156"/>
      <c r="O915" s="156"/>
      <c r="P915" s="156"/>
      <c r="Q915" s="156"/>
      <c r="R915" s="156"/>
      <c r="S915" s="156"/>
      <c r="T915" s="156"/>
      <c r="U915" s="156"/>
      <c r="V915" s="156"/>
      <c r="W915" s="156"/>
      <c r="X915" s="156"/>
      <c r="Y915" s="156"/>
      <c r="Z915" s="156"/>
      <c r="AA915" s="156"/>
      <c r="AB915" s="156"/>
      <c r="AC915" s="156"/>
    </row>
    <row r="916" spans="1:29" ht="13">
      <c r="A916" s="140"/>
      <c r="B916" s="140"/>
      <c r="C916" s="156"/>
      <c r="D916" s="156"/>
      <c r="E916" s="156"/>
      <c r="F916" s="156"/>
      <c r="G916" s="185"/>
      <c r="H916" s="156"/>
      <c r="I916" s="156"/>
      <c r="J916" s="156"/>
      <c r="K916" s="156"/>
      <c r="L916" s="157"/>
      <c r="M916" s="156"/>
      <c r="N916" s="156"/>
      <c r="O916" s="156"/>
      <c r="P916" s="156"/>
      <c r="Q916" s="156"/>
      <c r="R916" s="156"/>
      <c r="S916" s="156"/>
      <c r="T916" s="156"/>
      <c r="U916" s="156"/>
      <c r="V916" s="156"/>
      <c r="W916" s="156"/>
      <c r="X916" s="156"/>
      <c r="Y916" s="156"/>
      <c r="Z916" s="156"/>
      <c r="AA916" s="156"/>
      <c r="AB916" s="156"/>
      <c r="AC916" s="156"/>
    </row>
    <row r="917" spans="1:29" ht="13">
      <c r="A917" s="140"/>
      <c r="B917" s="140"/>
      <c r="C917" s="156"/>
      <c r="D917" s="156"/>
      <c r="E917" s="156"/>
      <c r="F917" s="156"/>
      <c r="G917" s="185"/>
      <c r="H917" s="156"/>
      <c r="I917" s="156"/>
      <c r="J917" s="156"/>
      <c r="K917" s="156"/>
      <c r="L917" s="157"/>
      <c r="M917" s="156"/>
      <c r="N917" s="156"/>
      <c r="O917" s="156"/>
      <c r="P917" s="156"/>
      <c r="Q917" s="156"/>
      <c r="R917" s="156"/>
      <c r="S917" s="156"/>
      <c r="T917" s="156"/>
      <c r="U917" s="156"/>
      <c r="V917" s="156"/>
      <c r="W917" s="156"/>
      <c r="X917" s="156"/>
      <c r="Y917" s="156"/>
      <c r="Z917" s="156"/>
      <c r="AA917" s="156"/>
      <c r="AB917" s="156"/>
      <c r="AC917" s="156"/>
    </row>
    <row r="918" spans="1:29" ht="13">
      <c r="A918" s="140"/>
      <c r="B918" s="140"/>
      <c r="C918" s="156"/>
      <c r="D918" s="156"/>
      <c r="E918" s="156"/>
      <c r="F918" s="156"/>
      <c r="G918" s="185"/>
      <c r="H918" s="156"/>
      <c r="I918" s="156"/>
      <c r="J918" s="156"/>
      <c r="K918" s="156"/>
      <c r="L918" s="157"/>
      <c r="M918" s="156"/>
      <c r="N918" s="156"/>
      <c r="O918" s="156"/>
      <c r="P918" s="156"/>
      <c r="Q918" s="156"/>
      <c r="R918" s="156"/>
      <c r="S918" s="156"/>
      <c r="T918" s="156"/>
      <c r="U918" s="156"/>
      <c r="V918" s="156"/>
      <c r="W918" s="156"/>
      <c r="X918" s="156"/>
      <c r="Y918" s="156"/>
      <c r="Z918" s="156"/>
      <c r="AA918" s="156"/>
      <c r="AB918" s="156"/>
      <c r="AC918" s="156"/>
    </row>
    <row r="919" spans="1:29" ht="13">
      <c r="A919" s="140"/>
      <c r="B919" s="140"/>
      <c r="C919" s="156"/>
      <c r="D919" s="156"/>
      <c r="E919" s="156"/>
      <c r="F919" s="156"/>
      <c r="G919" s="185"/>
      <c r="H919" s="156"/>
      <c r="I919" s="156"/>
      <c r="J919" s="156"/>
      <c r="K919" s="156"/>
      <c r="L919" s="157"/>
      <c r="M919" s="156"/>
      <c r="N919" s="156"/>
      <c r="O919" s="156"/>
      <c r="P919" s="156"/>
      <c r="Q919" s="156"/>
      <c r="R919" s="156"/>
      <c r="S919" s="156"/>
      <c r="T919" s="156"/>
      <c r="U919" s="156"/>
      <c r="V919" s="156"/>
      <c r="W919" s="156"/>
      <c r="X919" s="156"/>
      <c r="Y919" s="156"/>
      <c r="Z919" s="156"/>
      <c r="AA919" s="156"/>
      <c r="AB919" s="156"/>
      <c r="AC919" s="156"/>
    </row>
    <row r="920" spans="1:29" ht="13">
      <c r="A920" s="140"/>
      <c r="B920" s="140"/>
      <c r="C920" s="156"/>
      <c r="D920" s="156"/>
      <c r="E920" s="156"/>
      <c r="F920" s="156"/>
      <c r="G920" s="185"/>
      <c r="H920" s="156"/>
      <c r="I920" s="156"/>
      <c r="J920" s="156"/>
      <c r="K920" s="156"/>
      <c r="L920" s="157"/>
      <c r="M920" s="156"/>
      <c r="N920" s="156"/>
      <c r="O920" s="156"/>
      <c r="P920" s="156"/>
      <c r="Q920" s="156"/>
      <c r="R920" s="156"/>
      <c r="S920" s="156"/>
      <c r="T920" s="156"/>
      <c r="U920" s="156"/>
      <c r="V920" s="156"/>
      <c r="W920" s="156"/>
      <c r="X920" s="156"/>
      <c r="Y920" s="156"/>
      <c r="Z920" s="156"/>
      <c r="AA920" s="156"/>
      <c r="AB920" s="156"/>
      <c r="AC920" s="156"/>
    </row>
    <row r="921" spans="1:29" ht="13">
      <c r="A921" s="140"/>
      <c r="B921" s="140"/>
      <c r="C921" s="156"/>
      <c r="D921" s="156"/>
      <c r="E921" s="156"/>
      <c r="F921" s="156"/>
      <c r="G921" s="185"/>
      <c r="H921" s="156"/>
      <c r="I921" s="156"/>
      <c r="J921" s="156"/>
      <c r="K921" s="156"/>
      <c r="L921" s="157"/>
      <c r="M921" s="156"/>
      <c r="N921" s="156"/>
      <c r="O921" s="156"/>
      <c r="P921" s="156"/>
      <c r="Q921" s="156"/>
      <c r="R921" s="156"/>
      <c r="S921" s="156"/>
      <c r="T921" s="156"/>
      <c r="U921" s="156"/>
      <c r="V921" s="156"/>
      <c r="W921" s="156"/>
      <c r="X921" s="156"/>
      <c r="Y921" s="156"/>
      <c r="Z921" s="156"/>
      <c r="AA921" s="156"/>
      <c r="AB921" s="156"/>
      <c r="AC921" s="156"/>
    </row>
    <row r="922" spans="1:29" ht="13">
      <c r="A922" s="140"/>
      <c r="B922" s="140"/>
      <c r="C922" s="156"/>
      <c r="D922" s="156"/>
      <c r="E922" s="156"/>
      <c r="F922" s="156"/>
      <c r="G922" s="185"/>
      <c r="H922" s="156"/>
      <c r="I922" s="156"/>
      <c r="J922" s="156"/>
      <c r="K922" s="156"/>
      <c r="L922" s="157"/>
      <c r="M922" s="156"/>
      <c r="N922" s="156"/>
      <c r="O922" s="156"/>
      <c r="P922" s="156"/>
      <c r="Q922" s="156"/>
      <c r="R922" s="156"/>
      <c r="S922" s="156"/>
      <c r="T922" s="156"/>
      <c r="U922" s="156"/>
      <c r="V922" s="156"/>
      <c r="W922" s="156"/>
      <c r="X922" s="156"/>
      <c r="Y922" s="156"/>
      <c r="Z922" s="156"/>
      <c r="AA922" s="156"/>
      <c r="AB922" s="156"/>
      <c r="AC922" s="156"/>
    </row>
    <row r="923" spans="1:29" ht="13">
      <c r="A923" s="140"/>
      <c r="B923" s="140"/>
      <c r="C923" s="156"/>
      <c r="D923" s="156"/>
      <c r="E923" s="156"/>
      <c r="F923" s="156"/>
      <c r="G923" s="185"/>
      <c r="H923" s="156"/>
      <c r="I923" s="156"/>
      <c r="J923" s="156"/>
      <c r="K923" s="156"/>
      <c r="L923" s="157"/>
      <c r="M923" s="156"/>
      <c r="N923" s="156"/>
      <c r="O923" s="156"/>
      <c r="P923" s="156"/>
      <c r="Q923" s="156"/>
      <c r="R923" s="156"/>
      <c r="S923" s="156"/>
      <c r="T923" s="156"/>
      <c r="U923" s="156"/>
      <c r="V923" s="156"/>
      <c r="W923" s="156"/>
      <c r="X923" s="156"/>
      <c r="Y923" s="156"/>
      <c r="Z923" s="156"/>
      <c r="AA923" s="156"/>
      <c r="AB923" s="156"/>
      <c r="AC923" s="156"/>
    </row>
    <row r="924" spans="1:29" ht="13">
      <c r="A924" s="140"/>
      <c r="B924" s="140"/>
      <c r="C924" s="156"/>
      <c r="D924" s="156"/>
      <c r="E924" s="156"/>
      <c r="F924" s="156"/>
      <c r="G924" s="185"/>
      <c r="H924" s="156"/>
      <c r="I924" s="156"/>
      <c r="J924" s="156"/>
      <c r="K924" s="156"/>
      <c r="L924" s="157"/>
      <c r="M924" s="156"/>
      <c r="N924" s="156"/>
      <c r="O924" s="156"/>
      <c r="P924" s="156"/>
      <c r="Q924" s="156"/>
      <c r="R924" s="156"/>
      <c r="S924" s="156"/>
      <c r="T924" s="156"/>
      <c r="U924" s="156"/>
      <c r="V924" s="156"/>
      <c r="W924" s="156"/>
      <c r="X924" s="156"/>
      <c r="Y924" s="156"/>
      <c r="Z924" s="156"/>
      <c r="AA924" s="156"/>
      <c r="AB924" s="156"/>
      <c r="AC924" s="156"/>
    </row>
    <row r="925" spans="1:29" ht="13">
      <c r="A925" s="140"/>
      <c r="B925" s="140"/>
      <c r="C925" s="156"/>
      <c r="D925" s="156"/>
      <c r="E925" s="156"/>
      <c r="F925" s="156"/>
      <c r="G925" s="185"/>
      <c r="H925" s="156"/>
      <c r="I925" s="156"/>
      <c r="J925" s="156"/>
      <c r="K925" s="156"/>
      <c r="L925" s="157"/>
      <c r="M925" s="156"/>
      <c r="N925" s="156"/>
      <c r="O925" s="156"/>
      <c r="P925" s="156"/>
      <c r="Q925" s="156"/>
      <c r="R925" s="156"/>
      <c r="S925" s="156"/>
      <c r="T925" s="156"/>
      <c r="U925" s="156"/>
      <c r="V925" s="156"/>
      <c r="W925" s="156"/>
      <c r="X925" s="156"/>
      <c r="Y925" s="156"/>
      <c r="Z925" s="156"/>
      <c r="AA925" s="156"/>
      <c r="AB925" s="156"/>
      <c r="AC925" s="156"/>
    </row>
    <row r="926" spans="1:29" ht="13">
      <c r="A926" s="140"/>
      <c r="B926" s="140"/>
      <c r="C926" s="156"/>
      <c r="D926" s="156"/>
      <c r="E926" s="156"/>
      <c r="F926" s="156"/>
      <c r="G926" s="185"/>
      <c r="H926" s="156"/>
      <c r="I926" s="156"/>
      <c r="J926" s="156"/>
      <c r="K926" s="156"/>
      <c r="L926" s="157"/>
      <c r="M926" s="156"/>
      <c r="N926" s="156"/>
      <c r="O926" s="156"/>
      <c r="P926" s="156"/>
      <c r="Q926" s="156"/>
      <c r="R926" s="156"/>
      <c r="S926" s="156"/>
      <c r="T926" s="156"/>
      <c r="U926" s="156"/>
      <c r="V926" s="156"/>
      <c r="W926" s="156"/>
      <c r="X926" s="156"/>
      <c r="Y926" s="156"/>
      <c r="Z926" s="156"/>
      <c r="AA926" s="156"/>
      <c r="AB926" s="156"/>
      <c r="AC926" s="156"/>
    </row>
    <row r="927" spans="1:29" ht="13">
      <c r="A927" s="140"/>
      <c r="B927" s="140"/>
      <c r="C927" s="156"/>
      <c r="D927" s="156"/>
      <c r="E927" s="156"/>
      <c r="F927" s="156"/>
      <c r="G927" s="185"/>
      <c r="H927" s="156"/>
      <c r="I927" s="156"/>
      <c r="J927" s="156"/>
      <c r="K927" s="156"/>
      <c r="L927" s="157"/>
      <c r="M927" s="156"/>
      <c r="N927" s="156"/>
      <c r="O927" s="156"/>
      <c r="P927" s="156"/>
      <c r="Q927" s="156"/>
      <c r="R927" s="156"/>
      <c r="S927" s="156"/>
      <c r="T927" s="156"/>
      <c r="U927" s="156"/>
      <c r="V927" s="156"/>
      <c r="W927" s="156"/>
      <c r="X927" s="156"/>
      <c r="Y927" s="156"/>
      <c r="Z927" s="156"/>
      <c r="AA927" s="156"/>
      <c r="AB927" s="156"/>
      <c r="AC927" s="156"/>
    </row>
    <row r="928" spans="1:29" ht="13">
      <c r="A928" s="140"/>
      <c r="B928" s="140"/>
      <c r="C928" s="156"/>
      <c r="D928" s="156"/>
      <c r="E928" s="156"/>
      <c r="F928" s="156"/>
      <c r="G928" s="185"/>
      <c r="H928" s="156"/>
      <c r="I928" s="156"/>
      <c r="J928" s="156"/>
      <c r="K928" s="156"/>
      <c r="L928" s="157"/>
      <c r="M928" s="156"/>
      <c r="N928" s="156"/>
      <c r="O928" s="156"/>
      <c r="P928" s="156"/>
      <c r="Q928" s="156"/>
      <c r="R928" s="156"/>
      <c r="S928" s="156"/>
      <c r="T928" s="156"/>
      <c r="U928" s="156"/>
      <c r="V928" s="156"/>
      <c r="W928" s="156"/>
      <c r="X928" s="156"/>
      <c r="Y928" s="156"/>
      <c r="Z928" s="156"/>
      <c r="AA928" s="156"/>
      <c r="AB928" s="156"/>
      <c r="AC928" s="156"/>
    </row>
    <row r="929" spans="1:29" ht="13">
      <c r="A929" s="140"/>
      <c r="B929" s="140"/>
      <c r="C929" s="156"/>
      <c r="D929" s="156"/>
      <c r="E929" s="156"/>
      <c r="F929" s="156"/>
      <c r="G929" s="185"/>
      <c r="H929" s="156"/>
      <c r="I929" s="156"/>
      <c r="J929" s="156"/>
      <c r="K929" s="156"/>
      <c r="L929" s="157"/>
      <c r="M929" s="156"/>
      <c r="N929" s="156"/>
      <c r="O929" s="156"/>
      <c r="P929" s="156"/>
      <c r="Q929" s="156"/>
      <c r="R929" s="156"/>
      <c r="S929" s="156"/>
      <c r="T929" s="156"/>
      <c r="U929" s="156"/>
      <c r="V929" s="156"/>
      <c r="W929" s="156"/>
      <c r="X929" s="156"/>
      <c r="Y929" s="156"/>
      <c r="Z929" s="156"/>
      <c r="AA929" s="156"/>
      <c r="AB929" s="156"/>
      <c r="AC929" s="156"/>
    </row>
    <row r="930" spans="1:29" ht="13">
      <c r="A930" s="140"/>
      <c r="B930" s="140"/>
      <c r="C930" s="156"/>
      <c r="D930" s="156"/>
      <c r="E930" s="156"/>
      <c r="F930" s="156"/>
      <c r="G930" s="185"/>
      <c r="H930" s="156"/>
      <c r="I930" s="156"/>
      <c r="J930" s="156"/>
      <c r="K930" s="156"/>
      <c r="L930" s="157"/>
      <c r="M930" s="156"/>
      <c r="N930" s="156"/>
      <c r="O930" s="156"/>
      <c r="P930" s="156"/>
      <c r="Q930" s="156"/>
      <c r="R930" s="156"/>
      <c r="S930" s="156"/>
      <c r="T930" s="156"/>
      <c r="U930" s="156"/>
      <c r="V930" s="156"/>
      <c r="W930" s="156"/>
      <c r="X930" s="156"/>
      <c r="Y930" s="156"/>
      <c r="Z930" s="156"/>
      <c r="AA930" s="156"/>
      <c r="AB930" s="156"/>
      <c r="AC930" s="156"/>
    </row>
    <row r="931" spans="1:29" ht="13">
      <c r="A931" s="140"/>
      <c r="B931" s="140"/>
      <c r="C931" s="156"/>
      <c r="D931" s="156"/>
      <c r="E931" s="156"/>
      <c r="F931" s="156"/>
      <c r="G931" s="185"/>
      <c r="H931" s="156"/>
      <c r="I931" s="156"/>
      <c r="J931" s="156"/>
      <c r="K931" s="156"/>
      <c r="L931" s="157"/>
      <c r="M931" s="156"/>
      <c r="N931" s="156"/>
      <c r="O931" s="156"/>
      <c r="P931" s="156"/>
      <c r="Q931" s="156"/>
      <c r="R931" s="156"/>
      <c r="S931" s="156"/>
      <c r="T931" s="156"/>
      <c r="U931" s="156"/>
      <c r="V931" s="156"/>
      <c r="W931" s="156"/>
      <c r="X931" s="156"/>
      <c r="Y931" s="156"/>
      <c r="Z931" s="156"/>
      <c r="AA931" s="156"/>
      <c r="AB931" s="156"/>
      <c r="AC931" s="156"/>
    </row>
    <row r="932" spans="1:29" ht="13">
      <c r="A932" s="140"/>
      <c r="B932" s="140"/>
      <c r="C932" s="156"/>
      <c r="D932" s="156"/>
      <c r="E932" s="156"/>
      <c r="F932" s="156"/>
      <c r="G932" s="185"/>
      <c r="H932" s="156"/>
      <c r="I932" s="156"/>
      <c r="J932" s="156"/>
      <c r="K932" s="156"/>
      <c r="L932" s="157"/>
      <c r="M932" s="156"/>
      <c r="N932" s="156"/>
      <c r="O932" s="156"/>
      <c r="P932" s="156"/>
      <c r="Q932" s="156"/>
      <c r="R932" s="156"/>
      <c r="S932" s="156"/>
      <c r="T932" s="156"/>
      <c r="U932" s="156"/>
      <c r="V932" s="156"/>
      <c r="W932" s="156"/>
      <c r="X932" s="156"/>
      <c r="Y932" s="156"/>
      <c r="Z932" s="156"/>
      <c r="AA932" s="156"/>
      <c r="AB932" s="156"/>
      <c r="AC932" s="156"/>
    </row>
    <row r="933" spans="1:29" ht="13">
      <c r="A933" s="140"/>
      <c r="B933" s="140"/>
      <c r="C933" s="156"/>
      <c r="D933" s="156"/>
      <c r="E933" s="156"/>
      <c r="F933" s="156"/>
      <c r="G933" s="185"/>
      <c r="H933" s="156"/>
      <c r="I933" s="156"/>
      <c r="J933" s="156"/>
      <c r="K933" s="156"/>
      <c r="L933" s="157"/>
      <c r="M933" s="156"/>
      <c r="N933" s="156"/>
      <c r="O933" s="156"/>
      <c r="P933" s="156"/>
      <c r="Q933" s="156"/>
      <c r="R933" s="156"/>
      <c r="S933" s="156"/>
      <c r="T933" s="156"/>
      <c r="U933" s="156"/>
      <c r="V933" s="156"/>
      <c r="W933" s="156"/>
      <c r="X933" s="156"/>
      <c r="Y933" s="156"/>
      <c r="Z933" s="156"/>
      <c r="AA933" s="156"/>
      <c r="AB933" s="156"/>
      <c r="AC933" s="156"/>
    </row>
    <row r="934" spans="1:29" ht="13">
      <c r="A934" s="140"/>
      <c r="B934" s="140"/>
      <c r="C934" s="156"/>
      <c r="D934" s="156"/>
      <c r="E934" s="156"/>
      <c r="F934" s="156"/>
      <c r="G934" s="185"/>
      <c r="H934" s="156"/>
      <c r="I934" s="156"/>
      <c r="J934" s="156"/>
      <c r="K934" s="156"/>
      <c r="L934" s="157"/>
      <c r="M934" s="156"/>
      <c r="N934" s="156"/>
      <c r="O934" s="156"/>
      <c r="P934" s="156"/>
      <c r="Q934" s="156"/>
      <c r="R934" s="156"/>
      <c r="S934" s="156"/>
      <c r="T934" s="156"/>
      <c r="U934" s="156"/>
      <c r="V934" s="156"/>
      <c r="W934" s="156"/>
      <c r="X934" s="156"/>
      <c r="Y934" s="156"/>
      <c r="Z934" s="156"/>
      <c r="AA934" s="156"/>
      <c r="AB934" s="156"/>
      <c r="AC934" s="156"/>
    </row>
    <row r="935" spans="1:29" ht="13">
      <c r="A935" s="140"/>
      <c r="B935" s="140"/>
      <c r="C935" s="156"/>
      <c r="D935" s="156"/>
      <c r="E935" s="156"/>
      <c r="F935" s="156"/>
      <c r="G935" s="185"/>
      <c r="H935" s="156"/>
      <c r="I935" s="156"/>
      <c r="J935" s="156"/>
      <c r="K935" s="156"/>
      <c r="L935" s="157"/>
      <c r="M935" s="156"/>
      <c r="N935" s="156"/>
      <c r="O935" s="156"/>
      <c r="P935" s="156"/>
      <c r="Q935" s="156"/>
      <c r="R935" s="156"/>
      <c r="S935" s="156"/>
      <c r="T935" s="156"/>
      <c r="U935" s="156"/>
      <c r="V935" s="156"/>
      <c r="W935" s="156"/>
      <c r="X935" s="156"/>
      <c r="Y935" s="156"/>
      <c r="Z935" s="156"/>
      <c r="AA935" s="156"/>
      <c r="AB935" s="156"/>
      <c r="AC935" s="156"/>
    </row>
    <row r="936" spans="1:29" ht="13">
      <c r="A936" s="140"/>
      <c r="B936" s="140"/>
      <c r="C936" s="156"/>
      <c r="D936" s="156"/>
      <c r="E936" s="156"/>
      <c r="F936" s="156"/>
      <c r="G936" s="185"/>
      <c r="H936" s="156"/>
      <c r="I936" s="156"/>
      <c r="J936" s="156"/>
      <c r="K936" s="156"/>
      <c r="L936" s="157"/>
      <c r="M936" s="156"/>
      <c r="N936" s="156"/>
      <c r="O936" s="156"/>
      <c r="P936" s="156"/>
      <c r="Q936" s="156"/>
      <c r="R936" s="156"/>
      <c r="S936" s="156"/>
      <c r="T936" s="156"/>
      <c r="U936" s="156"/>
      <c r="V936" s="156"/>
      <c r="W936" s="156"/>
      <c r="X936" s="156"/>
      <c r="Y936" s="156"/>
      <c r="Z936" s="156"/>
      <c r="AA936" s="156"/>
      <c r="AB936" s="156"/>
      <c r="AC936" s="156"/>
    </row>
    <row r="937" spans="1:29" ht="13">
      <c r="A937" s="140"/>
      <c r="B937" s="140"/>
      <c r="C937" s="156"/>
      <c r="D937" s="156"/>
      <c r="E937" s="156"/>
      <c r="F937" s="156"/>
      <c r="G937" s="185"/>
      <c r="H937" s="156"/>
      <c r="I937" s="156"/>
      <c r="J937" s="156"/>
      <c r="K937" s="156"/>
      <c r="L937" s="157"/>
      <c r="M937" s="156"/>
      <c r="N937" s="156"/>
      <c r="O937" s="156"/>
      <c r="P937" s="156"/>
      <c r="Q937" s="156"/>
      <c r="R937" s="156"/>
      <c r="S937" s="156"/>
      <c r="T937" s="156"/>
      <c r="U937" s="156"/>
      <c r="V937" s="156"/>
      <c r="W937" s="156"/>
      <c r="X937" s="156"/>
      <c r="Y937" s="156"/>
      <c r="Z937" s="156"/>
      <c r="AA937" s="156"/>
      <c r="AB937" s="156"/>
      <c r="AC937" s="156"/>
    </row>
    <row r="938" spans="1:29" ht="13">
      <c r="A938" s="140"/>
      <c r="B938" s="140"/>
      <c r="C938" s="156"/>
      <c r="D938" s="156"/>
      <c r="E938" s="156"/>
      <c r="F938" s="156"/>
      <c r="G938" s="185"/>
      <c r="H938" s="156"/>
      <c r="I938" s="156"/>
      <c r="J938" s="156"/>
      <c r="K938" s="156"/>
      <c r="L938" s="157"/>
      <c r="M938" s="156"/>
      <c r="N938" s="156"/>
      <c r="O938" s="156"/>
      <c r="P938" s="156"/>
      <c r="Q938" s="156"/>
      <c r="R938" s="156"/>
      <c r="S938" s="156"/>
      <c r="T938" s="156"/>
      <c r="U938" s="156"/>
      <c r="V938" s="156"/>
      <c r="W938" s="156"/>
      <c r="X938" s="156"/>
      <c r="Y938" s="156"/>
      <c r="Z938" s="156"/>
      <c r="AA938" s="156"/>
      <c r="AB938" s="156"/>
      <c r="AC938" s="156"/>
    </row>
    <row r="939" spans="1:29" ht="13">
      <c r="A939" s="140"/>
      <c r="B939" s="140"/>
      <c r="C939" s="156"/>
      <c r="D939" s="156"/>
      <c r="E939" s="156"/>
      <c r="F939" s="156"/>
      <c r="G939" s="185"/>
      <c r="H939" s="156"/>
      <c r="I939" s="156"/>
      <c r="J939" s="156"/>
      <c r="K939" s="156"/>
      <c r="L939" s="157"/>
      <c r="M939" s="156"/>
      <c r="N939" s="156"/>
      <c r="O939" s="156"/>
      <c r="P939" s="156"/>
      <c r="Q939" s="156"/>
      <c r="R939" s="156"/>
      <c r="S939" s="156"/>
      <c r="T939" s="156"/>
      <c r="U939" s="156"/>
      <c r="V939" s="156"/>
      <c r="W939" s="156"/>
      <c r="X939" s="156"/>
      <c r="Y939" s="156"/>
      <c r="Z939" s="156"/>
      <c r="AA939" s="156"/>
      <c r="AB939" s="156"/>
      <c r="AC939" s="156"/>
    </row>
    <row r="940" spans="1:29" ht="13">
      <c r="A940" s="140"/>
      <c r="B940" s="140"/>
      <c r="C940" s="156"/>
      <c r="D940" s="156"/>
      <c r="E940" s="156"/>
      <c r="F940" s="156"/>
      <c r="G940" s="185"/>
      <c r="H940" s="156"/>
      <c r="I940" s="156"/>
      <c r="J940" s="156"/>
      <c r="K940" s="156"/>
      <c r="L940" s="157"/>
      <c r="M940" s="156"/>
      <c r="N940" s="156"/>
      <c r="O940" s="156"/>
      <c r="P940" s="156"/>
      <c r="Q940" s="156"/>
      <c r="R940" s="156"/>
      <c r="S940" s="156"/>
      <c r="T940" s="156"/>
      <c r="U940" s="156"/>
      <c r="V940" s="156"/>
      <c r="W940" s="156"/>
      <c r="X940" s="156"/>
      <c r="Y940" s="156"/>
      <c r="Z940" s="156"/>
      <c r="AA940" s="156"/>
      <c r="AB940" s="156"/>
      <c r="AC940" s="156"/>
    </row>
    <row r="941" spans="1:29" ht="13">
      <c r="A941" s="140"/>
      <c r="B941" s="140"/>
      <c r="C941" s="156"/>
      <c r="D941" s="156"/>
      <c r="E941" s="156"/>
      <c r="F941" s="156"/>
      <c r="G941" s="185"/>
      <c r="H941" s="156"/>
      <c r="I941" s="156"/>
      <c r="J941" s="156"/>
      <c r="K941" s="156"/>
      <c r="L941" s="157"/>
      <c r="M941" s="156"/>
      <c r="N941" s="156"/>
      <c r="O941" s="156"/>
      <c r="P941" s="156"/>
      <c r="Q941" s="156"/>
      <c r="R941" s="156"/>
      <c r="S941" s="156"/>
      <c r="T941" s="156"/>
      <c r="U941" s="156"/>
      <c r="V941" s="156"/>
      <c r="W941" s="156"/>
      <c r="X941" s="156"/>
      <c r="Y941" s="156"/>
      <c r="Z941" s="156"/>
      <c r="AA941" s="156"/>
      <c r="AB941" s="156"/>
      <c r="AC941" s="156"/>
    </row>
    <row r="942" spans="1:29" ht="13">
      <c r="A942" s="140"/>
      <c r="B942" s="140"/>
      <c r="C942" s="156"/>
      <c r="D942" s="156"/>
      <c r="E942" s="156"/>
      <c r="F942" s="156"/>
      <c r="G942" s="185"/>
      <c r="H942" s="156"/>
      <c r="I942" s="156"/>
      <c r="J942" s="156"/>
      <c r="K942" s="156"/>
      <c r="L942" s="157"/>
      <c r="M942" s="156"/>
      <c r="N942" s="156"/>
      <c r="O942" s="156"/>
      <c r="P942" s="156"/>
      <c r="Q942" s="156"/>
      <c r="R942" s="156"/>
      <c r="S942" s="156"/>
      <c r="T942" s="156"/>
      <c r="U942" s="156"/>
      <c r="V942" s="156"/>
      <c r="W942" s="156"/>
      <c r="X942" s="156"/>
      <c r="Y942" s="156"/>
      <c r="Z942" s="156"/>
      <c r="AA942" s="156"/>
      <c r="AB942" s="156"/>
      <c r="AC942" s="156"/>
    </row>
    <row r="943" spans="1:29" ht="13">
      <c r="A943" s="140"/>
      <c r="B943" s="140"/>
      <c r="C943" s="156"/>
      <c r="D943" s="156"/>
      <c r="E943" s="156"/>
      <c r="F943" s="156"/>
      <c r="G943" s="185"/>
      <c r="H943" s="156"/>
      <c r="I943" s="156"/>
      <c r="J943" s="156"/>
      <c r="K943" s="156"/>
      <c r="L943" s="157"/>
      <c r="M943" s="156"/>
      <c r="N943" s="156"/>
      <c r="O943" s="156"/>
      <c r="P943" s="156"/>
      <c r="Q943" s="156"/>
      <c r="R943" s="156"/>
      <c r="S943" s="156"/>
      <c r="T943" s="156"/>
      <c r="U943" s="156"/>
      <c r="V943" s="156"/>
      <c r="W943" s="156"/>
      <c r="X943" s="156"/>
      <c r="Y943" s="156"/>
      <c r="Z943" s="156"/>
      <c r="AA943" s="156"/>
      <c r="AB943" s="156"/>
      <c r="AC943" s="156"/>
    </row>
    <row r="944" spans="1:29" ht="13">
      <c r="A944" s="140"/>
      <c r="B944" s="140"/>
      <c r="C944" s="156"/>
      <c r="D944" s="156"/>
      <c r="E944" s="156"/>
      <c r="F944" s="156"/>
      <c r="G944" s="185"/>
      <c r="H944" s="156"/>
      <c r="I944" s="156"/>
      <c r="J944" s="156"/>
      <c r="K944" s="156"/>
      <c r="L944" s="157"/>
      <c r="M944" s="156"/>
      <c r="N944" s="156"/>
      <c r="O944" s="156"/>
      <c r="P944" s="156"/>
      <c r="Q944" s="156"/>
      <c r="R944" s="156"/>
      <c r="S944" s="156"/>
      <c r="T944" s="156"/>
      <c r="U944" s="156"/>
      <c r="V944" s="156"/>
      <c r="W944" s="156"/>
      <c r="X944" s="156"/>
      <c r="Y944" s="156"/>
      <c r="Z944" s="156"/>
      <c r="AA944" s="156"/>
      <c r="AB944" s="156"/>
      <c r="AC944" s="156"/>
    </row>
    <row r="945" spans="1:29" ht="13">
      <c r="A945" s="140"/>
      <c r="B945" s="140"/>
      <c r="C945" s="156"/>
      <c r="D945" s="156"/>
      <c r="E945" s="156"/>
      <c r="F945" s="156"/>
      <c r="G945" s="185"/>
      <c r="H945" s="156"/>
      <c r="I945" s="156"/>
      <c r="J945" s="156"/>
      <c r="K945" s="156"/>
      <c r="L945" s="157"/>
      <c r="M945" s="156"/>
      <c r="N945" s="156"/>
      <c r="O945" s="156"/>
      <c r="P945" s="156"/>
      <c r="Q945" s="156"/>
      <c r="R945" s="156"/>
      <c r="S945" s="156"/>
      <c r="T945" s="156"/>
      <c r="U945" s="156"/>
      <c r="V945" s="156"/>
      <c r="W945" s="156"/>
      <c r="X945" s="156"/>
      <c r="Y945" s="156"/>
      <c r="Z945" s="156"/>
      <c r="AA945" s="156"/>
      <c r="AB945" s="156"/>
      <c r="AC945" s="156"/>
    </row>
    <row r="946" spans="1:29" ht="13">
      <c r="A946" s="140"/>
      <c r="B946" s="140"/>
      <c r="C946" s="156"/>
      <c r="D946" s="156"/>
      <c r="E946" s="156"/>
      <c r="F946" s="156"/>
      <c r="G946" s="185"/>
      <c r="H946" s="156"/>
      <c r="I946" s="156"/>
      <c r="J946" s="156"/>
      <c r="K946" s="156"/>
      <c r="L946" s="157"/>
      <c r="M946" s="156"/>
      <c r="N946" s="156"/>
      <c r="O946" s="156"/>
      <c r="P946" s="156"/>
      <c r="Q946" s="156"/>
      <c r="R946" s="156"/>
      <c r="S946" s="156"/>
      <c r="T946" s="156"/>
      <c r="U946" s="156"/>
      <c r="V946" s="156"/>
      <c r="W946" s="156"/>
      <c r="X946" s="156"/>
      <c r="Y946" s="156"/>
      <c r="Z946" s="156"/>
      <c r="AA946" s="156"/>
      <c r="AB946" s="156"/>
      <c r="AC946" s="156"/>
    </row>
    <row r="947" spans="1:29" ht="13">
      <c r="A947" s="140"/>
      <c r="B947" s="140"/>
      <c r="C947" s="156"/>
      <c r="D947" s="156"/>
      <c r="E947" s="156"/>
      <c r="F947" s="156"/>
      <c r="G947" s="185"/>
      <c r="H947" s="156"/>
      <c r="I947" s="156"/>
      <c r="J947" s="156"/>
      <c r="K947" s="156"/>
      <c r="L947" s="157"/>
      <c r="M947" s="156"/>
      <c r="N947" s="156"/>
      <c r="O947" s="156"/>
      <c r="P947" s="156"/>
      <c r="Q947" s="156"/>
      <c r="R947" s="156"/>
      <c r="S947" s="156"/>
      <c r="T947" s="156"/>
      <c r="U947" s="156"/>
      <c r="V947" s="156"/>
      <c r="W947" s="156"/>
      <c r="X947" s="156"/>
      <c r="Y947" s="156"/>
      <c r="Z947" s="156"/>
      <c r="AA947" s="156"/>
      <c r="AB947" s="156"/>
      <c r="AC947" s="156"/>
    </row>
    <row r="948" spans="1:29" ht="13">
      <c r="A948" s="140"/>
      <c r="B948" s="140"/>
      <c r="C948" s="156"/>
      <c r="D948" s="156"/>
      <c r="E948" s="156"/>
      <c r="F948" s="156"/>
      <c r="G948" s="185"/>
      <c r="H948" s="156"/>
      <c r="I948" s="156"/>
      <c r="J948" s="156"/>
      <c r="K948" s="156"/>
      <c r="L948" s="157"/>
      <c r="M948" s="156"/>
      <c r="N948" s="156"/>
      <c r="O948" s="156"/>
      <c r="P948" s="156"/>
      <c r="Q948" s="156"/>
      <c r="R948" s="156"/>
      <c r="S948" s="156"/>
      <c r="T948" s="156"/>
      <c r="U948" s="156"/>
      <c r="V948" s="156"/>
      <c r="W948" s="156"/>
      <c r="X948" s="156"/>
      <c r="Y948" s="156"/>
      <c r="Z948" s="156"/>
      <c r="AA948" s="156"/>
      <c r="AB948" s="156"/>
      <c r="AC948" s="156"/>
    </row>
    <row r="949" spans="1:29" ht="13">
      <c r="A949" s="140"/>
      <c r="B949" s="140"/>
      <c r="C949" s="156"/>
      <c r="D949" s="156"/>
      <c r="E949" s="156"/>
      <c r="F949" s="156"/>
      <c r="G949" s="185"/>
      <c r="H949" s="156"/>
      <c r="I949" s="156"/>
      <c r="J949" s="156"/>
      <c r="K949" s="156"/>
      <c r="L949" s="157"/>
      <c r="M949" s="156"/>
      <c r="N949" s="156"/>
      <c r="O949" s="156"/>
      <c r="P949" s="156"/>
      <c r="Q949" s="156"/>
      <c r="R949" s="156"/>
      <c r="S949" s="156"/>
      <c r="T949" s="156"/>
      <c r="U949" s="156"/>
      <c r="V949" s="156"/>
      <c r="W949" s="156"/>
      <c r="X949" s="156"/>
      <c r="Y949" s="156"/>
      <c r="Z949" s="156"/>
      <c r="AA949" s="156"/>
      <c r="AB949" s="156"/>
      <c r="AC949" s="156"/>
    </row>
    <row r="950" spans="1:29" ht="13">
      <c r="A950" s="140"/>
      <c r="B950" s="140"/>
      <c r="C950" s="156"/>
      <c r="D950" s="156"/>
      <c r="E950" s="156"/>
      <c r="F950" s="156"/>
      <c r="G950" s="185"/>
      <c r="H950" s="156"/>
      <c r="I950" s="156"/>
      <c r="J950" s="156"/>
      <c r="K950" s="156"/>
      <c r="L950" s="157"/>
      <c r="M950" s="156"/>
      <c r="N950" s="156"/>
      <c r="O950" s="156"/>
      <c r="P950" s="156"/>
      <c r="Q950" s="156"/>
      <c r="R950" s="156"/>
      <c r="S950" s="156"/>
      <c r="T950" s="156"/>
      <c r="U950" s="156"/>
      <c r="V950" s="156"/>
      <c r="W950" s="156"/>
      <c r="X950" s="156"/>
      <c r="Y950" s="156"/>
      <c r="Z950" s="156"/>
      <c r="AA950" s="156"/>
      <c r="AB950" s="156"/>
      <c r="AC950" s="156"/>
    </row>
    <row r="951" spans="1:29" ht="13">
      <c r="A951" s="140"/>
      <c r="B951" s="140"/>
      <c r="C951" s="156"/>
      <c r="D951" s="156"/>
      <c r="E951" s="156"/>
      <c r="F951" s="156"/>
      <c r="G951" s="185"/>
      <c r="H951" s="156"/>
      <c r="I951" s="156"/>
      <c r="J951" s="156"/>
      <c r="K951" s="156"/>
      <c r="L951" s="157"/>
      <c r="M951" s="156"/>
      <c r="N951" s="156"/>
      <c r="O951" s="156"/>
      <c r="P951" s="156"/>
      <c r="Q951" s="156"/>
      <c r="R951" s="156"/>
      <c r="S951" s="156"/>
      <c r="T951" s="156"/>
      <c r="U951" s="156"/>
      <c r="V951" s="156"/>
      <c r="W951" s="156"/>
      <c r="X951" s="156"/>
      <c r="Y951" s="156"/>
      <c r="Z951" s="156"/>
      <c r="AA951" s="156"/>
      <c r="AB951" s="156"/>
      <c r="AC951" s="156"/>
    </row>
    <row r="952" spans="1:29" ht="13">
      <c r="A952" s="140"/>
      <c r="B952" s="140"/>
      <c r="C952" s="156"/>
      <c r="D952" s="156"/>
      <c r="E952" s="156"/>
      <c r="F952" s="156"/>
      <c r="G952" s="185"/>
      <c r="H952" s="156"/>
      <c r="I952" s="156"/>
      <c r="J952" s="156"/>
      <c r="K952" s="156"/>
      <c r="L952" s="157"/>
      <c r="M952" s="156"/>
      <c r="N952" s="156"/>
      <c r="O952" s="156"/>
      <c r="P952" s="156"/>
      <c r="Q952" s="156"/>
      <c r="R952" s="156"/>
      <c r="S952" s="156"/>
      <c r="T952" s="156"/>
      <c r="U952" s="156"/>
      <c r="V952" s="156"/>
      <c r="W952" s="156"/>
      <c r="X952" s="156"/>
      <c r="Y952" s="156"/>
      <c r="Z952" s="156"/>
      <c r="AA952" s="156"/>
      <c r="AB952" s="156"/>
      <c r="AC952" s="156"/>
    </row>
    <row r="953" spans="1:29" ht="13">
      <c r="A953" s="140"/>
      <c r="B953" s="140"/>
      <c r="C953" s="156"/>
      <c r="D953" s="156"/>
      <c r="E953" s="156"/>
      <c r="F953" s="156"/>
      <c r="G953" s="185"/>
      <c r="H953" s="156"/>
      <c r="I953" s="156"/>
      <c r="J953" s="156"/>
      <c r="K953" s="156"/>
      <c r="L953" s="157"/>
      <c r="M953" s="156"/>
      <c r="N953" s="156"/>
      <c r="O953" s="156"/>
      <c r="P953" s="156"/>
      <c r="Q953" s="156"/>
      <c r="R953" s="156"/>
      <c r="S953" s="156"/>
      <c r="T953" s="156"/>
      <c r="U953" s="156"/>
      <c r="V953" s="156"/>
      <c r="W953" s="156"/>
      <c r="X953" s="156"/>
      <c r="Y953" s="156"/>
      <c r="Z953" s="156"/>
      <c r="AA953" s="156"/>
      <c r="AB953" s="156"/>
      <c r="AC953" s="156"/>
    </row>
    <row r="954" spans="1:29" ht="13">
      <c r="A954" s="140"/>
      <c r="B954" s="140"/>
      <c r="C954" s="156"/>
      <c r="D954" s="156"/>
      <c r="E954" s="156"/>
      <c r="F954" s="156"/>
      <c r="G954" s="185"/>
      <c r="H954" s="156"/>
      <c r="I954" s="156"/>
      <c r="J954" s="156"/>
      <c r="K954" s="156"/>
      <c r="L954" s="157"/>
      <c r="M954" s="156"/>
      <c r="N954" s="156"/>
      <c r="O954" s="156"/>
      <c r="P954" s="156"/>
      <c r="Q954" s="156"/>
      <c r="R954" s="156"/>
      <c r="S954" s="156"/>
      <c r="T954" s="156"/>
      <c r="U954" s="156"/>
      <c r="V954" s="156"/>
      <c r="W954" s="156"/>
      <c r="X954" s="156"/>
      <c r="Y954" s="156"/>
      <c r="Z954" s="156"/>
      <c r="AA954" s="156"/>
      <c r="AB954" s="156"/>
      <c r="AC954" s="156"/>
    </row>
    <row r="955" spans="1:29" ht="13">
      <c r="A955" s="140"/>
      <c r="B955" s="140"/>
      <c r="C955" s="156"/>
      <c r="D955" s="156"/>
      <c r="E955" s="156"/>
      <c r="F955" s="156"/>
      <c r="G955" s="185"/>
      <c r="H955" s="156"/>
      <c r="I955" s="156"/>
      <c r="J955" s="156"/>
      <c r="K955" s="156"/>
      <c r="L955" s="157"/>
      <c r="M955" s="156"/>
      <c r="N955" s="156"/>
      <c r="O955" s="156"/>
      <c r="P955" s="156"/>
      <c r="Q955" s="156"/>
      <c r="R955" s="156"/>
      <c r="S955" s="156"/>
      <c r="T955" s="156"/>
      <c r="U955" s="156"/>
      <c r="V955" s="156"/>
      <c r="W955" s="156"/>
      <c r="X955" s="156"/>
      <c r="Y955" s="156"/>
      <c r="Z955" s="156"/>
      <c r="AA955" s="156"/>
      <c r="AB955" s="156"/>
      <c r="AC955" s="156"/>
    </row>
    <row r="956" spans="1:29" ht="13">
      <c r="A956" s="140"/>
      <c r="B956" s="140"/>
      <c r="C956" s="156"/>
      <c r="D956" s="156"/>
      <c r="E956" s="156"/>
      <c r="F956" s="156"/>
      <c r="G956" s="185"/>
      <c r="H956" s="156"/>
      <c r="I956" s="156"/>
      <c r="J956" s="156"/>
      <c r="K956" s="156"/>
      <c r="L956" s="157"/>
      <c r="M956" s="156"/>
      <c r="N956" s="156"/>
      <c r="O956" s="156"/>
      <c r="P956" s="156"/>
      <c r="Q956" s="156"/>
      <c r="R956" s="156"/>
      <c r="S956" s="156"/>
      <c r="T956" s="156"/>
      <c r="U956" s="156"/>
      <c r="V956" s="156"/>
      <c r="W956" s="156"/>
      <c r="X956" s="156"/>
      <c r="Y956" s="156"/>
      <c r="Z956" s="156"/>
      <c r="AA956" s="156"/>
      <c r="AB956" s="156"/>
      <c r="AC956" s="156"/>
    </row>
    <row r="957" spans="1:29" ht="13">
      <c r="A957" s="140"/>
      <c r="B957" s="140"/>
      <c r="C957" s="156"/>
      <c r="D957" s="156"/>
      <c r="E957" s="156"/>
      <c r="F957" s="156"/>
      <c r="G957" s="185"/>
      <c r="H957" s="156"/>
      <c r="I957" s="156"/>
      <c r="J957" s="156"/>
      <c r="K957" s="156"/>
      <c r="L957" s="157"/>
      <c r="M957" s="156"/>
      <c r="N957" s="156"/>
      <c r="O957" s="156"/>
      <c r="P957" s="156"/>
      <c r="Q957" s="156"/>
      <c r="R957" s="156"/>
      <c r="S957" s="156"/>
      <c r="T957" s="156"/>
      <c r="U957" s="156"/>
      <c r="V957" s="156"/>
      <c r="W957" s="156"/>
      <c r="X957" s="156"/>
      <c r="Y957" s="156"/>
      <c r="Z957" s="156"/>
      <c r="AA957" s="156"/>
      <c r="AB957" s="156"/>
      <c r="AC957" s="156"/>
    </row>
    <row r="958" spans="1:29" ht="13">
      <c r="A958" s="140"/>
      <c r="B958" s="140"/>
      <c r="C958" s="156"/>
      <c r="D958" s="156"/>
      <c r="E958" s="156"/>
      <c r="F958" s="156"/>
      <c r="G958" s="185"/>
      <c r="H958" s="156"/>
      <c r="I958" s="156"/>
      <c r="J958" s="156"/>
      <c r="K958" s="156"/>
      <c r="L958" s="157"/>
      <c r="M958" s="156"/>
      <c r="N958" s="156"/>
      <c r="O958" s="156"/>
      <c r="P958" s="156"/>
      <c r="Q958" s="156"/>
      <c r="R958" s="156"/>
      <c r="S958" s="156"/>
      <c r="T958" s="156"/>
      <c r="U958" s="156"/>
      <c r="V958" s="156"/>
      <c r="W958" s="156"/>
      <c r="X958" s="156"/>
      <c r="Y958" s="156"/>
      <c r="Z958" s="156"/>
      <c r="AA958" s="156"/>
      <c r="AB958" s="156"/>
      <c r="AC958" s="156"/>
    </row>
    <row r="959" spans="1:29" ht="13">
      <c r="A959" s="140"/>
      <c r="B959" s="140"/>
      <c r="C959" s="156"/>
      <c r="D959" s="156"/>
      <c r="E959" s="156"/>
      <c r="F959" s="156"/>
      <c r="G959" s="185"/>
      <c r="H959" s="156"/>
      <c r="I959" s="156"/>
      <c r="J959" s="156"/>
      <c r="K959" s="156"/>
      <c r="L959" s="157"/>
      <c r="M959" s="156"/>
      <c r="N959" s="156"/>
      <c r="O959" s="156"/>
      <c r="P959" s="156"/>
      <c r="Q959" s="156"/>
      <c r="R959" s="156"/>
      <c r="S959" s="156"/>
      <c r="T959" s="156"/>
      <c r="U959" s="156"/>
      <c r="V959" s="156"/>
      <c r="W959" s="156"/>
      <c r="X959" s="156"/>
      <c r="Y959" s="156"/>
      <c r="Z959" s="156"/>
      <c r="AA959" s="156"/>
      <c r="AB959" s="156"/>
      <c r="AC959" s="156"/>
    </row>
    <row r="960" spans="1:29" ht="13">
      <c r="A960" s="140"/>
      <c r="B960" s="140"/>
      <c r="C960" s="156"/>
      <c r="D960" s="156"/>
      <c r="E960" s="156"/>
      <c r="F960" s="156"/>
      <c r="G960" s="185"/>
      <c r="H960" s="156"/>
      <c r="I960" s="156"/>
      <c r="J960" s="156"/>
      <c r="K960" s="156"/>
      <c r="L960" s="157"/>
      <c r="M960" s="156"/>
      <c r="N960" s="156"/>
      <c r="O960" s="156"/>
      <c r="P960" s="156"/>
      <c r="Q960" s="156"/>
      <c r="R960" s="156"/>
      <c r="S960" s="156"/>
      <c r="T960" s="156"/>
      <c r="U960" s="156"/>
      <c r="V960" s="156"/>
      <c r="W960" s="156"/>
      <c r="X960" s="156"/>
      <c r="Y960" s="156"/>
      <c r="Z960" s="156"/>
      <c r="AA960" s="156"/>
      <c r="AB960" s="156"/>
      <c r="AC960" s="156"/>
    </row>
    <row r="961" spans="1:29" ht="13">
      <c r="A961" s="140"/>
      <c r="B961" s="140"/>
      <c r="C961" s="156"/>
      <c r="D961" s="156"/>
      <c r="E961" s="156"/>
      <c r="F961" s="156"/>
      <c r="G961" s="185"/>
      <c r="H961" s="156"/>
      <c r="I961" s="156"/>
      <c r="J961" s="156"/>
      <c r="K961" s="156"/>
      <c r="L961" s="157"/>
      <c r="M961" s="156"/>
      <c r="N961" s="156"/>
      <c r="O961" s="156"/>
      <c r="P961" s="156"/>
      <c r="Q961" s="156"/>
      <c r="R961" s="156"/>
      <c r="S961" s="156"/>
      <c r="T961" s="156"/>
      <c r="U961" s="156"/>
      <c r="V961" s="156"/>
      <c r="W961" s="156"/>
      <c r="X961" s="156"/>
      <c r="Y961" s="156"/>
      <c r="Z961" s="156"/>
      <c r="AA961" s="156"/>
      <c r="AB961" s="156"/>
      <c r="AC961" s="156"/>
    </row>
    <row r="962" spans="1:29" ht="13">
      <c r="A962" s="140"/>
      <c r="B962" s="140"/>
      <c r="C962" s="156"/>
      <c r="D962" s="156"/>
      <c r="E962" s="156"/>
      <c r="F962" s="156"/>
      <c r="G962" s="185"/>
      <c r="H962" s="156"/>
      <c r="I962" s="156"/>
      <c r="J962" s="156"/>
      <c r="K962" s="156"/>
      <c r="L962" s="157"/>
      <c r="M962" s="156"/>
      <c r="N962" s="156"/>
      <c r="O962" s="156"/>
      <c r="P962" s="156"/>
      <c r="Q962" s="156"/>
      <c r="R962" s="156"/>
      <c r="S962" s="156"/>
      <c r="T962" s="156"/>
      <c r="U962" s="156"/>
      <c r="V962" s="156"/>
      <c r="W962" s="156"/>
      <c r="X962" s="156"/>
      <c r="Y962" s="156"/>
      <c r="Z962" s="156"/>
      <c r="AA962" s="156"/>
      <c r="AB962" s="156"/>
      <c r="AC962" s="156"/>
    </row>
    <row r="963" spans="1:29" ht="13">
      <c r="A963" s="140"/>
      <c r="B963" s="140"/>
      <c r="C963" s="156"/>
      <c r="D963" s="156"/>
      <c r="E963" s="156"/>
      <c r="F963" s="156"/>
      <c r="G963" s="185"/>
      <c r="H963" s="156"/>
      <c r="I963" s="156"/>
      <c r="J963" s="156"/>
      <c r="K963" s="156"/>
      <c r="L963" s="157"/>
      <c r="M963" s="156"/>
      <c r="N963" s="156"/>
      <c r="O963" s="156"/>
      <c r="P963" s="156"/>
      <c r="Q963" s="156"/>
      <c r="R963" s="156"/>
      <c r="S963" s="156"/>
      <c r="T963" s="156"/>
      <c r="U963" s="156"/>
      <c r="V963" s="156"/>
      <c r="W963" s="156"/>
      <c r="X963" s="156"/>
      <c r="Y963" s="156"/>
      <c r="Z963" s="156"/>
      <c r="AA963" s="156"/>
      <c r="AB963" s="156"/>
      <c r="AC963" s="156"/>
    </row>
    <row r="964" spans="1:29" ht="13">
      <c r="A964" s="140"/>
      <c r="B964" s="140"/>
      <c r="C964" s="156"/>
      <c r="D964" s="156"/>
      <c r="E964" s="156"/>
      <c r="F964" s="156"/>
      <c r="G964" s="185"/>
      <c r="H964" s="156"/>
      <c r="I964" s="156"/>
      <c r="J964" s="156"/>
      <c r="K964" s="156"/>
      <c r="L964" s="157"/>
      <c r="M964" s="156"/>
      <c r="N964" s="156"/>
      <c r="O964" s="156"/>
      <c r="P964" s="156"/>
      <c r="Q964" s="156"/>
      <c r="R964" s="156"/>
      <c r="S964" s="156"/>
      <c r="T964" s="156"/>
      <c r="U964" s="156"/>
      <c r="V964" s="156"/>
      <c r="W964" s="156"/>
      <c r="X964" s="156"/>
      <c r="Y964" s="156"/>
      <c r="Z964" s="156"/>
      <c r="AA964" s="156"/>
      <c r="AB964" s="156"/>
      <c r="AC964" s="156"/>
    </row>
    <row r="965" spans="1:29" ht="13">
      <c r="A965" s="140"/>
      <c r="B965" s="140"/>
      <c r="C965" s="156"/>
      <c r="D965" s="156"/>
      <c r="E965" s="156"/>
      <c r="F965" s="156"/>
      <c r="G965" s="185"/>
      <c r="H965" s="156"/>
      <c r="I965" s="156"/>
      <c r="J965" s="156"/>
      <c r="K965" s="156"/>
      <c r="L965" s="157"/>
      <c r="M965" s="156"/>
      <c r="N965" s="156"/>
      <c r="O965" s="156"/>
      <c r="P965" s="156"/>
      <c r="Q965" s="156"/>
      <c r="R965" s="156"/>
      <c r="S965" s="156"/>
      <c r="T965" s="156"/>
      <c r="U965" s="156"/>
      <c r="V965" s="156"/>
      <c r="W965" s="156"/>
      <c r="X965" s="156"/>
      <c r="Y965" s="156"/>
      <c r="Z965" s="156"/>
      <c r="AA965" s="156"/>
      <c r="AB965" s="156"/>
      <c r="AC965" s="156"/>
    </row>
    <row r="966" spans="1:29" ht="13">
      <c r="A966" s="140"/>
      <c r="B966" s="140"/>
      <c r="C966" s="156"/>
      <c r="D966" s="156"/>
      <c r="E966" s="156"/>
      <c r="F966" s="156"/>
      <c r="G966" s="185"/>
      <c r="H966" s="156"/>
      <c r="I966" s="156"/>
      <c r="J966" s="156"/>
      <c r="K966" s="156"/>
      <c r="L966" s="157"/>
      <c r="M966" s="156"/>
      <c r="N966" s="156"/>
      <c r="O966" s="156"/>
      <c r="P966" s="156"/>
      <c r="Q966" s="156"/>
      <c r="R966" s="156"/>
      <c r="S966" s="156"/>
      <c r="T966" s="156"/>
      <c r="U966" s="156"/>
      <c r="V966" s="156"/>
      <c r="W966" s="156"/>
      <c r="X966" s="156"/>
      <c r="Y966" s="156"/>
      <c r="Z966" s="156"/>
      <c r="AA966" s="156"/>
      <c r="AB966" s="156"/>
      <c r="AC966" s="156"/>
    </row>
    <row r="967" spans="1:29" ht="13">
      <c r="A967" s="140"/>
      <c r="B967" s="140"/>
      <c r="C967" s="156"/>
      <c r="D967" s="156"/>
      <c r="E967" s="156"/>
      <c r="F967" s="156"/>
      <c r="G967" s="185"/>
      <c r="H967" s="156"/>
      <c r="I967" s="156"/>
      <c r="J967" s="156"/>
      <c r="K967" s="156"/>
      <c r="L967" s="157"/>
      <c r="M967" s="156"/>
      <c r="N967" s="156"/>
      <c r="O967" s="156"/>
      <c r="P967" s="156"/>
      <c r="Q967" s="156"/>
      <c r="R967" s="156"/>
      <c r="S967" s="156"/>
      <c r="T967" s="156"/>
      <c r="U967" s="156"/>
      <c r="V967" s="156"/>
      <c r="W967" s="156"/>
      <c r="X967" s="156"/>
      <c r="Y967" s="156"/>
      <c r="Z967" s="156"/>
      <c r="AA967" s="156"/>
      <c r="AB967" s="156"/>
      <c r="AC967" s="156"/>
    </row>
    <row r="968" spans="1:29" ht="13">
      <c r="A968" s="140"/>
      <c r="B968" s="140"/>
      <c r="C968" s="156"/>
      <c r="D968" s="156"/>
      <c r="E968" s="156"/>
      <c r="F968" s="156"/>
      <c r="G968" s="185"/>
      <c r="H968" s="156"/>
      <c r="I968" s="156"/>
      <c r="J968" s="156"/>
      <c r="K968" s="156"/>
      <c r="L968" s="157"/>
      <c r="M968" s="156"/>
      <c r="N968" s="156"/>
      <c r="O968" s="156"/>
      <c r="P968" s="156"/>
      <c r="Q968" s="156"/>
      <c r="R968" s="156"/>
      <c r="S968" s="156"/>
      <c r="T968" s="156"/>
      <c r="U968" s="156"/>
      <c r="V968" s="156"/>
      <c r="W968" s="156"/>
      <c r="X968" s="156"/>
      <c r="Y968" s="156"/>
      <c r="Z968" s="156"/>
      <c r="AA968" s="156"/>
      <c r="AB968" s="156"/>
      <c r="AC968" s="156"/>
    </row>
    <row r="969" spans="1:29" ht="13">
      <c r="A969" s="140"/>
      <c r="B969" s="140"/>
      <c r="C969" s="156"/>
      <c r="D969" s="156"/>
      <c r="E969" s="156"/>
      <c r="F969" s="156"/>
      <c r="G969" s="185"/>
      <c r="H969" s="156"/>
      <c r="I969" s="156"/>
      <c r="J969" s="156"/>
      <c r="K969" s="156"/>
      <c r="L969" s="157"/>
      <c r="M969" s="156"/>
      <c r="N969" s="156"/>
      <c r="O969" s="156"/>
      <c r="P969" s="156"/>
      <c r="Q969" s="156"/>
      <c r="R969" s="156"/>
      <c r="S969" s="156"/>
      <c r="T969" s="156"/>
      <c r="U969" s="156"/>
      <c r="V969" s="156"/>
      <c r="W969" s="156"/>
      <c r="X969" s="156"/>
      <c r="Y969" s="156"/>
      <c r="Z969" s="156"/>
      <c r="AA969" s="156"/>
      <c r="AB969" s="156"/>
      <c r="AC969" s="156"/>
    </row>
    <row r="970" spans="1:29" ht="13">
      <c r="A970" s="140"/>
      <c r="B970" s="140"/>
      <c r="C970" s="156"/>
      <c r="D970" s="156"/>
      <c r="E970" s="156"/>
      <c r="F970" s="156"/>
      <c r="G970" s="185"/>
      <c r="H970" s="156"/>
      <c r="I970" s="156"/>
      <c r="J970" s="156"/>
      <c r="K970" s="156"/>
      <c r="L970" s="157"/>
      <c r="M970" s="156"/>
      <c r="N970" s="156"/>
      <c r="O970" s="156"/>
      <c r="P970" s="156"/>
      <c r="Q970" s="156"/>
      <c r="R970" s="156"/>
      <c r="S970" s="156"/>
      <c r="T970" s="156"/>
      <c r="U970" s="156"/>
      <c r="V970" s="156"/>
      <c r="W970" s="156"/>
      <c r="X970" s="156"/>
      <c r="Y970" s="156"/>
      <c r="Z970" s="156"/>
      <c r="AA970" s="156"/>
      <c r="AB970" s="156"/>
      <c r="AC970" s="156"/>
    </row>
    <row r="971" spans="1:29" ht="13">
      <c r="A971" s="140"/>
      <c r="B971" s="140"/>
      <c r="C971" s="156"/>
      <c r="D971" s="156"/>
      <c r="E971" s="156"/>
      <c r="F971" s="156"/>
      <c r="G971" s="185"/>
      <c r="H971" s="156"/>
      <c r="I971" s="156"/>
      <c r="J971" s="156"/>
      <c r="K971" s="156"/>
      <c r="L971" s="157"/>
      <c r="M971" s="156"/>
      <c r="N971" s="156"/>
      <c r="O971" s="156"/>
      <c r="P971" s="156"/>
      <c r="Q971" s="156"/>
      <c r="R971" s="156"/>
      <c r="S971" s="156"/>
      <c r="T971" s="156"/>
      <c r="U971" s="156"/>
      <c r="V971" s="156"/>
      <c r="W971" s="156"/>
      <c r="X971" s="156"/>
      <c r="Y971" s="156"/>
      <c r="Z971" s="156"/>
      <c r="AA971" s="156"/>
      <c r="AB971" s="156"/>
      <c r="AC971" s="156"/>
    </row>
    <row r="972" spans="1:29" ht="13">
      <c r="A972" s="140"/>
      <c r="B972" s="140"/>
      <c r="C972" s="156"/>
      <c r="D972" s="156"/>
      <c r="E972" s="156"/>
      <c r="F972" s="156"/>
      <c r="G972" s="185"/>
      <c r="H972" s="156"/>
      <c r="I972" s="156"/>
      <c r="J972" s="156"/>
      <c r="K972" s="156"/>
      <c r="L972" s="157"/>
      <c r="M972" s="156"/>
      <c r="N972" s="156"/>
      <c r="O972" s="156"/>
      <c r="P972" s="156"/>
      <c r="Q972" s="156"/>
      <c r="R972" s="156"/>
      <c r="S972" s="156"/>
      <c r="T972" s="156"/>
      <c r="U972" s="156"/>
      <c r="V972" s="156"/>
      <c r="W972" s="156"/>
      <c r="X972" s="156"/>
      <c r="Y972" s="156"/>
      <c r="Z972" s="156"/>
      <c r="AA972" s="156"/>
      <c r="AB972" s="156"/>
      <c r="AC972" s="156"/>
    </row>
    <row r="973" spans="1:29" ht="13">
      <c r="A973" s="140"/>
      <c r="B973" s="140"/>
      <c r="C973" s="156"/>
      <c r="D973" s="156"/>
      <c r="E973" s="156"/>
      <c r="F973" s="156"/>
      <c r="G973" s="185"/>
      <c r="H973" s="156"/>
      <c r="I973" s="156"/>
      <c r="J973" s="156"/>
      <c r="K973" s="156"/>
      <c r="L973" s="157"/>
      <c r="M973" s="156"/>
      <c r="N973" s="156"/>
      <c r="O973" s="156"/>
      <c r="P973" s="156"/>
      <c r="Q973" s="156"/>
      <c r="R973" s="156"/>
      <c r="S973" s="156"/>
      <c r="T973" s="156"/>
      <c r="U973" s="156"/>
      <c r="V973" s="156"/>
      <c r="W973" s="156"/>
      <c r="X973" s="156"/>
      <c r="Y973" s="156"/>
      <c r="Z973" s="156"/>
      <c r="AA973" s="156"/>
      <c r="AB973" s="156"/>
      <c r="AC973" s="156"/>
    </row>
    <row r="974" spans="1:29" ht="13">
      <c r="A974" s="140"/>
      <c r="B974" s="140"/>
      <c r="C974" s="156"/>
      <c r="D974" s="156"/>
      <c r="E974" s="156"/>
      <c r="F974" s="156"/>
      <c r="G974" s="185"/>
      <c r="H974" s="156"/>
      <c r="I974" s="156"/>
      <c r="J974" s="156"/>
      <c r="K974" s="156"/>
      <c r="L974" s="157"/>
      <c r="M974" s="156"/>
      <c r="N974" s="156"/>
      <c r="O974" s="156"/>
      <c r="P974" s="156"/>
      <c r="Q974" s="156"/>
      <c r="R974" s="156"/>
      <c r="S974" s="156"/>
      <c r="T974" s="156"/>
      <c r="U974" s="156"/>
      <c r="V974" s="156"/>
      <c r="W974" s="156"/>
      <c r="X974" s="156"/>
      <c r="Y974" s="156"/>
      <c r="Z974" s="156"/>
      <c r="AA974" s="156"/>
      <c r="AB974" s="156"/>
      <c r="AC974" s="156"/>
    </row>
    <row r="975" spans="1:29" ht="13">
      <c r="A975" s="140"/>
      <c r="B975" s="140"/>
      <c r="C975" s="156"/>
      <c r="D975" s="156"/>
      <c r="E975" s="156"/>
      <c r="F975" s="156"/>
      <c r="G975" s="185"/>
      <c r="H975" s="156"/>
      <c r="I975" s="156"/>
      <c r="J975" s="156"/>
      <c r="K975" s="156"/>
      <c r="L975" s="157"/>
      <c r="M975" s="156"/>
      <c r="N975" s="156"/>
      <c r="O975" s="156"/>
      <c r="P975" s="156"/>
      <c r="Q975" s="156"/>
      <c r="R975" s="156"/>
      <c r="S975" s="156"/>
      <c r="T975" s="156"/>
      <c r="U975" s="156"/>
      <c r="V975" s="156"/>
      <c r="W975" s="156"/>
      <c r="X975" s="156"/>
      <c r="Y975" s="156"/>
      <c r="Z975" s="156"/>
      <c r="AA975" s="156"/>
      <c r="AB975" s="156"/>
      <c r="AC975" s="156"/>
    </row>
    <row r="976" spans="1:29" ht="13">
      <c r="A976" s="140"/>
      <c r="B976" s="140"/>
      <c r="C976" s="156"/>
      <c r="D976" s="156"/>
      <c r="E976" s="156"/>
      <c r="F976" s="156"/>
      <c r="G976" s="185"/>
      <c r="H976" s="156"/>
      <c r="I976" s="156"/>
      <c r="J976" s="156"/>
      <c r="K976" s="156"/>
      <c r="L976" s="157"/>
      <c r="M976" s="156"/>
      <c r="N976" s="156"/>
      <c r="O976" s="156"/>
      <c r="P976" s="156"/>
      <c r="Q976" s="156"/>
      <c r="R976" s="156"/>
      <c r="S976" s="156"/>
      <c r="T976" s="156"/>
      <c r="U976" s="156"/>
      <c r="V976" s="156"/>
      <c r="W976" s="156"/>
      <c r="X976" s="156"/>
      <c r="Y976" s="156"/>
      <c r="Z976" s="156"/>
      <c r="AA976" s="156"/>
      <c r="AB976" s="156"/>
      <c r="AC976" s="156"/>
    </row>
    <row r="977" spans="1:29" ht="13">
      <c r="A977" s="140"/>
      <c r="B977" s="140"/>
      <c r="C977" s="156"/>
      <c r="D977" s="156"/>
      <c r="E977" s="156"/>
      <c r="F977" s="156"/>
      <c r="G977" s="185"/>
      <c r="H977" s="156"/>
      <c r="I977" s="156"/>
      <c r="J977" s="156"/>
      <c r="K977" s="156"/>
      <c r="L977" s="157"/>
      <c r="M977" s="156"/>
      <c r="N977" s="156"/>
      <c r="O977" s="156"/>
      <c r="P977" s="156"/>
      <c r="Q977" s="156"/>
      <c r="R977" s="156"/>
      <c r="S977" s="156"/>
      <c r="T977" s="156"/>
      <c r="U977" s="156"/>
      <c r="V977" s="156"/>
      <c r="W977" s="156"/>
      <c r="X977" s="156"/>
      <c r="Y977" s="156"/>
      <c r="Z977" s="156"/>
      <c r="AA977" s="156"/>
      <c r="AB977" s="156"/>
      <c r="AC977" s="156"/>
    </row>
    <row r="978" spans="1:29" ht="13">
      <c r="A978" s="140"/>
      <c r="B978" s="140"/>
      <c r="C978" s="156"/>
      <c r="D978" s="156"/>
      <c r="E978" s="156"/>
      <c r="F978" s="156"/>
      <c r="G978" s="185"/>
      <c r="H978" s="156"/>
      <c r="I978" s="156"/>
      <c r="J978" s="156"/>
      <c r="K978" s="156"/>
      <c r="L978" s="157"/>
      <c r="M978" s="156"/>
      <c r="N978" s="156"/>
      <c r="O978" s="156"/>
      <c r="P978" s="156"/>
      <c r="Q978" s="156"/>
      <c r="R978" s="156"/>
      <c r="S978" s="156"/>
      <c r="T978" s="156"/>
      <c r="U978" s="156"/>
      <c r="V978" s="156"/>
      <c r="W978" s="156"/>
      <c r="X978" s="156"/>
      <c r="Y978" s="156"/>
      <c r="Z978" s="156"/>
      <c r="AA978" s="156"/>
      <c r="AB978" s="156"/>
      <c r="AC978" s="156"/>
    </row>
    <row r="979" spans="1:29" ht="13">
      <c r="A979" s="140"/>
      <c r="B979" s="140"/>
      <c r="C979" s="156"/>
      <c r="D979" s="156"/>
      <c r="E979" s="156"/>
      <c r="F979" s="156"/>
      <c r="G979" s="185"/>
      <c r="H979" s="156"/>
      <c r="I979" s="156"/>
      <c r="J979" s="156"/>
      <c r="K979" s="156"/>
      <c r="L979" s="157"/>
      <c r="M979" s="156"/>
      <c r="N979" s="156"/>
      <c r="O979" s="156"/>
      <c r="P979" s="156"/>
      <c r="Q979" s="156"/>
      <c r="R979" s="156"/>
      <c r="S979" s="156"/>
      <c r="T979" s="156"/>
      <c r="U979" s="156"/>
      <c r="V979" s="156"/>
      <c r="W979" s="156"/>
      <c r="X979" s="156"/>
      <c r="Y979" s="156"/>
      <c r="Z979" s="156"/>
      <c r="AA979" s="156"/>
      <c r="AB979" s="156"/>
      <c r="AC979" s="156"/>
    </row>
    <row r="980" spans="1:29" ht="13">
      <c r="A980" s="140"/>
      <c r="B980" s="140"/>
      <c r="C980" s="156"/>
      <c r="D980" s="156"/>
      <c r="E980" s="156"/>
      <c r="F980" s="156"/>
      <c r="G980" s="185"/>
      <c r="H980" s="156"/>
      <c r="I980" s="156"/>
      <c r="J980" s="156"/>
      <c r="K980" s="156"/>
      <c r="L980" s="157"/>
      <c r="M980" s="156"/>
      <c r="N980" s="156"/>
      <c r="O980" s="156"/>
      <c r="P980" s="156"/>
      <c r="Q980" s="156"/>
      <c r="R980" s="156"/>
      <c r="S980" s="156"/>
      <c r="T980" s="156"/>
      <c r="U980" s="156"/>
      <c r="V980" s="156"/>
      <c r="W980" s="156"/>
      <c r="X980" s="156"/>
      <c r="Y980" s="156"/>
      <c r="Z980" s="156"/>
      <c r="AA980" s="156"/>
      <c r="AB980" s="156"/>
      <c r="AC980" s="156"/>
    </row>
    <row r="981" spans="1:29" ht="13">
      <c r="A981" s="140"/>
      <c r="B981" s="140"/>
      <c r="C981" s="156"/>
      <c r="D981" s="156"/>
      <c r="E981" s="156"/>
      <c r="F981" s="156"/>
      <c r="G981" s="185"/>
      <c r="H981" s="156"/>
      <c r="I981" s="156"/>
      <c r="J981" s="156"/>
      <c r="K981" s="156"/>
      <c r="L981" s="157"/>
      <c r="M981" s="156"/>
      <c r="N981" s="156"/>
      <c r="O981" s="156"/>
      <c r="P981" s="156"/>
      <c r="Q981" s="156"/>
      <c r="R981" s="156"/>
      <c r="S981" s="156"/>
      <c r="T981" s="156"/>
      <c r="U981" s="156"/>
      <c r="V981" s="156"/>
      <c r="W981" s="156"/>
      <c r="X981" s="156"/>
      <c r="Y981" s="156"/>
      <c r="Z981" s="156"/>
      <c r="AA981" s="156"/>
      <c r="AB981" s="156"/>
      <c r="AC981" s="156"/>
    </row>
    <row r="982" spans="1:29" ht="13">
      <c r="A982" s="140"/>
      <c r="B982" s="140"/>
      <c r="C982" s="156"/>
      <c r="D982" s="156"/>
      <c r="E982" s="156"/>
      <c r="F982" s="156"/>
      <c r="G982" s="185"/>
      <c r="H982" s="156"/>
      <c r="I982" s="156"/>
      <c r="J982" s="156"/>
      <c r="K982" s="156"/>
      <c r="L982" s="157"/>
      <c r="M982" s="156"/>
      <c r="N982" s="156"/>
      <c r="O982" s="156"/>
      <c r="P982" s="156"/>
      <c r="Q982" s="156"/>
      <c r="R982" s="156"/>
      <c r="S982" s="156"/>
      <c r="T982" s="156"/>
      <c r="U982" s="156"/>
      <c r="V982" s="156"/>
      <c r="W982" s="156"/>
      <c r="X982" s="156"/>
      <c r="Y982" s="156"/>
      <c r="Z982" s="156"/>
      <c r="AA982" s="156"/>
      <c r="AB982" s="156"/>
      <c r="AC982" s="156"/>
    </row>
    <row r="983" spans="1:29" ht="13">
      <c r="A983" s="140"/>
      <c r="B983" s="140"/>
      <c r="C983" s="156"/>
      <c r="D983" s="156"/>
      <c r="E983" s="156"/>
      <c r="F983" s="156"/>
      <c r="G983" s="185"/>
      <c r="H983" s="156"/>
      <c r="I983" s="156"/>
      <c r="J983" s="156"/>
      <c r="K983" s="156"/>
      <c r="L983" s="157"/>
      <c r="M983" s="156"/>
      <c r="N983" s="156"/>
      <c r="O983" s="156"/>
      <c r="P983" s="156"/>
      <c r="Q983" s="156"/>
      <c r="R983" s="156"/>
      <c r="S983" s="156"/>
      <c r="T983" s="156"/>
      <c r="U983" s="156"/>
      <c r="V983" s="156"/>
      <c r="W983" s="156"/>
      <c r="X983" s="156"/>
      <c r="Y983" s="156"/>
      <c r="Z983" s="156"/>
      <c r="AA983" s="156"/>
      <c r="AB983" s="156"/>
      <c r="AC983" s="156"/>
    </row>
    <row r="984" spans="1:29" ht="13">
      <c r="A984" s="140"/>
      <c r="B984" s="140"/>
      <c r="C984" s="156"/>
      <c r="D984" s="156"/>
      <c r="E984" s="156"/>
      <c r="F984" s="156"/>
      <c r="G984" s="185"/>
      <c r="H984" s="156"/>
      <c r="I984" s="156"/>
      <c r="J984" s="156"/>
      <c r="K984" s="156"/>
      <c r="L984" s="157"/>
      <c r="M984" s="156"/>
      <c r="N984" s="156"/>
      <c r="O984" s="156"/>
      <c r="P984" s="156"/>
      <c r="Q984" s="156"/>
      <c r="R984" s="156"/>
      <c r="S984" s="156"/>
      <c r="T984" s="156"/>
      <c r="U984" s="156"/>
      <c r="V984" s="156"/>
      <c r="W984" s="156"/>
      <c r="X984" s="156"/>
      <c r="Y984" s="156"/>
      <c r="Z984" s="156"/>
      <c r="AA984" s="156"/>
      <c r="AB984" s="156"/>
      <c r="AC984" s="156"/>
    </row>
    <row r="985" spans="1:29" ht="13">
      <c r="A985" s="140"/>
      <c r="B985" s="140"/>
      <c r="C985" s="156"/>
      <c r="D985" s="156"/>
      <c r="E985" s="156"/>
      <c r="F985" s="156"/>
      <c r="G985" s="185"/>
      <c r="H985" s="156"/>
      <c r="I985" s="156"/>
      <c r="J985" s="156"/>
      <c r="K985" s="156"/>
      <c r="L985" s="157"/>
      <c r="M985" s="156"/>
      <c r="N985" s="156"/>
      <c r="O985" s="156"/>
      <c r="P985" s="156"/>
      <c r="Q985" s="156"/>
      <c r="R985" s="156"/>
      <c r="S985" s="156"/>
      <c r="T985" s="156"/>
      <c r="U985" s="156"/>
      <c r="V985" s="156"/>
      <c r="W985" s="156"/>
      <c r="X985" s="156"/>
      <c r="Y985" s="156"/>
      <c r="Z985" s="156"/>
      <c r="AA985" s="156"/>
      <c r="AB985" s="156"/>
      <c r="AC985" s="156"/>
    </row>
    <row r="986" spans="1:29" ht="13">
      <c r="A986" s="140"/>
      <c r="B986" s="140"/>
      <c r="C986" s="156"/>
      <c r="D986" s="156"/>
      <c r="E986" s="156"/>
      <c r="F986" s="156"/>
      <c r="G986" s="185"/>
      <c r="H986" s="156"/>
      <c r="I986" s="156"/>
      <c r="J986" s="156"/>
      <c r="K986" s="156"/>
      <c r="L986" s="157"/>
      <c r="M986" s="156"/>
      <c r="N986" s="156"/>
      <c r="O986" s="156"/>
      <c r="P986" s="156"/>
      <c r="Q986" s="156"/>
      <c r="R986" s="156"/>
      <c r="S986" s="156"/>
      <c r="T986" s="156"/>
      <c r="U986" s="156"/>
      <c r="V986" s="156"/>
      <c r="W986" s="156"/>
      <c r="X986" s="156"/>
      <c r="Y986" s="156"/>
      <c r="Z986" s="156"/>
      <c r="AA986" s="156"/>
      <c r="AB986" s="156"/>
      <c r="AC986" s="156"/>
    </row>
    <row r="987" spans="1:29" ht="13">
      <c r="A987" s="140"/>
      <c r="B987" s="140"/>
      <c r="C987" s="156"/>
      <c r="D987" s="156"/>
      <c r="E987" s="156"/>
      <c r="F987" s="156"/>
      <c r="G987" s="185"/>
      <c r="H987" s="156"/>
      <c r="I987" s="156"/>
      <c r="J987" s="156"/>
      <c r="K987" s="156"/>
      <c r="L987" s="157"/>
      <c r="M987" s="156"/>
      <c r="N987" s="156"/>
      <c r="O987" s="156"/>
      <c r="P987" s="156"/>
      <c r="Q987" s="156"/>
      <c r="R987" s="156"/>
      <c r="S987" s="156"/>
      <c r="T987" s="156"/>
      <c r="U987" s="156"/>
      <c r="V987" s="156"/>
      <c r="W987" s="156"/>
      <c r="X987" s="156"/>
      <c r="Y987" s="156"/>
      <c r="Z987" s="156"/>
      <c r="AA987" s="156"/>
      <c r="AB987" s="156"/>
      <c r="AC987" s="156"/>
    </row>
    <row r="988" spans="1:29" ht="13">
      <c r="A988" s="140"/>
      <c r="B988" s="140"/>
      <c r="C988" s="156"/>
      <c r="D988" s="156"/>
      <c r="E988" s="156"/>
      <c r="F988" s="156"/>
      <c r="G988" s="185"/>
      <c r="H988" s="156"/>
      <c r="I988" s="156"/>
      <c r="J988" s="156"/>
      <c r="K988" s="156"/>
      <c r="L988" s="157"/>
      <c r="M988" s="156"/>
      <c r="N988" s="156"/>
      <c r="O988" s="156"/>
      <c r="P988" s="156"/>
      <c r="Q988" s="156"/>
      <c r="R988" s="156"/>
      <c r="S988" s="156"/>
      <c r="T988" s="156"/>
      <c r="U988" s="156"/>
      <c r="V988" s="156"/>
      <c r="W988" s="156"/>
      <c r="X988" s="156"/>
      <c r="Y988" s="156"/>
      <c r="Z988" s="156"/>
      <c r="AA988" s="156"/>
      <c r="AB988" s="156"/>
      <c r="AC988" s="156"/>
    </row>
    <row r="989" spans="1:29" ht="13">
      <c r="A989" s="140"/>
      <c r="B989" s="140"/>
      <c r="C989" s="156"/>
      <c r="D989" s="156"/>
      <c r="E989" s="156"/>
      <c r="F989" s="156"/>
      <c r="G989" s="185"/>
      <c r="H989" s="156"/>
      <c r="I989" s="156"/>
      <c r="J989" s="156"/>
      <c r="K989" s="156"/>
      <c r="L989" s="157"/>
      <c r="M989" s="156"/>
      <c r="N989" s="156"/>
      <c r="O989" s="156"/>
      <c r="P989" s="156"/>
      <c r="Q989" s="156"/>
      <c r="R989" s="156"/>
      <c r="S989" s="156"/>
      <c r="T989" s="156"/>
      <c r="U989" s="156"/>
      <c r="V989" s="156"/>
      <c r="W989" s="156"/>
      <c r="X989" s="156"/>
      <c r="Y989" s="156"/>
      <c r="Z989" s="156"/>
      <c r="AA989" s="156"/>
      <c r="AB989" s="156"/>
      <c r="AC989" s="156"/>
    </row>
    <row r="990" spans="1:29" ht="13">
      <c r="A990" s="140"/>
      <c r="B990" s="140"/>
      <c r="C990" s="156"/>
      <c r="D990" s="156"/>
      <c r="E990" s="156"/>
      <c r="F990" s="156"/>
      <c r="G990" s="185"/>
      <c r="H990" s="156"/>
      <c r="I990" s="156"/>
      <c r="J990" s="156"/>
      <c r="K990" s="156"/>
      <c r="L990" s="157"/>
      <c r="M990" s="156"/>
      <c r="N990" s="156"/>
      <c r="O990" s="156"/>
      <c r="P990" s="156"/>
      <c r="Q990" s="156"/>
      <c r="R990" s="156"/>
      <c r="S990" s="156"/>
      <c r="T990" s="156"/>
      <c r="U990" s="156"/>
      <c r="V990" s="156"/>
      <c r="W990" s="156"/>
      <c r="X990" s="156"/>
      <c r="Y990" s="156"/>
      <c r="Z990" s="156"/>
      <c r="AA990" s="156"/>
      <c r="AB990" s="156"/>
      <c r="AC990" s="156"/>
    </row>
    <row r="991" spans="1:29" ht="13">
      <c r="A991" s="140"/>
      <c r="B991" s="140"/>
      <c r="C991" s="156"/>
      <c r="D991" s="156"/>
      <c r="E991" s="156"/>
      <c r="F991" s="156"/>
      <c r="G991" s="185"/>
      <c r="H991" s="156"/>
      <c r="I991" s="156"/>
      <c r="J991" s="156"/>
      <c r="K991" s="156"/>
      <c r="L991" s="157"/>
      <c r="M991" s="156"/>
      <c r="N991" s="156"/>
      <c r="O991" s="156"/>
      <c r="P991" s="156"/>
      <c r="Q991" s="156"/>
      <c r="R991" s="156"/>
      <c r="S991" s="156"/>
      <c r="T991" s="156"/>
      <c r="U991" s="156"/>
      <c r="V991" s="156"/>
      <c r="W991" s="156"/>
      <c r="X991" s="156"/>
      <c r="Y991" s="156"/>
      <c r="Z991" s="156"/>
      <c r="AA991" s="156"/>
      <c r="AB991" s="156"/>
      <c r="AC991" s="156"/>
    </row>
    <row r="992" spans="1:29" ht="13">
      <c r="A992" s="140"/>
      <c r="B992" s="140"/>
      <c r="C992" s="156"/>
      <c r="D992" s="156"/>
      <c r="E992" s="156"/>
      <c r="F992" s="156"/>
      <c r="G992" s="185"/>
      <c r="H992" s="156"/>
      <c r="I992" s="156"/>
      <c r="J992" s="156"/>
      <c r="K992" s="156"/>
      <c r="L992" s="157"/>
      <c r="M992" s="156"/>
      <c r="N992" s="156"/>
      <c r="O992" s="156"/>
      <c r="P992" s="156"/>
      <c r="Q992" s="156"/>
      <c r="R992" s="156"/>
      <c r="S992" s="156"/>
      <c r="T992" s="156"/>
      <c r="U992" s="156"/>
      <c r="V992" s="156"/>
      <c r="W992" s="156"/>
      <c r="X992" s="156"/>
      <c r="Y992" s="156"/>
      <c r="Z992" s="156"/>
      <c r="AA992" s="156"/>
      <c r="AB992" s="156"/>
      <c r="AC992" s="156"/>
    </row>
    <row r="993" spans="1:29" ht="13">
      <c r="A993" s="140"/>
      <c r="B993" s="140"/>
      <c r="C993" s="156"/>
      <c r="D993" s="156"/>
      <c r="E993" s="156"/>
      <c r="F993" s="156"/>
      <c r="G993" s="185"/>
      <c r="H993" s="156"/>
      <c r="I993" s="156"/>
      <c r="J993" s="156"/>
      <c r="K993" s="156"/>
      <c r="L993" s="157"/>
      <c r="M993" s="156"/>
      <c r="N993" s="156"/>
      <c r="O993" s="156"/>
      <c r="P993" s="156"/>
      <c r="Q993" s="156"/>
      <c r="R993" s="156"/>
      <c r="S993" s="156"/>
      <c r="T993" s="156"/>
      <c r="U993" s="156"/>
      <c r="V993" s="156"/>
      <c r="W993" s="156"/>
      <c r="X993" s="156"/>
      <c r="Y993" s="156"/>
      <c r="Z993" s="156"/>
      <c r="AA993" s="156"/>
      <c r="AB993" s="156"/>
      <c r="AC993" s="156"/>
    </row>
    <row r="994" spans="1:29" ht="13">
      <c r="A994" s="140"/>
      <c r="B994" s="140"/>
      <c r="C994" s="156"/>
      <c r="D994" s="156"/>
      <c r="E994" s="156"/>
      <c r="F994" s="156"/>
      <c r="G994" s="185"/>
      <c r="H994" s="156"/>
      <c r="I994" s="156"/>
      <c r="J994" s="156"/>
      <c r="K994" s="156"/>
      <c r="L994" s="157"/>
      <c r="M994" s="156"/>
      <c r="N994" s="156"/>
      <c r="O994" s="156"/>
      <c r="P994" s="156"/>
      <c r="Q994" s="156"/>
      <c r="R994" s="156"/>
      <c r="S994" s="156"/>
      <c r="T994" s="156"/>
      <c r="U994" s="156"/>
      <c r="V994" s="156"/>
      <c r="W994" s="156"/>
      <c r="X994" s="156"/>
      <c r="Y994" s="156"/>
      <c r="Z994" s="156"/>
      <c r="AA994" s="156"/>
      <c r="AB994" s="156"/>
      <c r="AC994" s="156"/>
    </row>
    <row r="995" spans="1:29" ht="13">
      <c r="A995" s="140"/>
      <c r="B995" s="140"/>
      <c r="C995" s="156"/>
      <c r="D995" s="156"/>
      <c r="E995" s="156"/>
      <c r="F995" s="156"/>
      <c r="G995" s="185"/>
      <c r="H995" s="156"/>
      <c r="I995" s="156"/>
      <c r="J995" s="156"/>
      <c r="K995" s="156"/>
      <c r="L995" s="157"/>
      <c r="M995" s="156"/>
      <c r="N995" s="156"/>
      <c r="O995" s="156"/>
      <c r="P995" s="156"/>
      <c r="Q995" s="156"/>
      <c r="R995" s="156"/>
      <c r="S995" s="156"/>
      <c r="T995" s="156"/>
      <c r="U995" s="156"/>
      <c r="V995" s="156"/>
      <c r="W995" s="156"/>
      <c r="X995" s="156"/>
      <c r="Y995" s="156"/>
      <c r="Z995" s="156"/>
      <c r="AA995" s="156"/>
      <c r="AB995" s="156"/>
      <c r="AC995" s="156"/>
    </row>
    <row r="996" spans="1:29" ht="13">
      <c r="A996" s="140"/>
      <c r="B996" s="140"/>
      <c r="C996" s="156"/>
      <c r="D996" s="156"/>
      <c r="E996" s="156"/>
      <c r="F996" s="156"/>
      <c r="G996" s="185"/>
      <c r="H996" s="156"/>
      <c r="I996" s="156"/>
      <c r="J996" s="156"/>
      <c r="K996" s="156"/>
      <c r="L996" s="157"/>
      <c r="M996" s="156"/>
      <c r="N996" s="156"/>
      <c r="O996" s="156"/>
      <c r="P996" s="156"/>
      <c r="Q996" s="156"/>
      <c r="R996" s="156"/>
      <c r="S996" s="156"/>
      <c r="T996" s="156"/>
      <c r="U996" s="156"/>
      <c r="V996" s="156"/>
      <c r="W996" s="156"/>
      <c r="X996" s="156"/>
      <c r="Y996" s="156"/>
      <c r="Z996" s="156"/>
      <c r="AA996" s="156"/>
      <c r="AB996" s="156"/>
      <c r="AC996" s="156"/>
    </row>
    <row r="997" spans="1:29" ht="13">
      <c r="A997" s="140"/>
      <c r="B997" s="140"/>
      <c r="C997" s="156"/>
      <c r="D997" s="156"/>
      <c r="E997" s="156"/>
      <c r="F997" s="156"/>
      <c r="G997" s="185"/>
      <c r="H997" s="156"/>
      <c r="I997" s="156"/>
      <c r="J997" s="156"/>
      <c r="K997" s="156"/>
      <c r="L997" s="157"/>
      <c r="M997" s="156"/>
      <c r="N997" s="156"/>
      <c r="O997" s="156"/>
      <c r="P997" s="156"/>
      <c r="Q997" s="156"/>
      <c r="R997" s="156"/>
      <c r="S997" s="156"/>
      <c r="T997" s="156"/>
      <c r="U997" s="156"/>
      <c r="V997" s="156"/>
      <c r="W997" s="156"/>
      <c r="X997" s="156"/>
      <c r="Y997" s="156"/>
      <c r="Z997" s="156"/>
      <c r="AA997" s="156"/>
      <c r="AB997" s="156"/>
      <c r="AC997" s="156"/>
    </row>
    <row r="998" spans="1:29" ht="13">
      <c r="A998" s="140"/>
      <c r="B998" s="140"/>
      <c r="C998" s="156"/>
      <c r="D998" s="156"/>
      <c r="E998" s="156"/>
      <c r="F998" s="156"/>
      <c r="G998" s="185"/>
      <c r="H998" s="156"/>
      <c r="I998" s="156"/>
      <c r="J998" s="156"/>
      <c r="K998" s="156"/>
      <c r="L998" s="157"/>
      <c r="M998" s="156"/>
      <c r="N998" s="156"/>
      <c r="O998" s="156"/>
      <c r="P998" s="156"/>
      <c r="Q998" s="156"/>
      <c r="R998" s="156"/>
      <c r="S998" s="156"/>
      <c r="T998" s="156"/>
      <c r="U998" s="156"/>
      <c r="V998" s="156"/>
      <c r="W998" s="156"/>
      <c r="X998" s="156"/>
      <c r="Y998" s="156"/>
      <c r="Z998" s="156"/>
      <c r="AA998" s="156"/>
      <c r="AB998" s="156"/>
      <c r="AC998" s="156"/>
    </row>
    <row r="999" spans="1:29" ht="13">
      <c r="A999" s="140"/>
      <c r="B999" s="140"/>
      <c r="C999" s="156"/>
      <c r="D999" s="156"/>
      <c r="E999" s="156"/>
      <c r="F999" s="156"/>
      <c r="G999" s="185"/>
      <c r="H999" s="156"/>
      <c r="I999" s="156"/>
      <c r="J999" s="156"/>
      <c r="K999" s="156"/>
      <c r="L999" s="157"/>
      <c r="M999" s="156"/>
      <c r="N999" s="156"/>
      <c r="O999" s="156"/>
      <c r="P999" s="156"/>
      <c r="Q999" s="156"/>
      <c r="R999" s="156"/>
      <c r="S999" s="156"/>
      <c r="T999" s="156"/>
      <c r="U999" s="156"/>
      <c r="V999" s="156"/>
      <c r="W999" s="156"/>
      <c r="X999" s="156"/>
      <c r="Y999" s="156"/>
      <c r="Z999" s="156"/>
      <c r="AA999" s="156"/>
      <c r="AB999" s="156"/>
      <c r="AC999" s="156"/>
    </row>
    <row r="1000" spans="1:29" ht="13">
      <c r="A1000" s="140"/>
      <c r="B1000" s="140"/>
      <c r="C1000" s="156"/>
      <c r="D1000" s="156"/>
      <c r="E1000" s="156"/>
      <c r="F1000" s="156"/>
      <c r="G1000" s="185"/>
      <c r="H1000" s="156"/>
      <c r="I1000" s="156"/>
      <c r="J1000" s="156"/>
      <c r="K1000" s="156"/>
      <c r="L1000" s="157"/>
      <c r="M1000" s="156"/>
      <c r="N1000" s="156"/>
      <c r="O1000" s="156"/>
      <c r="P1000" s="156"/>
      <c r="Q1000" s="156"/>
      <c r="R1000" s="156"/>
      <c r="S1000" s="156"/>
      <c r="T1000" s="156"/>
      <c r="U1000" s="156"/>
      <c r="V1000" s="156"/>
      <c r="W1000" s="156"/>
      <c r="X1000" s="156"/>
      <c r="Y1000" s="156"/>
      <c r="Z1000" s="156"/>
      <c r="AA1000" s="156"/>
      <c r="AB1000" s="156"/>
      <c r="AC1000" s="156"/>
    </row>
    <row r="1001" spans="1:29" ht="13">
      <c r="A1001" s="140"/>
      <c r="B1001" s="140"/>
      <c r="C1001" s="156"/>
      <c r="D1001" s="156"/>
      <c r="E1001" s="156"/>
      <c r="F1001" s="156"/>
      <c r="G1001" s="185"/>
      <c r="H1001" s="156"/>
      <c r="I1001" s="156"/>
      <c r="J1001" s="156"/>
      <c r="K1001" s="156"/>
      <c r="L1001" s="157"/>
      <c r="M1001" s="156"/>
      <c r="N1001" s="156"/>
      <c r="O1001" s="156"/>
      <c r="P1001" s="156"/>
      <c r="Q1001" s="156"/>
      <c r="R1001" s="156"/>
      <c r="S1001" s="156"/>
      <c r="T1001" s="156"/>
      <c r="U1001" s="156"/>
      <c r="V1001" s="156"/>
      <c r="W1001" s="156"/>
      <c r="X1001" s="156"/>
      <c r="Y1001" s="156"/>
      <c r="Z1001" s="156"/>
      <c r="AA1001" s="156"/>
      <c r="AB1001" s="156"/>
      <c r="AC1001" s="156"/>
    </row>
    <row r="1002" spans="1:29" ht="13">
      <c r="A1002" s="140"/>
      <c r="B1002" s="140"/>
      <c r="C1002" s="156"/>
      <c r="D1002" s="156"/>
      <c r="E1002" s="156"/>
      <c r="F1002" s="156"/>
      <c r="G1002" s="185"/>
      <c r="H1002" s="156"/>
      <c r="I1002" s="156"/>
      <c r="J1002" s="156"/>
      <c r="K1002" s="156"/>
      <c r="L1002" s="157"/>
      <c r="M1002" s="156"/>
      <c r="N1002" s="156"/>
      <c r="O1002" s="156"/>
      <c r="P1002" s="156"/>
      <c r="Q1002" s="156"/>
      <c r="R1002" s="156"/>
      <c r="S1002" s="156"/>
      <c r="T1002" s="156"/>
      <c r="U1002" s="156"/>
      <c r="V1002" s="156"/>
      <c r="W1002" s="156"/>
      <c r="X1002" s="156"/>
      <c r="Y1002" s="156"/>
      <c r="Z1002" s="156"/>
      <c r="AA1002" s="156"/>
      <c r="AB1002" s="156"/>
      <c r="AC1002" s="156"/>
    </row>
    <row r="1003" spans="1:29" ht="13">
      <c r="A1003" s="140"/>
      <c r="B1003" s="140"/>
      <c r="C1003" s="156"/>
      <c r="D1003" s="156"/>
      <c r="E1003" s="156"/>
      <c r="F1003" s="156"/>
      <c r="G1003" s="185"/>
      <c r="H1003" s="156"/>
      <c r="I1003" s="156"/>
      <c r="J1003" s="156"/>
      <c r="K1003" s="156"/>
      <c r="L1003" s="157"/>
      <c r="M1003" s="156"/>
      <c r="N1003" s="156"/>
      <c r="O1003" s="156"/>
      <c r="P1003" s="156"/>
      <c r="Q1003" s="156"/>
      <c r="R1003" s="156"/>
      <c r="S1003" s="156"/>
      <c r="T1003" s="156"/>
      <c r="U1003" s="156"/>
      <c r="V1003" s="156"/>
      <c r="W1003" s="156"/>
      <c r="X1003" s="156"/>
      <c r="Y1003" s="156"/>
      <c r="Z1003" s="156"/>
      <c r="AA1003" s="156"/>
      <c r="AB1003" s="156"/>
      <c r="AC1003" s="156"/>
    </row>
    <row r="1004" spans="1:29" ht="13">
      <c r="A1004" s="140"/>
      <c r="B1004" s="140"/>
      <c r="C1004" s="156"/>
      <c r="D1004" s="156"/>
      <c r="E1004" s="156"/>
      <c r="F1004" s="156"/>
      <c r="G1004" s="185"/>
      <c r="H1004" s="156"/>
      <c r="I1004" s="156"/>
      <c r="J1004" s="156"/>
      <c r="K1004" s="156"/>
      <c r="L1004" s="157"/>
      <c r="M1004" s="156"/>
      <c r="N1004" s="156"/>
      <c r="O1004" s="156"/>
      <c r="P1004" s="156"/>
      <c r="Q1004" s="156"/>
      <c r="R1004" s="156"/>
      <c r="S1004" s="156"/>
      <c r="T1004" s="156"/>
      <c r="U1004" s="156"/>
      <c r="V1004" s="156"/>
      <c r="W1004" s="156"/>
      <c r="X1004" s="156"/>
      <c r="Y1004" s="156"/>
      <c r="Z1004" s="156"/>
      <c r="AA1004" s="156"/>
      <c r="AB1004" s="156"/>
      <c r="AC1004" s="156"/>
    </row>
    <row r="1005" spans="1:29" ht="13">
      <c r="A1005" s="140"/>
      <c r="B1005" s="140"/>
      <c r="C1005" s="156"/>
      <c r="D1005" s="156"/>
      <c r="E1005" s="156"/>
      <c r="F1005" s="156"/>
      <c r="G1005" s="185"/>
      <c r="H1005" s="156"/>
      <c r="I1005" s="156"/>
      <c r="J1005" s="156"/>
      <c r="K1005" s="156"/>
      <c r="L1005" s="157"/>
      <c r="M1005" s="156"/>
      <c r="N1005" s="156"/>
      <c r="O1005" s="156"/>
      <c r="P1005" s="156"/>
      <c r="Q1005" s="156"/>
      <c r="R1005" s="156"/>
      <c r="S1005" s="156"/>
      <c r="T1005" s="156"/>
      <c r="U1005" s="156"/>
      <c r="V1005" s="156"/>
      <c r="W1005" s="156"/>
      <c r="X1005" s="156"/>
      <c r="Y1005" s="156"/>
      <c r="Z1005" s="156"/>
      <c r="AA1005" s="156"/>
      <c r="AB1005" s="156"/>
      <c r="AC1005" s="156"/>
    </row>
    <row r="1006" spans="1:29" ht="13">
      <c r="A1006" s="140"/>
      <c r="B1006" s="140"/>
      <c r="C1006" s="156"/>
      <c r="D1006" s="156"/>
      <c r="E1006" s="156"/>
      <c r="F1006" s="156"/>
      <c r="G1006" s="185"/>
      <c r="H1006" s="156"/>
      <c r="I1006" s="156"/>
      <c r="J1006" s="156"/>
      <c r="K1006" s="156"/>
      <c r="L1006" s="157"/>
      <c r="M1006" s="156"/>
      <c r="N1006" s="156"/>
      <c r="O1006" s="156"/>
      <c r="P1006" s="156"/>
      <c r="Q1006" s="156"/>
      <c r="R1006" s="156"/>
      <c r="S1006" s="156"/>
      <c r="T1006" s="156"/>
      <c r="U1006" s="156"/>
      <c r="V1006" s="156"/>
      <c r="W1006" s="156"/>
      <c r="X1006" s="156"/>
      <c r="Y1006" s="156"/>
      <c r="Z1006" s="156"/>
      <c r="AA1006" s="156"/>
      <c r="AB1006" s="156"/>
      <c r="AC1006" s="156"/>
    </row>
    <row r="1007" spans="1:29" ht="13">
      <c r="A1007" s="140"/>
      <c r="B1007" s="140"/>
      <c r="C1007" s="156"/>
      <c r="D1007" s="156"/>
      <c r="E1007" s="156"/>
      <c r="F1007" s="156"/>
      <c r="G1007" s="185"/>
      <c r="H1007" s="156"/>
      <c r="I1007" s="156"/>
      <c r="J1007" s="156"/>
      <c r="K1007" s="156"/>
      <c r="L1007" s="157"/>
      <c r="M1007" s="156"/>
      <c r="N1007" s="156"/>
      <c r="O1007" s="156"/>
      <c r="P1007" s="156"/>
      <c r="Q1007" s="156"/>
      <c r="R1007" s="156"/>
      <c r="S1007" s="156"/>
      <c r="T1007" s="156"/>
      <c r="U1007" s="156"/>
      <c r="V1007" s="156"/>
      <c r="W1007" s="156"/>
      <c r="X1007" s="156"/>
      <c r="Y1007" s="156"/>
      <c r="Z1007" s="156"/>
      <c r="AA1007" s="156"/>
      <c r="AB1007" s="156"/>
      <c r="AC1007" s="156"/>
    </row>
    <row r="1008" spans="1:29" ht="13">
      <c r="A1008" s="140"/>
      <c r="B1008" s="140"/>
      <c r="C1008" s="156"/>
      <c r="D1008" s="156"/>
      <c r="E1008" s="156"/>
      <c r="F1008" s="156"/>
      <c r="G1008" s="185"/>
      <c r="H1008" s="156"/>
      <c r="I1008" s="156"/>
      <c r="J1008" s="156"/>
      <c r="K1008" s="156"/>
      <c r="L1008" s="157"/>
      <c r="M1008" s="156"/>
      <c r="N1008" s="156"/>
      <c r="O1008" s="156"/>
      <c r="P1008" s="156"/>
      <c r="Q1008" s="156"/>
      <c r="R1008" s="156"/>
      <c r="S1008" s="156"/>
      <c r="T1008" s="156"/>
      <c r="U1008" s="156"/>
      <c r="V1008" s="156"/>
      <c r="W1008" s="156"/>
      <c r="X1008" s="156"/>
      <c r="Y1008" s="156"/>
      <c r="Z1008" s="156"/>
      <c r="AA1008" s="156"/>
      <c r="AB1008" s="156"/>
      <c r="AC1008" s="156"/>
    </row>
    <row r="1009" spans="1:29" ht="13">
      <c r="A1009" s="140"/>
      <c r="B1009" s="140"/>
      <c r="C1009" s="156"/>
      <c r="D1009" s="156"/>
      <c r="E1009" s="156"/>
      <c r="F1009" s="156"/>
      <c r="G1009" s="185"/>
      <c r="H1009" s="156"/>
      <c r="I1009" s="156"/>
      <c r="J1009" s="156"/>
      <c r="K1009" s="156"/>
      <c r="L1009" s="157"/>
      <c r="M1009" s="156"/>
      <c r="N1009" s="156"/>
      <c r="O1009" s="156"/>
      <c r="P1009" s="156"/>
      <c r="Q1009" s="156"/>
      <c r="R1009" s="156"/>
      <c r="S1009" s="156"/>
      <c r="T1009" s="156"/>
      <c r="U1009" s="156"/>
      <c r="V1009" s="156"/>
      <c r="W1009" s="156"/>
      <c r="X1009" s="156"/>
      <c r="Y1009" s="156"/>
      <c r="Z1009" s="156"/>
      <c r="AA1009" s="156"/>
      <c r="AB1009" s="156"/>
      <c r="AC1009" s="156"/>
    </row>
    <row r="1010" spans="1:29" ht="13">
      <c r="A1010" s="140"/>
      <c r="B1010" s="140"/>
      <c r="C1010" s="156"/>
      <c r="D1010" s="156"/>
      <c r="E1010" s="156"/>
      <c r="F1010" s="156"/>
      <c r="G1010" s="185"/>
      <c r="H1010" s="156"/>
      <c r="I1010" s="156"/>
      <c r="J1010" s="156"/>
      <c r="K1010" s="156"/>
      <c r="L1010" s="157"/>
      <c r="M1010" s="156"/>
      <c r="N1010" s="156"/>
      <c r="O1010" s="156"/>
      <c r="P1010" s="156"/>
      <c r="Q1010" s="156"/>
      <c r="R1010" s="156"/>
      <c r="S1010" s="156"/>
      <c r="T1010" s="156"/>
      <c r="U1010" s="156"/>
      <c r="V1010" s="156"/>
      <c r="W1010" s="156"/>
      <c r="X1010" s="156"/>
      <c r="Y1010" s="156"/>
      <c r="Z1010" s="156"/>
      <c r="AA1010" s="156"/>
      <c r="AB1010" s="156"/>
      <c r="AC1010" s="156"/>
    </row>
    <row r="1011" spans="1:29" ht="13">
      <c r="A1011" s="140"/>
      <c r="B1011" s="140"/>
      <c r="C1011" s="156"/>
      <c r="D1011" s="156"/>
      <c r="E1011" s="156"/>
      <c r="F1011" s="156"/>
      <c r="G1011" s="185"/>
      <c r="H1011" s="156"/>
      <c r="I1011" s="156"/>
      <c r="J1011" s="156"/>
      <c r="K1011" s="156"/>
      <c r="L1011" s="157"/>
      <c r="M1011" s="156"/>
      <c r="N1011" s="156"/>
      <c r="O1011" s="156"/>
      <c r="P1011" s="156"/>
      <c r="Q1011" s="156"/>
      <c r="R1011" s="156"/>
      <c r="S1011" s="156"/>
      <c r="T1011" s="156"/>
      <c r="U1011" s="156"/>
      <c r="V1011" s="156"/>
      <c r="W1011" s="156"/>
      <c r="X1011" s="156"/>
      <c r="Y1011" s="156"/>
      <c r="Z1011" s="156"/>
      <c r="AA1011" s="156"/>
      <c r="AB1011" s="156"/>
      <c r="AC1011" s="156"/>
    </row>
    <row r="1012" spans="1:29" ht="13">
      <c r="A1012" s="140"/>
      <c r="B1012" s="140"/>
      <c r="C1012" s="156"/>
      <c r="D1012" s="156"/>
      <c r="E1012" s="156"/>
      <c r="F1012" s="156"/>
      <c r="G1012" s="185"/>
      <c r="H1012" s="156"/>
      <c r="I1012" s="156"/>
      <c r="J1012" s="156"/>
      <c r="K1012" s="156"/>
      <c r="L1012" s="157"/>
      <c r="M1012" s="156"/>
      <c r="N1012" s="156"/>
      <c r="O1012" s="156"/>
      <c r="P1012" s="156"/>
      <c r="Q1012" s="156"/>
      <c r="R1012" s="156"/>
      <c r="S1012" s="156"/>
      <c r="T1012" s="156"/>
      <c r="U1012" s="156"/>
      <c r="V1012" s="156"/>
      <c r="W1012" s="156"/>
      <c r="X1012" s="156"/>
      <c r="Y1012" s="156"/>
      <c r="Z1012" s="156"/>
      <c r="AA1012" s="156"/>
      <c r="AB1012" s="156"/>
      <c r="AC1012" s="156"/>
    </row>
    <row r="1013" spans="1:29" ht="13">
      <c r="A1013" s="140"/>
      <c r="B1013" s="140"/>
      <c r="C1013" s="156"/>
      <c r="D1013" s="156"/>
      <c r="E1013" s="156"/>
      <c r="F1013" s="156"/>
      <c r="G1013" s="185"/>
      <c r="H1013" s="156"/>
      <c r="I1013" s="156"/>
      <c r="J1013" s="156"/>
      <c r="K1013" s="156"/>
      <c r="L1013" s="157"/>
      <c r="M1013" s="156"/>
      <c r="N1013" s="156"/>
      <c r="O1013" s="156"/>
      <c r="P1013" s="156"/>
      <c r="Q1013" s="156"/>
      <c r="R1013" s="156"/>
      <c r="S1013" s="156"/>
      <c r="T1013" s="156"/>
      <c r="U1013" s="156"/>
      <c r="V1013" s="156"/>
      <c r="W1013" s="156"/>
      <c r="X1013" s="156"/>
      <c r="Y1013" s="156"/>
      <c r="Z1013" s="156"/>
      <c r="AA1013" s="156"/>
      <c r="AB1013" s="156"/>
      <c r="AC1013" s="156"/>
    </row>
    <row r="1014" spans="1:29" ht="13">
      <c r="A1014" s="140"/>
      <c r="B1014" s="140"/>
      <c r="C1014" s="156"/>
      <c r="D1014" s="156"/>
      <c r="E1014" s="156"/>
      <c r="F1014" s="156"/>
      <c r="G1014" s="185"/>
      <c r="H1014" s="156"/>
      <c r="I1014" s="156"/>
      <c r="J1014" s="156"/>
      <c r="K1014" s="156"/>
      <c r="L1014" s="157"/>
      <c r="M1014" s="156"/>
      <c r="N1014" s="156"/>
      <c r="O1014" s="156"/>
      <c r="P1014" s="156"/>
      <c r="Q1014" s="156"/>
      <c r="R1014" s="156"/>
      <c r="S1014" s="156"/>
      <c r="T1014" s="156"/>
      <c r="U1014" s="156"/>
      <c r="V1014" s="156"/>
      <c r="W1014" s="156"/>
      <c r="X1014" s="156"/>
      <c r="Y1014" s="156"/>
      <c r="Z1014" s="156"/>
      <c r="AA1014" s="156"/>
      <c r="AB1014" s="156"/>
      <c r="AC1014" s="156"/>
    </row>
    <row r="1015" spans="1:29" ht="13">
      <c r="A1015" s="140"/>
      <c r="B1015" s="140"/>
      <c r="C1015" s="156"/>
      <c r="D1015" s="156"/>
      <c r="E1015" s="156"/>
      <c r="F1015" s="156"/>
      <c r="G1015" s="185"/>
      <c r="H1015" s="156"/>
      <c r="I1015" s="156"/>
      <c r="J1015" s="156"/>
      <c r="K1015" s="156"/>
      <c r="L1015" s="157"/>
      <c r="M1015" s="156"/>
      <c r="N1015" s="156"/>
      <c r="O1015" s="156"/>
      <c r="P1015" s="156"/>
      <c r="Q1015" s="156"/>
      <c r="R1015" s="156"/>
      <c r="S1015" s="156"/>
      <c r="T1015" s="156"/>
      <c r="U1015" s="156"/>
      <c r="V1015" s="156"/>
      <c r="W1015" s="156"/>
      <c r="X1015" s="156"/>
      <c r="Y1015" s="156"/>
      <c r="Z1015" s="156"/>
      <c r="AA1015" s="156"/>
      <c r="AB1015" s="156"/>
      <c r="AC1015" s="156"/>
    </row>
    <row r="1016" spans="1:29" ht="13">
      <c r="A1016" s="140"/>
      <c r="B1016" s="140"/>
      <c r="C1016" s="156"/>
      <c r="D1016" s="156"/>
      <c r="E1016" s="156"/>
      <c r="F1016" s="156"/>
      <c r="G1016" s="185"/>
      <c r="H1016" s="156"/>
      <c r="I1016" s="156"/>
      <c r="J1016" s="156"/>
      <c r="K1016" s="156"/>
      <c r="L1016" s="157"/>
      <c r="M1016" s="156"/>
      <c r="N1016" s="156"/>
      <c r="O1016" s="156"/>
      <c r="P1016" s="156"/>
      <c r="Q1016" s="156"/>
      <c r="R1016" s="156"/>
      <c r="S1016" s="156"/>
      <c r="T1016" s="156"/>
      <c r="U1016" s="156"/>
      <c r="V1016" s="156"/>
      <c r="W1016" s="156"/>
      <c r="X1016" s="156"/>
      <c r="Y1016" s="156"/>
      <c r="Z1016" s="156"/>
      <c r="AA1016" s="156"/>
      <c r="AB1016" s="156"/>
      <c r="AC1016" s="156"/>
    </row>
    <row r="1017" spans="1:29" ht="13">
      <c r="A1017" s="140"/>
      <c r="B1017" s="140"/>
      <c r="C1017" s="156"/>
      <c r="D1017" s="156"/>
      <c r="E1017" s="156"/>
      <c r="F1017" s="156"/>
      <c r="G1017" s="185"/>
      <c r="H1017" s="156"/>
      <c r="I1017" s="156"/>
      <c r="J1017" s="156"/>
      <c r="K1017" s="156"/>
      <c r="L1017" s="157"/>
      <c r="M1017" s="156"/>
      <c r="N1017" s="156"/>
      <c r="O1017" s="156"/>
      <c r="P1017" s="156"/>
      <c r="Q1017" s="156"/>
      <c r="R1017" s="156"/>
      <c r="S1017" s="156"/>
      <c r="T1017" s="156"/>
      <c r="U1017" s="156"/>
      <c r="V1017" s="156"/>
      <c r="W1017" s="156"/>
      <c r="X1017" s="156"/>
      <c r="Y1017" s="156"/>
      <c r="Z1017" s="156"/>
      <c r="AA1017" s="156"/>
      <c r="AB1017" s="156"/>
      <c r="AC1017" s="156"/>
    </row>
    <row r="1018" spans="1:29" ht="13">
      <c r="A1018" s="140"/>
      <c r="B1018" s="140"/>
      <c r="C1018" s="156"/>
      <c r="D1018" s="156"/>
      <c r="E1018" s="156"/>
      <c r="F1018" s="156"/>
      <c r="G1018" s="185"/>
      <c r="H1018" s="156"/>
      <c r="I1018" s="156"/>
      <c r="J1018" s="156"/>
      <c r="K1018" s="156"/>
      <c r="L1018" s="157"/>
      <c r="M1018" s="156"/>
      <c r="N1018" s="156"/>
      <c r="O1018" s="156"/>
      <c r="P1018" s="156"/>
      <c r="Q1018" s="156"/>
      <c r="R1018" s="156"/>
      <c r="S1018" s="156"/>
      <c r="T1018" s="156"/>
      <c r="U1018" s="156"/>
      <c r="V1018" s="156"/>
      <c r="W1018" s="156"/>
      <c r="X1018" s="156"/>
      <c r="Y1018" s="156"/>
      <c r="Z1018" s="156"/>
      <c r="AA1018" s="156"/>
      <c r="AB1018" s="156"/>
      <c r="AC1018" s="156"/>
    </row>
    <row r="1019" spans="1:29" ht="13">
      <c r="A1019" s="140"/>
      <c r="B1019" s="140"/>
      <c r="C1019" s="156"/>
      <c r="D1019" s="156"/>
      <c r="E1019" s="156"/>
      <c r="F1019" s="156"/>
      <c r="G1019" s="185"/>
      <c r="H1019" s="156"/>
      <c r="I1019" s="156"/>
      <c r="J1019" s="156"/>
      <c r="K1019" s="156"/>
      <c r="L1019" s="157"/>
      <c r="M1019" s="156"/>
      <c r="N1019" s="156"/>
      <c r="O1019" s="156"/>
      <c r="P1019" s="156"/>
      <c r="Q1019" s="156"/>
      <c r="R1019" s="156"/>
      <c r="S1019" s="156"/>
      <c r="T1019" s="156"/>
      <c r="U1019" s="156"/>
      <c r="V1019" s="156"/>
      <c r="W1019" s="156"/>
      <c r="X1019" s="156"/>
      <c r="Y1019" s="156"/>
      <c r="Z1019" s="156"/>
      <c r="AA1019" s="156"/>
      <c r="AB1019" s="156"/>
      <c r="AC1019" s="156"/>
    </row>
  </sheetData>
  <mergeCells count="1">
    <mergeCell ref="H1:M2"/>
  </mergeCells>
  <conditionalFormatting sqref="I23:J120">
    <cfRule type="cellIs" dxfId="20" priority="1" operator="greaterThan">
      <formula>0</formula>
    </cfRule>
    <cfRule type="cellIs" dxfId="19" priority="2" operator="lessThan">
      <formula>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F333-AE17-3442-934D-5C2AEAF73FED}">
  <dimension ref="A1:CU23"/>
  <sheetViews>
    <sheetView workbookViewId="0">
      <selection activeCell="J37" sqref="J37"/>
    </sheetView>
  </sheetViews>
  <sheetFormatPr baseColWidth="10" defaultRowHeight="13"/>
  <cols>
    <col min="1" max="1" width="16.33203125" style="230" bestFit="1" customWidth="1"/>
  </cols>
  <sheetData>
    <row r="1" spans="1:99" ht="16">
      <c r="A1" s="228"/>
      <c r="B1" s="195"/>
    </row>
    <row r="2" spans="1:99" ht="16">
      <c r="A2" s="229" t="s">
        <v>369</v>
      </c>
      <c r="B2" s="195" t="str" cm="1">
        <f t="array" aca="1" ref="B2:CE2" ca="1">TRANSPOSE(Portfolio!F25:F106)</f>
        <v>AAPL</v>
      </c>
      <c r="C2" t="str">
        <f ca="1"/>
        <v>GOOG</v>
      </c>
      <c r="D2" t="str">
        <f ca="1"/>
        <v>SPY</v>
      </c>
      <c r="E2" t="str">
        <f ca="1"/>
        <v>MSFT</v>
      </c>
      <c r="F2" s="64" t="str">
        <f ca="1"/>
        <v>JNJ</v>
      </c>
      <c r="G2" t="str">
        <f ca="1"/>
        <v>NVDA</v>
      </c>
      <c r="H2" t="str">
        <f ca="1"/>
        <v>UNH</v>
      </c>
      <c r="I2" t="str">
        <f ca="1"/>
        <v>JPM</v>
      </c>
      <c r="J2" t="str">
        <f ca="1"/>
        <v>XOM</v>
      </c>
      <c r="K2" t="str">
        <f ca="1"/>
        <v>SNAP</v>
      </c>
      <c r="L2" t="str">
        <f ca="1"/>
        <v>META</v>
      </c>
      <c r="M2" t="str">
        <f ca="1"/>
        <v>DG</v>
      </c>
      <c r="N2" t="str">
        <f ca="1"/>
        <v>GME</v>
      </c>
      <c r="O2" t="str">
        <f ca="1"/>
        <v/>
      </c>
      <c r="P2" t="str">
        <f ca="1"/>
        <v/>
      </c>
      <c r="Q2" t="str">
        <f ca="1"/>
        <v/>
      </c>
      <c r="R2" t="str">
        <f ca="1"/>
        <v/>
      </c>
      <c r="S2" t="str">
        <f ca="1"/>
        <v/>
      </c>
      <c r="T2" t="str">
        <f ca="1"/>
        <v/>
      </c>
      <c r="U2" t="str">
        <f ca="1"/>
        <v/>
      </c>
      <c r="V2" t="str">
        <f ca="1"/>
        <v/>
      </c>
      <c r="W2" t="str">
        <f ca="1"/>
        <v/>
      </c>
      <c r="X2" t="str">
        <f ca="1"/>
        <v/>
      </c>
      <c r="Y2" t="str">
        <f ca="1"/>
        <v/>
      </c>
      <c r="Z2" t="str">
        <f ca="1"/>
        <v/>
      </c>
      <c r="AA2" t="str">
        <f ca="1"/>
        <v/>
      </c>
      <c r="AB2" t="str">
        <f ca="1"/>
        <v/>
      </c>
      <c r="AC2" t="str">
        <f ca="1"/>
        <v/>
      </c>
      <c r="AD2" t="str">
        <f ca="1"/>
        <v/>
      </c>
      <c r="AE2" t="str">
        <f ca="1"/>
        <v/>
      </c>
      <c r="AF2" t="str">
        <f ca="1"/>
        <v/>
      </c>
      <c r="AG2" t="str">
        <f ca="1"/>
        <v/>
      </c>
      <c r="AH2" t="str">
        <f ca="1"/>
        <v/>
      </c>
      <c r="AI2" t="str">
        <f ca="1"/>
        <v/>
      </c>
      <c r="AJ2" t="str">
        <f ca="1"/>
        <v/>
      </c>
      <c r="AK2" t="str">
        <f ca="1"/>
        <v/>
      </c>
      <c r="AL2" t="str">
        <f ca="1"/>
        <v/>
      </c>
      <c r="AM2" t="str">
        <f ca="1"/>
        <v/>
      </c>
      <c r="AN2" t="str">
        <f ca="1"/>
        <v/>
      </c>
      <c r="AO2" t="str">
        <f ca="1"/>
        <v/>
      </c>
      <c r="AP2" t="str">
        <f ca="1"/>
        <v/>
      </c>
      <c r="AQ2" t="str">
        <f ca="1"/>
        <v/>
      </c>
      <c r="AR2" t="str">
        <f ca="1"/>
        <v/>
      </c>
      <c r="AS2" t="str">
        <f ca="1"/>
        <v/>
      </c>
      <c r="AT2" t="str">
        <f ca="1"/>
        <v/>
      </c>
      <c r="AU2" t="str">
        <f ca="1"/>
        <v/>
      </c>
      <c r="AV2" t="str">
        <f ca="1"/>
        <v/>
      </c>
      <c r="AW2" t="str">
        <f ca="1"/>
        <v/>
      </c>
      <c r="AX2" t="str">
        <f ca="1"/>
        <v/>
      </c>
      <c r="AY2" t="str">
        <f ca="1"/>
        <v/>
      </c>
      <c r="AZ2" t="str">
        <f ca="1"/>
        <v/>
      </c>
      <c r="BA2" t="str">
        <f ca="1"/>
        <v/>
      </c>
      <c r="BB2" t="str">
        <f ca="1"/>
        <v/>
      </c>
      <c r="BC2" t="str">
        <f ca="1"/>
        <v/>
      </c>
      <c r="BD2" t="str">
        <f ca="1"/>
        <v/>
      </c>
      <c r="BE2" t="str">
        <f ca="1"/>
        <v/>
      </c>
      <c r="BF2" t="str">
        <f ca="1"/>
        <v/>
      </c>
      <c r="BG2" t="str">
        <f ca="1"/>
        <v/>
      </c>
      <c r="BH2" t="str">
        <f ca="1"/>
        <v/>
      </c>
      <c r="BI2" t="str">
        <f ca="1"/>
        <v/>
      </c>
      <c r="BJ2" t="str">
        <f ca="1"/>
        <v/>
      </c>
      <c r="BK2" t="str">
        <f ca="1"/>
        <v/>
      </c>
      <c r="BL2" t="str">
        <f ca="1"/>
        <v/>
      </c>
      <c r="BM2" t="str">
        <f ca="1"/>
        <v/>
      </c>
      <c r="BN2" t="str">
        <f ca="1"/>
        <v/>
      </c>
      <c r="BO2" t="str">
        <f ca="1"/>
        <v/>
      </c>
      <c r="BP2" t="str">
        <f ca="1"/>
        <v/>
      </c>
      <c r="BQ2" t="str">
        <f ca="1"/>
        <v/>
      </c>
      <c r="BR2" t="str">
        <f ca="1"/>
        <v/>
      </c>
      <c r="BS2" t="str">
        <f ca="1"/>
        <v/>
      </c>
      <c r="BT2" t="str">
        <f ca="1"/>
        <v/>
      </c>
      <c r="BU2" t="str">
        <f ca="1"/>
        <v/>
      </c>
      <c r="BV2" t="str">
        <f ca="1"/>
        <v/>
      </c>
      <c r="BW2" t="str">
        <f ca="1"/>
        <v/>
      </c>
      <c r="BX2" t="str">
        <f ca="1"/>
        <v/>
      </c>
      <c r="BY2" t="str">
        <f ca="1"/>
        <v/>
      </c>
      <c r="BZ2" t="str">
        <f ca="1"/>
        <v/>
      </c>
      <c r="CA2" t="str">
        <f ca="1"/>
        <v/>
      </c>
      <c r="CB2" t="str">
        <f ca="1"/>
        <v/>
      </c>
      <c r="CC2" t="str">
        <f ca="1"/>
        <v/>
      </c>
      <c r="CD2" t="str">
        <f ca="1"/>
        <v/>
      </c>
      <c r="CE2" t="str">
        <f ca="1"/>
        <v/>
      </c>
    </row>
    <row r="3" spans="1:99" ht="16">
      <c r="A3" s="228"/>
      <c r="B3" s="196"/>
      <c r="E3" s="20"/>
      <c r="F3" s="64"/>
    </row>
    <row r="4" spans="1:99" ht="16">
      <c r="A4" s="228"/>
      <c r="B4" s="195"/>
    </row>
    <row r="5" spans="1:99" ht="16">
      <c r="A5" s="228"/>
      <c r="B5" s="195"/>
    </row>
    <row r="6" spans="1:99" ht="16">
      <c r="A6" s="229" t="s">
        <v>370</v>
      </c>
      <c r="B6" s="197">
        <f ca="1">B8-365*10</f>
        <v>42216</v>
      </c>
    </row>
    <row r="8" spans="1:99">
      <c r="A8" s="231" t="s">
        <v>371</v>
      </c>
      <c r="B8" s="21">
        <f ca="1">TODAY()</f>
        <v>45866</v>
      </c>
    </row>
    <row r="10" spans="1:99">
      <c r="A10" s="231" t="s">
        <v>372</v>
      </c>
      <c r="B10">
        <f ca="1">Portfolio!C7</f>
        <v>590268.68500000006</v>
      </c>
    </row>
    <row r="12" spans="1:99" s="87" customFormat="1">
      <c r="A12" s="232" t="s">
        <v>373</v>
      </c>
      <c r="B12" s="87" cm="1">
        <f t="array" aca="1" ref="B12:CU12" ca="1">TRANSPOSE(Stocks!L23:L120)</f>
        <v>3.6239394946049011E-2</v>
      </c>
      <c r="C12" s="87">
        <f ca="1"/>
        <v>3.2703750835096392E-2</v>
      </c>
      <c r="D12" s="87">
        <f ca="1"/>
        <v>5.3926289516781661E-2</v>
      </c>
      <c r="E12" s="87">
        <f ca="1"/>
        <v>8.6671546873607216E-2</v>
      </c>
      <c r="F12" s="87">
        <f ca="1"/>
        <v>2.820071676341766E-2</v>
      </c>
      <c r="G12" s="87">
        <f ca="1"/>
        <v>2.9743759826933721E-2</v>
      </c>
      <c r="H12" s="87">
        <f ca="1"/>
        <v>4.7646098657596919E-2</v>
      </c>
      <c r="I12" s="87">
        <f ca="1"/>
        <v>5.54837158606847E-2</v>
      </c>
      <c r="J12" s="87">
        <f ca="1"/>
        <v>9.4490867324259278E-3</v>
      </c>
      <c r="K12" s="87">
        <f ca="1"/>
        <v>1.6314773669553553E-2</v>
      </c>
      <c r="L12" s="87">
        <f ca="1"/>
        <v>6.0564783307113776E-2</v>
      </c>
      <c r="M12" s="87">
        <f ca="1"/>
        <v>1.7871522355958964E-2</v>
      </c>
      <c r="N12" s="87">
        <f ca="1"/>
        <v>0.52518456065478036</v>
      </c>
      <c r="O12" s="87" t="str">
        <f ca="1"/>
        <v/>
      </c>
      <c r="P12" s="87" t="str">
        <f ca="1"/>
        <v/>
      </c>
      <c r="Q12" s="87" t="str">
        <f ca="1"/>
        <v/>
      </c>
      <c r="R12" s="87" t="str">
        <f ca="1"/>
        <v/>
      </c>
      <c r="S12" s="87" t="str">
        <f ca="1"/>
        <v/>
      </c>
      <c r="T12" s="87" t="str">
        <f ca="1"/>
        <v/>
      </c>
      <c r="U12" s="87" t="str">
        <f ca="1"/>
        <v/>
      </c>
      <c r="V12" s="87" t="str">
        <f ca="1"/>
        <v/>
      </c>
      <c r="W12" s="87" t="str">
        <f ca="1"/>
        <v/>
      </c>
      <c r="X12" s="87" t="str">
        <f ca="1"/>
        <v/>
      </c>
      <c r="Y12" s="87" t="str">
        <f ca="1"/>
        <v/>
      </c>
      <c r="Z12" s="87" t="str">
        <f ca="1"/>
        <v/>
      </c>
      <c r="AA12" s="87" t="str">
        <f ca="1"/>
        <v/>
      </c>
      <c r="AB12" s="87" t="str">
        <f ca="1"/>
        <v/>
      </c>
      <c r="AC12" s="87" t="str">
        <f ca="1"/>
        <v/>
      </c>
      <c r="AD12" s="87" t="str">
        <f ca="1"/>
        <v/>
      </c>
      <c r="AE12" s="87" t="str">
        <f ca="1"/>
        <v/>
      </c>
      <c r="AF12" s="87" t="str">
        <f ca="1"/>
        <v/>
      </c>
      <c r="AG12" s="87" t="str">
        <f ca="1"/>
        <v/>
      </c>
      <c r="AH12" s="87" t="str">
        <f ca="1"/>
        <v/>
      </c>
      <c r="AI12" s="87" t="str">
        <f ca="1"/>
        <v/>
      </c>
      <c r="AJ12" s="87" t="str">
        <f ca="1"/>
        <v/>
      </c>
      <c r="AK12" s="87" t="str">
        <f ca="1"/>
        <v/>
      </c>
      <c r="AL12" s="87" t="str">
        <f ca="1"/>
        <v/>
      </c>
      <c r="AM12" s="87" t="str">
        <f ca="1"/>
        <v/>
      </c>
      <c r="AN12" s="87" t="str">
        <f ca="1"/>
        <v/>
      </c>
      <c r="AO12" s="87" t="str">
        <f ca="1"/>
        <v/>
      </c>
      <c r="AP12" s="87" t="str">
        <f ca="1"/>
        <v/>
      </c>
      <c r="AQ12" s="87" t="str">
        <f ca="1"/>
        <v/>
      </c>
      <c r="AR12" s="87" t="str">
        <f ca="1"/>
        <v/>
      </c>
      <c r="AS12" s="87" t="str">
        <f ca="1"/>
        <v/>
      </c>
      <c r="AT12" s="87" t="str">
        <f ca="1"/>
        <v/>
      </c>
      <c r="AU12" s="87" t="str">
        <f ca="1"/>
        <v/>
      </c>
      <c r="AV12" s="87" t="str">
        <f ca="1"/>
        <v/>
      </c>
      <c r="AW12" s="87" t="str">
        <f ca="1"/>
        <v/>
      </c>
      <c r="AX12" s="87" t="str">
        <f ca="1"/>
        <v/>
      </c>
      <c r="AY12" s="87" t="str">
        <f ca="1"/>
        <v/>
      </c>
      <c r="AZ12" s="87" t="str">
        <f ca="1"/>
        <v/>
      </c>
      <c r="BA12" s="87" t="str">
        <f ca="1"/>
        <v/>
      </c>
      <c r="BB12" s="87" t="str">
        <f ca="1"/>
        <v/>
      </c>
      <c r="BC12" s="87" t="str">
        <f ca="1"/>
        <v/>
      </c>
      <c r="BD12" s="87" t="str">
        <f ca="1"/>
        <v/>
      </c>
      <c r="BE12" s="87" t="str">
        <f ca="1"/>
        <v/>
      </c>
      <c r="BF12" s="87" t="str">
        <f ca="1"/>
        <v/>
      </c>
      <c r="BG12" s="87" t="str">
        <f ca="1"/>
        <v/>
      </c>
      <c r="BH12" s="87" t="str">
        <f ca="1"/>
        <v/>
      </c>
      <c r="BI12" s="87" t="str">
        <f ca="1"/>
        <v/>
      </c>
      <c r="BJ12" s="87" t="str">
        <f ca="1"/>
        <v/>
      </c>
      <c r="BK12" s="87" t="str">
        <f ca="1"/>
        <v/>
      </c>
      <c r="BL12" s="87" t="str">
        <f ca="1"/>
        <v/>
      </c>
      <c r="BM12" s="87" t="str">
        <f ca="1"/>
        <v/>
      </c>
      <c r="BN12" s="87" t="str">
        <f ca="1"/>
        <v/>
      </c>
      <c r="BO12" s="87" t="str">
        <f ca="1"/>
        <v/>
      </c>
      <c r="BP12" s="87" t="str">
        <f ca="1"/>
        <v/>
      </c>
      <c r="BQ12" s="87" t="str">
        <f ca="1"/>
        <v/>
      </c>
      <c r="BR12" s="87" t="str">
        <f ca="1"/>
        <v/>
      </c>
      <c r="BS12" s="87" t="str">
        <f ca="1"/>
        <v/>
      </c>
      <c r="BT12" s="87" t="str">
        <f ca="1"/>
        <v/>
      </c>
      <c r="BU12" s="87" t="str">
        <f ca="1"/>
        <v/>
      </c>
      <c r="BV12" s="87" t="str">
        <f ca="1"/>
        <v/>
      </c>
      <c r="BW12" s="87" t="str">
        <f ca="1"/>
        <v/>
      </c>
      <c r="BX12" s="87" t="str">
        <f ca="1"/>
        <v/>
      </c>
      <c r="BY12" s="87" t="str">
        <f ca="1"/>
        <v/>
      </c>
      <c r="BZ12" s="87" t="str">
        <f ca="1"/>
        <v/>
      </c>
      <c r="CA12" s="87" t="str">
        <f ca="1"/>
        <v/>
      </c>
      <c r="CB12" s="87" t="str">
        <f ca="1"/>
        <v/>
      </c>
      <c r="CC12" s="87" t="str">
        <f ca="1"/>
        <v/>
      </c>
      <c r="CD12" s="87" t="str">
        <f ca="1"/>
        <v/>
      </c>
      <c r="CE12" s="87" t="str">
        <f ca="1"/>
        <v/>
      </c>
      <c r="CF12" s="87" t="str">
        <f ca="1"/>
        <v/>
      </c>
      <c r="CG12" s="87" t="str">
        <f ca="1"/>
        <v/>
      </c>
      <c r="CH12" s="87" t="str">
        <f ca="1"/>
        <v/>
      </c>
      <c r="CI12" s="87" t="str">
        <f ca="1"/>
        <v/>
      </c>
      <c r="CJ12" s="87" t="str">
        <f ca="1"/>
        <v/>
      </c>
      <c r="CK12" s="87" t="str">
        <f ca="1"/>
        <v/>
      </c>
      <c r="CL12" s="87" t="str">
        <f ca="1"/>
        <v/>
      </c>
      <c r="CM12" s="87" t="str">
        <f ca="1"/>
        <v/>
      </c>
      <c r="CN12" s="87" t="str">
        <f ca="1"/>
        <v/>
      </c>
      <c r="CO12" s="87" t="str">
        <f ca="1"/>
        <v/>
      </c>
      <c r="CP12" s="87" t="str">
        <f ca="1"/>
        <v/>
      </c>
      <c r="CQ12" s="87" t="str">
        <f ca="1"/>
        <v/>
      </c>
      <c r="CR12" s="87" t="str">
        <f ca="1"/>
        <v/>
      </c>
      <c r="CS12" s="87" t="str">
        <f ca="1"/>
        <v/>
      </c>
      <c r="CT12" s="87" t="str">
        <f ca="1"/>
        <v/>
      </c>
      <c r="CU12" s="87" t="str">
        <f ca="1"/>
        <v/>
      </c>
    </row>
    <row r="14" spans="1:99">
      <c r="A14" s="231" t="s">
        <v>374</v>
      </c>
      <c r="B14" s="19">
        <v>30</v>
      </c>
    </row>
    <row r="16" spans="1:99">
      <c r="A16" s="231" t="s">
        <v>375</v>
      </c>
      <c r="B16" s="19">
        <v>1000000</v>
      </c>
    </row>
    <row r="18" spans="1:4">
      <c r="A18" s="231" t="s">
        <v>376</v>
      </c>
      <c r="B18" s="19">
        <v>0.95</v>
      </c>
    </row>
    <row r="21" spans="1:4">
      <c r="B21" s="19"/>
      <c r="C21" s="211" t="s">
        <v>484</v>
      </c>
      <c r="D21" s="20" t="s">
        <v>485</v>
      </c>
    </row>
    <row r="23" spans="1:4">
      <c r="C23" s="20" t="s">
        <v>486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117AE-A610-3846-B656-91691B6BCD62}">
  <dimension ref="A1:S111"/>
  <sheetViews>
    <sheetView topLeftCell="A3" workbookViewId="0">
      <selection activeCell="B3" sqref="B3"/>
    </sheetView>
  </sheetViews>
  <sheetFormatPr baseColWidth="10" defaultRowHeight="13"/>
  <cols>
    <col min="1" max="1" width="44.1640625" style="70" bestFit="1" customWidth="1"/>
    <col min="2" max="2" width="19.83203125" style="70" bestFit="1" customWidth="1"/>
    <col min="3" max="8" width="10.83203125" style="70"/>
    <col min="9" max="9" width="13.5" style="70" bestFit="1" customWidth="1"/>
    <col min="10" max="12" width="10.83203125" style="70"/>
    <col min="13" max="13" width="21.6640625" style="70" bestFit="1" customWidth="1"/>
    <col min="14" max="15" width="18.33203125" style="70" customWidth="1"/>
    <col min="16" max="16" width="10.83203125" style="70"/>
    <col min="17" max="17" width="51.5" style="70" bestFit="1" customWidth="1"/>
    <col min="18" max="18" width="18.33203125" style="70" customWidth="1"/>
    <col min="19" max="19" width="18.33203125" style="211" customWidth="1"/>
    <col min="20" max="16384" width="10.83203125" style="70"/>
  </cols>
  <sheetData>
    <row r="1" spans="1:19" ht="16">
      <c r="A1" s="419" t="s">
        <v>487</v>
      </c>
      <c r="B1" s="419"/>
    </row>
    <row r="2" spans="1:19" ht="15">
      <c r="A2" s="279" t="s">
        <v>807</v>
      </c>
      <c r="B2" s="288">
        <v>44926</v>
      </c>
      <c r="C2" s="211"/>
      <c r="D2" s="211"/>
      <c r="F2" s="274"/>
    </row>
    <row r="3" spans="1:19" ht="15">
      <c r="A3" s="279" t="s">
        <v>806</v>
      </c>
      <c r="B3" s="288">
        <f ca="1">TODAY()</f>
        <v>45866</v>
      </c>
      <c r="C3" s="211"/>
      <c r="D3" s="211"/>
      <c r="F3" s="274"/>
    </row>
    <row r="4" spans="1:19" ht="14">
      <c r="A4" s="279" t="s">
        <v>808</v>
      </c>
      <c r="B4" s="279">
        <v>0.5</v>
      </c>
    </row>
    <row r="5" spans="1:19" ht="14">
      <c r="A5" s="279" t="s">
        <v>587</v>
      </c>
      <c r="B5" s="279">
        <v>0.15</v>
      </c>
    </row>
    <row r="6" spans="1:19">
      <c r="A6" s="211"/>
    </row>
    <row r="7" spans="1:19" s="285" customFormat="1" ht="16">
      <c r="A7" s="275" t="s">
        <v>369</v>
      </c>
      <c r="B7" s="285" t="s">
        <v>339</v>
      </c>
      <c r="C7" s="285" t="s">
        <v>586</v>
      </c>
      <c r="D7" s="285" t="s">
        <v>497</v>
      </c>
      <c r="E7" s="285" t="s">
        <v>592</v>
      </c>
      <c r="F7" s="285" t="s">
        <v>593</v>
      </c>
      <c r="G7" s="285" t="s">
        <v>809</v>
      </c>
      <c r="S7" s="211"/>
    </row>
    <row r="8" spans="1:19">
      <c r="A8" s="211" t="s">
        <v>588</v>
      </c>
      <c r="B8" s="315">
        <v>0.1</v>
      </c>
      <c r="C8" s="315">
        <v>0.2</v>
      </c>
      <c r="D8" s="289">
        <v>0.2</v>
      </c>
      <c r="E8" s="289">
        <v>0.2</v>
      </c>
      <c r="F8" s="289">
        <v>0.1</v>
      </c>
      <c r="G8" s="289">
        <v>0.2</v>
      </c>
    </row>
    <row r="11" spans="1:19">
      <c r="B11" s="211"/>
    </row>
    <row r="20" spans="2:3">
      <c r="B20" s="211"/>
      <c r="C20" s="211"/>
    </row>
    <row r="38" spans="1:19">
      <c r="B38" s="285" t="s">
        <v>594</v>
      </c>
    </row>
    <row r="39" spans="1:19">
      <c r="B39" s="211"/>
    </row>
    <row r="40" spans="1:19" s="275" customFormat="1" ht="20">
      <c r="A40" s="290" t="s">
        <v>346</v>
      </c>
      <c r="B40" s="275" t="s">
        <v>339</v>
      </c>
      <c r="C40" s="275" t="s">
        <v>586</v>
      </c>
      <c r="D40" s="275" t="s">
        <v>497</v>
      </c>
      <c r="E40" s="275" t="s">
        <v>592</v>
      </c>
      <c r="F40" s="275" t="s">
        <v>593</v>
      </c>
      <c r="G40" s="275" t="s">
        <v>809</v>
      </c>
      <c r="H40" s="275" t="s">
        <v>590</v>
      </c>
      <c r="I40" s="275" t="s">
        <v>591</v>
      </c>
      <c r="J40" s="275" t="s">
        <v>589</v>
      </c>
      <c r="Q40" s="418" t="s">
        <v>858</v>
      </c>
      <c r="R40" s="418"/>
      <c r="S40" s="418"/>
    </row>
    <row r="41" spans="1:19" ht="16">
      <c r="A41" s="279" t="s">
        <v>853</v>
      </c>
      <c r="B41" s="70">
        <v>0</v>
      </c>
      <c r="C41" s="70">
        <v>0</v>
      </c>
      <c r="D41" s="70">
        <v>0.54069999999999996</v>
      </c>
      <c r="E41" s="70">
        <v>0.45929999999999999</v>
      </c>
      <c r="F41" s="70">
        <v>0</v>
      </c>
      <c r="G41" s="70">
        <v>0</v>
      </c>
      <c r="H41" s="70">
        <v>0.31730000000000003</v>
      </c>
      <c r="I41" s="70">
        <v>0.189</v>
      </c>
      <c r="J41" s="70">
        <v>1.6789000000000001</v>
      </c>
      <c r="N41" s="275"/>
      <c r="O41" s="275"/>
      <c r="Q41" s="290"/>
      <c r="R41" s="290" t="s">
        <v>815</v>
      </c>
      <c r="S41" s="290" t="s">
        <v>816</v>
      </c>
    </row>
    <row r="42" spans="1:19" ht="16">
      <c r="A42" s="279" t="s">
        <v>854</v>
      </c>
      <c r="B42" s="70">
        <v>0</v>
      </c>
      <c r="C42" s="70">
        <v>0</v>
      </c>
      <c r="D42" s="70">
        <v>0</v>
      </c>
      <c r="E42" s="70">
        <v>0</v>
      </c>
      <c r="F42" s="70">
        <v>0</v>
      </c>
      <c r="G42" s="70">
        <v>1</v>
      </c>
      <c r="H42" s="70">
        <v>0.42520000000000002</v>
      </c>
      <c r="I42" s="70">
        <v>0.61860000000000004</v>
      </c>
      <c r="J42" s="70">
        <v>0.68740000000000001</v>
      </c>
      <c r="M42" s="275"/>
      <c r="N42" s="310"/>
      <c r="O42" s="310"/>
      <c r="P42" s="275"/>
      <c r="Q42" s="306" t="s">
        <v>817</v>
      </c>
      <c r="R42" s="304">
        <v>44930</v>
      </c>
      <c r="S42" s="304">
        <v>44930</v>
      </c>
    </row>
    <row r="43" spans="1:19" ht="16">
      <c r="A43" s="279" t="s">
        <v>855</v>
      </c>
      <c r="B43" s="70">
        <v>0.18079999999999999</v>
      </c>
      <c r="C43" s="70">
        <v>8.0000000000000002E-3</v>
      </c>
      <c r="D43" s="70">
        <v>0.44009999999999999</v>
      </c>
      <c r="E43" s="70">
        <v>0.37109999999999999</v>
      </c>
      <c r="F43" s="70">
        <v>0</v>
      </c>
      <c r="G43" s="70">
        <v>0</v>
      </c>
      <c r="H43" s="70">
        <v>0.29720000000000002</v>
      </c>
      <c r="I43" s="70">
        <v>0.1842</v>
      </c>
      <c r="J43" s="70">
        <v>1.6133999999999999</v>
      </c>
      <c r="M43" s="275"/>
      <c r="N43" s="310"/>
      <c r="O43" s="310"/>
      <c r="P43" s="275"/>
      <c r="Q43" s="306" t="s">
        <v>818</v>
      </c>
      <c r="R43" s="304">
        <v>45849</v>
      </c>
      <c r="S43" s="304">
        <v>45849</v>
      </c>
    </row>
    <row r="44" spans="1:19" ht="16">
      <c r="A44" s="279" t="s">
        <v>856</v>
      </c>
      <c r="B44" s="70">
        <v>0</v>
      </c>
      <c r="C44" s="70">
        <v>0</v>
      </c>
      <c r="D44" s="70">
        <v>0.22689999999999999</v>
      </c>
      <c r="E44" s="70">
        <v>0</v>
      </c>
      <c r="F44" s="70">
        <v>0</v>
      </c>
      <c r="G44" s="70">
        <v>0.77310000000000001</v>
      </c>
      <c r="H44" s="70">
        <v>0.4032</v>
      </c>
      <c r="I44" s="70">
        <v>0.5</v>
      </c>
      <c r="J44" s="70">
        <v>0.80640000000000001</v>
      </c>
      <c r="M44" s="275"/>
      <c r="N44" s="311"/>
      <c r="O44" s="311"/>
      <c r="P44" s="275"/>
      <c r="Q44" s="290" t="s">
        <v>819</v>
      </c>
      <c r="R44" s="238">
        <v>0</v>
      </c>
      <c r="S44" s="238">
        <v>0</v>
      </c>
    </row>
    <row r="45" spans="1:19" ht="16">
      <c r="A45" s="279" t="s">
        <v>857</v>
      </c>
      <c r="B45" s="70">
        <v>0.18079999999999999</v>
      </c>
      <c r="C45" s="70">
        <v>8.0000000000000002E-3</v>
      </c>
      <c r="D45" s="70">
        <v>0.44009999999999999</v>
      </c>
      <c r="E45" s="70">
        <v>0.37109999999999999</v>
      </c>
      <c r="F45" s="70">
        <v>0</v>
      </c>
      <c r="G45" s="70">
        <v>0</v>
      </c>
      <c r="H45" s="70">
        <v>0.29720000000000002</v>
      </c>
      <c r="I45" s="70">
        <v>0.1842</v>
      </c>
      <c r="J45" s="70">
        <v>1.6133999999999999</v>
      </c>
      <c r="M45" s="275"/>
      <c r="N45" s="311"/>
      <c r="O45" s="311"/>
      <c r="P45" s="275"/>
      <c r="Q45" s="290" t="s">
        <v>820</v>
      </c>
      <c r="R45" s="238">
        <v>1</v>
      </c>
      <c r="S45" s="238">
        <v>1</v>
      </c>
    </row>
    <row r="46" spans="1:19" ht="16">
      <c r="M46" s="275"/>
      <c r="N46" s="312"/>
      <c r="O46" s="312"/>
      <c r="P46" s="275"/>
      <c r="Q46" s="307" t="s">
        <v>821</v>
      </c>
      <c r="R46" s="305">
        <v>0.68</v>
      </c>
      <c r="S46" s="305">
        <v>1.31</v>
      </c>
    </row>
    <row r="47" spans="1:19" ht="16">
      <c r="M47" s="275"/>
      <c r="N47" s="312"/>
      <c r="O47" s="312"/>
      <c r="P47" s="275"/>
      <c r="Q47" s="307" t="s">
        <v>822</v>
      </c>
      <c r="R47" s="305">
        <v>0.15</v>
      </c>
      <c r="S47" s="305">
        <v>0.26</v>
      </c>
    </row>
    <row r="48" spans="1:19" ht="16">
      <c r="M48" s="275"/>
      <c r="N48" s="311"/>
      <c r="O48" s="311"/>
      <c r="P48" s="275"/>
      <c r="Q48" s="290" t="s">
        <v>823</v>
      </c>
      <c r="R48" s="238">
        <v>1.37</v>
      </c>
      <c r="S48" s="238">
        <v>1.86</v>
      </c>
    </row>
    <row r="49" spans="13:19" ht="16">
      <c r="M49" s="275"/>
      <c r="N49" s="312"/>
      <c r="O49" s="312"/>
      <c r="P49" s="275"/>
      <c r="Q49" s="307" t="s">
        <v>824</v>
      </c>
      <c r="R49" s="305">
        <v>0.99</v>
      </c>
      <c r="S49" s="305">
        <v>1</v>
      </c>
    </row>
    <row r="50" spans="13:19" ht="16">
      <c r="M50" s="275"/>
      <c r="N50" s="311"/>
      <c r="O50" s="311"/>
      <c r="P50" s="275"/>
      <c r="Q50" s="290" t="s">
        <v>859</v>
      </c>
      <c r="R50" s="238">
        <v>1.37</v>
      </c>
      <c r="S50" s="238">
        <v>1.85</v>
      </c>
    </row>
    <row r="51" spans="13:19" ht="16">
      <c r="M51" s="275"/>
      <c r="N51" s="311"/>
      <c r="O51" s="311"/>
      <c r="P51" s="275"/>
      <c r="Q51" s="290" t="s">
        <v>825</v>
      </c>
      <c r="R51" s="238">
        <v>2.08</v>
      </c>
      <c r="S51" s="238">
        <v>2.88</v>
      </c>
    </row>
    <row r="52" spans="13:19" ht="16">
      <c r="M52" s="275"/>
      <c r="N52" s="311"/>
      <c r="O52" s="311"/>
      <c r="P52" s="275"/>
      <c r="Q52" s="290" t="s">
        <v>860</v>
      </c>
      <c r="R52" s="238">
        <v>2.0699999999999998</v>
      </c>
      <c r="S52" s="238">
        <v>2.87</v>
      </c>
    </row>
    <row r="53" spans="13:19" ht="16">
      <c r="M53" s="275"/>
      <c r="N53" s="312"/>
      <c r="O53" s="312"/>
      <c r="P53" s="275"/>
      <c r="Q53" s="307" t="s">
        <v>826</v>
      </c>
      <c r="R53" s="305">
        <v>1.47</v>
      </c>
      <c r="S53" s="305">
        <v>2.04</v>
      </c>
    </row>
    <row r="54" spans="13:19" ht="16">
      <c r="M54" s="275"/>
      <c r="N54" s="311"/>
      <c r="O54" s="311"/>
      <c r="P54" s="275"/>
      <c r="Q54" s="290" t="s">
        <v>861</v>
      </c>
      <c r="R54" s="238">
        <v>1.46</v>
      </c>
      <c r="S54" s="238">
        <v>2.0299999999999998</v>
      </c>
    </row>
    <row r="55" spans="13:19" ht="16">
      <c r="M55" s="275"/>
      <c r="N55" s="311"/>
      <c r="O55" s="311"/>
      <c r="P55" s="275"/>
      <c r="Q55" s="290" t="s">
        <v>827</v>
      </c>
      <c r="R55" s="238">
        <v>1.4</v>
      </c>
      <c r="S55" s="238">
        <v>1.4</v>
      </c>
    </row>
    <row r="56" spans="13:19" ht="16">
      <c r="M56" s="275"/>
      <c r="N56" s="311"/>
      <c r="O56" s="311"/>
      <c r="P56" s="275"/>
      <c r="Q56" s="290" t="s">
        <v>828</v>
      </c>
      <c r="R56" s="238">
        <v>-0.19</v>
      </c>
      <c r="S56" s="238">
        <v>-0.2</v>
      </c>
    </row>
    <row r="57" spans="13:19" ht="16">
      <c r="M57" s="275"/>
      <c r="N57" s="311"/>
      <c r="O57" s="311"/>
      <c r="P57" s="275"/>
      <c r="Q57" s="290" t="s">
        <v>829</v>
      </c>
      <c r="R57" s="238">
        <v>126</v>
      </c>
      <c r="S57" s="238">
        <v>111</v>
      </c>
    </row>
    <row r="58" spans="13:19" ht="16">
      <c r="M58" s="275"/>
      <c r="N58" s="311"/>
      <c r="O58" s="311"/>
      <c r="P58" s="275"/>
      <c r="Q58" s="290" t="s">
        <v>862</v>
      </c>
      <c r="R58" s="238">
        <v>0.16</v>
      </c>
      <c r="S58" s="238">
        <v>0.19</v>
      </c>
    </row>
    <row r="59" spans="13:19" ht="16">
      <c r="M59" s="275"/>
      <c r="N59" s="311"/>
      <c r="O59" s="311"/>
      <c r="P59" s="275"/>
      <c r="Q59" s="290" t="s">
        <v>863</v>
      </c>
      <c r="R59" s="238">
        <v>0.66</v>
      </c>
      <c r="S59" s="238">
        <v>0.66</v>
      </c>
    </row>
    <row r="60" spans="13:19" ht="16">
      <c r="M60" s="275"/>
      <c r="N60" s="311"/>
      <c r="O60" s="311"/>
      <c r="P60" s="275"/>
      <c r="Q60" s="290" t="s">
        <v>864</v>
      </c>
      <c r="R60" s="238">
        <v>0.08</v>
      </c>
      <c r="S60" s="238">
        <v>0.08</v>
      </c>
    </row>
    <row r="61" spans="13:19" ht="16">
      <c r="M61" s="275"/>
      <c r="N61" s="311"/>
      <c r="O61" s="311"/>
      <c r="P61" s="275"/>
      <c r="Q61" s="290" t="s">
        <v>865</v>
      </c>
      <c r="R61" s="238">
        <v>0.82</v>
      </c>
      <c r="S61" s="238">
        <v>1.29</v>
      </c>
    </row>
    <row r="62" spans="13:19" ht="16">
      <c r="M62" s="275"/>
      <c r="N62" s="311"/>
      <c r="O62" s="311"/>
      <c r="P62" s="275"/>
      <c r="Q62" s="290" t="s">
        <v>866</v>
      </c>
      <c r="R62" s="238">
        <v>0.98</v>
      </c>
      <c r="S62" s="238">
        <v>0.46</v>
      </c>
    </row>
    <row r="63" spans="13:19" ht="16">
      <c r="M63" s="275"/>
      <c r="N63" s="311"/>
      <c r="O63" s="311"/>
      <c r="P63" s="275"/>
      <c r="Q63" s="290" t="s">
        <v>867</v>
      </c>
      <c r="R63" s="238">
        <v>20.48</v>
      </c>
      <c r="S63" s="238">
        <v>7.95</v>
      </c>
    </row>
    <row r="64" spans="13:19" ht="16">
      <c r="M64" s="275"/>
      <c r="N64" s="312"/>
      <c r="O64" s="312"/>
      <c r="P64" s="275"/>
      <c r="Q64" s="307" t="s">
        <v>868</v>
      </c>
      <c r="R64" s="305">
        <v>0</v>
      </c>
      <c r="S64" s="305">
        <v>0</v>
      </c>
    </row>
    <row r="65" spans="3:19" ht="16">
      <c r="M65" s="275"/>
      <c r="N65" s="312"/>
      <c r="O65" s="312"/>
      <c r="P65" s="275"/>
      <c r="Q65" s="307" t="s">
        <v>869</v>
      </c>
      <c r="R65" s="305">
        <v>0.02</v>
      </c>
      <c r="S65" s="305">
        <v>0.03</v>
      </c>
    </row>
    <row r="66" spans="3:19" ht="16">
      <c r="M66" s="275"/>
      <c r="N66" s="312"/>
      <c r="O66" s="312"/>
      <c r="P66" s="275"/>
      <c r="Q66" s="307" t="s">
        <v>870</v>
      </c>
      <c r="R66" s="305">
        <v>0.19</v>
      </c>
      <c r="S66" s="305">
        <v>0.32</v>
      </c>
    </row>
    <row r="67" spans="3:19" ht="16">
      <c r="M67" s="275"/>
      <c r="N67" s="312"/>
      <c r="O67" s="312"/>
      <c r="P67" s="275"/>
      <c r="Q67" s="307" t="s">
        <v>871</v>
      </c>
      <c r="R67" s="305">
        <v>0.12</v>
      </c>
      <c r="S67" s="305">
        <v>0.14000000000000001</v>
      </c>
    </row>
    <row r="68" spans="3:19" ht="16">
      <c r="M68" s="275"/>
      <c r="N68" s="312"/>
      <c r="O68" s="312"/>
      <c r="P68" s="275"/>
      <c r="Q68" s="307" t="s">
        <v>872</v>
      </c>
      <c r="R68" s="305">
        <v>0</v>
      </c>
      <c r="S68" s="305">
        <v>0</v>
      </c>
    </row>
    <row r="69" spans="3:19" ht="16">
      <c r="M69" s="275"/>
      <c r="N69" s="312"/>
      <c r="O69" s="312"/>
      <c r="P69" s="275"/>
      <c r="Q69" s="307" t="s">
        <v>873</v>
      </c>
      <c r="R69" s="305">
        <v>-0.02</v>
      </c>
      <c r="S69" s="305">
        <v>-0.02</v>
      </c>
    </row>
    <row r="70" spans="3:19" ht="16">
      <c r="M70" s="275"/>
      <c r="N70" s="312"/>
      <c r="O70" s="312"/>
      <c r="P70" s="275"/>
      <c r="Q70" s="307" t="s">
        <v>874</v>
      </c>
      <c r="R70" s="305">
        <v>-0.02</v>
      </c>
      <c r="S70" s="305">
        <v>-0.02</v>
      </c>
    </row>
    <row r="71" spans="3:19" ht="16">
      <c r="M71" s="275"/>
      <c r="N71" s="312"/>
      <c r="O71" s="312"/>
      <c r="P71" s="275"/>
      <c r="Q71" s="307" t="s">
        <v>875</v>
      </c>
      <c r="R71" s="305">
        <v>10</v>
      </c>
      <c r="S71" s="305">
        <v>9</v>
      </c>
    </row>
    <row r="72" spans="3:19" ht="16">
      <c r="C72" s="302"/>
      <c r="D72" s="302"/>
      <c r="M72" s="275"/>
      <c r="N72" s="312"/>
      <c r="O72" s="312"/>
      <c r="P72" s="275"/>
      <c r="Q72" s="307" t="s">
        <v>876</v>
      </c>
      <c r="R72" s="305">
        <v>6</v>
      </c>
      <c r="S72" s="305">
        <v>6</v>
      </c>
    </row>
    <row r="73" spans="3:19" ht="16">
      <c r="C73" s="302"/>
      <c r="D73" s="302"/>
      <c r="M73" s="275"/>
      <c r="N73" s="311"/>
      <c r="O73" s="311"/>
      <c r="P73" s="275"/>
      <c r="Q73" s="290" t="s">
        <v>830</v>
      </c>
      <c r="R73" s="238">
        <v>0.28999999999999998</v>
      </c>
      <c r="S73" s="238">
        <v>0.4</v>
      </c>
    </row>
    <row r="74" spans="3:19" ht="16">
      <c r="M74" s="275"/>
      <c r="N74" s="311"/>
      <c r="O74" s="311"/>
      <c r="P74" s="275"/>
      <c r="Q74" s="290" t="s">
        <v>831</v>
      </c>
      <c r="R74" s="238">
        <v>2.21</v>
      </c>
      <c r="S74" s="238">
        <v>3.49</v>
      </c>
    </row>
    <row r="75" spans="3:19" ht="16">
      <c r="M75" s="275"/>
      <c r="N75" s="311"/>
      <c r="O75" s="311"/>
      <c r="P75" s="275"/>
      <c r="Q75" s="290" t="s">
        <v>832</v>
      </c>
      <c r="R75" s="238">
        <v>0.93</v>
      </c>
      <c r="S75" s="238">
        <v>1.02</v>
      </c>
    </row>
    <row r="76" spans="3:19" ht="16">
      <c r="M76" s="275"/>
      <c r="N76" s="311"/>
      <c r="O76" s="311"/>
      <c r="P76" s="275"/>
      <c r="Q76" s="290" t="s">
        <v>833</v>
      </c>
      <c r="R76" s="238">
        <v>1.29</v>
      </c>
      <c r="S76" s="238">
        <v>1.4</v>
      </c>
    </row>
    <row r="77" spans="3:19" ht="16">
      <c r="M77" s="275"/>
      <c r="N77" s="311"/>
      <c r="O77" s="311"/>
      <c r="P77" s="275"/>
      <c r="Q77" s="290" t="s">
        <v>834</v>
      </c>
      <c r="R77" s="238">
        <v>1.3</v>
      </c>
      <c r="S77" s="238">
        <v>1.42</v>
      </c>
    </row>
    <row r="78" spans="3:19" ht="16">
      <c r="Q78" s="290" t="s">
        <v>835</v>
      </c>
      <c r="R78" s="240">
        <v>0.69</v>
      </c>
      <c r="S78" s="239">
        <v>0.8</v>
      </c>
    </row>
    <row r="79" spans="3:19" ht="16">
      <c r="Q79" s="290" t="s">
        <v>836</v>
      </c>
      <c r="R79" s="240">
        <v>1.01</v>
      </c>
      <c r="S79" s="239">
        <v>1.02</v>
      </c>
    </row>
    <row r="80" spans="3:19" ht="16">
      <c r="Q80" s="290" t="s">
        <v>837</v>
      </c>
      <c r="R80" s="240">
        <v>3.67</v>
      </c>
      <c r="S80" s="239">
        <v>2.83</v>
      </c>
    </row>
    <row r="81" spans="17:19" ht="16">
      <c r="Q81" s="290" t="s">
        <v>838</v>
      </c>
      <c r="R81" s="240">
        <v>3.94</v>
      </c>
      <c r="S81" s="239">
        <v>3.42</v>
      </c>
    </row>
    <row r="82" spans="17:19" ht="16">
      <c r="Q82" s="290" t="s">
        <v>839</v>
      </c>
      <c r="R82" s="303">
        <v>0.01</v>
      </c>
      <c r="S82" s="309">
        <v>0</v>
      </c>
    </row>
    <row r="83" spans="17:19" ht="16">
      <c r="Q83" s="290" t="s">
        <v>840</v>
      </c>
      <c r="R83" s="303">
        <v>0.19</v>
      </c>
      <c r="S83" s="309">
        <v>0.28999999999999998</v>
      </c>
    </row>
    <row r="84" spans="17:19" ht="16">
      <c r="Q84" s="290" t="s">
        <v>841</v>
      </c>
      <c r="R84" s="303">
        <v>0.08</v>
      </c>
      <c r="S84" s="309">
        <v>0.21</v>
      </c>
    </row>
    <row r="85" spans="17:19" ht="16">
      <c r="Q85" s="290" t="s">
        <v>842</v>
      </c>
      <c r="R85" s="303">
        <v>7.0000000000000007E-2</v>
      </c>
      <c r="S85" s="309">
        <v>0.21</v>
      </c>
    </row>
    <row r="86" spans="17:19" ht="16">
      <c r="Q86" s="290" t="s">
        <v>843</v>
      </c>
      <c r="R86" s="303">
        <v>0.12</v>
      </c>
      <c r="S86" s="309">
        <v>0.26</v>
      </c>
    </row>
    <row r="87" spans="17:19" ht="16">
      <c r="Q87" s="290" t="s">
        <v>844</v>
      </c>
      <c r="R87" s="303">
        <v>0.15</v>
      </c>
      <c r="S87" s="309">
        <v>0.26</v>
      </c>
    </row>
    <row r="88" spans="17:19" ht="16">
      <c r="Q88" s="290" t="s">
        <v>845</v>
      </c>
      <c r="R88" s="303">
        <v>0.15</v>
      </c>
      <c r="S88" s="309">
        <v>0.26</v>
      </c>
    </row>
    <row r="89" spans="17:19" ht="16">
      <c r="Q89" s="290" t="s">
        <v>846</v>
      </c>
      <c r="R89" s="303">
        <v>0.15</v>
      </c>
      <c r="S89" s="309">
        <v>0.26</v>
      </c>
    </row>
    <row r="90" spans="17:19" ht="16">
      <c r="Q90" s="290" t="s">
        <v>847</v>
      </c>
      <c r="R90" s="303">
        <v>0.15</v>
      </c>
      <c r="S90" s="309">
        <v>0.26</v>
      </c>
    </row>
    <row r="91" spans="17:19" ht="16">
      <c r="Q91" s="290" t="s">
        <v>877</v>
      </c>
      <c r="R91" s="303">
        <v>0.11</v>
      </c>
      <c r="S91" s="309">
        <v>0.09</v>
      </c>
    </row>
    <row r="92" spans="17:19" ht="16">
      <c r="Q92" s="290" t="s">
        <v>878</v>
      </c>
      <c r="R92" s="303">
        <v>-0.06</v>
      </c>
      <c r="S92" s="309">
        <v>-0.06</v>
      </c>
    </row>
    <row r="93" spans="17:19" ht="16">
      <c r="Q93" s="290" t="s">
        <v>879</v>
      </c>
      <c r="R93" s="303">
        <v>0.09</v>
      </c>
      <c r="S93" s="309">
        <v>0.12</v>
      </c>
    </row>
    <row r="94" spans="17:19" ht="16">
      <c r="Q94" s="290" t="s">
        <v>880</v>
      </c>
      <c r="R94" s="303">
        <v>-0.06</v>
      </c>
      <c r="S94" s="309">
        <v>-0.06</v>
      </c>
    </row>
    <row r="95" spans="17:19" ht="16">
      <c r="Q95" s="290" t="s">
        <v>881</v>
      </c>
      <c r="R95" s="303">
        <v>0.26</v>
      </c>
      <c r="S95" s="309">
        <v>0.46</v>
      </c>
    </row>
    <row r="96" spans="17:19" ht="16">
      <c r="Q96" s="290" t="s">
        <v>882</v>
      </c>
      <c r="R96" s="303">
        <v>7.0000000000000007E-2</v>
      </c>
      <c r="S96" s="309">
        <v>0.21</v>
      </c>
    </row>
    <row r="97" spans="1:19" ht="16">
      <c r="Q97" s="290" t="s">
        <v>848</v>
      </c>
      <c r="R97" s="240">
        <v>-0.02</v>
      </c>
      <c r="S97" s="239">
        <v>-0.02</v>
      </c>
    </row>
    <row r="98" spans="1:19" ht="16">
      <c r="Q98" s="290" t="s">
        <v>849</v>
      </c>
      <c r="R98" s="240">
        <v>13</v>
      </c>
      <c r="S98" s="239">
        <v>11</v>
      </c>
    </row>
    <row r="99" spans="1:19" ht="16">
      <c r="Q99" s="290" t="s">
        <v>850</v>
      </c>
      <c r="R99" s="240">
        <v>2.94</v>
      </c>
      <c r="S99" s="239">
        <v>4.42</v>
      </c>
    </row>
    <row r="100" spans="1:19" ht="16">
      <c r="A100" s="211"/>
      <c r="Q100" s="290" t="s">
        <v>851</v>
      </c>
      <c r="R100" s="240">
        <v>0.04</v>
      </c>
      <c r="S100" s="239">
        <v>0.05</v>
      </c>
    </row>
    <row r="101" spans="1:19" ht="16">
      <c r="Q101" s="290" t="s">
        <v>852</v>
      </c>
      <c r="R101" s="240">
        <v>2.02</v>
      </c>
      <c r="S101" s="239">
        <v>2.72</v>
      </c>
    </row>
    <row r="102" spans="1:19" ht="16">
      <c r="Q102" s="290" t="s">
        <v>883</v>
      </c>
      <c r="R102" s="240">
        <v>0.04</v>
      </c>
      <c r="S102" s="239">
        <v>0.05</v>
      </c>
    </row>
    <row r="103" spans="1:19" ht="16">
      <c r="Q103" s="290" t="s">
        <v>884</v>
      </c>
      <c r="R103" s="240">
        <v>-0.03</v>
      </c>
      <c r="S103" s="239">
        <v>-0.04</v>
      </c>
    </row>
    <row r="104" spans="1:19" ht="16">
      <c r="Q104" s="290" t="s">
        <v>885</v>
      </c>
      <c r="R104" s="240">
        <v>0.57999999999999996</v>
      </c>
      <c r="S104" s="239">
        <v>0.56999999999999995</v>
      </c>
    </row>
    <row r="105" spans="1:19" ht="16">
      <c r="Q105" s="290" t="s">
        <v>886</v>
      </c>
      <c r="R105" s="240">
        <v>0.68</v>
      </c>
      <c r="S105" s="239">
        <v>0.77</v>
      </c>
    </row>
    <row r="106" spans="1:19" ht="16">
      <c r="Q106" s="290" t="s">
        <v>887</v>
      </c>
      <c r="R106" s="240">
        <v>0.82</v>
      </c>
      <c r="S106" s="239">
        <v>0.82</v>
      </c>
    </row>
    <row r="107" spans="1:19" ht="16">
      <c r="Q107" s="290" t="s">
        <v>888</v>
      </c>
      <c r="R107" s="240">
        <v>1</v>
      </c>
      <c r="S107" s="239">
        <v>1</v>
      </c>
    </row>
    <row r="108" spans="1:19" ht="16">
      <c r="Q108" s="290" t="s">
        <v>3</v>
      </c>
      <c r="R108" s="240" t="s">
        <v>889</v>
      </c>
      <c r="S108" s="239">
        <v>0.96</v>
      </c>
    </row>
    <row r="109" spans="1:19" ht="16">
      <c r="Q109" s="290" t="s">
        <v>890</v>
      </c>
      <c r="R109" s="240" t="s">
        <v>889</v>
      </c>
      <c r="S109" s="239">
        <v>0.14000000000000001</v>
      </c>
    </row>
    <row r="110" spans="1:19" ht="16">
      <c r="O110" s="313"/>
      <c r="Q110" s="290" t="s">
        <v>891</v>
      </c>
      <c r="R110" s="308" t="s">
        <v>889</v>
      </c>
      <c r="S110" s="314">
        <v>8.0999999999999996E-3</v>
      </c>
    </row>
    <row r="111" spans="1:19" ht="16">
      <c r="O111" s="313"/>
      <c r="Q111" s="290" t="s">
        <v>892</v>
      </c>
      <c r="R111" s="308" t="s">
        <v>889</v>
      </c>
      <c r="S111" s="314">
        <v>1.3599999999999999E-2</v>
      </c>
    </row>
  </sheetData>
  <mergeCells count="2">
    <mergeCell ref="Q40:S40"/>
    <mergeCell ref="A1:B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04E98-9C70-384B-BB55-D0196544E471}">
  <dimension ref="A2:P30"/>
  <sheetViews>
    <sheetView topLeftCell="H1" workbookViewId="0">
      <selection activeCell="C13" sqref="C13"/>
    </sheetView>
  </sheetViews>
  <sheetFormatPr baseColWidth="10" defaultRowHeight="15" customHeight="1"/>
  <cols>
    <col min="1" max="1" width="8.83203125" bestFit="1" customWidth="1"/>
    <col min="2" max="2" width="10.1640625" bestFit="1" customWidth="1"/>
    <col min="3" max="5" width="6.83203125" customWidth="1"/>
    <col min="6" max="6" width="14" bestFit="1" customWidth="1"/>
    <col min="7" max="7" width="17.5" bestFit="1" customWidth="1"/>
    <col min="8" max="8" width="19.6640625" bestFit="1" customWidth="1"/>
    <col min="9" max="9" width="13.83203125" bestFit="1" customWidth="1"/>
    <col min="10" max="11" width="8.6640625" bestFit="1" customWidth="1"/>
    <col min="12" max="12" width="15.1640625" bestFit="1" customWidth="1"/>
    <col min="13" max="13" width="10.83203125" bestFit="1" customWidth="1"/>
    <col min="14" max="36" width="6.83203125" customWidth="1"/>
  </cols>
  <sheetData>
    <row r="2" spans="1:16" ht="15" customHeight="1">
      <c r="A2" s="214" t="s">
        <v>183</v>
      </c>
      <c r="B2" s="214" t="s">
        <v>592</v>
      </c>
      <c r="H2" s="272"/>
    </row>
    <row r="3" spans="1:16" ht="15" customHeight="1">
      <c r="A3" s="214" t="s">
        <v>810</v>
      </c>
      <c r="B3" s="214" t="s">
        <v>541</v>
      </c>
      <c r="P3" t="s">
        <v>812</v>
      </c>
    </row>
    <row r="4" spans="1:16" ht="15" customHeight="1">
      <c r="A4" s="214" t="s">
        <v>807</v>
      </c>
      <c r="B4" s="299">
        <v>42370</v>
      </c>
    </row>
    <row r="5" spans="1:16" ht="15" customHeight="1">
      <c r="A5" s="214" t="s">
        <v>806</v>
      </c>
      <c r="B5" s="299">
        <f ca="1">TODAY()</f>
        <v>45866</v>
      </c>
    </row>
    <row r="6" spans="1:16" ht="39" customHeight="1">
      <c r="F6" s="300" t="s">
        <v>553</v>
      </c>
      <c r="G6" s="300" t="s">
        <v>554</v>
      </c>
      <c r="H6" s="300" t="s">
        <v>555</v>
      </c>
      <c r="I6" s="291"/>
      <c r="J6" s="291"/>
      <c r="K6" s="291"/>
      <c r="L6" s="291"/>
    </row>
    <row r="8" spans="1:16" s="292" customFormat="1" ht="20" customHeight="1">
      <c r="F8" s="293" t="s">
        <v>558</v>
      </c>
      <c r="G8" s="293" t="s">
        <v>559</v>
      </c>
      <c r="H8" s="293" t="s">
        <v>556</v>
      </c>
      <c r="I8" s="293" t="s">
        <v>560</v>
      </c>
      <c r="J8" s="293">
        <v>0.33400000000000002</v>
      </c>
      <c r="K8" s="293"/>
      <c r="L8" s="293"/>
    </row>
    <row r="9" spans="1:16" s="292" customFormat="1" ht="20" customHeight="1">
      <c r="F9" s="293" t="s">
        <v>561</v>
      </c>
      <c r="G9" s="293" t="s">
        <v>553</v>
      </c>
      <c r="H9" s="293" t="s">
        <v>562</v>
      </c>
      <c r="I9" s="293" t="s">
        <v>560</v>
      </c>
      <c r="J9" s="293">
        <v>0.30299999999999999</v>
      </c>
      <c r="K9" s="293"/>
      <c r="L9" s="293"/>
    </row>
    <row r="10" spans="1:16" s="292" customFormat="1" ht="20" customHeight="1">
      <c r="B10" s="294"/>
      <c r="F10" s="293" t="s">
        <v>563</v>
      </c>
      <c r="G10" s="293" t="s">
        <v>564</v>
      </c>
      <c r="H10" s="293" t="s">
        <v>565</v>
      </c>
      <c r="I10" s="293" t="s">
        <v>566</v>
      </c>
      <c r="J10" s="293">
        <v>10.64</v>
      </c>
      <c r="K10" s="295"/>
      <c r="L10" s="293"/>
      <c r="M10" s="296"/>
    </row>
    <row r="11" spans="1:16" s="292" customFormat="1" ht="20" customHeight="1">
      <c r="F11" s="293" t="s">
        <v>567</v>
      </c>
      <c r="G11" s="297" t="s">
        <v>811</v>
      </c>
      <c r="H11" s="293">
        <v>14</v>
      </c>
      <c r="I11" s="293" t="s">
        <v>568</v>
      </c>
      <c r="J11" s="293">
        <v>2025</v>
      </c>
      <c r="K11" s="293" t="s">
        <v>569</v>
      </c>
      <c r="L11" s="293" t="s">
        <v>570</v>
      </c>
      <c r="M11" s="296">
        <v>2.6499999999999999E-8</v>
      </c>
    </row>
    <row r="12" spans="1:16" s="292" customFormat="1" ht="20" customHeight="1">
      <c r="F12" s="293" t="s">
        <v>571</v>
      </c>
      <c r="G12" s="297">
        <v>0.57210648148148147</v>
      </c>
      <c r="H12" s="293" t="s">
        <v>572</v>
      </c>
      <c r="I12" s="293">
        <v>52.765000000000001</v>
      </c>
      <c r="J12" s="293"/>
      <c r="K12" s="293"/>
      <c r="L12" s="293"/>
    </row>
    <row r="13" spans="1:16" s="292" customFormat="1" ht="20" customHeight="1">
      <c r="F13" s="293" t="s">
        <v>573</v>
      </c>
      <c r="G13" s="293" t="s">
        <v>574</v>
      </c>
      <c r="H13" s="293">
        <v>112</v>
      </c>
      <c r="I13" s="293" t="s">
        <v>575</v>
      </c>
      <c r="J13" s="293">
        <v>-93.53</v>
      </c>
      <c r="K13" s="293"/>
      <c r="L13" s="293"/>
    </row>
    <row r="14" spans="1:16" s="292" customFormat="1" ht="20" customHeight="1">
      <c r="F14" s="293" t="s">
        <v>576</v>
      </c>
      <c r="G14" s="293" t="s">
        <v>577</v>
      </c>
      <c r="H14" s="293">
        <v>106</v>
      </c>
      <c r="I14" s="293" t="s">
        <v>578</v>
      </c>
      <c r="J14" s="293">
        <v>-77.22</v>
      </c>
      <c r="K14" s="293"/>
      <c r="L14" s="293"/>
    </row>
    <row r="15" spans="1:16" s="292" customFormat="1" ht="20" customHeight="1">
      <c r="F15" s="293" t="s">
        <v>576</v>
      </c>
      <c r="G15" s="293" t="s">
        <v>561</v>
      </c>
      <c r="H15" s="293">
        <v>5</v>
      </c>
      <c r="I15" s="293"/>
      <c r="J15" s="293"/>
      <c r="K15" s="293"/>
      <c r="L15" s="293"/>
    </row>
    <row r="16" spans="1:16" s="292" customFormat="1" ht="20" customHeight="1">
      <c r="F16" s="293" t="s">
        <v>579</v>
      </c>
      <c r="G16" s="293" t="s">
        <v>580</v>
      </c>
      <c r="H16" s="293" t="s">
        <v>581</v>
      </c>
      <c r="I16" s="293"/>
      <c r="J16" s="293"/>
      <c r="K16" s="293"/>
      <c r="L16" s="293"/>
    </row>
    <row r="17" spans="6:12" s="292" customFormat="1" ht="20" customHeight="1">
      <c r="F17" s="298"/>
      <c r="G17" s="298"/>
      <c r="H17" s="298"/>
      <c r="I17" s="298"/>
      <c r="J17" s="298"/>
      <c r="K17" s="298"/>
      <c r="L17" s="298"/>
    </row>
    <row r="18" spans="6:12" s="292" customFormat="1" ht="20" customHeight="1">
      <c r="F18" s="293" t="s">
        <v>542</v>
      </c>
      <c r="G18" s="293" t="s">
        <v>268</v>
      </c>
      <c r="H18" s="293" t="s">
        <v>557</v>
      </c>
      <c r="I18" s="293" t="s">
        <v>549</v>
      </c>
      <c r="J18" s="293" t="s">
        <v>550</v>
      </c>
      <c r="K18" s="293" t="s">
        <v>551</v>
      </c>
      <c r="L18" s="293" t="s">
        <v>552</v>
      </c>
    </row>
    <row r="19" spans="6:12" s="292" customFormat="1" ht="20" customHeight="1">
      <c r="F19" s="298"/>
      <c r="G19" s="298"/>
      <c r="H19" s="298"/>
      <c r="I19" s="298"/>
      <c r="J19" s="298"/>
      <c r="K19" s="298"/>
      <c r="L19" s="298"/>
    </row>
    <row r="20" spans="6:12" s="292" customFormat="1" ht="20" customHeight="1">
      <c r="F20" s="293" t="s">
        <v>543</v>
      </c>
      <c r="G20" s="293">
        <v>2.47E-2</v>
      </c>
      <c r="H20" s="293">
        <v>1.4999999999999999E-2</v>
      </c>
      <c r="I20" s="293">
        <v>1.605</v>
      </c>
      <c r="J20" s="293">
        <v>0.111</v>
      </c>
      <c r="K20" s="293">
        <v>-6.0000000000000001E-3</v>
      </c>
      <c r="L20" s="293">
        <v>5.5E-2</v>
      </c>
    </row>
    <row r="21" spans="6:12" s="292" customFormat="1" ht="20" customHeight="1">
      <c r="F21" s="293" t="s">
        <v>544</v>
      </c>
      <c r="G21" s="293">
        <v>1.8802000000000001</v>
      </c>
      <c r="H21" s="293">
        <v>0.35699999999999998</v>
      </c>
      <c r="I21" s="293">
        <v>5.2709999999999999</v>
      </c>
      <c r="J21" s="293">
        <v>0</v>
      </c>
      <c r="K21" s="293">
        <v>1.173</v>
      </c>
      <c r="L21" s="293">
        <v>2.5870000000000002</v>
      </c>
    </row>
    <row r="22" spans="6:12" s="292" customFormat="1" ht="20" customHeight="1">
      <c r="F22" s="293" t="s">
        <v>545</v>
      </c>
      <c r="G22" s="293">
        <v>0.62270000000000003</v>
      </c>
      <c r="H22" s="293">
        <v>0.628</v>
      </c>
      <c r="I22" s="293">
        <v>0.99099999999999999</v>
      </c>
      <c r="J22" s="293">
        <v>0.32400000000000001</v>
      </c>
      <c r="K22" s="293">
        <v>-0.623</v>
      </c>
      <c r="L22" s="293">
        <v>1.869</v>
      </c>
    </row>
    <row r="23" spans="6:12" s="292" customFormat="1" ht="20" customHeight="1">
      <c r="F23" s="293" t="s">
        <v>546</v>
      </c>
      <c r="G23" s="293">
        <v>-1.1962999999999999</v>
      </c>
      <c r="H23" s="293">
        <v>0.54</v>
      </c>
      <c r="I23" s="293">
        <v>-2.2149999999999999</v>
      </c>
      <c r="J23" s="293">
        <v>2.9000000000000001E-2</v>
      </c>
      <c r="K23" s="293">
        <v>-2.2669999999999999</v>
      </c>
      <c r="L23" s="293">
        <v>-0.126</v>
      </c>
    </row>
    <row r="24" spans="6:12" s="292" customFormat="1" ht="20" customHeight="1">
      <c r="F24" s="293" t="s">
        <v>547</v>
      </c>
      <c r="G24" s="293">
        <v>-0.38969999999999999</v>
      </c>
      <c r="H24" s="293">
        <v>0.77700000000000002</v>
      </c>
      <c r="I24" s="293">
        <v>-0.502</v>
      </c>
      <c r="J24" s="293">
        <v>0.61699999999999999</v>
      </c>
      <c r="K24" s="293">
        <v>-1.929</v>
      </c>
      <c r="L24" s="293">
        <v>1.1499999999999999</v>
      </c>
    </row>
    <row r="25" spans="6:12" s="292" customFormat="1" ht="20" customHeight="1">
      <c r="F25" s="293" t="s">
        <v>548</v>
      </c>
      <c r="G25" s="293">
        <v>-0.33960000000000001</v>
      </c>
      <c r="H25" s="293">
        <v>0.81200000000000006</v>
      </c>
      <c r="I25" s="293">
        <v>-0.41799999999999998</v>
      </c>
      <c r="J25" s="293">
        <v>0.67700000000000005</v>
      </c>
      <c r="K25" s="293">
        <v>-1.95</v>
      </c>
      <c r="L25" s="293">
        <v>1.2709999999999999</v>
      </c>
    </row>
    <row r="30" spans="6:12" ht="15" customHeight="1">
      <c r="K30" s="12"/>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9232-FA4C-5049-B895-690DC6D672F1}">
  <dimension ref="A1:Q60"/>
  <sheetViews>
    <sheetView workbookViewId="0">
      <selection activeCell="A16" sqref="A16"/>
    </sheetView>
  </sheetViews>
  <sheetFormatPr baseColWidth="10" defaultRowHeight="13"/>
  <cols>
    <col min="1" max="1" width="21.5" customWidth="1"/>
    <col min="2" max="2" width="11.5" bestFit="1" customWidth="1"/>
    <col min="4" max="4" width="12.33203125" style="23" customWidth="1"/>
  </cols>
  <sheetData>
    <row r="1" spans="1:17" ht="25">
      <c r="A1" s="420" t="s">
        <v>487</v>
      </c>
      <c r="B1" s="420"/>
    </row>
    <row r="2" spans="1:17" ht="16">
      <c r="A2" s="214" t="s">
        <v>183</v>
      </c>
      <c r="B2" s="233" t="s">
        <v>498</v>
      </c>
    </row>
    <row r="3" spans="1:17" ht="16">
      <c r="A3" s="214" t="s">
        <v>488</v>
      </c>
      <c r="B3" s="234">
        <v>43861</v>
      </c>
    </row>
    <row r="4" spans="1:17" ht="16">
      <c r="A4" s="214" t="s">
        <v>489</v>
      </c>
      <c r="B4" s="234">
        <f ca="1">TODAY()</f>
        <v>45866</v>
      </c>
    </row>
    <row r="5" spans="1:17" ht="16">
      <c r="A5" s="214" t="s">
        <v>495</v>
      </c>
      <c r="B5" s="233">
        <v>10000</v>
      </c>
    </row>
    <row r="6" spans="1:17" ht="16">
      <c r="A6" s="214" t="s">
        <v>490</v>
      </c>
      <c r="B6" s="233">
        <v>252</v>
      </c>
    </row>
    <row r="7" spans="1:17" ht="16">
      <c r="A7" s="214" t="s">
        <v>496</v>
      </c>
      <c r="B7" s="233">
        <v>900</v>
      </c>
    </row>
    <row r="8" spans="1:17" ht="16">
      <c r="B8" s="235"/>
    </row>
    <row r="9" spans="1:17" ht="21" customHeight="1">
      <c r="A9" s="421" t="s">
        <v>479</v>
      </c>
      <c r="B9" s="421"/>
    </row>
    <row r="10" spans="1:17" ht="16">
      <c r="A10" s="214" t="s">
        <v>491</v>
      </c>
      <c r="B10" s="236">
        <v>0.23476727007115528</v>
      </c>
      <c r="D10" s="23" t="s">
        <v>493</v>
      </c>
      <c r="E10" t="s">
        <v>494</v>
      </c>
      <c r="Q10" s="20"/>
    </row>
    <row r="11" spans="1:17" ht="16">
      <c r="A11" s="214" t="s">
        <v>492</v>
      </c>
      <c r="B11" s="236">
        <v>0.45333137638328097</v>
      </c>
      <c r="D11" s="23">
        <v>215.029328912208</v>
      </c>
      <c r="E11">
        <v>8</v>
      </c>
    </row>
    <row r="12" spans="1:17" ht="16">
      <c r="B12" s="235"/>
      <c r="D12" s="23">
        <v>287.48685430688255</v>
      </c>
      <c r="E12">
        <v>14</v>
      </c>
      <c r="Q12" s="20"/>
    </row>
    <row r="13" spans="1:17" ht="16">
      <c r="A13" s="214" t="s">
        <v>499</v>
      </c>
      <c r="B13" s="236">
        <v>0.52</v>
      </c>
      <c r="D13" s="23">
        <v>359.94437970155712</v>
      </c>
      <c r="E13">
        <v>39</v>
      </c>
    </row>
    <row r="14" spans="1:17" ht="16">
      <c r="A14" s="214" t="s">
        <v>500</v>
      </c>
      <c r="B14" s="236">
        <v>0.48</v>
      </c>
      <c r="D14" s="23">
        <v>432.40190509623164</v>
      </c>
      <c r="E14">
        <v>43</v>
      </c>
    </row>
    <row r="15" spans="1:17">
      <c r="D15" s="23">
        <v>504.85943049090622</v>
      </c>
      <c r="E15">
        <v>64</v>
      </c>
    </row>
    <row r="16" spans="1:17">
      <c r="D16" s="23">
        <v>577.3169558855808</v>
      </c>
      <c r="E16">
        <v>61</v>
      </c>
      <c r="Q16" s="20"/>
    </row>
    <row r="17" spans="4:5">
      <c r="D17" s="23">
        <v>649.77448128025537</v>
      </c>
      <c r="E17">
        <v>81</v>
      </c>
    </row>
    <row r="18" spans="4:5">
      <c r="D18" s="23">
        <v>722.23200667492995</v>
      </c>
      <c r="E18">
        <v>65</v>
      </c>
    </row>
    <row r="19" spans="4:5">
      <c r="D19" s="23">
        <v>794.68953206960452</v>
      </c>
      <c r="E19">
        <v>74</v>
      </c>
    </row>
    <row r="20" spans="4:5">
      <c r="D20" s="23">
        <v>867.1470574642791</v>
      </c>
      <c r="E20">
        <v>76</v>
      </c>
    </row>
    <row r="21" spans="4:5">
      <c r="D21" s="23">
        <v>939.60458285895368</v>
      </c>
      <c r="E21">
        <v>64</v>
      </c>
    </row>
    <row r="22" spans="4:5">
      <c r="D22" s="23">
        <v>1012.0621082536283</v>
      </c>
      <c r="E22">
        <v>50</v>
      </c>
    </row>
    <row r="23" spans="4:5">
      <c r="D23" s="23">
        <v>1084.5196336483027</v>
      </c>
      <c r="E23">
        <v>58</v>
      </c>
    </row>
    <row r="24" spans="4:5">
      <c r="D24" s="23">
        <v>1156.9771590429773</v>
      </c>
      <c r="E24">
        <v>38</v>
      </c>
    </row>
    <row r="25" spans="4:5">
      <c r="D25" s="23">
        <v>1229.4346844376519</v>
      </c>
      <c r="E25">
        <v>47</v>
      </c>
    </row>
    <row r="26" spans="4:5">
      <c r="D26" s="23">
        <v>1301.8922098323264</v>
      </c>
      <c r="E26">
        <v>31</v>
      </c>
    </row>
    <row r="27" spans="4:5">
      <c r="D27" s="23">
        <v>1374.349735227001</v>
      </c>
      <c r="E27">
        <v>33</v>
      </c>
    </row>
    <row r="28" spans="4:5">
      <c r="D28" s="23">
        <v>1446.8072606216756</v>
      </c>
      <c r="E28">
        <v>24</v>
      </c>
    </row>
    <row r="29" spans="4:5">
      <c r="D29" s="23">
        <v>1519.2647860163502</v>
      </c>
      <c r="E29">
        <v>22</v>
      </c>
    </row>
    <row r="30" spans="4:5">
      <c r="D30" s="23">
        <v>1591.7223114110247</v>
      </c>
      <c r="E30">
        <v>19</v>
      </c>
    </row>
    <row r="31" spans="4:5">
      <c r="D31" s="23">
        <v>1664.1798368056993</v>
      </c>
      <c r="E31">
        <v>17</v>
      </c>
    </row>
    <row r="32" spans="4:5">
      <c r="D32" s="23">
        <v>1736.6373622003739</v>
      </c>
      <c r="E32">
        <v>7</v>
      </c>
    </row>
    <row r="33" spans="4:5">
      <c r="D33" s="23">
        <v>1809.0948875950485</v>
      </c>
      <c r="E33">
        <v>10</v>
      </c>
    </row>
    <row r="34" spans="4:5">
      <c r="D34" s="23">
        <v>1881.5524129897231</v>
      </c>
      <c r="E34">
        <v>11</v>
      </c>
    </row>
    <row r="35" spans="4:5">
      <c r="D35" s="23">
        <v>1954.0099383843974</v>
      </c>
      <c r="E35">
        <v>8</v>
      </c>
    </row>
    <row r="36" spans="4:5">
      <c r="D36" s="23">
        <v>2026.467463779072</v>
      </c>
      <c r="E36">
        <v>8</v>
      </c>
    </row>
    <row r="37" spans="4:5">
      <c r="D37" s="23">
        <v>2098.9249891737463</v>
      </c>
      <c r="E37">
        <v>2</v>
      </c>
    </row>
    <row r="38" spans="4:5">
      <c r="D38" s="23">
        <v>2171.3825145684209</v>
      </c>
      <c r="E38">
        <v>5</v>
      </c>
    </row>
    <row r="39" spans="4:5">
      <c r="D39" s="23">
        <v>2243.8400399630955</v>
      </c>
      <c r="E39">
        <v>3</v>
      </c>
    </row>
    <row r="40" spans="4:5">
      <c r="D40" s="23">
        <v>2316.2975653577701</v>
      </c>
      <c r="E40">
        <v>3</v>
      </c>
    </row>
    <row r="41" spans="4:5">
      <c r="D41" s="23">
        <v>2388.7550907524446</v>
      </c>
      <c r="E41">
        <v>2</v>
      </c>
    </row>
    <row r="42" spans="4:5">
      <c r="D42" s="23">
        <v>2461.2126161471192</v>
      </c>
      <c r="E42">
        <v>5</v>
      </c>
    </row>
    <row r="43" spans="4:5">
      <c r="D43" s="23">
        <v>2533.6701415417938</v>
      </c>
      <c r="E43">
        <v>2</v>
      </c>
    </row>
    <row r="44" spans="4:5">
      <c r="D44" s="23">
        <v>2606.1276669364684</v>
      </c>
      <c r="E44">
        <v>2</v>
      </c>
    </row>
    <row r="45" spans="4:5">
      <c r="D45" s="23">
        <v>2678.5851923311429</v>
      </c>
      <c r="E45">
        <v>0</v>
      </c>
    </row>
    <row r="46" spans="4:5">
      <c r="D46" s="23">
        <v>2751.0427177258175</v>
      </c>
      <c r="E46">
        <v>2</v>
      </c>
    </row>
    <row r="47" spans="4:5">
      <c r="D47" s="23">
        <v>2823.5002431204921</v>
      </c>
      <c r="E47">
        <v>0</v>
      </c>
    </row>
    <row r="48" spans="4:5">
      <c r="D48" s="23">
        <v>2895.9577685151667</v>
      </c>
      <c r="E48">
        <v>0</v>
      </c>
    </row>
    <row r="49" spans="4:5">
      <c r="D49" s="23">
        <v>2968.4152939098412</v>
      </c>
      <c r="E49">
        <v>0</v>
      </c>
    </row>
    <row r="50" spans="4:5">
      <c r="D50" s="23">
        <v>3040.8728193045158</v>
      </c>
      <c r="E50">
        <v>1</v>
      </c>
    </row>
    <row r="51" spans="4:5">
      <c r="D51" s="23">
        <v>3113.3303446991904</v>
      </c>
      <c r="E51">
        <v>0</v>
      </c>
    </row>
    <row r="52" spans="4:5">
      <c r="D52" s="23">
        <v>3185.787870093865</v>
      </c>
      <c r="E52">
        <v>0</v>
      </c>
    </row>
    <row r="53" spans="4:5">
      <c r="D53" s="23">
        <v>3258.2453954885395</v>
      </c>
      <c r="E53">
        <v>0</v>
      </c>
    </row>
    <row r="54" spans="4:5">
      <c r="D54" s="23">
        <v>3330.7029208832141</v>
      </c>
      <c r="E54">
        <v>0</v>
      </c>
    </row>
    <row r="55" spans="4:5">
      <c r="D55" s="23">
        <v>3403.1604462778887</v>
      </c>
      <c r="E55">
        <v>0</v>
      </c>
    </row>
    <row r="56" spans="4:5">
      <c r="D56" s="23">
        <v>3475.6179716725633</v>
      </c>
      <c r="E56">
        <v>0</v>
      </c>
    </row>
    <row r="57" spans="4:5">
      <c r="D57" s="23">
        <v>3548.0754970672378</v>
      </c>
      <c r="E57">
        <v>0</v>
      </c>
    </row>
    <row r="58" spans="4:5">
      <c r="D58" s="23">
        <v>3620.5330224619124</v>
      </c>
      <c r="E58">
        <v>0</v>
      </c>
    </row>
    <row r="59" spans="4:5">
      <c r="D59" s="23">
        <v>3692.9905478565865</v>
      </c>
      <c r="E59">
        <v>0</v>
      </c>
    </row>
    <row r="60" spans="4:5">
      <c r="D60" s="23">
        <v>3765.4480732512611</v>
      </c>
      <c r="E60">
        <v>1</v>
      </c>
    </row>
  </sheetData>
  <mergeCells count="2">
    <mergeCell ref="A1:B1"/>
    <mergeCell ref="A9:B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41806-4C43-D147-B86A-715684F9DA73}">
  <dimension ref="A2:P198"/>
  <sheetViews>
    <sheetView topLeftCell="A102" workbookViewId="0">
      <selection activeCell="C110" sqref="C110"/>
    </sheetView>
  </sheetViews>
  <sheetFormatPr baseColWidth="10" defaultRowHeight="13"/>
  <cols>
    <col min="2" max="2" width="15.1640625" bestFit="1" customWidth="1"/>
    <col min="5" max="5" width="15.33203125" bestFit="1" customWidth="1"/>
    <col min="6" max="6" width="21" bestFit="1" customWidth="1"/>
    <col min="8" max="8" width="14.6640625" bestFit="1" customWidth="1"/>
    <col min="11" max="11" width="12.83203125" style="87" bestFit="1" customWidth="1"/>
    <col min="12" max="12" width="11.6640625" bestFit="1" customWidth="1"/>
  </cols>
  <sheetData>
    <row r="2" spans="1:16" ht="14">
      <c r="A2" s="217" t="s">
        <v>595</v>
      </c>
      <c r="B2" s="217" t="s">
        <v>339</v>
      </c>
      <c r="E2" s="279" t="s">
        <v>602</v>
      </c>
      <c r="F2" s="280" t="s">
        <v>770</v>
      </c>
      <c r="H2" s="20"/>
      <c r="K2" s="139"/>
      <c r="L2" s="20"/>
      <c r="O2" s="20"/>
      <c r="P2" s="271"/>
    </row>
    <row r="3" spans="1:16" ht="14">
      <c r="A3" s="217" t="s">
        <v>336</v>
      </c>
      <c r="B3" s="217">
        <v>200</v>
      </c>
      <c r="E3" s="279" t="s">
        <v>603</v>
      </c>
      <c r="F3" s="281">
        <v>45852.607002314813</v>
      </c>
      <c r="K3" s="139"/>
      <c r="P3" s="278"/>
    </row>
    <row r="4" spans="1:16" ht="14">
      <c r="A4" s="217" t="s">
        <v>597</v>
      </c>
      <c r="B4" s="283">
        <v>45856</v>
      </c>
      <c r="E4" s="279" t="s">
        <v>604</v>
      </c>
      <c r="F4" s="240">
        <v>200</v>
      </c>
      <c r="I4" s="21"/>
      <c r="K4" s="139"/>
    </row>
    <row r="5" spans="1:16" ht="14">
      <c r="A5" s="217" t="s">
        <v>600</v>
      </c>
      <c r="B5" s="217" t="s">
        <v>893</v>
      </c>
      <c r="E5" s="279" t="s">
        <v>605</v>
      </c>
      <c r="F5" s="240">
        <v>0.31</v>
      </c>
      <c r="K5" s="139"/>
      <c r="L5" s="64"/>
    </row>
    <row r="6" spans="1:16" ht="14">
      <c r="A6" s="20"/>
      <c r="B6" s="20"/>
      <c r="E6" s="279" t="s">
        <v>606</v>
      </c>
      <c r="F6" s="240">
        <v>0.3</v>
      </c>
      <c r="K6" s="139"/>
    </row>
    <row r="7" spans="1:16" ht="14">
      <c r="A7" s="20"/>
      <c r="E7" s="279" t="s">
        <v>607</v>
      </c>
      <c r="F7" s="240">
        <v>0.31</v>
      </c>
      <c r="K7" s="139"/>
    </row>
    <row r="8" spans="1:16" ht="14">
      <c r="A8" s="20"/>
      <c r="B8" s="21"/>
      <c r="E8" s="279" t="s">
        <v>608</v>
      </c>
      <c r="F8" s="240">
        <v>0.10000001</v>
      </c>
      <c r="K8" s="139"/>
      <c r="L8" s="21"/>
    </row>
    <row r="9" spans="1:16" ht="14">
      <c r="A9" s="20"/>
      <c r="B9" s="244"/>
      <c r="E9" s="279" t="s">
        <v>609</v>
      </c>
      <c r="F9" s="240">
        <v>50.000003999999997</v>
      </c>
      <c r="K9" s="139"/>
      <c r="L9" s="244"/>
    </row>
    <row r="10" spans="1:16" ht="14">
      <c r="A10" s="20"/>
      <c r="B10" s="21"/>
      <c r="E10" s="279" t="s">
        <v>610</v>
      </c>
      <c r="F10" s="240">
        <v>5593</v>
      </c>
      <c r="K10" s="139"/>
      <c r="L10" s="21"/>
    </row>
    <row r="11" spans="1:16" ht="14">
      <c r="E11" s="279" t="s">
        <v>611</v>
      </c>
      <c r="F11" s="240">
        <v>37100</v>
      </c>
    </row>
    <row r="12" spans="1:16" ht="14">
      <c r="A12" s="20"/>
      <c r="B12" s="278"/>
      <c r="E12" s="279" t="s">
        <v>612</v>
      </c>
      <c r="F12" s="240">
        <v>0.27686270019531245</v>
      </c>
      <c r="K12" s="139"/>
    </row>
    <row r="13" spans="1:16" ht="14">
      <c r="B13" s="278"/>
      <c r="E13" s="279" t="s">
        <v>613</v>
      </c>
      <c r="F13" s="240" t="b">
        <v>0</v>
      </c>
    </row>
    <row r="14" spans="1:16" ht="14">
      <c r="B14" s="278"/>
      <c r="E14" s="279" t="s">
        <v>614</v>
      </c>
      <c r="F14" s="240" t="s">
        <v>616</v>
      </c>
    </row>
    <row r="15" spans="1:16" ht="14">
      <c r="A15" s="20"/>
      <c r="B15" s="271"/>
      <c r="E15" s="279" t="s">
        <v>615</v>
      </c>
      <c r="F15" s="240" t="s">
        <v>42</v>
      </c>
      <c r="K15" s="139"/>
      <c r="L15" s="271"/>
    </row>
    <row r="16" spans="1:16">
      <c r="B16" s="278"/>
    </row>
    <row r="17" spans="1:14">
      <c r="B17" s="278"/>
    </row>
    <row r="18" spans="1:14">
      <c r="B18" s="278"/>
    </row>
    <row r="19" spans="1:14">
      <c r="B19" s="278"/>
    </row>
    <row r="20" spans="1:14">
      <c r="A20" t="s">
        <v>601</v>
      </c>
      <c r="B20" s="278"/>
    </row>
    <row r="21" spans="1:14" s="242" customFormat="1" ht="14">
      <c r="A21" s="242" t="s">
        <v>602</v>
      </c>
      <c r="B21" s="282" t="s">
        <v>603</v>
      </c>
      <c r="C21" s="242" t="s">
        <v>604</v>
      </c>
      <c r="D21" s="242" t="s">
        <v>605</v>
      </c>
      <c r="E21" s="242" t="s">
        <v>606</v>
      </c>
      <c r="F21" s="242" t="s">
        <v>607</v>
      </c>
      <c r="G21" s="242" t="s">
        <v>608</v>
      </c>
      <c r="H21" s="242" t="s">
        <v>609</v>
      </c>
      <c r="I21" s="242" t="s">
        <v>610</v>
      </c>
      <c r="J21" s="242" t="s">
        <v>611</v>
      </c>
      <c r="K21" s="316" t="s">
        <v>612</v>
      </c>
      <c r="L21" s="242" t="s">
        <v>613</v>
      </c>
      <c r="M21" s="242" t="s">
        <v>614</v>
      </c>
      <c r="N21" s="242" t="s">
        <v>615</v>
      </c>
    </row>
    <row r="22" spans="1:14">
      <c r="A22" t="s">
        <v>673</v>
      </c>
      <c r="B22" s="278">
        <v>45849.651770833334</v>
      </c>
      <c r="C22">
        <v>90</v>
      </c>
      <c r="D22">
        <v>120.77</v>
      </c>
      <c r="E22">
        <v>117.85</v>
      </c>
      <c r="F22">
        <v>118.3</v>
      </c>
      <c r="G22">
        <v>0</v>
      </c>
      <c r="H22">
        <v>0</v>
      </c>
      <c r="I22">
        <v>2</v>
      </c>
      <c r="J22">
        <v>405</v>
      </c>
      <c r="K22" s="87">
        <v>1.0000000000000003E-5</v>
      </c>
      <c r="L22" t="b">
        <v>1</v>
      </c>
      <c r="M22" t="s">
        <v>616</v>
      </c>
      <c r="N22" t="s">
        <v>42</v>
      </c>
    </row>
    <row r="23" spans="1:14">
      <c r="A23" t="s">
        <v>674</v>
      </c>
      <c r="B23" s="278">
        <v>45849.651770833334</v>
      </c>
      <c r="C23">
        <v>95</v>
      </c>
      <c r="D23">
        <v>115.75</v>
      </c>
      <c r="E23">
        <v>112.8</v>
      </c>
      <c r="F23">
        <v>113.7</v>
      </c>
      <c r="G23">
        <v>0</v>
      </c>
      <c r="H23">
        <v>0</v>
      </c>
      <c r="I23">
        <v>2</v>
      </c>
      <c r="J23">
        <v>13</v>
      </c>
      <c r="K23" s="87">
        <v>2.9335964160156252</v>
      </c>
      <c r="L23" t="b">
        <v>1</v>
      </c>
      <c r="M23" t="s">
        <v>616</v>
      </c>
      <c r="N23" t="s">
        <v>42</v>
      </c>
    </row>
    <row r="24" spans="1:14">
      <c r="A24" t="s">
        <v>675</v>
      </c>
      <c r="B24" s="278">
        <v>45848.822835648149</v>
      </c>
      <c r="C24">
        <v>100</v>
      </c>
      <c r="D24">
        <v>113</v>
      </c>
      <c r="E24">
        <v>107.8</v>
      </c>
      <c r="F24">
        <v>108.55</v>
      </c>
      <c r="G24">
        <v>0</v>
      </c>
      <c r="H24">
        <v>0</v>
      </c>
      <c r="I24">
        <v>4</v>
      </c>
      <c r="J24">
        <v>531</v>
      </c>
      <c r="K24" s="87">
        <v>2.2500043749999996</v>
      </c>
      <c r="L24" t="b">
        <v>1</v>
      </c>
      <c r="M24" t="s">
        <v>616</v>
      </c>
      <c r="N24" t="s">
        <v>42</v>
      </c>
    </row>
    <row r="25" spans="1:14">
      <c r="A25" t="s">
        <v>676</v>
      </c>
      <c r="B25" s="278">
        <v>45849.756712962961</v>
      </c>
      <c r="C25">
        <v>105</v>
      </c>
      <c r="D25">
        <v>106.55</v>
      </c>
      <c r="E25">
        <v>102.85</v>
      </c>
      <c r="F25">
        <v>103.7</v>
      </c>
      <c r="G25">
        <v>0</v>
      </c>
      <c r="H25">
        <v>0</v>
      </c>
      <c r="I25">
        <v>3</v>
      </c>
      <c r="J25">
        <v>40</v>
      </c>
      <c r="K25" s="87">
        <v>2.58594103515625</v>
      </c>
      <c r="L25" t="b">
        <v>1</v>
      </c>
      <c r="M25" t="s">
        <v>616</v>
      </c>
      <c r="N25" t="s">
        <v>42</v>
      </c>
    </row>
    <row r="26" spans="1:14">
      <c r="A26" t="s">
        <v>677</v>
      </c>
      <c r="B26" s="278">
        <v>45852.590219907404</v>
      </c>
      <c r="C26">
        <v>110</v>
      </c>
      <c r="D26">
        <v>98</v>
      </c>
      <c r="E26">
        <v>97.8</v>
      </c>
      <c r="F26">
        <v>98.55</v>
      </c>
      <c r="G26">
        <v>-3.5400010000000002</v>
      </c>
      <c r="H26" s="277">
        <v>-3.4863116999999999</v>
      </c>
      <c r="I26">
        <v>2</v>
      </c>
      <c r="J26">
        <v>378</v>
      </c>
      <c r="K26" s="87">
        <v>1.9765626171875001</v>
      </c>
      <c r="L26" t="b">
        <v>1</v>
      </c>
      <c r="M26" t="s">
        <v>616</v>
      </c>
      <c r="N26" t="s">
        <v>42</v>
      </c>
    </row>
    <row r="27" spans="1:14">
      <c r="A27" t="s">
        <v>678</v>
      </c>
      <c r="B27" s="278">
        <v>45848.636319444442</v>
      </c>
      <c r="C27">
        <v>115</v>
      </c>
      <c r="D27">
        <v>98.21</v>
      </c>
      <c r="E27">
        <v>92.85</v>
      </c>
      <c r="F27">
        <v>93.6</v>
      </c>
      <c r="G27">
        <v>0</v>
      </c>
      <c r="H27">
        <v>0</v>
      </c>
      <c r="I27">
        <v>4</v>
      </c>
      <c r="J27">
        <v>80</v>
      </c>
      <c r="K27" s="87">
        <v>2.0546923632812497</v>
      </c>
      <c r="L27" t="b">
        <v>1</v>
      </c>
      <c r="M27" t="s">
        <v>616</v>
      </c>
      <c r="N27" t="s">
        <v>42</v>
      </c>
    </row>
    <row r="28" spans="1:14">
      <c r="A28" t="s">
        <v>679</v>
      </c>
      <c r="B28" s="278">
        <v>45848.636319444442</v>
      </c>
      <c r="C28">
        <v>120</v>
      </c>
      <c r="D28">
        <v>93.2</v>
      </c>
      <c r="E28">
        <v>87.85</v>
      </c>
      <c r="F28">
        <v>88.55</v>
      </c>
      <c r="G28">
        <v>0</v>
      </c>
      <c r="H28">
        <v>0</v>
      </c>
      <c r="I28">
        <v>4</v>
      </c>
      <c r="J28">
        <v>214</v>
      </c>
      <c r="K28" s="87">
        <v>1.7265638671875001</v>
      </c>
      <c r="L28" t="b">
        <v>1</v>
      </c>
      <c r="M28" t="s">
        <v>616</v>
      </c>
      <c r="N28" t="s">
        <v>42</v>
      </c>
    </row>
    <row r="29" spans="1:14">
      <c r="A29" t="s">
        <v>680</v>
      </c>
      <c r="B29" s="278">
        <v>45848.792685185188</v>
      </c>
      <c r="C29">
        <v>125</v>
      </c>
      <c r="D29">
        <v>87.92</v>
      </c>
      <c r="E29">
        <v>82.95</v>
      </c>
      <c r="F29">
        <v>83.55</v>
      </c>
      <c r="G29">
        <v>0</v>
      </c>
      <c r="H29">
        <v>0</v>
      </c>
      <c r="I29">
        <v>14</v>
      </c>
      <c r="J29">
        <v>2542</v>
      </c>
      <c r="K29" s="87">
        <v>1.609376953125</v>
      </c>
      <c r="L29" t="b">
        <v>1</v>
      </c>
      <c r="M29" t="s">
        <v>616</v>
      </c>
      <c r="N29" t="s">
        <v>42</v>
      </c>
    </row>
    <row r="30" spans="1:14">
      <c r="A30" t="s">
        <v>681</v>
      </c>
      <c r="B30" s="278">
        <v>45849.821898148148</v>
      </c>
      <c r="C30">
        <v>130</v>
      </c>
      <c r="D30">
        <v>81.27</v>
      </c>
      <c r="E30">
        <v>77.900000000000006</v>
      </c>
      <c r="F30">
        <v>78.650000000000006</v>
      </c>
      <c r="G30">
        <v>0</v>
      </c>
      <c r="H30">
        <v>0</v>
      </c>
      <c r="I30">
        <v>3</v>
      </c>
      <c r="J30">
        <v>208</v>
      </c>
      <c r="K30" s="87">
        <v>1.7656261718749999</v>
      </c>
      <c r="L30" t="b">
        <v>1</v>
      </c>
      <c r="M30" t="s">
        <v>616</v>
      </c>
      <c r="N30" t="s">
        <v>42</v>
      </c>
    </row>
    <row r="31" spans="1:14">
      <c r="A31" t="s">
        <v>682</v>
      </c>
      <c r="B31" s="278">
        <v>45849.783067129632</v>
      </c>
      <c r="C31">
        <v>135</v>
      </c>
      <c r="D31">
        <v>76.58</v>
      </c>
      <c r="E31">
        <v>72.8</v>
      </c>
      <c r="F31">
        <v>73.599999999999994</v>
      </c>
      <c r="G31">
        <v>0</v>
      </c>
      <c r="H31">
        <v>0</v>
      </c>
      <c r="I31">
        <v>1</v>
      </c>
      <c r="J31">
        <v>492</v>
      </c>
      <c r="K31" s="87">
        <v>1.54297103515625</v>
      </c>
      <c r="L31" t="b">
        <v>1</v>
      </c>
      <c r="M31" t="s">
        <v>616</v>
      </c>
      <c r="N31" t="s">
        <v>42</v>
      </c>
    </row>
    <row r="32" spans="1:14">
      <c r="A32" t="s">
        <v>683</v>
      </c>
      <c r="B32" s="278">
        <v>45840.563414351855</v>
      </c>
      <c r="C32">
        <v>140</v>
      </c>
      <c r="D32">
        <v>68.8</v>
      </c>
      <c r="E32">
        <v>68</v>
      </c>
      <c r="F32">
        <v>68.55</v>
      </c>
      <c r="G32">
        <v>0</v>
      </c>
      <c r="H32">
        <v>0</v>
      </c>
      <c r="I32">
        <v>1</v>
      </c>
      <c r="J32">
        <v>7983</v>
      </c>
      <c r="K32" s="87">
        <v>1.2734411328124997</v>
      </c>
      <c r="L32" t="b">
        <v>1</v>
      </c>
      <c r="M32" t="s">
        <v>616</v>
      </c>
      <c r="N32" t="s">
        <v>42</v>
      </c>
    </row>
    <row r="33" spans="1:14">
      <c r="A33" t="s">
        <v>684</v>
      </c>
      <c r="B33" s="278">
        <v>45840.645046296297</v>
      </c>
      <c r="C33">
        <v>145</v>
      </c>
      <c r="D33">
        <v>66.97</v>
      </c>
      <c r="E33">
        <v>62.95</v>
      </c>
      <c r="F33">
        <v>63.55</v>
      </c>
      <c r="G33">
        <v>0</v>
      </c>
      <c r="H33">
        <v>0</v>
      </c>
      <c r="I33">
        <v>4</v>
      </c>
      <c r="J33">
        <v>179</v>
      </c>
      <c r="K33" s="87">
        <v>1.171879140625</v>
      </c>
      <c r="L33" t="b">
        <v>1</v>
      </c>
      <c r="M33" t="s">
        <v>616</v>
      </c>
      <c r="N33" t="s">
        <v>42</v>
      </c>
    </row>
    <row r="34" spans="1:14">
      <c r="A34" t="s">
        <v>685</v>
      </c>
      <c r="B34" s="278">
        <v>45852.599791666667</v>
      </c>
      <c r="C34">
        <v>150</v>
      </c>
      <c r="D34">
        <v>58.64</v>
      </c>
      <c r="E34">
        <v>58</v>
      </c>
      <c r="F34">
        <v>58.45</v>
      </c>
      <c r="G34">
        <v>-4.4599989999999998</v>
      </c>
      <c r="H34">
        <v>-7.0681443000000002</v>
      </c>
      <c r="I34">
        <v>1</v>
      </c>
      <c r="J34">
        <v>649</v>
      </c>
      <c r="K34" s="87">
        <v>1.0000000000000003E-5</v>
      </c>
      <c r="L34" t="b">
        <v>1</v>
      </c>
      <c r="M34" t="s">
        <v>616</v>
      </c>
      <c r="N34" t="s">
        <v>42</v>
      </c>
    </row>
    <row r="35" spans="1:14">
      <c r="A35" t="s">
        <v>686</v>
      </c>
      <c r="B35" s="278">
        <v>45849.831504629627</v>
      </c>
      <c r="C35">
        <v>155</v>
      </c>
      <c r="D35">
        <v>56.4</v>
      </c>
      <c r="E35">
        <v>53.05</v>
      </c>
      <c r="F35">
        <v>53.45</v>
      </c>
      <c r="G35">
        <v>0</v>
      </c>
      <c r="H35">
        <v>0</v>
      </c>
      <c r="I35">
        <v>2</v>
      </c>
      <c r="J35">
        <v>144</v>
      </c>
      <c r="K35" s="87">
        <v>1.0000000000000003E-5</v>
      </c>
      <c r="L35" t="b">
        <v>1</v>
      </c>
      <c r="M35" t="s">
        <v>616</v>
      </c>
      <c r="N35" t="s">
        <v>42</v>
      </c>
    </row>
    <row r="36" spans="1:14">
      <c r="A36" t="s">
        <v>687</v>
      </c>
      <c r="B36" s="278">
        <v>45852.587418981479</v>
      </c>
      <c r="C36">
        <v>160</v>
      </c>
      <c r="D36">
        <v>47.8</v>
      </c>
      <c r="E36">
        <v>48.05</v>
      </c>
      <c r="F36">
        <v>48.3</v>
      </c>
      <c r="G36">
        <v>-3.4599989999999998</v>
      </c>
      <c r="H36">
        <v>-6.7499010000000004</v>
      </c>
      <c r="I36">
        <v>12</v>
      </c>
      <c r="J36">
        <v>815</v>
      </c>
      <c r="K36" s="87">
        <v>1.0000000000000003E-5</v>
      </c>
      <c r="L36" t="b">
        <v>1</v>
      </c>
      <c r="M36" t="s">
        <v>616</v>
      </c>
      <c r="N36" t="s">
        <v>42</v>
      </c>
    </row>
    <row r="37" spans="1:14">
      <c r="A37" t="s">
        <v>688</v>
      </c>
      <c r="B37" s="278">
        <v>45852.562523148146</v>
      </c>
      <c r="C37">
        <v>165</v>
      </c>
      <c r="D37">
        <v>44.83</v>
      </c>
      <c r="E37">
        <v>43.05</v>
      </c>
      <c r="F37">
        <v>43.5</v>
      </c>
      <c r="G37">
        <v>-2.4399986</v>
      </c>
      <c r="H37">
        <v>-5.1618332999999996</v>
      </c>
      <c r="I37">
        <v>10</v>
      </c>
      <c r="J37">
        <v>395</v>
      </c>
      <c r="K37" s="87">
        <v>1.0000000000000003E-5</v>
      </c>
      <c r="L37" t="b">
        <v>1</v>
      </c>
      <c r="M37" t="s">
        <v>616</v>
      </c>
      <c r="N37" t="s">
        <v>42</v>
      </c>
    </row>
    <row r="38" spans="1:14">
      <c r="A38" t="s">
        <v>689</v>
      </c>
      <c r="B38" s="278">
        <v>45849.756226851852</v>
      </c>
      <c r="C38">
        <v>170</v>
      </c>
      <c r="D38">
        <v>41.77</v>
      </c>
      <c r="E38">
        <v>38.049999999999997</v>
      </c>
      <c r="F38">
        <v>38.5</v>
      </c>
      <c r="G38">
        <v>0</v>
      </c>
      <c r="H38">
        <v>0</v>
      </c>
      <c r="I38">
        <v>32</v>
      </c>
      <c r="J38">
        <v>741</v>
      </c>
      <c r="K38" s="87">
        <v>1.0000000000000003E-5</v>
      </c>
      <c r="L38" t="b">
        <v>1</v>
      </c>
      <c r="M38" t="s">
        <v>616</v>
      </c>
      <c r="N38" t="s">
        <v>42</v>
      </c>
    </row>
    <row r="39" spans="1:14">
      <c r="A39" t="s">
        <v>690</v>
      </c>
      <c r="B39" s="278">
        <v>45852.562604166669</v>
      </c>
      <c r="C39">
        <v>175</v>
      </c>
      <c r="D39">
        <v>35.72</v>
      </c>
      <c r="E39">
        <v>33</v>
      </c>
      <c r="F39">
        <v>33.6</v>
      </c>
      <c r="G39">
        <v>-0.34000015</v>
      </c>
      <c r="H39">
        <v>-0.94287335999999999</v>
      </c>
      <c r="I39">
        <v>2</v>
      </c>
      <c r="J39">
        <v>801</v>
      </c>
      <c r="K39" s="87">
        <v>0.6875031250000001</v>
      </c>
      <c r="L39" t="b">
        <v>1</v>
      </c>
      <c r="M39" t="s">
        <v>616</v>
      </c>
      <c r="N39" t="s">
        <v>42</v>
      </c>
    </row>
    <row r="40" spans="1:14">
      <c r="A40" t="s">
        <v>691</v>
      </c>
      <c r="B40" s="278">
        <v>45838.812534722223</v>
      </c>
      <c r="C40">
        <v>177.5</v>
      </c>
      <c r="D40">
        <v>29.68</v>
      </c>
      <c r="E40">
        <v>30.3</v>
      </c>
      <c r="F40">
        <v>31.15</v>
      </c>
      <c r="G40">
        <v>0</v>
      </c>
      <c r="H40">
        <v>0</v>
      </c>
      <c r="J40">
        <v>3</v>
      </c>
      <c r="K40" s="87">
        <v>0.68652657226562508</v>
      </c>
      <c r="L40" t="b">
        <v>1</v>
      </c>
      <c r="M40" t="s">
        <v>616</v>
      </c>
      <c r="N40" t="s">
        <v>42</v>
      </c>
    </row>
    <row r="41" spans="1:14">
      <c r="A41" t="s">
        <v>692</v>
      </c>
      <c r="B41" s="278">
        <v>45852.594525462962</v>
      </c>
      <c r="C41">
        <v>180</v>
      </c>
      <c r="D41">
        <v>28.62</v>
      </c>
      <c r="E41">
        <v>27.95</v>
      </c>
      <c r="F41">
        <v>28.4</v>
      </c>
      <c r="G41">
        <v>-2.75</v>
      </c>
      <c r="H41">
        <v>-8.766337</v>
      </c>
      <c r="I41">
        <v>8</v>
      </c>
      <c r="J41">
        <v>2509</v>
      </c>
      <c r="K41" s="87">
        <v>1.0000000000000003E-5</v>
      </c>
      <c r="L41" t="b">
        <v>1</v>
      </c>
      <c r="M41" t="s">
        <v>616</v>
      </c>
      <c r="N41" t="s">
        <v>42</v>
      </c>
    </row>
    <row r="42" spans="1:14">
      <c r="A42" t="s">
        <v>693</v>
      </c>
      <c r="B42" s="278">
        <v>45849.790138888886</v>
      </c>
      <c r="C42">
        <v>182.5</v>
      </c>
      <c r="D42">
        <v>28.8</v>
      </c>
      <c r="E42">
        <v>25.5</v>
      </c>
      <c r="F42">
        <v>26</v>
      </c>
      <c r="G42">
        <v>0</v>
      </c>
      <c r="H42">
        <v>0</v>
      </c>
      <c r="I42">
        <v>1</v>
      </c>
      <c r="J42">
        <v>30</v>
      </c>
      <c r="K42" s="87">
        <v>1.0000000000000003E-5</v>
      </c>
      <c r="L42" t="b">
        <v>1</v>
      </c>
      <c r="M42" t="s">
        <v>616</v>
      </c>
      <c r="N42" t="s">
        <v>42</v>
      </c>
    </row>
    <row r="43" spans="1:14">
      <c r="A43" t="s">
        <v>694</v>
      </c>
      <c r="B43" s="278">
        <v>45852.582361111112</v>
      </c>
      <c r="C43">
        <v>185</v>
      </c>
      <c r="D43">
        <v>22.93</v>
      </c>
      <c r="E43">
        <v>23.25</v>
      </c>
      <c r="F43">
        <v>23.45</v>
      </c>
      <c r="G43">
        <v>-3.5699996999999999</v>
      </c>
      <c r="H43">
        <v>-13.471697000000001</v>
      </c>
      <c r="I43">
        <v>9</v>
      </c>
      <c r="J43">
        <v>5454</v>
      </c>
      <c r="K43" s="87">
        <v>1.0000000000000003E-5</v>
      </c>
      <c r="L43" t="b">
        <v>1</v>
      </c>
      <c r="M43" t="s">
        <v>616</v>
      </c>
      <c r="N43" t="s">
        <v>42</v>
      </c>
    </row>
    <row r="44" spans="1:14">
      <c r="A44" t="s">
        <v>695</v>
      </c>
      <c r="B44" s="278">
        <v>45849.754999999997</v>
      </c>
      <c r="C44">
        <v>187.5</v>
      </c>
      <c r="D44">
        <v>21.19</v>
      </c>
      <c r="E44">
        <v>20.75</v>
      </c>
      <c r="F44">
        <v>21</v>
      </c>
      <c r="G44">
        <v>-2.9599989999999998</v>
      </c>
      <c r="H44">
        <v>-12.256724999999999</v>
      </c>
      <c r="I44">
        <v>2</v>
      </c>
      <c r="J44">
        <v>37</v>
      </c>
      <c r="K44" s="87">
        <v>1.0000000000000003E-5</v>
      </c>
      <c r="L44" t="b">
        <v>1</v>
      </c>
      <c r="M44" t="s">
        <v>616</v>
      </c>
      <c r="N44" t="s">
        <v>42</v>
      </c>
    </row>
    <row r="45" spans="1:14">
      <c r="A45" t="s">
        <v>696</v>
      </c>
      <c r="B45" s="278">
        <v>45852.588576388887</v>
      </c>
      <c r="C45">
        <v>190</v>
      </c>
      <c r="D45">
        <v>18.13</v>
      </c>
      <c r="E45">
        <v>18.149999999999999</v>
      </c>
      <c r="F45">
        <v>18.350000000000001</v>
      </c>
      <c r="G45">
        <v>-3.2700005000000001</v>
      </c>
      <c r="H45">
        <v>-15.280377</v>
      </c>
      <c r="I45">
        <v>30</v>
      </c>
      <c r="J45">
        <v>4293</v>
      </c>
      <c r="K45" s="87">
        <v>1.0000000000000003E-5</v>
      </c>
      <c r="L45" t="b">
        <v>1</v>
      </c>
      <c r="M45" t="s">
        <v>616</v>
      </c>
      <c r="N45" t="s">
        <v>42</v>
      </c>
    </row>
    <row r="46" spans="1:14">
      <c r="A46" t="s">
        <v>697</v>
      </c>
      <c r="B46" s="278">
        <v>45852.562511574077</v>
      </c>
      <c r="C46">
        <v>192.5</v>
      </c>
      <c r="D46">
        <v>15.87</v>
      </c>
      <c r="E46">
        <v>15.8</v>
      </c>
      <c r="F46">
        <v>15.95</v>
      </c>
      <c r="G46">
        <v>-2.9299993999999998</v>
      </c>
      <c r="H46">
        <v>-15.585103999999999</v>
      </c>
      <c r="I46">
        <v>2</v>
      </c>
      <c r="J46">
        <v>350</v>
      </c>
      <c r="K46" s="87">
        <v>1.0000000000000003E-5</v>
      </c>
      <c r="L46" t="b">
        <v>1</v>
      </c>
      <c r="M46" t="s">
        <v>616</v>
      </c>
      <c r="N46" t="s">
        <v>42</v>
      </c>
    </row>
    <row r="47" spans="1:14">
      <c r="A47" t="s">
        <v>698</v>
      </c>
      <c r="B47" s="278">
        <v>45852.601458333331</v>
      </c>
      <c r="C47">
        <v>195</v>
      </c>
      <c r="D47">
        <v>13.6</v>
      </c>
      <c r="E47">
        <v>13.35</v>
      </c>
      <c r="F47">
        <v>13.55</v>
      </c>
      <c r="G47">
        <v>-2.7999991999999998</v>
      </c>
      <c r="H47">
        <v>-17.073167999999999</v>
      </c>
      <c r="I47">
        <v>269</v>
      </c>
      <c r="J47">
        <v>6794</v>
      </c>
      <c r="K47" s="87">
        <v>0.25977302734375002</v>
      </c>
      <c r="L47" t="b">
        <v>1</v>
      </c>
      <c r="M47" t="s">
        <v>616</v>
      </c>
      <c r="N47" t="s">
        <v>42</v>
      </c>
    </row>
    <row r="48" spans="1:14">
      <c r="A48" t="s">
        <v>699</v>
      </c>
      <c r="B48" s="278">
        <v>45852.601377314815</v>
      </c>
      <c r="C48">
        <v>197.5</v>
      </c>
      <c r="D48">
        <v>11.25</v>
      </c>
      <c r="E48">
        <v>10.8</v>
      </c>
      <c r="F48">
        <v>11</v>
      </c>
      <c r="G48">
        <v>-2.6999998000000001</v>
      </c>
      <c r="H48">
        <v>-19.354837</v>
      </c>
      <c r="I48">
        <v>113</v>
      </c>
      <c r="J48">
        <v>414</v>
      </c>
      <c r="K48" s="87">
        <v>1.0000000000000003E-5</v>
      </c>
      <c r="L48" t="b">
        <v>1</v>
      </c>
      <c r="M48" t="s">
        <v>616</v>
      </c>
      <c r="N48" t="s">
        <v>42</v>
      </c>
    </row>
    <row r="49" spans="1:14">
      <c r="A49" t="s">
        <v>700</v>
      </c>
      <c r="B49" s="278">
        <v>45852.605208333334</v>
      </c>
      <c r="C49">
        <v>200</v>
      </c>
      <c r="D49">
        <v>8.69</v>
      </c>
      <c r="E49">
        <v>8.5500000000000007</v>
      </c>
      <c r="F49">
        <v>8.6999999999999993</v>
      </c>
      <c r="G49">
        <v>-2.8300008999999999</v>
      </c>
      <c r="H49">
        <v>-24.565978999999999</v>
      </c>
      <c r="I49">
        <v>3080</v>
      </c>
      <c r="J49">
        <v>24345</v>
      </c>
      <c r="K49" s="87">
        <v>0.24170680175781251</v>
      </c>
      <c r="L49" t="b">
        <v>1</v>
      </c>
      <c r="M49" t="s">
        <v>616</v>
      </c>
      <c r="N49" t="s">
        <v>42</v>
      </c>
    </row>
    <row r="50" spans="1:14">
      <c r="A50" t="s">
        <v>701</v>
      </c>
      <c r="B50" s="278">
        <v>45852.607048611113</v>
      </c>
      <c r="C50">
        <v>202.5</v>
      </c>
      <c r="D50">
        <v>6.3</v>
      </c>
      <c r="E50">
        <v>6.2</v>
      </c>
      <c r="F50">
        <v>6.35</v>
      </c>
      <c r="G50">
        <v>-2.8499994000000002</v>
      </c>
      <c r="H50">
        <v>-30.645157000000001</v>
      </c>
      <c r="I50">
        <v>841</v>
      </c>
      <c r="J50">
        <v>2393</v>
      </c>
      <c r="K50" s="87">
        <v>0.21875781249999998</v>
      </c>
      <c r="L50" t="b">
        <v>1</v>
      </c>
      <c r="M50" t="s">
        <v>616</v>
      </c>
      <c r="N50" t="s">
        <v>42</v>
      </c>
    </row>
    <row r="51" spans="1:14">
      <c r="A51" t="s">
        <v>702</v>
      </c>
      <c r="B51" s="278">
        <v>45852.606134259258</v>
      </c>
      <c r="C51">
        <v>205</v>
      </c>
      <c r="D51">
        <v>4.45</v>
      </c>
      <c r="E51">
        <v>4.4000000000000004</v>
      </c>
      <c r="F51">
        <v>4.5</v>
      </c>
      <c r="G51">
        <v>-2.48</v>
      </c>
      <c r="H51">
        <v>-35.786437999999997</v>
      </c>
      <c r="I51">
        <v>3779</v>
      </c>
      <c r="J51">
        <v>24191</v>
      </c>
      <c r="K51" s="87">
        <v>0.24121852539062499</v>
      </c>
      <c r="L51" t="b">
        <v>1</v>
      </c>
      <c r="M51" t="s">
        <v>616</v>
      </c>
      <c r="N51" t="s">
        <v>42</v>
      </c>
    </row>
    <row r="52" spans="1:14">
      <c r="A52" t="s">
        <v>703</v>
      </c>
      <c r="B52" s="278">
        <v>45852.607488425929</v>
      </c>
      <c r="C52">
        <v>207.5</v>
      </c>
      <c r="D52">
        <v>2.72</v>
      </c>
      <c r="E52">
        <v>2.72</v>
      </c>
      <c r="F52">
        <v>2.73</v>
      </c>
      <c r="G52">
        <v>-2.2799999999999998</v>
      </c>
      <c r="H52">
        <v>-45.508980000000001</v>
      </c>
      <c r="I52">
        <v>7897</v>
      </c>
      <c r="J52">
        <v>5131</v>
      </c>
      <c r="K52" s="87">
        <v>0.22461712890624996</v>
      </c>
      <c r="L52" t="b">
        <v>1</v>
      </c>
      <c r="M52" t="s">
        <v>616</v>
      </c>
      <c r="N52" t="s">
        <v>42</v>
      </c>
    </row>
    <row r="53" spans="1:14">
      <c r="A53" t="s">
        <v>704</v>
      </c>
      <c r="B53" s="278">
        <v>45852.607083333336</v>
      </c>
      <c r="C53">
        <v>210</v>
      </c>
      <c r="D53">
        <v>1.55</v>
      </c>
      <c r="E53">
        <v>1.55</v>
      </c>
      <c r="F53">
        <v>1.56</v>
      </c>
      <c r="G53">
        <v>-1.75</v>
      </c>
      <c r="H53">
        <v>-52.870089999999998</v>
      </c>
      <c r="I53">
        <v>35586</v>
      </c>
      <c r="J53">
        <v>41633</v>
      </c>
      <c r="K53" s="87">
        <v>0.22730264892578123</v>
      </c>
      <c r="L53" t="b">
        <v>0</v>
      </c>
      <c r="M53" t="s">
        <v>616</v>
      </c>
      <c r="N53" t="s">
        <v>42</v>
      </c>
    </row>
    <row r="54" spans="1:14">
      <c r="A54" t="s">
        <v>705</v>
      </c>
      <c r="B54" s="278">
        <v>45852.607094907406</v>
      </c>
      <c r="C54">
        <v>212.5</v>
      </c>
      <c r="D54">
        <v>0.79</v>
      </c>
      <c r="E54">
        <v>0.79</v>
      </c>
      <c r="F54">
        <v>0.81</v>
      </c>
      <c r="G54">
        <v>-1.23</v>
      </c>
      <c r="H54">
        <v>-60.891089999999998</v>
      </c>
      <c r="I54">
        <v>22049</v>
      </c>
      <c r="J54">
        <v>22764</v>
      </c>
      <c r="K54" s="87">
        <v>0.2304764453125</v>
      </c>
      <c r="L54" t="b">
        <v>0</v>
      </c>
      <c r="M54" t="s">
        <v>616</v>
      </c>
      <c r="N54" t="s">
        <v>42</v>
      </c>
    </row>
    <row r="55" spans="1:14">
      <c r="A55" t="s">
        <v>706</v>
      </c>
      <c r="B55" s="278">
        <v>45852.607175925928</v>
      </c>
      <c r="C55">
        <v>215</v>
      </c>
      <c r="D55">
        <v>0.39</v>
      </c>
      <c r="E55">
        <v>0.38</v>
      </c>
      <c r="F55">
        <v>0.39</v>
      </c>
      <c r="G55">
        <v>-0.70000004999999998</v>
      </c>
      <c r="H55">
        <v>-64.220190000000002</v>
      </c>
      <c r="I55">
        <v>25400</v>
      </c>
      <c r="J55">
        <v>65748</v>
      </c>
      <c r="K55" s="87">
        <v>0.2348709326171875</v>
      </c>
      <c r="L55" t="b">
        <v>0</v>
      </c>
      <c r="M55" t="s">
        <v>616</v>
      </c>
      <c r="N55" t="s">
        <v>42</v>
      </c>
    </row>
    <row r="56" spans="1:14">
      <c r="A56" t="s">
        <v>707</v>
      </c>
      <c r="B56" s="278">
        <v>45852.605312500003</v>
      </c>
      <c r="C56">
        <v>217.5</v>
      </c>
      <c r="D56">
        <v>0.21</v>
      </c>
      <c r="E56">
        <v>0.19</v>
      </c>
      <c r="F56">
        <v>0.21</v>
      </c>
      <c r="G56">
        <v>-0.34000003000000001</v>
      </c>
      <c r="H56">
        <v>-61.818187999999999</v>
      </c>
      <c r="I56">
        <v>4596</v>
      </c>
      <c r="J56">
        <v>10070</v>
      </c>
      <c r="K56" s="87">
        <v>0.25049577636718745</v>
      </c>
      <c r="L56" t="b">
        <v>0</v>
      </c>
      <c r="M56" t="s">
        <v>616</v>
      </c>
      <c r="N56" t="s">
        <v>42</v>
      </c>
    </row>
    <row r="57" spans="1:14">
      <c r="A57" t="s">
        <v>708</v>
      </c>
      <c r="B57" s="278">
        <v>45852.606979166667</v>
      </c>
      <c r="C57">
        <v>220</v>
      </c>
      <c r="D57">
        <v>0.11</v>
      </c>
      <c r="E57">
        <v>0.1</v>
      </c>
      <c r="F57">
        <v>0.11</v>
      </c>
      <c r="G57">
        <v>-0.17</v>
      </c>
      <c r="H57">
        <v>-62.962960000000002</v>
      </c>
      <c r="I57">
        <v>13552</v>
      </c>
      <c r="J57">
        <v>52294</v>
      </c>
      <c r="K57" s="87">
        <v>0.26367923828125001</v>
      </c>
      <c r="L57" t="b">
        <v>0</v>
      </c>
      <c r="M57" t="s">
        <v>616</v>
      </c>
      <c r="N57" t="s">
        <v>42</v>
      </c>
    </row>
    <row r="58" spans="1:14">
      <c r="A58" t="s">
        <v>709</v>
      </c>
      <c r="B58" s="278">
        <v>45852.606886574074</v>
      </c>
      <c r="C58">
        <v>222.5</v>
      </c>
      <c r="D58">
        <v>0.06</v>
      </c>
      <c r="E58">
        <v>0.06</v>
      </c>
      <c r="F58">
        <v>7.0000000000000007E-2</v>
      </c>
      <c r="G58">
        <v>-0.09</v>
      </c>
      <c r="H58">
        <v>-59.999996000000003</v>
      </c>
      <c r="I58">
        <v>4294</v>
      </c>
      <c r="J58">
        <v>11635</v>
      </c>
      <c r="K58" s="87">
        <v>0.28516339843749994</v>
      </c>
      <c r="L58" t="b">
        <v>0</v>
      </c>
      <c r="M58" t="s">
        <v>616</v>
      </c>
      <c r="N58" t="s">
        <v>42</v>
      </c>
    </row>
    <row r="59" spans="1:14">
      <c r="A59" t="s">
        <v>710</v>
      </c>
      <c r="B59" s="278">
        <v>45852.607303240744</v>
      </c>
      <c r="C59">
        <v>225</v>
      </c>
      <c r="D59">
        <v>0.05</v>
      </c>
      <c r="E59">
        <v>0.04</v>
      </c>
      <c r="F59">
        <v>0.05</v>
      </c>
      <c r="G59">
        <v>-0.05</v>
      </c>
      <c r="H59">
        <v>-55.555553000000003</v>
      </c>
      <c r="I59">
        <v>4610</v>
      </c>
      <c r="J59">
        <v>54425</v>
      </c>
      <c r="K59" s="87">
        <v>0.30860066406249997</v>
      </c>
      <c r="L59" t="b">
        <v>0</v>
      </c>
      <c r="M59" t="s">
        <v>616</v>
      </c>
      <c r="N59" t="s">
        <v>42</v>
      </c>
    </row>
    <row r="60" spans="1:14">
      <c r="A60" t="s">
        <v>711</v>
      </c>
      <c r="B60" s="278">
        <v>45852.602002314816</v>
      </c>
      <c r="C60">
        <v>227.5</v>
      </c>
      <c r="D60">
        <v>0.04</v>
      </c>
      <c r="E60">
        <v>0.03</v>
      </c>
      <c r="F60">
        <v>0.04</v>
      </c>
      <c r="G60">
        <v>-3.0000000999999998E-2</v>
      </c>
      <c r="H60">
        <v>-49.999996000000003</v>
      </c>
      <c r="I60">
        <v>296</v>
      </c>
      <c r="J60">
        <v>2242</v>
      </c>
      <c r="K60" s="87">
        <v>0.335944140625</v>
      </c>
      <c r="L60" t="b">
        <v>0</v>
      </c>
      <c r="M60" t="s">
        <v>616</v>
      </c>
      <c r="N60" t="s">
        <v>42</v>
      </c>
    </row>
    <row r="61" spans="1:14">
      <c r="A61" t="s">
        <v>712</v>
      </c>
      <c r="B61" s="278">
        <v>45852.607442129629</v>
      </c>
      <c r="C61">
        <v>230</v>
      </c>
      <c r="D61">
        <v>0.02</v>
      </c>
      <c r="E61">
        <v>0.02</v>
      </c>
      <c r="F61">
        <v>0.03</v>
      </c>
      <c r="G61">
        <v>-3.0000000999999998E-2</v>
      </c>
      <c r="H61">
        <v>-60</v>
      </c>
      <c r="I61">
        <v>1492</v>
      </c>
      <c r="J61">
        <v>56175</v>
      </c>
      <c r="K61" s="87">
        <v>0.35938140624999998</v>
      </c>
      <c r="L61" t="b">
        <v>0</v>
      </c>
      <c r="M61" t="s">
        <v>616</v>
      </c>
      <c r="N61" t="s">
        <v>42</v>
      </c>
    </row>
    <row r="62" spans="1:14">
      <c r="A62" t="s">
        <v>713</v>
      </c>
      <c r="B62" s="278">
        <v>45852.596365740741</v>
      </c>
      <c r="C62">
        <v>232.5</v>
      </c>
      <c r="D62">
        <v>0.02</v>
      </c>
      <c r="E62">
        <v>0.01</v>
      </c>
      <c r="F62">
        <v>0.02</v>
      </c>
      <c r="G62">
        <v>-0.02</v>
      </c>
      <c r="H62">
        <v>-50</v>
      </c>
      <c r="I62">
        <v>2564</v>
      </c>
      <c r="J62">
        <v>913</v>
      </c>
      <c r="K62" s="87">
        <v>0.37500624999999999</v>
      </c>
      <c r="L62" t="b">
        <v>0</v>
      </c>
      <c r="M62" t="s">
        <v>616</v>
      </c>
      <c r="N62" t="s">
        <v>42</v>
      </c>
    </row>
    <row r="63" spans="1:14">
      <c r="A63" t="s">
        <v>714</v>
      </c>
      <c r="B63" s="278">
        <v>45852.602071759262</v>
      </c>
      <c r="C63">
        <v>235</v>
      </c>
      <c r="D63">
        <v>0.01</v>
      </c>
      <c r="E63">
        <v>0.01</v>
      </c>
      <c r="F63">
        <v>0.02</v>
      </c>
      <c r="G63">
        <v>-0.01</v>
      </c>
      <c r="H63">
        <v>-33.333336000000003</v>
      </c>
      <c r="I63">
        <v>215</v>
      </c>
      <c r="J63">
        <v>14442</v>
      </c>
      <c r="K63" s="87">
        <v>0.4062559375</v>
      </c>
      <c r="L63" t="b">
        <v>0</v>
      </c>
      <c r="M63" t="s">
        <v>616</v>
      </c>
      <c r="N63" t="s">
        <v>42</v>
      </c>
    </row>
    <row r="64" spans="1:14">
      <c r="A64" t="s">
        <v>715</v>
      </c>
      <c r="B64" s="278">
        <v>45852.5627662037</v>
      </c>
      <c r="C64">
        <v>237.5</v>
      </c>
      <c r="D64">
        <v>0.02</v>
      </c>
      <c r="E64">
        <v>0.01</v>
      </c>
      <c r="F64">
        <v>0.02</v>
      </c>
      <c r="G64">
        <v>0</v>
      </c>
      <c r="H64">
        <v>0</v>
      </c>
      <c r="I64">
        <v>7</v>
      </c>
      <c r="J64">
        <v>19</v>
      </c>
      <c r="K64" s="87">
        <v>0.43750562500000001</v>
      </c>
      <c r="L64" t="b">
        <v>0</v>
      </c>
      <c r="M64" t="s">
        <v>616</v>
      </c>
      <c r="N64" t="s">
        <v>42</v>
      </c>
    </row>
    <row r="65" spans="1:14">
      <c r="A65" t="s">
        <v>716</v>
      </c>
      <c r="B65" s="278">
        <v>45852.607083333336</v>
      </c>
      <c r="C65">
        <v>240</v>
      </c>
      <c r="D65">
        <v>0.02</v>
      </c>
      <c r="E65">
        <v>0.01</v>
      </c>
      <c r="F65">
        <v>0.02</v>
      </c>
      <c r="G65">
        <v>0.01</v>
      </c>
      <c r="H65">
        <v>100</v>
      </c>
      <c r="I65">
        <v>1007</v>
      </c>
      <c r="J65">
        <v>18201</v>
      </c>
      <c r="K65" s="87">
        <v>0.46875531250000002</v>
      </c>
      <c r="L65" t="b">
        <v>0</v>
      </c>
      <c r="M65" t="s">
        <v>616</v>
      </c>
      <c r="N65" t="s">
        <v>42</v>
      </c>
    </row>
    <row r="66" spans="1:14">
      <c r="A66" t="s">
        <v>717</v>
      </c>
      <c r="B66" s="278">
        <v>45852.566041666665</v>
      </c>
      <c r="C66">
        <v>242.5</v>
      </c>
      <c r="D66">
        <v>0.01</v>
      </c>
      <c r="E66">
        <v>0</v>
      </c>
      <c r="F66">
        <v>0.01</v>
      </c>
      <c r="G66">
        <v>0</v>
      </c>
      <c r="H66">
        <v>0</v>
      </c>
      <c r="I66">
        <v>24</v>
      </c>
      <c r="J66">
        <v>7</v>
      </c>
      <c r="K66" s="87">
        <v>0.46094289062500005</v>
      </c>
      <c r="L66" t="b">
        <v>0</v>
      </c>
      <c r="M66" t="s">
        <v>616</v>
      </c>
      <c r="N66" t="s">
        <v>42</v>
      </c>
    </row>
    <row r="67" spans="1:14">
      <c r="A67" t="s">
        <v>718</v>
      </c>
      <c r="B67" s="278">
        <v>45852.604421296295</v>
      </c>
      <c r="C67">
        <v>245</v>
      </c>
      <c r="D67">
        <v>0.01</v>
      </c>
      <c r="E67">
        <v>0</v>
      </c>
      <c r="F67">
        <v>0.01</v>
      </c>
      <c r="G67">
        <v>0</v>
      </c>
      <c r="H67">
        <v>0</v>
      </c>
      <c r="I67">
        <v>49</v>
      </c>
      <c r="J67">
        <v>8088</v>
      </c>
      <c r="K67" s="87">
        <v>0.49219257812500006</v>
      </c>
      <c r="L67" t="b">
        <v>0</v>
      </c>
      <c r="M67" t="s">
        <v>616</v>
      </c>
      <c r="N67" t="s">
        <v>42</v>
      </c>
    </row>
    <row r="68" spans="1:14">
      <c r="A68" t="s">
        <v>719</v>
      </c>
      <c r="B68" s="278">
        <v>45852.589513888888</v>
      </c>
      <c r="C68">
        <v>250</v>
      </c>
      <c r="D68">
        <v>0.01</v>
      </c>
      <c r="E68">
        <v>0</v>
      </c>
      <c r="F68">
        <v>0.01</v>
      </c>
      <c r="G68">
        <v>0</v>
      </c>
      <c r="H68">
        <v>0</v>
      </c>
      <c r="I68">
        <v>7</v>
      </c>
      <c r="J68">
        <v>32734</v>
      </c>
      <c r="K68" s="87">
        <v>0.51562984374999998</v>
      </c>
      <c r="L68" t="b">
        <v>0</v>
      </c>
      <c r="M68" t="s">
        <v>616</v>
      </c>
      <c r="N68" t="s">
        <v>42</v>
      </c>
    </row>
    <row r="69" spans="1:14">
      <c r="A69" t="s">
        <v>720</v>
      </c>
      <c r="B69" s="278">
        <v>45849.810520833336</v>
      </c>
      <c r="C69">
        <v>255</v>
      </c>
      <c r="D69">
        <v>0.01</v>
      </c>
      <c r="E69">
        <v>0</v>
      </c>
      <c r="F69">
        <v>0.01</v>
      </c>
      <c r="G69">
        <v>0</v>
      </c>
      <c r="H69">
        <v>0</v>
      </c>
      <c r="I69">
        <v>58</v>
      </c>
      <c r="J69">
        <v>7177</v>
      </c>
      <c r="K69" s="87">
        <v>0.56250437500000006</v>
      </c>
      <c r="L69" t="b">
        <v>0</v>
      </c>
      <c r="M69" t="s">
        <v>616</v>
      </c>
      <c r="N69" t="s">
        <v>42</v>
      </c>
    </row>
    <row r="70" spans="1:14" s="20" customFormat="1">
      <c r="A70" s="20" t="s">
        <v>721</v>
      </c>
      <c r="B70" s="284">
        <v>45849.682337962964</v>
      </c>
      <c r="C70" s="20">
        <v>260</v>
      </c>
      <c r="D70" s="20">
        <v>0.01</v>
      </c>
      <c r="E70" s="20">
        <v>0</v>
      </c>
      <c r="F70" s="20">
        <v>0.01</v>
      </c>
      <c r="G70" s="20">
        <v>0</v>
      </c>
      <c r="H70" s="20">
        <v>0</v>
      </c>
      <c r="I70" s="20">
        <v>19</v>
      </c>
      <c r="J70" s="20">
        <v>3946</v>
      </c>
      <c r="K70" s="139">
        <v>0.60937890625000013</v>
      </c>
      <c r="L70" s="20" t="b">
        <v>0</v>
      </c>
      <c r="M70" s="20" t="s">
        <v>616</v>
      </c>
      <c r="N70" s="20" t="s">
        <v>42</v>
      </c>
    </row>
    <row r="71" spans="1:14" s="20" customFormat="1">
      <c r="A71" s="20" t="s">
        <v>722</v>
      </c>
      <c r="B71" s="284">
        <v>45848.795844907407</v>
      </c>
      <c r="C71" s="20">
        <v>265</v>
      </c>
      <c r="D71" s="20">
        <v>0.01</v>
      </c>
      <c r="E71" s="20">
        <v>0</v>
      </c>
      <c r="F71" s="20">
        <v>0.01</v>
      </c>
      <c r="G71" s="20">
        <v>0</v>
      </c>
      <c r="H71" s="20">
        <v>0</v>
      </c>
      <c r="I71" s="20">
        <v>21</v>
      </c>
      <c r="J71" s="20">
        <v>4624</v>
      </c>
      <c r="K71" s="139">
        <v>0.65625343750000009</v>
      </c>
      <c r="L71" s="20" t="b">
        <v>0</v>
      </c>
      <c r="M71" s="20" t="s">
        <v>616</v>
      </c>
      <c r="N71" s="20" t="s">
        <v>42</v>
      </c>
    </row>
    <row r="72" spans="1:14">
      <c r="A72" t="s">
        <v>723</v>
      </c>
      <c r="B72" s="278">
        <v>45848.639918981484</v>
      </c>
      <c r="C72">
        <v>270</v>
      </c>
      <c r="D72">
        <v>0.01</v>
      </c>
      <c r="E72">
        <v>0</v>
      </c>
      <c r="F72">
        <v>0.01</v>
      </c>
      <c r="G72">
        <v>0</v>
      </c>
      <c r="H72">
        <v>0</v>
      </c>
      <c r="I72">
        <v>5</v>
      </c>
      <c r="J72">
        <v>8537</v>
      </c>
      <c r="K72" s="87">
        <v>0.7187528125</v>
      </c>
      <c r="L72" t="b">
        <v>0</v>
      </c>
      <c r="M72" t="s">
        <v>616</v>
      </c>
      <c r="N72" t="s">
        <v>42</v>
      </c>
    </row>
    <row r="73" spans="1:14">
      <c r="A73" t="s">
        <v>724</v>
      </c>
      <c r="B73" s="278">
        <v>45849.673252314817</v>
      </c>
      <c r="C73">
        <v>275</v>
      </c>
      <c r="D73">
        <v>0.01</v>
      </c>
      <c r="E73">
        <v>0</v>
      </c>
      <c r="F73">
        <v>0.01</v>
      </c>
      <c r="G73">
        <v>0</v>
      </c>
      <c r="H73">
        <v>0</v>
      </c>
      <c r="I73">
        <v>1</v>
      </c>
      <c r="J73">
        <v>3222</v>
      </c>
      <c r="K73" s="87">
        <v>0.75000250000000002</v>
      </c>
      <c r="L73" t="b">
        <v>0</v>
      </c>
      <c r="M73" t="s">
        <v>616</v>
      </c>
      <c r="N73" t="s">
        <v>42</v>
      </c>
    </row>
    <row r="74" spans="1:14">
      <c r="A74" t="s">
        <v>725</v>
      </c>
      <c r="B74" s="278">
        <v>45848.828657407408</v>
      </c>
      <c r="C74">
        <v>280</v>
      </c>
      <c r="D74">
        <v>0.01</v>
      </c>
      <c r="E74">
        <v>0</v>
      </c>
      <c r="F74">
        <v>0.01</v>
      </c>
      <c r="G74">
        <v>0</v>
      </c>
      <c r="H74">
        <v>0</v>
      </c>
      <c r="I74">
        <v>1</v>
      </c>
      <c r="J74">
        <v>4905</v>
      </c>
      <c r="K74" s="87">
        <v>0.79687703124999998</v>
      </c>
      <c r="L74" t="b">
        <v>0</v>
      </c>
      <c r="M74" t="s">
        <v>616</v>
      </c>
      <c r="N74" t="s">
        <v>42</v>
      </c>
    </row>
    <row r="75" spans="1:14">
      <c r="A75" t="s">
        <v>726</v>
      </c>
      <c r="B75" s="278">
        <v>45852.562523148146</v>
      </c>
      <c r="C75">
        <v>285</v>
      </c>
      <c r="D75">
        <v>0.01</v>
      </c>
      <c r="E75">
        <v>0</v>
      </c>
      <c r="F75">
        <v>0.01</v>
      </c>
      <c r="G75">
        <v>0</v>
      </c>
      <c r="H75">
        <v>0</v>
      </c>
      <c r="I75">
        <v>1</v>
      </c>
      <c r="J75">
        <v>5933</v>
      </c>
      <c r="K75" s="87">
        <v>0.84375156249999994</v>
      </c>
      <c r="L75" t="b">
        <v>0</v>
      </c>
      <c r="M75" t="s">
        <v>616</v>
      </c>
      <c r="N75" t="s">
        <v>42</v>
      </c>
    </row>
    <row r="76" spans="1:14">
      <c r="A76" t="s">
        <v>727</v>
      </c>
      <c r="B76" s="278">
        <v>45841.563680555555</v>
      </c>
      <c r="C76">
        <v>290</v>
      </c>
      <c r="D76">
        <v>0.02</v>
      </c>
      <c r="E76">
        <v>0</v>
      </c>
      <c r="F76">
        <v>0.01</v>
      </c>
      <c r="G76">
        <v>0</v>
      </c>
      <c r="H76">
        <v>0</v>
      </c>
      <c r="I76">
        <v>40</v>
      </c>
      <c r="J76">
        <v>1972</v>
      </c>
      <c r="K76" s="87">
        <v>0.87500124999999995</v>
      </c>
      <c r="L76" t="b">
        <v>0</v>
      </c>
      <c r="M76" t="s">
        <v>616</v>
      </c>
      <c r="N76" t="s">
        <v>42</v>
      </c>
    </row>
    <row r="77" spans="1:14">
      <c r="A77" t="s">
        <v>728</v>
      </c>
      <c r="B77" s="278">
        <v>45847.775057870371</v>
      </c>
      <c r="C77">
        <v>295</v>
      </c>
      <c r="D77">
        <v>0.01</v>
      </c>
      <c r="E77">
        <v>0</v>
      </c>
      <c r="F77">
        <v>0.01</v>
      </c>
      <c r="G77">
        <v>0</v>
      </c>
      <c r="H77">
        <v>0</v>
      </c>
      <c r="I77">
        <v>1</v>
      </c>
      <c r="J77">
        <v>1907</v>
      </c>
      <c r="K77" s="87">
        <v>0.93750062499999998</v>
      </c>
      <c r="L77" t="b">
        <v>0</v>
      </c>
      <c r="M77" t="s">
        <v>616</v>
      </c>
      <c r="N77" t="s">
        <v>42</v>
      </c>
    </row>
    <row r="78" spans="1:14">
      <c r="A78" t="s">
        <v>729</v>
      </c>
      <c r="B78" s="278">
        <v>45847.641782407409</v>
      </c>
      <c r="C78">
        <v>300</v>
      </c>
      <c r="D78">
        <v>0.01</v>
      </c>
      <c r="E78">
        <v>0</v>
      </c>
      <c r="F78">
        <v>0.01</v>
      </c>
      <c r="G78">
        <v>0</v>
      </c>
      <c r="H78">
        <v>0</v>
      </c>
      <c r="I78">
        <v>2</v>
      </c>
      <c r="J78">
        <v>3696</v>
      </c>
      <c r="K78" s="87">
        <v>0.96875031249999999</v>
      </c>
      <c r="L78" t="b">
        <v>0</v>
      </c>
      <c r="M78" t="s">
        <v>616</v>
      </c>
      <c r="N78" t="s">
        <v>42</v>
      </c>
    </row>
    <row r="79" spans="1:14">
      <c r="A79" t="s">
        <v>730</v>
      </c>
      <c r="B79" s="278">
        <v>45840.700057870374</v>
      </c>
      <c r="C79">
        <v>305</v>
      </c>
      <c r="D79">
        <v>0.01</v>
      </c>
      <c r="E79">
        <v>0</v>
      </c>
      <c r="F79">
        <v>0.01</v>
      </c>
      <c r="G79">
        <v>0</v>
      </c>
      <c r="H79">
        <v>0</v>
      </c>
      <c r="I79">
        <v>2</v>
      </c>
      <c r="J79">
        <v>2872</v>
      </c>
      <c r="K79" s="87">
        <v>1.000005</v>
      </c>
      <c r="L79" t="b">
        <v>0</v>
      </c>
      <c r="M79" t="s">
        <v>616</v>
      </c>
      <c r="N79" t="s">
        <v>42</v>
      </c>
    </row>
    <row r="80" spans="1:14">
      <c r="A80" t="s">
        <v>731</v>
      </c>
      <c r="B80" s="278">
        <v>45848.796111111114</v>
      </c>
      <c r="C80">
        <v>310</v>
      </c>
      <c r="D80">
        <v>0.01</v>
      </c>
      <c r="E80">
        <v>0</v>
      </c>
      <c r="F80">
        <v>0.01</v>
      </c>
      <c r="G80">
        <v>0</v>
      </c>
      <c r="H80">
        <v>0</v>
      </c>
      <c r="I80">
        <v>30</v>
      </c>
      <c r="J80">
        <v>1877</v>
      </c>
      <c r="K80" s="87">
        <v>1.0312548437500002</v>
      </c>
      <c r="L80" t="b">
        <v>0</v>
      </c>
      <c r="M80" t="s">
        <v>616</v>
      </c>
      <c r="N80" t="s">
        <v>42</v>
      </c>
    </row>
    <row r="81" spans="1:14">
      <c r="A81" t="s">
        <v>732</v>
      </c>
      <c r="B81" s="278">
        <v>45820.665046296293</v>
      </c>
      <c r="C81">
        <v>315</v>
      </c>
      <c r="D81">
        <v>0.01</v>
      </c>
      <c r="E81">
        <v>0</v>
      </c>
      <c r="F81">
        <v>0.01</v>
      </c>
      <c r="G81">
        <v>0</v>
      </c>
      <c r="H81">
        <v>0</v>
      </c>
      <c r="I81">
        <v>5</v>
      </c>
      <c r="J81">
        <v>779</v>
      </c>
      <c r="K81" s="87">
        <v>1.0937545312500001</v>
      </c>
      <c r="L81" t="b">
        <v>0</v>
      </c>
      <c r="M81" t="s">
        <v>616</v>
      </c>
      <c r="N81" t="s">
        <v>42</v>
      </c>
    </row>
    <row r="82" spans="1:14">
      <c r="A82" t="s">
        <v>733</v>
      </c>
      <c r="B82" s="278">
        <v>45818.672523148147</v>
      </c>
      <c r="C82">
        <v>320</v>
      </c>
      <c r="D82">
        <v>0.01</v>
      </c>
      <c r="E82">
        <v>0</v>
      </c>
      <c r="F82">
        <v>0</v>
      </c>
      <c r="G82">
        <v>0</v>
      </c>
      <c r="H82">
        <v>0</v>
      </c>
      <c r="I82">
        <v>1</v>
      </c>
      <c r="J82">
        <v>0</v>
      </c>
      <c r="K82" s="87">
        <v>0.50000500000000003</v>
      </c>
      <c r="L82" t="b">
        <v>0</v>
      </c>
      <c r="M82" t="s">
        <v>616</v>
      </c>
      <c r="N82" t="s">
        <v>42</v>
      </c>
    </row>
    <row r="83" spans="1:14">
      <c r="A83" t="s">
        <v>734</v>
      </c>
      <c r="B83" s="278">
        <v>45852.562523148146</v>
      </c>
      <c r="C83">
        <v>325</v>
      </c>
      <c r="D83">
        <v>0.01</v>
      </c>
      <c r="E83">
        <v>0</v>
      </c>
      <c r="F83">
        <v>0.01</v>
      </c>
      <c r="G83">
        <v>0</v>
      </c>
      <c r="H83">
        <v>0</v>
      </c>
      <c r="I83">
        <v>1</v>
      </c>
      <c r="J83">
        <v>1263</v>
      </c>
      <c r="K83" s="87">
        <v>1.15625421875</v>
      </c>
      <c r="L83" t="b">
        <v>0</v>
      </c>
      <c r="M83" t="s">
        <v>616</v>
      </c>
      <c r="N83" t="s">
        <v>42</v>
      </c>
    </row>
    <row r="84" spans="1:14">
      <c r="A84" t="s">
        <v>735</v>
      </c>
      <c r="B84" s="278">
        <v>45826.795949074076</v>
      </c>
      <c r="C84">
        <v>330</v>
      </c>
      <c r="D84">
        <v>0.01</v>
      </c>
      <c r="E84">
        <v>0</v>
      </c>
      <c r="F84">
        <v>0.01</v>
      </c>
      <c r="G84">
        <v>0</v>
      </c>
      <c r="H84">
        <v>0</v>
      </c>
      <c r="I84">
        <v>31</v>
      </c>
      <c r="J84">
        <v>464</v>
      </c>
      <c r="K84" s="87">
        <v>1.1875040625</v>
      </c>
      <c r="L84" t="b">
        <v>0</v>
      </c>
      <c r="M84" t="s">
        <v>616</v>
      </c>
      <c r="N84" t="s">
        <v>42</v>
      </c>
    </row>
    <row r="85" spans="1:14">
      <c r="A85" t="s">
        <v>736</v>
      </c>
      <c r="B85" s="278">
        <v>45852.5625462963</v>
      </c>
      <c r="C85">
        <v>340</v>
      </c>
      <c r="D85">
        <v>0.01</v>
      </c>
      <c r="E85">
        <v>0</v>
      </c>
      <c r="F85">
        <v>0.01</v>
      </c>
      <c r="G85">
        <v>0</v>
      </c>
      <c r="H85">
        <v>0</v>
      </c>
      <c r="I85">
        <v>1</v>
      </c>
      <c r="J85">
        <v>1482</v>
      </c>
      <c r="K85" s="87">
        <v>1.2500037499999999</v>
      </c>
      <c r="L85" t="b">
        <v>0</v>
      </c>
      <c r="M85" t="s">
        <v>616</v>
      </c>
      <c r="N85" t="s">
        <v>42</v>
      </c>
    </row>
    <row r="86" spans="1:14">
      <c r="A86" t="s">
        <v>737</v>
      </c>
      <c r="B86" s="278">
        <v>45835.746562499997</v>
      </c>
      <c r="C86">
        <v>350</v>
      </c>
      <c r="D86">
        <v>0.01</v>
      </c>
      <c r="E86">
        <v>0</v>
      </c>
      <c r="F86">
        <v>0.01</v>
      </c>
      <c r="G86">
        <v>0</v>
      </c>
      <c r="H86">
        <v>0</v>
      </c>
      <c r="I86">
        <v>1</v>
      </c>
      <c r="J86">
        <v>228</v>
      </c>
      <c r="K86" s="87">
        <v>1.3125034374999998</v>
      </c>
      <c r="L86" t="b">
        <v>0</v>
      </c>
      <c r="M86" t="s">
        <v>616</v>
      </c>
      <c r="N86" t="s">
        <v>42</v>
      </c>
    </row>
    <row r="87" spans="1:14">
      <c r="A87" t="s">
        <v>738</v>
      </c>
      <c r="B87" s="278">
        <v>45782.584155092591</v>
      </c>
      <c r="C87">
        <v>360</v>
      </c>
      <c r="D87">
        <v>0.02</v>
      </c>
      <c r="E87">
        <v>0</v>
      </c>
      <c r="F87">
        <v>0.01</v>
      </c>
      <c r="G87">
        <v>0</v>
      </c>
      <c r="H87">
        <v>0</v>
      </c>
      <c r="I87">
        <v>10</v>
      </c>
      <c r="J87">
        <v>94</v>
      </c>
      <c r="K87" s="87">
        <v>1.4062529687500001</v>
      </c>
      <c r="L87" t="b">
        <v>0</v>
      </c>
      <c r="M87" t="s">
        <v>616</v>
      </c>
      <c r="N87" t="s">
        <v>42</v>
      </c>
    </row>
    <row r="88" spans="1:14">
      <c r="A88" t="s">
        <v>739</v>
      </c>
      <c r="B88" s="278">
        <v>45807.822465277779</v>
      </c>
      <c r="C88">
        <v>370</v>
      </c>
      <c r="D88">
        <v>0.01</v>
      </c>
      <c r="E88">
        <v>0</v>
      </c>
      <c r="F88">
        <v>0.01</v>
      </c>
      <c r="G88">
        <v>0</v>
      </c>
      <c r="H88">
        <v>0</v>
      </c>
      <c r="I88">
        <v>50</v>
      </c>
      <c r="J88">
        <v>140</v>
      </c>
      <c r="K88" s="87">
        <v>1.46875265625</v>
      </c>
      <c r="L88" t="b">
        <v>0</v>
      </c>
      <c r="M88" t="s">
        <v>616</v>
      </c>
      <c r="N88" t="s">
        <v>42</v>
      </c>
    </row>
    <row r="89" spans="1:14">
      <c r="A89" t="s">
        <v>740</v>
      </c>
      <c r="B89" s="278">
        <v>45825.739039351851</v>
      </c>
      <c r="C89">
        <v>380</v>
      </c>
      <c r="D89">
        <v>0.01</v>
      </c>
      <c r="E89">
        <v>0</v>
      </c>
      <c r="F89">
        <v>0.01</v>
      </c>
      <c r="G89">
        <v>0</v>
      </c>
      <c r="H89">
        <v>0</v>
      </c>
      <c r="I89">
        <v>1</v>
      </c>
      <c r="J89">
        <v>842</v>
      </c>
      <c r="K89" s="87">
        <v>1.5312523437499999</v>
      </c>
      <c r="L89" t="b">
        <v>0</v>
      </c>
      <c r="M89" t="s">
        <v>616</v>
      </c>
      <c r="N89" t="s">
        <v>42</v>
      </c>
    </row>
    <row r="90" spans="1:14">
      <c r="A90" t="s">
        <v>741</v>
      </c>
      <c r="B90" s="278">
        <v>45824.737071759257</v>
      </c>
      <c r="C90">
        <v>390</v>
      </c>
      <c r="D90">
        <v>0.01</v>
      </c>
      <c r="E90">
        <v>0</v>
      </c>
      <c r="F90">
        <v>0.01</v>
      </c>
      <c r="G90">
        <v>0</v>
      </c>
      <c r="H90">
        <v>0</v>
      </c>
      <c r="I90">
        <v>10</v>
      </c>
      <c r="J90">
        <v>299</v>
      </c>
      <c r="K90" s="87">
        <v>1.5625021874999998</v>
      </c>
      <c r="L90" t="b">
        <v>0</v>
      </c>
      <c r="M90" t="s">
        <v>616</v>
      </c>
      <c r="N90" t="s">
        <v>42</v>
      </c>
    </row>
    <row r="91" spans="1:14">
      <c r="A91" t="s">
        <v>742</v>
      </c>
      <c r="B91" s="278">
        <v>45852.5625</v>
      </c>
      <c r="C91">
        <v>400</v>
      </c>
      <c r="D91">
        <v>0.01</v>
      </c>
      <c r="E91">
        <v>0</v>
      </c>
      <c r="F91">
        <v>0.01</v>
      </c>
      <c r="G91">
        <v>0</v>
      </c>
      <c r="H91">
        <v>0</v>
      </c>
      <c r="I91">
        <v>2</v>
      </c>
      <c r="J91">
        <v>5885</v>
      </c>
      <c r="K91" s="87">
        <v>1.6250018749999999</v>
      </c>
      <c r="L91" t="b">
        <v>0</v>
      </c>
      <c r="M91" t="s">
        <v>616</v>
      </c>
      <c r="N91" t="s">
        <v>42</v>
      </c>
    </row>
    <row r="92" spans="1:14">
      <c r="B92" s="278"/>
    </row>
    <row r="93" spans="1:14">
      <c r="B93" s="278"/>
    </row>
    <row r="94" spans="1:14">
      <c r="B94" s="278"/>
    </row>
    <row r="95" spans="1:14">
      <c r="B95" s="278"/>
    </row>
    <row r="96" spans="1:14">
      <c r="B96" s="278"/>
    </row>
    <row r="97" spans="1:14">
      <c r="B97" s="278"/>
    </row>
    <row r="98" spans="1:14">
      <c r="B98" s="278"/>
    </row>
    <row r="99" spans="1:14">
      <c r="B99" s="278"/>
    </row>
    <row r="100" spans="1:14">
      <c r="B100" s="278"/>
    </row>
    <row r="101" spans="1:14">
      <c r="B101" s="278"/>
    </row>
    <row r="102" spans="1:14">
      <c r="B102" s="278"/>
    </row>
    <row r="103" spans="1:14">
      <c r="A103" t="s">
        <v>617</v>
      </c>
      <c r="B103" s="278"/>
    </row>
    <row r="104" spans="1:14">
      <c r="A104" t="s">
        <v>602</v>
      </c>
      <c r="B104" s="278" t="s">
        <v>603</v>
      </c>
      <c r="C104" t="s">
        <v>604</v>
      </c>
      <c r="D104" t="s">
        <v>605</v>
      </c>
      <c r="E104" t="s">
        <v>606</v>
      </c>
      <c r="F104" t="s">
        <v>607</v>
      </c>
      <c r="G104" t="s">
        <v>608</v>
      </c>
      <c r="H104" t="s">
        <v>609</v>
      </c>
      <c r="I104" t="s">
        <v>610</v>
      </c>
      <c r="J104" t="s">
        <v>611</v>
      </c>
      <c r="K104" s="87" t="s">
        <v>612</v>
      </c>
      <c r="L104" t="s">
        <v>613</v>
      </c>
      <c r="M104" t="s">
        <v>614</v>
      </c>
      <c r="N104" t="s">
        <v>615</v>
      </c>
    </row>
    <row r="105" spans="1:14">
      <c r="A105" t="s">
        <v>743</v>
      </c>
      <c r="B105" s="278">
        <v>45847.689675925925</v>
      </c>
      <c r="C105">
        <v>90</v>
      </c>
      <c r="D105">
        <v>0.01</v>
      </c>
      <c r="E105">
        <v>0</v>
      </c>
      <c r="F105">
        <v>0.01</v>
      </c>
      <c r="G105">
        <v>0</v>
      </c>
      <c r="H105">
        <v>0</v>
      </c>
      <c r="I105">
        <v>1</v>
      </c>
      <c r="J105">
        <v>5285</v>
      </c>
      <c r="K105" s="87">
        <v>2.1875045312499997</v>
      </c>
      <c r="L105" t="b">
        <v>0</v>
      </c>
      <c r="M105" t="s">
        <v>616</v>
      </c>
      <c r="N105" t="s">
        <v>42</v>
      </c>
    </row>
    <row r="106" spans="1:14">
      <c r="A106" t="s">
        <v>744</v>
      </c>
      <c r="B106" s="278">
        <v>45849.57298611111</v>
      </c>
      <c r="C106">
        <v>95</v>
      </c>
      <c r="D106">
        <v>0.01</v>
      </c>
      <c r="E106">
        <v>0</v>
      </c>
      <c r="F106">
        <v>0.01</v>
      </c>
      <c r="G106">
        <v>0</v>
      </c>
      <c r="H106">
        <v>0</v>
      </c>
      <c r="I106">
        <v>2</v>
      </c>
      <c r="J106">
        <v>6573</v>
      </c>
      <c r="K106" s="87">
        <v>2.0625048437499998</v>
      </c>
      <c r="L106" t="b">
        <v>0</v>
      </c>
      <c r="M106" t="s">
        <v>616</v>
      </c>
      <c r="N106" t="s">
        <v>42</v>
      </c>
    </row>
    <row r="107" spans="1:14">
      <c r="A107" t="s">
        <v>745</v>
      </c>
      <c r="B107" s="278">
        <v>45845.827233796299</v>
      </c>
      <c r="C107">
        <v>100</v>
      </c>
      <c r="D107">
        <v>0.01</v>
      </c>
      <c r="E107">
        <v>0</v>
      </c>
      <c r="F107">
        <v>0.01</v>
      </c>
      <c r="G107">
        <v>0</v>
      </c>
      <c r="H107">
        <v>0</v>
      </c>
      <c r="I107">
        <v>2</v>
      </c>
      <c r="J107">
        <v>5818</v>
      </c>
      <c r="K107" s="87">
        <v>1.9375003125000001</v>
      </c>
      <c r="L107" t="b">
        <v>0</v>
      </c>
      <c r="M107" t="s">
        <v>616</v>
      </c>
      <c r="N107" t="s">
        <v>42</v>
      </c>
    </row>
    <row r="108" spans="1:14">
      <c r="A108" t="s">
        <v>746</v>
      </c>
      <c r="B108" s="278">
        <v>45838.817291666666</v>
      </c>
      <c r="C108">
        <v>105</v>
      </c>
      <c r="D108">
        <v>0.01</v>
      </c>
      <c r="E108">
        <v>0</v>
      </c>
      <c r="F108">
        <v>0.01</v>
      </c>
      <c r="G108">
        <v>0</v>
      </c>
      <c r="H108">
        <v>0</v>
      </c>
      <c r="I108">
        <v>39</v>
      </c>
      <c r="J108">
        <v>1627</v>
      </c>
      <c r="K108" s="87">
        <v>1.8125009374999999</v>
      </c>
      <c r="L108" t="b">
        <v>0</v>
      </c>
      <c r="M108" t="s">
        <v>616</v>
      </c>
      <c r="N108" t="s">
        <v>42</v>
      </c>
    </row>
    <row r="109" spans="1:14">
      <c r="A109" t="s">
        <v>747</v>
      </c>
      <c r="B109" s="278">
        <v>45839.782812500001</v>
      </c>
      <c r="C109">
        <v>110</v>
      </c>
      <c r="D109">
        <v>0.01</v>
      </c>
      <c r="E109">
        <v>0</v>
      </c>
      <c r="F109">
        <v>0.01</v>
      </c>
      <c r="G109">
        <v>0</v>
      </c>
      <c r="H109">
        <v>0</v>
      </c>
      <c r="I109">
        <v>526</v>
      </c>
      <c r="J109">
        <v>2560</v>
      </c>
      <c r="K109" s="87">
        <v>1.6875015625000001</v>
      </c>
      <c r="L109" t="b">
        <v>0</v>
      </c>
      <c r="M109" t="s">
        <v>616</v>
      </c>
      <c r="N109" t="s">
        <v>42</v>
      </c>
    </row>
    <row r="110" spans="1:14">
      <c r="A110" t="s">
        <v>748</v>
      </c>
      <c r="B110" s="278">
        <v>45849.604768518519</v>
      </c>
      <c r="C110">
        <v>115</v>
      </c>
      <c r="D110">
        <v>0.01</v>
      </c>
      <c r="E110">
        <v>0</v>
      </c>
      <c r="F110">
        <v>0.01</v>
      </c>
      <c r="G110">
        <v>0</v>
      </c>
      <c r="H110">
        <v>0</v>
      </c>
      <c r="I110">
        <v>20</v>
      </c>
      <c r="J110">
        <v>2110</v>
      </c>
      <c r="K110" s="87">
        <v>1.5625021874999998</v>
      </c>
      <c r="L110" t="b">
        <v>0</v>
      </c>
      <c r="M110" t="s">
        <v>616</v>
      </c>
      <c r="N110" t="s">
        <v>42</v>
      </c>
    </row>
    <row r="111" spans="1:14">
      <c r="A111" t="s">
        <v>749</v>
      </c>
      <c r="B111" s="278">
        <v>45845.601284722223</v>
      </c>
      <c r="C111">
        <v>120</v>
      </c>
      <c r="D111">
        <v>0.01</v>
      </c>
      <c r="E111">
        <v>0</v>
      </c>
      <c r="F111">
        <v>0.01</v>
      </c>
      <c r="G111">
        <v>0</v>
      </c>
      <c r="H111">
        <v>0</v>
      </c>
      <c r="I111">
        <v>100</v>
      </c>
      <c r="J111">
        <v>1689</v>
      </c>
      <c r="K111" s="87">
        <v>1.46875265625</v>
      </c>
      <c r="L111" t="b">
        <v>0</v>
      </c>
      <c r="M111" t="s">
        <v>616</v>
      </c>
      <c r="N111" t="s">
        <v>42</v>
      </c>
    </row>
    <row r="112" spans="1:14">
      <c r="A112" t="s">
        <v>750</v>
      </c>
      <c r="B112" s="278">
        <v>45845.687418981484</v>
      </c>
      <c r="C112">
        <v>125</v>
      </c>
      <c r="D112">
        <v>0.01</v>
      </c>
      <c r="E112">
        <v>0</v>
      </c>
      <c r="F112">
        <v>0.01</v>
      </c>
      <c r="G112">
        <v>0</v>
      </c>
      <c r="H112">
        <v>0</v>
      </c>
      <c r="I112">
        <v>3</v>
      </c>
      <c r="J112">
        <v>1803</v>
      </c>
      <c r="K112" s="87">
        <v>1.3750031249999999</v>
      </c>
      <c r="L112" t="b">
        <v>0</v>
      </c>
      <c r="M112" t="s">
        <v>616</v>
      </c>
      <c r="N112" t="s">
        <v>42</v>
      </c>
    </row>
    <row r="113" spans="1:14">
      <c r="A113" t="s">
        <v>751</v>
      </c>
      <c r="B113" s="278">
        <v>45848.774386574078</v>
      </c>
      <c r="C113">
        <v>130</v>
      </c>
      <c r="D113">
        <v>0.01</v>
      </c>
      <c r="E113">
        <v>0</v>
      </c>
      <c r="F113">
        <v>0.01</v>
      </c>
      <c r="G113">
        <v>0</v>
      </c>
      <c r="H113">
        <v>0</v>
      </c>
      <c r="I113">
        <v>60</v>
      </c>
      <c r="J113">
        <v>4361</v>
      </c>
      <c r="K113" s="87">
        <v>1.2812535937499998</v>
      </c>
      <c r="L113" t="b">
        <v>0</v>
      </c>
      <c r="M113" t="s">
        <v>616</v>
      </c>
      <c r="N113" t="s">
        <v>42</v>
      </c>
    </row>
    <row r="114" spans="1:14">
      <c r="A114" t="s">
        <v>752</v>
      </c>
      <c r="B114" s="278">
        <v>45849.738275462965</v>
      </c>
      <c r="C114">
        <v>135</v>
      </c>
      <c r="D114">
        <v>0.01</v>
      </c>
      <c r="E114">
        <v>0</v>
      </c>
      <c r="F114">
        <v>0.01</v>
      </c>
      <c r="G114">
        <v>0</v>
      </c>
      <c r="H114">
        <v>0</v>
      </c>
      <c r="I114">
        <v>6</v>
      </c>
      <c r="J114">
        <v>1595</v>
      </c>
      <c r="K114" s="87">
        <v>1.1875040625</v>
      </c>
      <c r="L114" t="b">
        <v>0</v>
      </c>
      <c r="M114" t="s">
        <v>616</v>
      </c>
      <c r="N114" t="s">
        <v>42</v>
      </c>
    </row>
    <row r="115" spans="1:14">
      <c r="A115" t="s">
        <v>753</v>
      </c>
      <c r="B115" s="278">
        <v>45849.696689814817</v>
      </c>
      <c r="C115">
        <v>140</v>
      </c>
      <c r="D115">
        <v>0.01</v>
      </c>
      <c r="E115">
        <v>0</v>
      </c>
      <c r="F115">
        <v>0.01</v>
      </c>
      <c r="G115">
        <v>0</v>
      </c>
      <c r="H115">
        <v>0</v>
      </c>
      <c r="I115">
        <v>5</v>
      </c>
      <c r="J115">
        <v>21553</v>
      </c>
      <c r="K115" s="87">
        <v>1.0937545312500001</v>
      </c>
      <c r="L115" t="b">
        <v>0</v>
      </c>
      <c r="M115" t="s">
        <v>616</v>
      </c>
      <c r="N115" t="s">
        <v>42</v>
      </c>
    </row>
    <row r="116" spans="1:14">
      <c r="A116" t="s">
        <v>754</v>
      </c>
      <c r="B116" s="278">
        <v>45849.708831018521</v>
      </c>
      <c r="C116">
        <v>145</v>
      </c>
      <c r="D116">
        <v>0.01</v>
      </c>
      <c r="E116">
        <v>0</v>
      </c>
      <c r="F116">
        <v>0.01</v>
      </c>
      <c r="G116">
        <v>0</v>
      </c>
      <c r="H116">
        <v>0</v>
      </c>
      <c r="I116">
        <v>1316</v>
      </c>
      <c r="J116">
        <v>2769</v>
      </c>
      <c r="K116" s="87">
        <v>0.98437515625000005</v>
      </c>
      <c r="L116" t="b">
        <v>0</v>
      </c>
      <c r="M116" t="s">
        <v>616</v>
      </c>
      <c r="N116" t="s">
        <v>42</v>
      </c>
    </row>
    <row r="117" spans="1:14">
      <c r="A117" t="s">
        <v>755</v>
      </c>
      <c r="B117" s="278">
        <v>45849.736354166664</v>
      </c>
      <c r="C117">
        <v>150</v>
      </c>
      <c r="D117">
        <v>0.01</v>
      </c>
      <c r="E117">
        <v>0</v>
      </c>
      <c r="F117">
        <v>0.01</v>
      </c>
      <c r="G117">
        <v>0</v>
      </c>
      <c r="H117">
        <v>0</v>
      </c>
      <c r="I117">
        <v>10</v>
      </c>
      <c r="J117">
        <v>4958</v>
      </c>
      <c r="K117" s="87">
        <v>0.90625093749999996</v>
      </c>
      <c r="L117" t="b">
        <v>0</v>
      </c>
      <c r="M117" t="s">
        <v>616</v>
      </c>
      <c r="N117" t="s">
        <v>42</v>
      </c>
    </row>
    <row r="118" spans="1:14">
      <c r="A118" t="s">
        <v>756</v>
      </c>
      <c r="B118" s="278">
        <v>45852.564293981479</v>
      </c>
      <c r="C118">
        <v>155</v>
      </c>
      <c r="D118">
        <v>0.01</v>
      </c>
      <c r="E118">
        <v>0</v>
      </c>
      <c r="F118">
        <v>0.01</v>
      </c>
      <c r="G118">
        <v>0</v>
      </c>
      <c r="H118">
        <v>0</v>
      </c>
      <c r="I118">
        <v>2</v>
      </c>
      <c r="J118">
        <v>2517</v>
      </c>
      <c r="K118" s="87">
        <v>0.81250187499999993</v>
      </c>
      <c r="L118" t="b">
        <v>0</v>
      </c>
      <c r="M118" t="s">
        <v>616</v>
      </c>
      <c r="N118" t="s">
        <v>42</v>
      </c>
    </row>
    <row r="119" spans="1:14">
      <c r="A119" t="s">
        <v>757</v>
      </c>
      <c r="B119" s="278">
        <v>45852.594050925924</v>
      </c>
      <c r="C119">
        <v>160</v>
      </c>
      <c r="D119">
        <v>0.01</v>
      </c>
      <c r="E119">
        <v>0</v>
      </c>
      <c r="F119">
        <v>0.01</v>
      </c>
      <c r="G119">
        <v>0</v>
      </c>
      <c r="H119">
        <v>0</v>
      </c>
      <c r="I119">
        <v>141</v>
      </c>
      <c r="J119">
        <v>14716</v>
      </c>
      <c r="K119" s="87">
        <v>0.75000250000000002</v>
      </c>
      <c r="L119" t="b">
        <v>0</v>
      </c>
      <c r="M119" t="s">
        <v>616</v>
      </c>
      <c r="N119" t="s">
        <v>42</v>
      </c>
    </row>
    <row r="120" spans="1:14">
      <c r="A120" t="s">
        <v>758</v>
      </c>
      <c r="B120" s="278">
        <v>45852.583564814813</v>
      </c>
      <c r="C120">
        <v>165</v>
      </c>
      <c r="D120">
        <v>0.02</v>
      </c>
      <c r="E120">
        <v>0.01</v>
      </c>
      <c r="F120">
        <v>0.02</v>
      </c>
      <c r="G120">
        <v>0.01</v>
      </c>
      <c r="H120">
        <v>100</v>
      </c>
      <c r="I120">
        <v>109</v>
      </c>
      <c r="J120">
        <v>26371</v>
      </c>
      <c r="K120" s="87">
        <v>0.73437765624999995</v>
      </c>
      <c r="L120" t="b">
        <v>0</v>
      </c>
      <c r="M120" t="s">
        <v>616</v>
      </c>
      <c r="N120" t="s">
        <v>42</v>
      </c>
    </row>
    <row r="121" spans="1:14">
      <c r="A121" t="s">
        <v>759</v>
      </c>
      <c r="B121" s="278">
        <v>45852.604027777779</v>
      </c>
      <c r="C121">
        <v>170</v>
      </c>
      <c r="D121">
        <v>0.02</v>
      </c>
      <c r="E121">
        <v>0.01</v>
      </c>
      <c r="F121">
        <v>0.02</v>
      </c>
      <c r="G121">
        <v>0</v>
      </c>
      <c r="H121">
        <v>0</v>
      </c>
      <c r="I121">
        <v>30</v>
      </c>
      <c r="J121">
        <v>18073</v>
      </c>
      <c r="K121" s="87">
        <v>0.64844101562500001</v>
      </c>
      <c r="L121" t="b">
        <v>0</v>
      </c>
      <c r="M121" t="s">
        <v>616</v>
      </c>
      <c r="N121" t="s">
        <v>42</v>
      </c>
    </row>
    <row r="122" spans="1:14">
      <c r="A122" t="s">
        <v>760</v>
      </c>
      <c r="B122" s="278">
        <v>45852.594652777778</v>
      </c>
      <c r="C122">
        <v>175</v>
      </c>
      <c r="D122">
        <v>0.03</v>
      </c>
      <c r="E122">
        <v>0.02</v>
      </c>
      <c r="F122">
        <v>0.03</v>
      </c>
      <c r="G122">
        <v>0.01</v>
      </c>
      <c r="H122">
        <v>100</v>
      </c>
      <c r="I122">
        <v>153</v>
      </c>
      <c r="J122">
        <v>23691</v>
      </c>
      <c r="K122" s="87">
        <v>0.59375406250000007</v>
      </c>
      <c r="L122" t="b">
        <v>0</v>
      </c>
      <c r="M122" t="s">
        <v>616</v>
      </c>
      <c r="N122" t="s">
        <v>42</v>
      </c>
    </row>
    <row r="123" spans="1:14">
      <c r="A123" t="s">
        <v>761</v>
      </c>
      <c r="B123" s="278">
        <v>45852.56994212963</v>
      </c>
      <c r="C123">
        <v>177.5</v>
      </c>
      <c r="D123">
        <v>0.03</v>
      </c>
      <c r="E123">
        <v>0.02</v>
      </c>
      <c r="F123">
        <v>0.03</v>
      </c>
      <c r="G123">
        <v>0</v>
      </c>
      <c r="H123">
        <v>0</v>
      </c>
      <c r="I123">
        <v>221</v>
      </c>
      <c r="J123">
        <v>1013</v>
      </c>
      <c r="K123" s="87">
        <v>0.55078574218750009</v>
      </c>
      <c r="L123" t="b">
        <v>0</v>
      </c>
      <c r="M123" t="s">
        <v>616</v>
      </c>
      <c r="N123" t="s">
        <v>42</v>
      </c>
    </row>
    <row r="124" spans="1:14">
      <c r="A124" t="s">
        <v>762</v>
      </c>
      <c r="B124" s="278">
        <v>45852.602986111109</v>
      </c>
      <c r="C124">
        <v>180</v>
      </c>
      <c r="D124">
        <v>0.02</v>
      </c>
      <c r="E124">
        <v>0.02</v>
      </c>
      <c r="F124">
        <v>0.03</v>
      </c>
      <c r="G124">
        <v>-0.02</v>
      </c>
      <c r="H124">
        <v>-50</v>
      </c>
      <c r="I124">
        <v>336</v>
      </c>
      <c r="J124">
        <v>13765</v>
      </c>
      <c r="K124" s="87">
        <v>0.50781742187500001</v>
      </c>
      <c r="L124" t="b">
        <v>0</v>
      </c>
      <c r="M124" t="s">
        <v>616</v>
      </c>
      <c r="N124" t="s">
        <v>42</v>
      </c>
    </row>
    <row r="125" spans="1:14">
      <c r="A125" t="s">
        <v>763</v>
      </c>
      <c r="B125" s="278">
        <v>45852.596898148149</v>
      </c>
      <c r="C125">
        <v>182.5</v>
      </c>
      <c r="D125">
        <v>0.03</v>
      </c>
      <c r="E125">
        <v>0.03</v>
      </c>
      <c r="F125">
        <v>0.04</v>
      </c>
      <c r="G125">
        <v>0</v>
      </c>
      <c r="H125">
        <v>0</v>
      </c>
      <c r="I125">
        <v>37</v>
      </c>
      <c r="J125">
        <v>1629</v>
      </c>
      <c r="K125" s="87">
        <v>0.49219257812500006</v>
      </c>
      <c r="L125" t="b">
        <v>0</v>
      </c>
      <c r="M125" t="s">
        <v>616</v>
      </c>
      <c r="N125" t="s">
        <v>42</v>
      </c>
    </row>
    <row r="126" spans="1:14">
      <c r="A126" t="s">
        <v>764</v>
      </c>
      <c r="B126" s="278">
        <v>45852.602986111109</v>
      </c>
      <c r="C126">
        <v>185</v>
      </c>
      <c r="D126">
        <v>0.04</v>
      </c>
      <c r="E126">
        <v>0.03</v>
      </c>
      <c r="F126">
        <v>0.04</v>
      </c>
      <c r="G126">
        <v>-1.0000001999999999E-2</v>
      </c>
      <c r="H126">
        <v>-25.000004000000001</v>
      </c>
      <c r="I126">
        <v>28</v>
      </c>
      <c r="J126">
        <v>23680</v>
      </c>
      <c r="K126" s="87">
        <v>0.44922425781249997</v>
      </c>
      <c r="L126" t="b">
        <v>0</v>
      </c>
      <c r="M126" t="s">
        <v>616</v>
      </c>
      <c r="N126" t="s">
        <v>42</v>
      </c>
    </row>
    <row r="127" spans="1:14">
      <c r="A127" t="s">
        <v>765</v>
      </c>
      <c r="B127" s="278">
        <v>45852.607395833336</v>
      </c>
      <c r="C127">
        <v>187.5</v>
      </c>
      <c r="D127">
        <v>0.04</v>
      </c>
      <c r="E127">
        <v>0.04</v>
      </c>
      <c r="F127">
        <v>0.05</v>
      </c>
      <c r="G127">
        <v>-1.0000001999999999E-2</v>
      </c>
      <c r="H127">
        <v>-20.000001999999999</v>
      </c>
      <c r="I127">
        <v>526</v>
      </c>
      <c r="J127">
        <v>1552</v>
      </c>
      <c r="K127" s="87">
        <v>0.41602146484374997</v>
      </c>
      <c r="L127" t="b">
        <v>0</v>
      </c>
      <c r="M127" t="s">
        <v>616</v>
      </c>
      <c r="N127" t="s">
        <v>42</v>
      </c>
    </row>
    <row r="128" spans="1:14">
      <c r="A128" t="s">
        <v>766</v>
      </c>
      <c r="B128" s="278">
        <v>45852.60560185185</v>
      </c>
      <c r="C128">
        <v>190</v>
      </c>
      <c r="D128">
        <v>0.05</v>
      </c>
      <c r="E128">
        <v>0.05</v>
      </c>
      <c r="F128">
        <v>0.06</v>
      </c>
      <c r="G128">
        <v>-9.9999979999999995E-3</v>
      </c>
      <c r="H128">
        <v>-16.666661999999999</v>
      </c>
      <c r="I128">
        <v>1343</v>
      </c>
      <c r="J128">
        <v>20763</v>
      </c>
      <c r="K128" s="87">
        <v>0.38086556640624997</v>
      </c>
      <c r="L128" t="b">
        <v>0</v>
      </c>
      <c r="M128" t="s">
        <v>616</v>
      </c>
      <c r="N128" t="s">
        <v>42</v>
      </c>
    </row>
    <row r="129" spans="1:14">
      <c r="A129" t="s">
        <v>767</v>
      </c>
      <c r="B129" s="278">
        <v>45852.60460648148</v>
      </c>
      <c r="C129">
        <v>192.5</v>
      </c>
      <c r="D129">
        <v>0.08</v>
      </c>
      <c r="E129">
        <v>7.0000000000000007E-2</v>
      </c>
      <c r="F129">
        <v>0.08</v>
      </c>
      <c r="G129">
        <v>9.9999979999999995E-3</v>
      </c>
      <c r="H129">
        <v>14.285710999999999</v>
      </c>
      <c r="I129">
        <v>2485</v>
      </c>
      <c r="J129">
        <v>4382</v>
      </c>
      <c r="K129" s="87">
        <v>0.35059243164062492</v>
      </c>
      <c r="L129" t="b">
        <v>0</v>
      </c>
      <c r="M129" t="s">
        <v>616</v>
      </c>
      <c r="N129" t="s">
        <v>42</v>
      </c>
    </row>
    <row r="130" spans="1:14">
      <c r="A130" t="s">
        <v>768</v>
      </c>
      <c r="B130" s="278">
        <v>45852.607071759259</v>
      </c>
      <c r="C130">
        <v>195</v>
      </c>
      <c r="D130">
        <v>0.11</v>
      </c>
      <c r="E130">
        <v>0.1</v>
      </c>
      <c r="F130">
        <v>0.11</v>
      </c>
      <c r="G130">
        <v>9.9999979999999995E-3</v>
      </c>
      <c r="H130">
        <v>9.9999970000000005</v>
      </c>
      <c r="I130">
        <v>2248</v>
      </c>
      <c r="J130">
        <v>20873</v>
      </c>
      <c r="K130" s="87">
        <v>0.31934274414062491</v>
      </c>
      <c r="L130" t="b">
        <v>0</v>
      </c>
      <c r="M130" t="s">
        <v>616</v>
      </c>
      <c r="N130" t="s">
        <v>42</v>
      </c>
    </row>
    <row r="131" spans="1:14">
      <c r="A131" t="s">
        <v>769</v>
      </c>
      <c r="B131" s="278">
        <v>45852.604259259257</v>
      </c>
      <c r="C131">
        <v>197.5</v>
      </c>
      <c r="D131">
        <v>0.17</v>
      </c>
      <c r="E131">
        <v>0.16</v>
      </c>
      <c r="F131">
        <v>0.17</v>
      </c>
      <c r="G131">
        <v>4.0000006999999997E-2</v>
      </c>
      <c r="H131">
        <v>30.769235999999999</v>
      </c>
      <c r="I131">
        <v>2814</v>
      </c>
      <c r="J131">
        <v>4171</v>
      </c>
      <c r="K131" s="87">
        <v>0.29395237304687494</v>
      </c>
      <c r="L131" t="b">
        <v>0</v>
      </c>
      <c r="M131" t="s">
        <v>616</v>
      </c>
      <c r="N131" t="s">
        <v>42</v>
      </c>
    </row>
    <row r="132" spans="1:14">
      <c r="A132" t="s">
        <v>770</v>
      </c>
      <c r="B132" s="278">
        <v>45852.607002314813</v>
      </c>
      <c r="C132">
        <v>200</v>
      </c>
      <c r="D132">
        <v>0.31</v>
      </c>
      <c r="E132">
        <v>0.3</v>
      </c>
      <c r="F132">
        <v>0.31</v>
      </c>
      <c r="G132">
        <v>0.10000001</v>
      </c>
      <c r="H132">
        <v>50.000003999999997</v>
      </c>
      <c r="I132">
        <v>5593</v>
      </c>
      <c r="J132">
        <v>37100</v>
      </c>
      <c r="K132" s="87">
        <v>0.27686270019531245</v>
      </c>
      <c r="L132" t="b">
        <v>0</v>
      </c>
      <c r="M132" t="s">
        <v>616</v>
      </c>
      <c r="N132" t="s">
        <v>42</v>
      </c>
    </row>
    <row r="133" spans="1:14">
      <c r="A133" t="s">
        <v>771</v>
      </c>
      <c r="B133" s="278">
        <v>45852.607314814813</v>
      </c>
      <c r="C133">
        <v>202.5</v>
      </c>
      <c r="D133">
        <v>0.6</v>
      </c>
      <c r="E133">
        <v>0.6</v>
      </c>
      <c r="F133">
        <v>0.62</v>
      </c>
      <c r="G133">
        <v>0.22000003000000001</v>
      </c>
      <c r="H133">
        <v>57.894750000000002</v>
      </c>
      <c r="I133">
        <v>8802</v>
      </c>
      <c r="J133">
        <v>7033</v>
      </c>
      <c r="K133" s="87">
        <v>0.2700268310546875</v>
      </c>
      <c r="L133" t="b">
        <v>0</v>
      </c>
      <c r="M133" t="s">
        <v>616</v>
      </c>
      <c r="N133" t="s">
        <v>42</v>
      </c>
    </row>
    <row r="134" spans="1:14">
      <c r="A134" t="s">
        <v>772</v>
      </c>
      <c r="B134" s="278">
        <v>45852.606620370374</v>
      </c>
      <c r="C134">
        <v>205</v>
      </c>
      <c r="D134">
        <v>1.1200000000000001</v>
      </c>
      <c r="E134">
        <v>1.1499999999999999</v>
      </c>
      <c r="F134">
        <v>1.17</v>
      </c>
      <c r="G134">
        <v>0.42000001999999997</v>
      </c>
      <c r="H134">
        <v>60</v>
      </c>
      <c r="I134">
        <v>17039</v>
      </c>
      <c r="J134">
        <v>32720</v>
      </c>
      <c r="K134" s="87">
        <v>0.26441165283203122</v>
      </c>
      <c r="L134" t="b">
        <v>0</v>
      </c>
      <c r="M134" t="s">
        <v>616</v>
      </c>
      <c r="N134" t="s">
        <v>42</v>
      </c>
    </row>
    <row r="135" spans="1:14">
      <c r="A135" t="s">
        <v>773</v>
      </c>
      <c r="B135" s="278">
        <v>45852.606921296298</v>
      </c>
      <c r="C135">
        <v>207.5</v>
      </c>
      <c r="D135">
        <v>2.04</v>
      </c>
      <c r="E135">
        <v>2.06</v>
      </c>
      <c r="F135">
        <v>2.08</v>
      </c>
      <c r="G135">
        <v>0.80999993999999997</v>
      </c>
      <c r="H135">
        <v>65.853650000000002</v>
      </c>
      <c r="I135">
        <v>12460</v>
      </c>
      <c r="J135">
        <v>8256</v>
      </c>
      <c r="K135" s="87">
        <v>0.26343510009765625</v>
      </c>
      <c r="L135" t="b">
        <v>0</v>
      </c>
      <c r="M135" t="s">
        <v>616</v>
      </c>
      <c r="N135" t="s">
        <v>42</v>
      </c>
    </row>
    <row r="136" spans="1:14">
      <c r="A136" t="s">
        <v>774</v>
      </c>
      <c r="B136" s="278">
        <v>45852.607002314813</v>
      </c>
      <c r="C136">
        <v>210</v>
      </c>
      <c r="D136">
        <v>3.4</v>
      </c>
      <c r="E136">
        <v>3.35</v>
      </c>
      <c r="F136">
        <v>3.4</v>
      </c>
      <c r="G136">
        <v>1.3600000999999999</v>
      </c>
      <c r="H136">
        <v>70.103099999999998</v>
      </c>
      <c r="I136">
        <v>6549</v>
      </c>
      <c r="J136">
        <v>29951</v>
      </c>
      <c r="K136" s="87">
        <v>0.26538820556640624</v>
      </c>
      <c r="L136" t="b">
        <v>1</v>
      </c>
      <c r="M136" t="s">
        <v>616</v>
      </c>
      <c r="N136" t="s">
        <v>42</v>
      </c>
    </row>
    <row r="137" spans="1:14">
      <c r="A137" t="s">
        <v>775</v>
      </c>
      <c r="B137" s="278">
        <v>45852.605891203704</v>
      </c>
      <c r="C137">
        <v>212.5</v>
      </c>
      <c r="D137">
        <v>5.03</v>
      </c>
      <c r="E137">
        <v>5</v>
      </c>
      <c r="F137">
        <v>5.0999999999999996</v>
      </c>
      <c r="G137">
        <v>1.7800001999999999</v>
      </c>
      <c r="H137">
        <v>54.769233999999997</v>
      </c>
      <c r="I137">
        <v>1528</v>
      </c>
      <c r="J137">
        <v>6319</v>
      </c>
      <c r="K137" s="87">
        <v>0.26929441650390623</v>
      </c>
      <c r="L137" t="b">
        <v>1</v>
      </c>
      <c r="M137" t="s">
        <v>616</v>
      </c>
      <c r="N137" t="s">
        <v>42</v>
      </c>
    </row>
    <row r="138" spans="1:14">
      <c r="A138" t="s">
        <v>776</v>
      </c>
      <c r="B138" s="278">
        <v>45852.604560185187</v>
      </c>
      <c r="C138">
        <v>215</v>
      </c>
      <c r="D138">
        <v>7.2</v>
      </c>
      <c r="E138">
        <v>7.15</v>
      </c>
      <c r="F138">
        <v>7.35</v>
      </c>
      <c r="G138">
        <v>2.33</v>
      </c>
      <c r="H138">
        <v>47.843944999999998</v>
      </c>
      <c r="I138">
        <v>1131</v>
      </c>
      <c r="J138">
        <v>11875</v>
      </c>
      <c r="K138" s="87">
        <v>0.31226273681640621</v>
      </c>
      <c r="L138" t="b">
        <v>1</v>
      </c>
      <c r="M138" t="s">
        <v>616</v>
      </c>
      <c r="N138" t="s">
        <v>42</v>
      </c>
    </row>
    <row r="139" spans="1:14">
      <c r="A139" t="s">
        <v>777</v>
      </c>
      <c r="B139" s="278">
        <v>45852.59648148148</v>
      </c>
      <c r="C139">
        <v>217.5</v>
      </c>
      <c r="D139">
        <v>9.15</v>
      </c>
      <c r="E139">
        <v>9.35</v>
      </c>
      <c r="F139">
        <v>9.5500000000000007</v>
      </c>
      <c r="G139">
        <v>2.5999994000000002</v>
      </c>
      <c r="H139">
        <v>39.694645000000001</v>
      </c>
      <c r="I139">
        <v>334</v>
      </c>
      <c r="J139">
        <v>1320</v>
      </c>
      <c r="K139" s="87">
        <v>0.32935240966796869</v>
      </c>
      <c r="L139" t="b">
        <v>1</v>
      </c>
      <c r="M139" t="s">
        <v>616</v>
      </c>
      <c r="N139" t="s">
        <v>42</v>
      </c>
    </row>
    <row r="140" spans="1:14">
      <c r="A140" t="s">
        <v>778</v>
      </c>
      <c r="B140" s="278">
        <v>45852.600289351853</v>
      </c>
      <c r="C140">
        <v>220</v>
      </c>
      <c r="D140">
        <v>11.58</v>
      </c>
      <c r="E140">
        <v>11.75</v>
      </c>
      <c r="F140">
        <v>11.95</v>
      </c>
      <c r="G140">
        <v>2.5299996999999999</v>
      </c>
      <c r="H140">
        <v>27.955797</v>
      </c>
      <c r="I140">
        <v>42</v>
      </c>
      <c r="J140">
        <v>7706</v>
      </c>
      <c r="K140" s="87">
        <v>0.36768210449218752</v>
      </c>
      <c r="L140" t="b">
        <v>1</v>
      </c>
      <c r="M140" t="s">
        <v>616</v>
      </c>
      <c r="N140" t="s">
        <v>42</v>
      </c>
    </row>
    <row r="141" spans="1:14">
      <c r="A141" t="s">
        <v>779</v>
      </c>
      <c r="B141" s="278">
        <v>45852.569120370368</v>
      </c>
      <c r="C141">
        <v>222.5</v>
      </c>
      <c r="D141">
        <v>13.05</v>
      </c>
      <c r="E141">
        <v>14.35</v>
      </c>
      <c r="F141">
        <v>14.55</v>
      </c>
      <c r="G141">
        <v>1.5500001999999999</v>
      </c>
      <c r="H141">
        <v>13.478262000000001</v>
      </c>
      <c r="I141">
        <v>12</v>
      </c>
      <c r="J141">
        <v>89</v>
      </c>
      <c r="K141" s="87">
        <v>0.44458563232421872</v>
      </c>
      <c r="L141" t="b">
        <v>1</v>
      </c>
      <c r="M141" t="s">
        <v>616</v>
      </c>
      <c r="N141" t="s">
        <v>42</v>
      </c>
    </row>
    <row r="142" spans="1:14">
      <c r="A142" t="s">
        <v>780</v>
      </c>
      <c r="B142" s="278">
        <v>45852.564467592594</v>
      </c>
      <c r="C142">
        <v>225</v>
      </c>
      <c r="D142">
        <v>17.05</v>
      </c>
      <c r="E142">
        <v>16.850000000000001</v>
      </c>
      <c r="F142">
        <v>17.100000000000001</v>
      </c>
      <c r="G142">
        <v>3.2199993</v>
      </c>
      <c r="H142">
        <v>23.282715</v>
      </c>
      <c r="I142">
        <v>5</v>
      </c>
      <c r="J142">
        <v>975</v>
      </c>
      <c r="K142" s="87">
        <v>0.50977052734375006</v>
      </c>
      <c r="L142" t="b">
        <v>1</v>
      </c>
      <c r="M142" t="s">
        <v>616</v>
      </c>
      <c r="N142" t="s">
        <v>42</v>
      </c>
    </row>
    <row r="143" spans="1:14">
      <c r="A143" t="s">
        <v>781</v>
      </c>
      <c r="B143" s="278">
        <v>45848.690787037034</v>
      </c>
      <c r="C143">
        <v>227.5</v>
      </c>
      <c r="D143">
        <v>15.54</v>
      </c>
      <c r="E143">
        <v>19.100000000000001</v>
      </c>
      <c r="F143">
        <v>19.45</v>
      </c>
      <c r="G143">
        <v>0</v>
      </c>
      <c r="H143">
        <v>0</v>
      </c>
      <c r="I143">
        <v>2</v>
      </c>
      <c r="J143">
        <v>1</v>
      </c>
      <c r="K143" s="87">
        <v>0.52441881835937498</v>
      </c>
      <c r="L143" t="b">
        <v>1</v>
      </c>
      <c r="M143" t="s">
        <v>616</v>
      </c>
      <c r="N143" t="s">
        <v>42</v>
      </c>
    </row>
    <row r="144" spans="1:14">
      <c r="A144" t="s">
        <v>782</v>
      </c>
      <c r="B144" s="278">
        <v>45852.590150462966</v>
      </c>
      <c r="C144">
        <v>230</v>
      </c>
      <c r="D144">
        <v>22</v>
      </c>
      <c r="E144">
        <v>21.9</v>
      </c>
      <c r="F144">
        <v>22.05</v>
      </c>
      <c r="G144">
        <v>3.0499991999999998</v>
      </c>
      <c r="H144">
        <v>16.094982000000002</v>
      </c>
      <c r="I144">
        <v>43</v>
      </c>
      <c r="J144">
        <v>1653</v>
      </c>
      <c r="K144" s="87">
        <v>0.58057060058593757</v>
      </c>
      <c r="L144" t="b">
        <v>1</v>
      </c>
      <c r="M144" t="s">
        <v>616</v>
      </c>
      <c r="N144" t="s">
        <v>42</v>
      </c>
    </row>
    <row r="145" spans="1:14">
      <c r="A145" t="s">
        <v>783</v>
      </c>
      <c r="B145" s="278">
        <v>45841.64466435185</v>
      </c>
      <c r="C145">
        <v>232.5</v>
      </c>
      <c r="D145">
        <v>18.649999999999999</v>
      </c>
      <c r="E145">
        <v>24.1</v>
      </c>
      <c r="F145">
        <v>24.65</v>
      </c>
      <c r="G145">
        <v>0</v>
      </c>
      <c r="H145">
        <v>0</v>
      </c>
      <c r="I145">
        <v>1500</v>
      </c>
      <c r="J145">
        <v>0</v>
      </c>
      <c r="K145" s="87">
        <v>0.59717199707031254</v>
      </c>
      <c r="L145" t="b">
        <v>1</v>
      </c>
      <c r="M145" t="s">
        <v>616</v>
      </c>
      <c r="N145" t="s">
        <v>42</v>
      </c>
    </row>
    <row r="146" spans="1:14">
      <c r="A146" t="s">
        <v>784</v>
      </c>
      <c r="B146" s="278">
        <v>45849.808472222219</v>
      </c>
      <c r="C146">
        <v>235</v>
      </c>
      <c r="D146">
        <v>23.85</v>
      </c>
      <c r="E146">
        <v>26.7</v>
      </c>
      <c r="F146">
        <v>27.15</v>
      </c>
      <c r="G146">
        <v>0</v>
      </c>
      <c r="H146">
        <v>0</v>
      </c>
      <c r="I146">
        <v>2330</v>
      </c>
      <c r="J146">
        <v>191</v>
      </c>
      <c r="K146" s="87">
        <v>0.65869481933593754</v>
      </c>
      <c r="L146" t="b">
        <v>1</v>
      </c>
      <c r="M146" t="s">
        <v>616</v>
      </c>
      <c r="N146" t="s">
        <v>42</v>
      </c>
    </row>
    <row r="147" spans="1:14">
      <c r="A147" t="s">
        <v>785</v>
      </c>
      <c r="B147" s="278">
        <v>45849.808819444443</v>
      </c>
      <c r="C147">
        <v>240</v>
      </c>
      <c r="D147">
        <v>28.77</v>
      </c>
      <c r="E147">
        <v>31.7</v>
      </c>
      <c r="F147">
        <v>32.25</v>
      </c>
      <c r="G147">
        <v>0</v>
      </c>
      <c r="H147">
        <v>0</v>
      </c>
      <c r="I147">
        <v>1480</v>
      </c>
      <c r="J147">
        <v>59</v>
      </c>
      <c r="K147" s="87">
        <v>0.76367423828125003</v>
      </c>
      <c r="L147" t="b">
        <v>1</v>
      </c>
      <c r="M147" t="s">
        <v>616</v>
      </c>
      <c r="N147" t="s">
        <v>42</v>
      </c>
    </row>
    <row r="148" spans="1:14">
      <c r="A148" t="s">
        <v>786</v>
      </c>
      <c r="B148" s="278">
        <v>45849.808472222219</v>
      </c>
      <c r="C148">
        <v>245</v>
      </c>
      <c r="D148">
        <v>33.729999999999997</v>
      </c>
      <c r="E148">
        <v>36.5</v>
      </c>
      <c r="F148">
        <v>37.049999999999997</v>
      </c>
      <c r="G148">
        <v>0</v>
      </c>
      <c r="H148">
        <v>0</v>
      </c>
      <c r="I148">
        <v>2920</v>
      </c>
      <c r="J148">
        <v>122</v>
      </c>
      <c r="K148" s="87">
        <v>0.76855700195312515</v>
      </c>
      <c r="L148" t="b">
        <v>1</v>
      </c>
      <c r="M148" t="s">
        <v>616</v>
      </c>
      <c r="N148" t="s">
        <v>42</v>
      </c>
    </row>
    <row r="149" spans="1:14">
      <c r="A149" t="s">
        <v>787</v>
      </c>
      <c r="B149" s="278">
        <v>45849.808472222219</v>
      </c>
      <c r="C149">
        <v>250</v>
      </c>
      <c r="D149">
        <v>39.049999999999997</v>
      </c>
      <c r="E149">
        <v>41.65</v>
      </c>
      <c r="F149">
        <v>42.25</v>
      </c>
      <c r="G149">
        <v>0</v>
      </c>
      <c r="H149">
        <v>0</v>
      </c>
      <c r="I149">
        <v>1930</v>
      </c>
      <c r="J149">
        <v>74</v>
      </c>
      <c r="K149" s="87">
        <v>0.92187578125000003</v>
      </c>
      <c r="L149" t="b">
        <v>1</v>
      </c>
      <c r="M149" t="s">
        <v>616</v>
      </c>
      <c r="N149" t="s">
        <v>42</v>
      </c>
    </row>
    <row r="150" spans="1:14">
      <c r="A150" t="s">
        <v>788</v>
      </c>
      <c r="B150" s="278">
        <v>45849.808819444443</v>
      </c>
      <c r="C150">
        <v>255</v>
      </c>
      <c r="D150">
        <v>43.55</v>
      </c>
      <c r="E150">
        <v>46.55</v>
      </c>
      <c r="F150">
        <v>47.1</v>
      </c>
      <c r="G150">
        <v>0</v>
      </c>
      <c r="H150">
        <v>0</v>
      </c>
      <c r="I150">
        <v>390</v>
      </c>
      <c r="J150">
        <v>34</v>
      </c>
      <c r="K150" s="87">
        <v>0.94433649414062493</v>
      </c>
      <c r="L150" t="b">
        <v>1</v>
      </c>
      <c r="M150" t="s">
        <v>616</v>
      </c>
      <c r="N150" t="s">
        <v>42</v>
      </c>
    </row>
    <row r="151" spans="1:14">
      <c r="A151" t="s">
        <v>789</v>
      </c>
      <c r="B151" s="278">
        <v>45849.737280092595</v>
      </c>
      <c r="C151">
        <v>260</v>
      </c>
      <c r="D151">
        <v>49.2</v>
      </c>
      <c r="E151">
        <v>51.55</v>
      </c>
      <c r="F151">
        <v>52.1</v>
      </c>
      <c r="G151">
        <v>0</v>
      </c>
      <c r="H151">
        <v>0</v>
      </c>
      <c r="I151">
        <v>40</v>
      </c>
      <c r="J151">
        <v>10</v>
      </c>
      <c r="K151" s="87">
        <v>1.017583037109375</v>
      </c>
      <c r="L151" t="b">
        <v>1</v>
      </c>
      <c r="M151" t="s">
        <v>616</v>
      </c>
      <c r="N151" t="s">
        <v>42</v>
      </c>
    </row>
    <row r="152" spans="1:14">
      <c r="A152" t="s">
        <v>790</v>
      </c>
      <c r="B152" s="278">
        <v>45849.821898148148</v>
      </c>
      <c r="C152">
        <v>265</v>
      </c>
      <c r="D152">
        <v>53.85</v>
      </c>
      <c r="E152">
        <v>56.65</v>
      </c>
      <c r="F152">
        <v>57.3</v>
      </c>
      <c r="G152">
        <v>0</v>
      </c>
      <c r="H152">
        <v>0</v>
      </c>
      <c r="I152">
        <v>343</v>
      </c>
      <c r="J152">
        <v>25</v>
      </c>
      <c r="K152" s="87">
        <v>1.1601604492187501</v>
      </c>
      <c r="L152" t="b">
        <v>1</v>
      </c>
      <c r="M152" t="s">
        <v>616</v>
      </c>
      <c r="N152" t="s">
        <v>42</v>
      </c>
    </row>
    <row r="153" spans="1:14">
      <c r="A153" t="s">
        <v>791</v>
      </c>
      <c r="B153" s="278">
        <v>45849.639317129629</v>
      </c>
      <c r="C153">
        <v>270</v>
      </c>
      <c r="D153">
        <v>59.13</v>
      </c>
      <c r="E153">
        <v>61.6</v>
      </c>
      <c r="F153">
        <v>62.35</v>
      </c>
      <c r="G153">
        <v>0</v>
      </c>
      <c r="H153">
        <v>0</v>
      </c>
      <c r="I153">
        <v>3</v>
      </c>
      <c r="J153">
        <v>3</v>
      </c>
      <c r="K153" s="87">
        <v>1.2314491552734375</v>
      </c>
      <c r="L153" t="b">
        <v>1</v>
      </c>
      <c r="M153" t="s">
        <v>616</v>
      </c>
      <c r="N153" t="s">
        <v>42</v>
      </c>
    </row>
    <row r="154" spans="1:14">
      <c r="A154" t="s">
        <v>792</v>
      </c>
      <c r="B154" s="278">
        <v>45847.82366898148</v>
      </c>
      <c r="C154">
        <v>275</v>
      </c>
      <c r="D154">
        <v>64.89</v>
      </c>
      <c r="E154">
        <v>66.400000000000006</v>
      </c>
      <c r="F154">
        <v>67.45</v>
      </c>
      <c r="G154">
        <v>0</v>
      </c>
      <c r="H154">
        <v>0</v>
      </c>
      <c r="I154">
        <v>1</v>
      </c>
      <c r="J154">
        <v>0</v>
      </c>
      <c r="K154" s="87">
        <v>1.2763708056640621</v>
      </c>
      <c r="L154" t="b">
        <v>1</v>
      </c>
      <c r="M154" t="s">
        <v>616</v>
      </c>
      <c r="N154" t="s">
        <v>42</v>
      </c>
    </row>
    <row r="155" spans="1:14">
      <c r="A155" t="s">
        <v>793</v>
      </c>
      <c r="B155" s="278">
        <v>45840.579432870371</v>
      </c>
      <c r="C155">
        <v>280</v>
      </c>
      <c r="D155">
        <v>66.67</v>
      </c>
      <c r="E155">
        <v>71.650000000000006</v>
      </c>
      <c r="F155">
        <v>72.099999999999994</v>
      </c>
      <c r="G155">
        <v>0</v>
      </c>
      <c r="H155">
        <v>0</v>
      </c>
      <c r="I155">
        <v>2</v>
      </c>
      <c r="J155">
        <v>0</v>
      </c>
      <c r="K155" s="87">
        <v>1.3154331103515622</v>
      </c>
      <c r="L155" t="b">
        <v>1</v>
      </c>
      <c r="M155" t="s">
        <v>616</v>
      </c>
      <c r="N155" t="s">
        <v>42</v>
      </c>
    </row>
    <row r="156" spans="1:14">
      <c r="A156" t="s">
        <v>794</v>
      </c>
      <c r="B156" s="278">
        <v>45761.649895833332</v>
      </c>
      <c r="C156">
        <v>285</v>
      </c>
      <c r="D156">
        <v>82.04</v>
      </c>
      <c r="E156">
        <v>0</v>
      </c>
      <c r="F156">
        <v>0</v>
      </c>
      <c r="G156">
        <v>0</v>
      </c>
      <c r="H156">
        <v>0</v>
      </c>
      <c r="I156">
        <v>1</v>
      </c>
      <c r="J156">
        <v>0</v>
      </c>
      <c r="K156" s="87">
        <v>1.0000000000000003E-5</v>
      </c>
      <c r="L156" t="b">
        <v>1</v>
      </c>
      <c r="M156" t="s">
        <v>616</v>
      </c>
      <c r="N156" t="s">
        <v>42</v>
      </c>
    </row>
    <row r="157" spans="1:14">
      <c r="A157" t="s">
        <v>795</v>
      </c>
      <c r="B157" s="278">
        <v>45761.584907407407</v>
      </c>
      <c r="C157">
        <v>290</v>
      </c>
      <c r="D157">
        <v>83.29</v>
      </c>
      <c r="E157">
        <v>0</v>
      </c>
      <c r="F157">
        <v>0</v>
      </c>
      <c r="G157">
        <v>0</v>
      </c>
      <c r="H157">
        <v>0</v>
      </c>
      <c r="I157">
        <v>1</v>
      </c>
      <c r="J157">
        <v>0</v>
      </c>
      <c r="K157" s="87">
        <v>1.0000000000000003E-5</v>
      </c>
      <c r="L157" t="b">
        <v>1</v>
      </c>
      <c r="M157" t="s">
        <v>616</v>
      </c>
      <c r="N157" t="s">
        <v>42</v>
      </c>
    </row>
    <row r="158" spans="1:14">
      <c r="A158" t="s">
        <v>796</v>
      </c>
      <c r="B158" s="278">
        <v>45750.67459490741</v>
      </c>
      <c r="C158">
        <v>295</v>
      </c>
      <c r="D158">
        <v>88.75</v>
      </c>
      <c r="E158">
        <v>89</v>
      </c>
      <c r="F158">
        <v>90.5</v>
      </c>
      <c r="G158">
        <v>0</v>
      </c>
      <c r="H158">
        <v>0</v>
      </c>
      <c r="I158">
        <v>3</v>
      </c>
      <c r="J158">
        <v>0</v>
      </c>
      <c r="K158" s="87">
        <v>2.3349651000976559</v>
      </c>
      <c r="L158" t="b">
        <v>1</v>
      </c>
      <c r="M158" t="s">
        <v>616</v>
      </c>
      <c r="N158" t="s">
        <v>42</v>
      </c>
    </row>
    <row r="159" spans="1:14">
      <c r="A159" t="s">
        <v>797</v>
      </c>
      <c r="B159" s="278">
        <v>45813.572245370371</v>
      </c>
      <c r="C159">
        <v>300</v>
      </c>
      <c r="D159">
        <v>96.65</v>
      </c>
      <c r="E159">
        <v>86.05</v>
      </c>
      <c r="F159">
        <v>87.35</v>
      </c>
      <c r="G159">
        <v>0</v>
      </c>
      <c r="H159">
        <v>0</v>
      </c>
      <c r="I159">
        <v>1</v>
      </c>
      <c r="J159">
        <v>0</v>
      </c>
      <c r="K159" s="87">
        <v>1.0000000000000003E-5</v>
      </c>
      <c r="L159" t="b">
        <v>1</v>
      </c>
      <c r="M159" t="s">
        <v>616</v>
      </c>
      <c r="N159" t="s">
        <v>42</v>
      </c>
    </row>
    <row r="160" spans="1:14">
      <c r="A160" t="s">
        <v>798</v>
      </c>
      <c r="B160" s="278">
        <v>45840.594212962962</v>
      </c>
      <c r="C160">
        <v>305</v>
      </c>
      <c r="D160">
        <v>92.38</v>
      </c>
      <c r="E160">
        <v>96.4</v>
      </c>
      <c r="F160">
        <v>97.4</v>
      </c>
      <c r="G160">
        <v>0</v>
      </c>
      <c r="H160">
        <v>0</v>
      </c>
      <c r="I160">
        <v>2</v>
      </c>
      <c r="J160">
        <v>0</v>
      </c>
      <c r="K160" s="87">
        <v>1.6337908935546874</v>
      </c>
      <c r="L160" t="b">
        <v>1</v>
      </c>
      <c r="M160" t="s">
        <v>616</v>
      </c>
      <c r="N160" t="s">
        <v>42</v>
      </c>
    </row>
    <row r="161" spans="1:14">
      <c r="A161" t="s">
        <v>799</v>
      </c>
      <c r="B161" s="278">
        <v>45721.64770833333</v>
      </c>
      <c r="C161">
        <v>315</v>
      </c>
      <c r="D161">
        <v>83.25</v>
      </c>
      <c r="E161">
        <v>124.35</v>
      </c>
      <c r="F161">
        <v>128.55000000000001</v>
      </c>
      <c r="G161">
        <v>0</v>
      </c>
      <c r="H161">
        <v>0</v>
      </c>
      <c r="J161">
        <v>0</v>
      </c>
      <c r="K161" s="87">
        <v>4.9133339364624007</v>
      </c>
      <c r="L161" t="b">
        <v>1</v>
      </c>
      <c r="M161" t="s">
        <v>616</v>
      </c>
      <c r="N161" t="s">
        <v>42</v>
      </c>
    </row>
    <row r="162" spans="1:14">
      <c r="A162" t="s">
        <v>800</v>
      </c>
      <c r="B162" s="278">
        <v>45653.702465277776</v>
      </c>
      <c r="C162">
        <v>320</v>
      </c>
      <c r="D162">
        <v>66.3</v>
      </c>
      <c r="E162">
        <v>83</v>
      </c>
      <c r="F162">
        <v>83.9</v>
      </c>
      <c r="G162">
        <v>0</v>
      </c>
      <c r="H162">
        <v>0</v>
      </c>
      <c r="I162">
        <v>1</v>
      </c>
      <c r="J162">
        <v>0</v>
      </c>
      <c r="K162" s="87">
        <v>1.0000000000000003E-5</v>
      </c>
      <c r="L162" t="b">
        <v>1</v>
      </c>
      <c r="M162" t="s">
        <v>616</v>
      </c>
      <c r="N162" t="s">
        <v>42</v>
      </c>
    </row>
    <row r="163" spans="1:14">
      <c r="A163" t="s">
        <v>801</v>
      </c>
      <c r="B163" s="278">
        <v>45791.773784722223</v>
      </c>
      <c r="C163">
        <v>325</v>
      </c>
      <c r="D163">
        <v>113.35</v>
      </c>
      <c r="E163">
        <v>127.55</v>
      </c>
      <c r="F163">
        <v>129.55000000000001</v>
      </c>
      <c r="G163">
        <v>0</v>
      </c>
      <c r="H163">
        <v>0</v>
      </c>
      <c r="J163">
        <v>0</v>
      </c>
      <c r="K163" s="87">
        <v>4.1381884210205087</v>
      </c>
      <c r="L163" t="b">
        <v>1</v>
      </c>
      <c r="M163" t="s">
        <v>616</v>
      </c>
      <c r="N163" t="s">
        <v>42</v>
      </c>
    </row>
    <row r="164" spans="1:14">
      <c r="A164" t="s">
        <v>802</v>
      </c>
      <c r="B164" s="278">
        <v>45653.715833333335</v>
      </c>
      <c r="C164">
        <v>370</v>
      </c>
      <c r="D164">
        <v>116.9</v>
      </c>
      <c r="E164">
        <v>132.9</v>
      </c>
      <c r="F164">
        <v>133.80000000000001</v>
      </c>
      <c r="G164">
        <v>0</v>
      </c>
      <c r="H164">
        <v>0</v>
      </c>
      <c r="I164">
        <v>2</v>
      </c>
      <c r="J164">
        <v>0</v>
      </c>
      <c r="K164" s="87">
        <v>1.0000000000000003E-5</v>
      </c>
      <c r="L164" t="b">
        <v>1</v>
      </c>
      <c r="M164" t="s">
        <v>616</v>
      </c>
      <c r="N164" t="s">
        <v>42</v>
      </c>
    </row>
    <row r="165" spans="1:14">
      <c r="A165" t="s">
        <v>803</v>
      </c>
      <c r="B165" s="278">
        <v>45667.787916666668</v>
      </c>
      <c r="C165">
        <v>380</v>
      </c>
      <c r="D165">
        <v>142.6</v>
      </c>
      <c r="E165">
        <v>135.55000000000001</v>
      </c>
      <c r="F165">
        <v>136.4</v>
      </c>
      <c r="G165">
        <v>0</v>
      </c>
      <c r="H165">
        <v>0</v>
      </c>
      <c r="I165">
        <v>1</v>
      </c>
      <c r="J165">
        <v>0</v>
      </c>
      <c r="K165" s="87">
        <v>1.0000000000000003E-5</v>
      </c>
      <c r="L165" t="b">
        <v>1</v>
      </c>
      <c r="M165" t="s">
        <v>616</v>
      </c>
      <c r="N165" t="s">
        <v>42</v>
      </c>
    </row>
    <row r="166" spans="1:14">
      <c r="A166" t="s">
        <v>804</v>
      </c>
      <c r="B166" s="278">
        <v>45653.702789351853</v>
      </c>
      <c r="C166">
        <v>390</v>
      </c>
      <c r="D166">
        <v>136.4</v>
      </c>
      <c r="E166">
        <v>152.65</v>
      </c>
      <c r="F166">
        <v>154.19999999999999</v>
      </c>
      <c r="G166">
        <v>0</v>
      </c>
      <c r="H166">
        <v>0</v>
      </c>
      <c r="I166">
        <v>1</v>
      </c>
      <c r="J166">
        <v>0</v>
      </c>
      <c r="K166" s="87">
        <v>1.0000000000000003E-5</v>
      </c>
      <c r="L166" t="b">
        <v>1</v>
      </c>
      <c r="M166" t="s">
        <v>616</v>
      </c>
      <c r="N166" t="s">
        <v>42</v>
      </c>
    </row>
    <row r="167" spans="1:14">
      <c r="B167" s="278"/>
    </row>
    <row r="168" spans="1:14">
      <c r="B168" s="278"/>
    </row>
    <row r="169" spans="1:14">
      <c r="B169" s="278"/>
    </row>
    <row r="170" spans="1:14">
      <c r="B170" s="278"/>
    </row>
    <row r="171" spans="1:14">
      <c r="B171" s="278"/>
    </row>
    <row r="172" spans="1:14">
      <c r="B172" s="278"/>
    </row>
    <row r="173" spans="1:14">
      <c r="B173" s="278"/>
    </row>
    <row r="174" spans="1:14">
      <c r="B174" s="278"/>
    </row>
    <row r="175" spans="1:14">
      <c r="B175" s="278"/>
    </row>
    <row r="176" spans="1:14">
      <c r="B176" s="278"/>
    </row>
    <row r="177" spans="2:2">
      <c r="B177" s="278"/>
    </row>
    <row r="178" spans="2:2">
      <c r="B178" s="278"/>
    </row>
    <row r="179" spans="2:2">
      <c r="B179" s="278"/>
    </row>
    <row r="180" spans="2:2">
      <c r="B180" s="278"/>
    </row>
    <row r="181" spans="2:2">
      <c r="B181" s="278"/>
    </row>
    <row r="182" spans="2:2">
      <c r="B182" s="278"/>
    </row>
    <row r="183" spans="2:2">
      <c r="B183" s="278"/>
    </row>
    <row r="184" spans="2:2">
      <c r="B184" s="278"/>
    </row>
    <row r="185" spans="2:2">
      <c r="B185" s="278"/>
    </row>
    <row r="186" spans="2:2">
      <c r="B186" s="278"/>
    </row>
    <row r="187" spans="2:2">
      <c r="B187" s="278"/>
    </row>
    <row r="188" spans="2:2">
      <c r="B188" s="278"/>
    </row>
    <row r="189" spans="2:2">
      <c r="B189" s="278"/>
    </row>
    <row r="190" spans="2:2">
      <c r="B190" s="278"/>
    </row>
    <row r="191" spans="2:2">
      <c r="B191" s="278"/>
    </row>
    <row r="192" spans="2:2">
      <c r="B192" s="278"/>
    </row>
    <row r="193" spans="2:2">
      <c r="B193" s="278"/>
    </row>
    <row r="194" spans="2:2">
      <c r="B194" s="278"/>
    </row>
    <row r="195" spans="2:2">
      <c r="B195" s="278"/>
    </row>
    <row r="196" spans="2:2">
      <c r="B196" s="278"/>
    </row>
    <row r="197" spans="2:2">
      <c r="B197" s="278"/>
    </row>
    <row r="198" spans="2:2">
      <c r="B198" s="278"/>
    </row>
  </sheetData>
  <dataValidations count="1">
    <dataValidation type="list" allowBlank="1" showInputMessage="1" showErrorMessage="1" sqref="B5" xr:uid="{420ACBFC-BBB9-7940-9093-B2368C847EDC}">
      <formula1>"call, put"</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481EF-125D-1643-9F04-F463B6F61FCF}">
  <dimension ref="A1:S16748"/>
  <sheetViews>
    <sheetView showGridLines="0" topLeftCell="A97" zoomScale="110" zoomScaleNormal="110" workbookViewId="0">
      <selection activeCell="F145" sqref="F145"/>
    </sheetView>
  </sheetViews>
  <sheetFormatPr baseColWidth="10" defaultRowHeight="13"/>
  <cols>
    <col min="1" max="1" width="10.83203125" customWidth="1"/>
    <col min="2" max="2" width="23.33203125" bestFit="1" customWidth="1"/>
    <col min="3" max="3" width="23.1640625" bestFit="1" customWidth="1"/>
    <col min="4" max="19" width="10.83203125" customWidth="1"/>
  </cols>
  <sheetData>
    <row r="1" spans="1:17" ht="19" thickBot="1">
      <c r="B1" s="426" t="s">
        <v>1001</v>
      </c>
      <c r="C1" s="427"/>
      <c r="D1" s="427"/>
      <c r="E1" s="428"/>
      <c r="G1" s="429" t="s">
        <v>1002</v>
      </c>
      <c r="H1" s="423"/>
      <c r="I1" s="423"/>
      <c r="J1" s="424"/>
      <c r="L1" s="429" t="s">
        <v>1003</v>
      </c>
      <c r="M1" s="423"/>
      <c r="N1" s="423"/>
      <c r="O1" s="424"/>
    </row>
    <row r="2" spans="1:17" s="136" customFormat="1" ht="14">
      <c r="B2" s="351" t="s">
        <v>595</v>
      </c>
      <c r="C2" s="329" t="s">
        <v>605</v>
      </c>
      <c r="D2" s="329" t="s">
        <v>608</v>
      </c>
      <c r="E2" s="345" t="s">
        <v>609</v>
      </c>
      <c r="F2" s="322"/>
      <c r="G2" s="329" t="s">
        <v>595</v>
      </c>
      <c r="H2" s="329" t="s">
        <v>605</v>
      </c>
      <c r="I2" s="329" t="s">
        <v>608</v>
      </c>
      <c r="J2" s="345" t="s">
        <v>609</v>
      </c>
      <c r="K2" s="322"/>
      <c r="L2" s="329" t="s">
        <v>595</v>
      </c>
      <c r="M2" s="329" t="s">
        <v>605</v>
      </c>
      <c r="N2" s="329" t="s">
        <v>608</v>
      </c>
      <c r="O2" s="345" t="s">
        <v>609</v>
      </c>
      <c r="P2" s="322"/>
      <c r="Q2" s="18" t="str">
        <f>HYPERLINK("https://app.tikr.com/markets", "Source")</f>
        <v>Source</v>
      </c>
    </row>
    <row r="3" spans="1:17" ht="14">
      <c r="B3" s="325" t="s">
        <v>916</v>
      </c>
      <c r="C3" s="327">
        <v>3.04</v>
      </c>
      <c r="D3" s="327">
        <v>-0.08</v>
      </c>
      <c r="E3" s="328">
        <v>-2.5600000000000001E-2</v>
      </c>
      <c r="F3" s="323"/>
      <c r="G3" s="326" t="s">
        <v>924</v>
      </c>
      <c r="H3" s="327">
        <v>13.5</v>
      </c>
      <c r="I3" s="327">
        <v>4.2300000000000004</v>
      </c>
      <c r="J3" s="328">
        <v>0.45629999999999998</v>
      </c>
      <c r="K3" s="323"/>
      <c r="L3" s="326" t="s">
        <v>933</v>
      </c>
      <c r="M3" s="327">
        <v>14.66</v>
      </c>
      <c r="N3" s="327">
        <v>-3.12</v>
      </c>
      <c r="O3" s="328">
        <v>-0.1757</v>
      </c>
      <c r="P3" s="323"/>
    </row>
    <row r="4" spans="1:17" ht="14">
      <c r="B4" s="325" t="s">
        <v>917</v>
      </c>
      <c r="C4" s="327">
        <v>14.64</v>
      </c>
      <c r="D4" s="327">
        <v>1.04</v>
      </c>
      <c r="E4" s="328">
        <v>7.6499999999999999E-2</v>
      </c>
      <c r="F4" s="323"/>
      <c r="G4" s="326" t="s">
        <v>925</v>
      </c>
      <c r="H4" s="327">
        <v>328.63</v>
      </c>
      <c r="I4" s="327">
        <v>64.63</v>
      </c>
      <c r="J4" s="328">
        <v>0.24479999999999999</v>
      </c>
      <c r="K4" s="323"/>
      <c r="L4" s="326" t="s">
        <v>934</v>
      </c>
      <c r="M4" s="327">
        <v>16.760000000000002</v>
      </c>
      <c r="N4" s="327">
        <v>-2.09</v>
      </c>
      <c r="O4" s="328">
        <v>-0.1109</v>
      </c>
      <c r="P4" s="323"/>
    </row>
    <row r="5" spans="1:17" ht="14">
      <c r="B5" s="325" t="s">
        <v>918</v>
      </c>
      <c r="C5" s="327">
        <v>172.41</v>
      </c>
      <c r="D5" s="327">
        <v>-0.59</v>
      </c>
      <c r="E5" s="328">
        <v>-3.3999999999999998E-3</v>
      </c>
      <c r="F5" s="323"/>
      <c r="G5" s="326" t="s">
        <v>926</v>
      </c>
      <c r="H5" s="327">
        <v>65.13</v>
      </c>
      <c r="I5" s="327">
        <v>10.039999999999999</v>
      </c>
      <c r="J5" s="328">
        <v>0.1822</v>
      </c>
      <c r="K5" s="323"/>
      <c r="L5" s="326" t="s">
        <v>935</v>
      </c>
      <c r="M5" s="327">
        <v>182.98</v>
      </c>
      <c r="N5" s="327">
        <v>-21.27</v>
      </c>
      <c r="O5" s="328">
        <v>-0.1041</v>
      </c>
      <c r="P5" s="323"/>
    </row>
    <row r="6" spans="1:17" ht="14">
      <c r="B6" s="325" t="s">
        <v>919</v>
      </c>
      <c r="C6" s="327">
        <v>12.75</v>
      </c>
      <c r="D6" s="327">
        <v>-0.09</v>
      </c>
      <c r="E6" s="328">
        <v>-7.0000000000000001E-3</v>
      </c>
      <c r="F6" s="323"/>
      <c r="G6" s="326" t="s">
        <v>927</v>
      </c>
      <c r="H6" s="327">
        <v>19.920000000000002</v>
      </c>
      <c r="I6" s="327">
        <v>2.64</v>
      </c>
      <c r="J6" s="328">
        <v>0.15279999999999999</v>
      </c>
      <c r="K6" s="323"/>
      <c r="L6" s="326" t="s">
        <v>936</v>
      </c>
      <c r="M6" s="327">
        <v>277.08999999999997</v>
      </c>
      <c r="N6" s="327">
        <v>-25.36</v>
      </c>
      <c r="O6" s="328">
        <v>-8.3799999999999999E-2</v>
      </c>
      <c r="P6" s="323"/>
    </row>
    <row r="7" spans="1:17" ht="14">
      <c r="B7" s="325" t="s">
        <v>592</v>
      </c>
      <c r="C7" s="327">
        <v>329.65</v>
      </c>
      <c r="D7" s="327">
        <v>10.24</v>
      </c>
      <c r="E7" s="328">
        <v>3.2099999999999997E-2</v>
      </c>
      <c r="F7" s="323"/>
      <c r="G7" s="326" t="s">
        <v>928</v>
      </c>
      <c r="H7" s="327">
        <v>31.69</v>
      </c>
      <c r="I7" s="327">
        <v>3.35</v>
      </c>
      <c r="J7" s="328">
        <v>0.1182</v>
      </c>
      <c r="K7" s="323"/>
      <c r="L7" s="326" t="s">
        <v>937</v>
      </c>
      <c r="M7" s="327">
        <v>13.67</v>
      </c>
      <c r="N7" s="327">
        <v>-1.24</v>
      </c>
      <c r="O7" s="328">
        <v>-8.3199999999999996E-2</v>
      </c>
      <c r="P7" s="323"/>
    </row>
    <row r="8" spans="1:17" ht="14">
      <c r="B8" s="325" t="s">
        <v>920</v>
      </c>
      <c r="C8" s="327">
        <v>13.02</v>
      </c>
      <c r="D8" s="327">
        <v>-0.97</v>
      </c>
      <c r="E8" s="328">
        <v>-6.93E-2</v>
      </c>
      <c r="F8" s="323"/>
      <c r="G8" s="326" t="s">
        <v>929</v>
      </c>
      <c r="H8" s="327">
        <v>11.93</v>
      </c>
      <c r="I8" s="327">
        <v>1.02</v>
      </c>
      <c r="J8" s="328">
        <v>9.35E-2</v>
      </c>
      <c r="K8" s="323"/>
      <c r="L8" s="326" t="s">
        <v>938</v>
      </c>
      <c r="M8" s="327">
        <v>29.55</v>
      </c>
      <c r="N8" s="327">
        <v>-2.2400000000000002</v>
      </c>
      <c r="O8" s="328">
        <v>-7.0499999999999993E-2</v>
      </c>
      <c r="P8" s="323"/>
    </row>
    <row r="9" spans="1:17" ht="14">
      <c r="B9" s="325" t="s">
        <v>921</v>
      </c>
      <c r="C9" s="327">
        <v>4.3899999999999997</v>
      </c>
      <c r="D9" s="327">
        <v>-0.01</v>
      </c>
      <c r="E9" s="328">
        <v>-2.3E-3</v>
      </c>
      <c r="F9" s="323"/>
      <c r="G9" s="326" t="s">
        <v>930</v>
      </c>
      <c r="H9" s="327">
        <v>21.75</v>
      </c>
      <c r="I9" s="327">
        <v>1.69</v>
      </c>
      <c r="J9" s="328">
        <v>8.4199999999999997E-2</v>
      </c>
      <c r="K9" s="323"/>
      <c r="L9" s="326" t="s">
        <v>920</v>
      </c>
      <c r="M9" s="327">
        <v>13.02</v>
      </c>
      <c r="N9" s="327">
        <v>-0.97</v>
      </c>
      <c r="O9" s="328">
        <v>-6.93E-2</v>
      </c>
      <c r="P9" s="323"/>
    </row>
    <row r="10" spans="1:17" ht="18">
      <c r="A10" s="317"/>
      <c r="B10" s="325" t="s">
        <v>922</v>
      </c>
      <c r="C10" s="327">
        <v>109.74</v>
      </c>
      <c r="D10" s="327">
        <v>4.29</v>
      </c>
      <c r="E10" s="328">
        <v>4.07E-2</v>
      </c>
      <c r="F10" s="324"/>
      <c r="G10" s="326" t="s">
        <v>931</v>
      </c>
      <c r="H10" s="327">
        <v>64.05</v>
      </c>
      <c r="I10" s="327">
        <v>4.62</v>
      </c>
      <c r="J10" s="328">
        <v>7.7700000000000005E-2</v>
      </c>
      <c r="K10" s="323"/>
      <c r="L10" s="326" t="s">
        <v>939</v>
      </c>
      <c r="M10" s="327">
        <v>33.57</v>
      </c>
      <c r="N10" s="327">
        <v>-2.4700000000000002</v>
      </c>
      <c r="O10" s="328">
        <v>-6.8400000000000002E-2</v>
      </c>
      <c r="P10" s="323"/>
    </row>
    <row r="11" spans="1:17" ht="14">
      <c r="B11" s="325" t="s">
        <v>923</v>
      </c>
      <c r="C11" s="327">
        <v>12.51</v>
      </c>
      <c r="D11" s="327">
        <v>0.06</v>
      </c>
      <c r="E11" s="328">
        <v>4.7999999999999996E-3</v>
      </c>
      <c r="F11" s="323"/>
      <c r="G11" s="326" t="s">
        <v>917</v>
      </c>
      <c r="H11" s="327">
        <v>14.64</v>
      </c>
      <c r="I11" s="327">
        <v>1.04</v>
      </c>
      <c r="J11" s="328">
        <v>7.6499999999999999E-2</v>
      </c>
      <c r="K11" s="323"/>
      <c r="L11" s="326" t="s">
        <v>940</v>
      </c>
      <c r="M11" s="327">
        <v>7.92</v>
      </c>
      <c r="N11" s="327">
        <v>-0.56999999999999995</v>
      </c>
      <c r="O11" s="328">
        <v>-6.7100000000000007E-2</v>
      </c>
      <c r="P11" s="323"/>
    </row>
    <row r="12" spans="1:17" ht="14">
      <c r="A12" s="136"/>
      <c r="B12" s="325" t="s">
        <v>968</v>
      </c>
      <c r="C12" s="327">
        <v>11.16</v>
      </c>
      <c r="D12" s="327">
        <v>0.01</v>
      </c>
      <c r="E12" s="328">
        <v>8.9999999999999998E-4</v>
      </c>
      <c r="F12" s="323"/>
      <c r="G12" s="326" t="s">
        <v>932</v>
      </c>
      <c r="H12" s="327">
        <v>50.25</v>
      </c>
      <c r="I12" s="327">
        <v>3.42</v>
      </c>
      <c r="J12" s="328">
        <v>7.2999999999999995E-2</v>
      </c>
      <c r="K12" s="323"/>
      <c r="L12" s="326" t="s">
        <v>941</v>
      </c>
      <c r="M12" s="327">
        <v>24.94</v>
      </c>
      <c r="N12" s="327">
        <v>-1.73</v>
      </c>
      <c r="O12" s="328">
        <v>-6.4899999999999999E-2</v>
      </c>
      <c r="P12" s="323"/>
    </row>
    <row r="13" spans="1:17" ht="14">
      <c r="B13" s="242"/>
    </row>
    <row r="14" spans="1:17" ht="14" thickBot="1"/>
    <row r="15" spans="1:17" ht="19" thickBot="1">
      <c r="B15" s="426" t="s">
        <v>1004</v>
      </c>
      <c r="C15" s="427"/>
      <c r="D15" s="428"/>
      <c r="F15" s="426" t="s">
        <v>1005</v>
      </c>
      <c r="G15" s="427"/>
      <c r="H15" s="428"/>
      <c r="J15" s="429" t="s">
        <v>1006</v>
      </c>
      <c r="K15" s="423"/>
      <c r="L15" s="424"/>
      <c r="N15" s="429" t="s">
        <v>1007</v>
      </c>
      <c r="O15" s="423"/>
      <c r="P15" s="424"/>
    </row>
    <row r="16" spans="1:17">
      <c r="B16" s="353" t="s">
        <v>942</v>
      </c>
      <c r="C16" s="353" t="s">
        <v>605</v>
      </c>
      <c r="D16" s="352" t="s">
        <v>608</v>
      </c>
      <c r="F16" s="353" t="s">
        <v>942</v>
      </c>
      <c r="G16" s="353" t="s">
        <v>605</v>
      </c>
      <c r="H16" s="353" t="s">
        <v>608</v>
      </c>
      <c r="J16" s="352" t="s">
        <v>942</v>
      </c>
      <c r="K16" s="352" t="s">
        <v>605</v>
      </c>
      <c r="L16" s="352" t="s">
        <v>608</v>
      </c>
      <c r="N16" s="354" t="s">
        <v>942</v>
      </c>
      <c r="O16" s="354" t="s">
        <v>605</v>
      </c>
      <c r="P16" s="354" t="s">
        <v>608</v>
      </c>
    </row>
    <row r="17" spans="1:16">
      <c r="B17" s="326" t="s">
        <v>985</v>
      </c>
      <c r="C17" s="327">
        <v>88.36</v>
      </c>
      <c r="D17" s="328">
        <v>-2.8E-3</v>
      </c>
      <c r="F17" s="344" t="s">
        <v>943</v>
      </c>
      <c r="G17" s="327">
        <v>26.47</v>
      </c>
      <c r="H17" s="328">
        <v>2.3E-3</v>
      </c>
      <c r="J17" s="332" t="s">
        <v>913</v>
      </c>
      <c r="K17" s="330">
        <v>113.97</v>
      </c>
      <c r="L17" s="328">
        <v>-2.0000000000000001E-4</v>
      </c>
      <c r="N17" s="333" t="s">
        <v>386</v>
      </c>
      <c r="O17" s="331">
        <v>260.89</v>
      </c>
      <c r="P17" s="328">
        <v>-6.9999999999999999E-4</v>
      </c>
    </row>
    <row r="18" spans="1:16">
      <c r="A18" s="136"/>
      <c r="B18" s="326" t="s">
        <v>986</v>
      </c>
      <c r="C18" s="327">
        <v>61.05</v>
      </c>
      <c r="D18" s="328">
        <v>-2.0999999999999999E-3</v>
      </c>
      <c r="F18" s="344" t="s">
        <v>944</v>
      </c>
      <c r="G18" s="327">
        <v>63.13</v>
      </c>
      <c r="H18" s="328">
        <v>2.7000000000000001E-3</v>
      </c>
      <c r="J18" s="332" t="s">
        <v>954</v>
      </c>
      <c r="K18" s="330">
        <v>184.03</v>
      </c>
      <c r="L18" s="328">
        <v>-2.3999999999999998E-3</v>
      </c>
      <c r="N18" s="333" t="s">
        <v>969</v>
      </c>
      <c r="O18" s="331">
        <v>131.84</v>
      </c>
      <c r="P18" s="328">
        <v>-6.6E-3</v>
      </c>
    </row>
    <row r="19" spans="1:16">
      <c r="B19" s="326" t="s">
        <v>987</v>
      </c>
      <c r="C19" s="327">
        <v>27.19</v>
      </c>
      <c r="D19" s="328">
        <v>0</v>
      </c>
      <c r="F19" s="344" t="s">
        <v>945</v>
      </c>
      <c r="G19" s="327">
        <v>34.61</v>
      </c>
      <c r="H19" s="328">
        <v>-1.1999999999999999E-3</v>
      </c>
      <c r="J19" s="332" t="s">
        <v>955</v>
      </c>
      <c r="K19" s="330">
        <v>239.07</v>
      </c>
      <c r="L19" s="328">
        <v>-8.0000000000000004E-4</v>
      </c>
      <c r="N19" s="333" t="s">
        <v>970</v>
      </c>
      <c r="O19" s="331">
        <v>41.84</v>
      </c>
      <c r="P19" s="328">
        <v>2.8999999999999998E-3</v>
      </c>
    </row>
    <row r="20" spans="1:16">
      <c r="B20" s="326" t="s">
        <v>988</v>
      </c>
      <c r="C20" s="327">
        <v>46.59</v>
      </c>
      <c r="D20" s="328">
        <v>-2.5999999999999999E-3</v>
      </c>
      <c r="F20" s="344" t="s">
        <v>946</v>
      </c>
      <c r="G20" s="327" t="s">
        <v>889</v>
      </c>
      <c r="H20" s="328" t="s">
        <v>889</v>
      </c>
      <c r="J20" s="332" t="s">
        <v>956</v>
      </c>
      <c r="K20" s="330">
        <v>156.6</v>
      </c>
      <c r="L20" s="328">
        <v>1.6000000000000001E-3</v>
      </c>
      <c r="N20" s="333" t="s">
        <v>971</v>
      </c>
      <c r="O20" s="331">
        <v>52.54</v>
      </c>
      <c r="P20" s="328">
        <v>5.9999999999999995E-4</v>
      </c>
    </row>
    <row r="21" spans="1:16">
      <c r="B21" s="326" t="s">
        <v>989</v>
      </c>
      <c r="C21" s="327">
        <v>39.799999999999997</v>
      </c>
      <c r="D21" s="328">
        <v>-8.0000000000000004E-4</v>
      </c>
      <c r="F21" s="344" t="s">
        <v>947</v>
      </c>
      <c r="G21" s="327">
        <v>15.85</v>
      </c>
      <c r="H21" s="328">
        <v>9.5999999999999992E-3</v>
      </c>
      <c r="J21" s="332" t="s">
        <v>354</v>
      </c>
      <c r="K21" s="330">
        <v>434.26</v>
      </c>
      <c r="L21" s="328">
        <v>-4.0000000000000002E-4</v>
      </c>
      <c r="N21" s="333" t="s">
        <v>972</v>
      </c>
      <c r="O21" s="331">
        <v>83.75</v>
      </c>
      <c r="P21" s="328">
        <v>1.6799999999999999E-2</v>
      </c>
    </row>
    <row r="22" spans="1:16">
      <c r="B22" s="326" t="s">
        <v>990</v>
      </c>
      <c r="C22" s="327">
        <v>43.9</v>
      </c>
      <c r="D22" s="328">
        <v>-2.5000000000000001E-3</v>
      </c>
      <c r="F22" s="344" t="s">
        <v>948</v>
      </c>
      <c r="G22" s="327">
        <v>22.71</v>
      </c>
      <c r="H22" s="328">
        <v>2.2000000000000001E-3</v>
      </c>
      <c r="J22" s="332" t="s">
        <v>957</v>
      </c>
      <c r="K22" s="330">
        <v>137.06</v>
      </c>
      <c r="L22" s="328">
        <v>-2.0000000000000001E-4</v>
      </c>
      <c r="N22" s="333" t="s">
        <v>973</v>
      </c>
      <c r="O22" s="331">
        <v>106.19</v>
      </c>
      <c r="P22" s="328">
        <v>-4.5999999999999999E-3</v>
      </c>
    </row>
    <row r="23" spans="1:16" ht="14">
      <c r="B23" s="326" t="s">
        <v>991</v>
      </c>
      <c r="C23" s="327">
        <v>42.13</v>
      </c>
      <c r="D23" s="328">
        <v>-5.1999999999999998E-3</v>
      </c>
      <c r="F23" s="349" t="s">
        <v>949</v>
      </c>
      <c r="G23" s="327">
        <v>103.24</v>
      </c>
      <c r="H23" s="328">
        <v>-2.0000000000000001E-4</v>
      </c>
      <c r="J23" s="332" t="s">
        <v>958</v>
      </c>
      <c r="K23" s="330">
        <v>135.62</v>
      </c>
      <c r="L23" s="328">
        <v>4.4000000000000003E-3</v>
      </c>
      <c r="N23" s="333" t="s">
        <v>974</v>
      </c>
      <c r="O23" s="331">
        <v>222.17</v>
      </c>
      <c r="P23" s="328">
        <v>8.8999999999999999E-3</v>
      </c>
    </row>
    <row r="24" spans="1:16" ht="14">
      <c r="B24" s="326" t="s">
        <v>992</v>
      </c>
      <c r="C24" s="327">
        <v>44.65</v>
      </c>
      <c r="D24" s="328">
        <v>-7.3000000000000001E-3</v>
      </c>
      <c r="F24" s="349" t="s">
        <v>950</v>
      </c>
      <c r="G24" s="327">
        <v>109.7</v>
      </c>
      <c r="H24" s="328">
        <v>1.1000000000000001E-3</v>
      </c>
      <c r="J24" s="332" t="s">
        <v>959</v>
      </c>
      <c r="K24" s="330">
        <v>64.760000000000005</v>
      </c>
      <c r="L24" s="328">
        <v>-2.5000000000000001E-3</v>
      </c>
      <c r="N24" s="333" t="s">
        <v>975</v>
      </c>
      <c r="O24" s="331">
        <v>80.89</v>
      </c>
      <c r="P24" s="328">
        <v>-2.7000000000000001E-3</v>
      </c>
    </row>
    <row r="25" spans="1:16">
      <c r="B25" s="326" t="s">
        <v>993</v>
      </c>
      <c r="C25" s="327">
        <v>26.45</v>
      </c>
      <c r="D25" s="328">
        <v>6.4999999999999997E-3</v>
      </c>
      <c r="F25" s="344" t="s">
        <v>951</v>
      </c>
      <c r="G25" s="327">
        <v>91.89</v>
      </c>
      <c r="H25" s="328">
        <v>2.2000000000000001E-3</v>
      </c>
      <c r="J25" s="332" t="s">
        <v>960</v>
      </c>
      <c r="K25" s="330">
        <v>118.89</v>
      </c>
      <c r="L25" s="328">
        <v>-6.0000000000000001E-3</v>
      </c>
      <c r="N25" s="333" t="s">
        <v>976</v>
      </c>
      <c r="O25" s="331">
        <v>151.46</v>
      </c>
      <c r="P25" s="328">
        <v>-2.2000000000000001E-3</v>
      </c>
    </row>
    <row r="26" spans="1:16" ht="14" customHeight="1">
      <c r="B26" s="326" t="s">
        <v>994</v>
      </c>
      <c r="C26" s="327">
        <v>57.45</v>
      </c>
      <c r="D26" s="328">
        <v>9.2999999999999992E-3</v>
      </c>
      <c r="F26" s="349" t="s">
        <v>952</v>
      </c>
      <c r="G26" s="327">
        <v>108.29</v>
      </c>
      <c r="H26" s="328">
        <v>1.9E-3</v>
      </c>
      <c r="J26" s="332" t="s">
        <v>961</v>
      </c>
      <c r="K26" s="330">
        <v>32.56</v>
      </c>
      <c r="L26" s="328">
        <v>-4.8999999999999998E-3</v>
      </c>
      <c r="N26" s="333" t="s">
        <v>977</v>
      </c>
      <c r="O26" s="331">
        <v>85.96</v>
      </c>
      <c r="P26" s="328">
        <v>-8.0999999999999996E-3</v>
      </c>
    </row>
    <row r="27" spans="1:16">
      <c r="B27" s="326" t="s">
        <v>995</v>
      </c>
      <c r="C27" s="327">
        <v>71.81</v>
      </c>
      <c r="D27" s="328">
        <v>-8.0000000000000002E-3</v>
      </c>
      <c r="F27" s="344" t="s">
        <v>953</v>
      </c>
      <c r="G27" s="327">
        <v>80.25</v>
      </c>
      <c r="H27" s="328">
        <v>1.4E-3</v>
      </c>
      <c r="J27" s="332" t="s">
        <v>962</v>
      </c>
      <c r="K27" s="330">
        <v>42.57</v>
      </c>
      <c r="L27" s="328">
        <v>-4.0000000000000001E-3</v>
      </c>
      <c r="N27" s="333" t="s">
        <v>978</v>
      </c>
      <c r="O27" s="331">
        <v>90.22</v>
      </c>
      <c r="P27" s="328">
        <v>2.3E-3</v>
      </c>
    </row>
    <row r="28" spans="1:16">
      <c r="B28" s="326" t="s">
        <v>996</v>
      </c>
      <c r="C28" s="327">
        <v>27.24</v>
      </c>
      <c r="D28" s="328">
        <v>3.3E-3</v>
      </c>
      <c r="J28" s="332" t="s">
        <v>963</v>
      </c>
      <c r="K28" s="330">
        <v>44.99</v>
      </c>
      <c r="L28" s="328">
        <v>-2.2000000000000001E-3</v>
      </c>
      <c r="N28" s="333" t="s">
        <v>979</v>
      </c>
      <c r="O28" s="331">
        <v>196.11</v>
      </c>
      <c r="P28" s="328">
        <v>1.2999999999999999E-3</v>
      </c>
    </row>
    <row r="29" spans="1:16">
      <c r="B29" s="326" t="s">
        <v>997</v>
      </c>
      <c r="C29" s="327">
        <v>54.5</v>
      </c>
      <c r="D29" s="328">
        <v>-9.2999999999999992E-3</v>
      </c>
      <c r="J29" s="332" t="s">
        <v>964</v>
      </c>
      <c r="K29" s="330">
        <v>630.66999999999996</v>
      </c>
      <c r="L29" s="328">
        <v>-4.0000000000000002E-4</v>
      </c>
      <c r="N29" s="333" t="s">
        <v>980</v>
      </c>
      <c r="O29" s="331">
        <v>129.72999999999999</v>
      </c>
      <c r="P29" s="328">
        <v>-1.5299999999999999E-2</v>
      </c>
    </row>
    <row r="30" spans="1:16">
      <c r="B30" s="326" t="s">
        <v>998</v>
      </c>
      <c r="C30" s="327" t="s">
        <v>889</v>
      </c>
      <c r="D30" s="346" t="s">
        <v>889</v>
      </c>
      <c r="J30" s="332" t="s">
        <v>965</v>
      </c>
      <c r="K30" s="330">
        <v>63.46</v>
      </c>
      <c r="L30" s="328">
        <v>-5.9999999999999995E-4</v>
      </c>
      <c r="N30" s="333" t="s">
        <v>981</v>
      </c>
      <c r="O30" s="331">
        <v>60.06</v>
      </c>
      <c r="P30" s="328">
        <v>1.5E-3</v>
      </c>
    </row>
    <row r="31" spans="1:16">
      <c r="B31" s="326" t="s">
        <v>999</v>
      </c>
      <c r="C31" s="327">
        <v>26.85</v>
      </c>
      <c r="D31" s="328">
        <v>-3.0300000000000001E-2</v>
      </c>
      <c r="J31" s="332" t="s">
        <v>966</v>
      </c>
      <c r="K31" s="330">
        <v>111.87</v>
      </c>
      <c r="L31" s="328">
        <v>-8.8999999999999999E-3</v>
      </c>
      <c r="N31" s="333" t="s">
        <v>982</v>
      </c>
      <c r="O31" s="331">
        <v>24.77</v>
      </c>
      <c r="P31" s="328">
        <v>1.6000000000000001E-3</v>
      </c>
    </row>
    <row r="32" spans="1:16">
      <c r="B32" s="326" t="s">
        <v>1000</v>
      </c>
      <c r="C32" s="327">
        <v>59.46</v>
      </c>
      <c r="D32" s="328">
        <v>-5.4999999999999997E-3</v>
      </c>
      <c r="J32" s="332" t="s">
        <v>967</v>
      </c>
      <c r="K32" s="330">
        <v>133.75</v>
      </c>
      <c r="L32" s="328">
        <v>-2.8999999999999998E-3</v>
      </c>
      <c r="N32" s="333" t="s">
        <v>983</v>
      </c>
      <c r="O32" s="331">
        <v>246.73</v>
      </c>
      <c r="P32" s="328">
        <v>8.0000000000000004E-4</v>
      </c>
    </row>
    <row r="33" spans="2:16">
      <c r="N33" s="333" t="s">
        <v>984</v>
      </c>
      <c r="O33" s="331">
        <v>111.06</v>
      </c>
      <c r="P33" s="328">
        <v>-2.2000000000000001E-3</v>
      </c>
    </row>
    <row r="39" spans="2:16" ht="18">
      <c r="B39" s="430" t="s">
        <v>1008</v>
      </c>
      <c r="C39" s="430"/>
      <c r="D39" s="430"/>
      <c r="E39" s="430"/>
      <c r="F39" s="430"/>
      <c r="H39" s="18" t="str">
        <f>HYPERLINK("https://www.ici.org/research/stats/mmf", "Source")</f>
        <v>Source</v>
      </c>
    </row>
    <row r="40" spans="2:16">
      <c r="B40" s="323"/>
      <c r="C40" s="347">
        <v>45840</v>
      </c>
      <c r="D40" s="347">
        <v>45847</v>
      </c>
      <c r="E40" s="347">
        <v>45854</v>
      </c>
      <c r="F40" s="348" t="s">
        <v>1009</v>
      </c>
    </row>
    <row r="41" spans="2:16">
      <c r="B41" s="326" t="s">
        <v>1010</v>
      </c>
      <c r="C41" s="327">
        <v>5769.29</v>
      </c>
      <c r="D41" s="327">
        <v>5754.84</v>
      </c>
      <c r="E41" s="327">
        <v>5750.22</v>
      </c>
      <c r="F41" s="327">
        <v>-4.6100000000000003</v>
      </c>
    </row>
    <row r="42" spans="2:16">
      <c r="B42" s="326" t="s">
        <v>1011</v>
      </c>
      <c r="C42" s="327">
        <v>1831.41</v>
      </c>
      <c r="D42" s="327">
        <v>1831.05</v>
      </c>
      <c r="E42" s="327">
        <v>1834.55</v>
      </c>
      <c r="F42" s="327">
        <v>3.49</v>
      </c>
    </row>
    <row r="43" spans="2:16">
      <c r="B43" s="326" t="s">
        <v>1012</v>
      </c>
      <c r="C43" s="327">
        <v>3937.88</v>
      </c>
      <c r="D43" s="327">
        <v>3923.78</v>
      </c>
      <c r="E43" s="327">
        <v>3915.68</v>
      </c>
      <c r="F43" s="327">
        <v>-8.1</v>
      </c>
    </row>
    <row r="44" spans="2:16">
      <c r="B44" s="326" t="s">
        <v>1013</v>
      </c>
      <c r="C44" s="327">
        <v>1169.95</v>
      </c>
      <c r="D44" s="327">
        <v>1178.97</v>
      </c>
      <c r="E44" s="327">
        <v>1178.1099999999999</v>
      </c>
      <c r="F44" s="327">
        <v>-0.86</v>
      </c>
    </row>
    <row r="45" spans="2:16">
      <c r="B45" s="326" t="s">
        <v>1011</v>
      </c>
      <c r="C45" s="327">
        <v>951.02</v>
      </c>
      <c r="D45" s="327">
        <v>955.28</v>
      </c>
      <c r="E45" s="327">
        <v>956.88</v>
      </c>
      <c r="F45" s="327">
        <v>1.59</v>
      </c>
    </row>
    <row r="48" spans="2:16" ht="14" thickBot="1"/>
    <row r="49" spans="2:16" ht="19" thickBot="1">
      <c r="B49" s="422" t="s">
        <v>1014</v>
      </c>
      <c r="C49" s="423"/>
      <c r="D49" s="423"/>
      <c r="E49" s="424"/>
      <c r="H49" s="18" t="str">
        <f>HYPERLINK("https://www.chathamfinancial.com/technology/us-market-rates", "Source")</f>
        <v>Source</v>
      </c>
    </row>
    <row r="50" spans="2:16">
      <c r="B50" s="240"/>
      <c r="C50" s="334">
        <v>45855</v>
      </c>
      <c r="D50" s="335">
        <v>45826</v>
      </c>
      <c r="E50" s="335">
        <v>45491</v>
      </c>
      <c r="P50" s="318"/>
    </row>
    <row r="51" spans="2:16">
      <c r="B51" s="336" t="s">
        <v>1015</v>
      </c>
      <c r="C51" s="308">
        <v>4.1020000000000001E-2</v>
      </c>
      <c r="D51" s="308">
        <v>4.086E-2</v>
      </c>
      <c r="E51" s="308">
        <v>4.8649999999999999E-2</v>
      </c>
    </row>
    <row r="52" spans="2:16">
      <c r="B52" s="217" t="s">
        <v>1016</v>
      </c>
      <c r="C52" s="308">
        <v>3.9140000000000001E-2</v>
      </c>
      <c r="D52" s="308">
        <v>3.9320000000000001E-2</v>
      </c>
      <c r="E52" s="308">
        <v>4.4690000000000001E-2</v>
      </c>
    </row>
    <row r="53" spans="2:16">
      <c r="B53" s="217" t="s">
        <v>1017</v>
      </c>
      <c r="C53" s="308">
        <v>3.8850000000000003E-2</v>
      </c>
      <c r="D53" s="308">
        <v>3.884E-2</v>
      </c>
      <c r="E53" s="308">
        <v>4.2360000000000002E-2</v>
      </c>
    </row>
    <row r="54" spans="2:16">
      <c r="B54" s="217" t="s">
        <v>1018</v>
      </c>
      <c r="C54" s="308">
        <v>3.9980000000000002E-2</v>
      </c>
      <c r="D54" s="308">
        <v>3.9780000000000003E-2</v>
      </c>
      <c r="E54" s="308">
        <v>4.1149999999999999E-2</v>
      </c>
    </row>
    <row r="55" spans="2:16">
      <c r="B55" s="217" t="s">
        <v>1019</v>
      </c>
      <c r="C55" s="308">
        <v>4.2169999999999999E-2</v>
      </c>
      <c r="D55" s="308">
        <v>4.165E-2</v>
      </c>
      <c r="E55" s="308">
        <v>4.1340000000000002E-2</v>
      </c>
    </row>
    <row r="56" spans="2:16">
      <c r="B56" s="217" t="s">
        <v>1020</v>
      </c>
      <c r="C56" s="308">
        <v>4.4560000000000002E-2</v>
      </c>
      <c r="D56" s="308">
        <v>4.3819999999999998E-2</v>
      </c>
      <c r="E56" s="308">
        <v>4.1950000000000001E-2</v>
      </c>
      <c r="P56" s="318"/>
    </row>
    <row r="57" spans="2:16">
      <c r="B57" s="217" t="s">
        <v>1021</v>
      </c>
      <c r="C57" s="308">
        <v>5.006E-2</v>
      </c>
      <c r="D57" s="308">
        <v>4.8809999999999999E-2</v>
      </c>
      <c r="E57" s="308">
        <v>4.4110000000000003E-2</v>
      </c>
    </row>
    <row r="59" spans="2:16">
      <c r="B59" s="327"/>
      <c r="C59" s="337">
        <v>45854</v>
      </c>
      <c r="D59" s="337">
        <v>45825</v>
      </c>
      <c r="E59" s="337">
        <v>45490</v>
      </c>
    </row>
    <row r="60" spans="2:16">
      <c r="B60" s="332" t="s">
        <v>1022</v>
      </c>
      <c r="C60" s="308">
        <v>4.3400000000000001E-2</v>
      </c>
      <c r="D60" s="308">
        <v>4.3099999999999999E-2</v>
      </c>
      <c r="E60" s="308">
        <v>5.3499999999999999E-2</v>
      </c>
    </row>
    <row r="61" spans="2:16">
      <c r="B61" s="332" t="s">
        <v>1023</v>
      </c>
      <c r="C61" s="308">
        <v>4.3473199999999997E-2</v>
      </c>
      <c r="D61" s="308">
        <v>4.3018500000000001E-2</v>
      </c>
      <c r="E61" s="308">
        <v>5.3434299999999997E-2</v>
      </c>
    </row>
    <row r="62" spans="2:16">
      <c r="B62" s="332" t="s">
        <v>1024</v>
      </c>
      <c r="C62" s="308">
        <v>4.3410700000000003E-2</v>
      </c>
      <c r="D62" s="308">
        <v>4.3421000000000001E-2</v>
      </c>
      <c r="E62" s="308">
        <v>5.357E-2</v>
      </c>
    </row>
    <row r="63" spans="2:16">
      <c r="B63" s="332" t="s">
        <v>1025</v>
      </c>
      <c r="C63" s="308">
        <v>4.3497899999999999E-2</v>
      </c>
      <c r="D63" s="308">
        <v>4.31758E-2</v>
      </c>
      <c r="E63" s="308">
        <v>5.3411899999999998E-2</v>
      </c>
    </row>
    <row r="64" spans="2:16">
      <c r="B64" s="332" t="s">
        <v>1026</v>
      </c>
      <c r="C64" s="308">
        <v>4.3290000000000002E-2</v>
      </c>
      <c r="D64" s="308">
        <v>4.3188999999999998E-2</v>
      </c>
      <c r="E64" s="308">
        <v>5.27947E-2</v>
      </c>
    </row>
    <row r="69" spans="2:19" ht="20">
      <c r="B69" s="425" t="s">
        <v>1092</v>
      </c>
      <c r="C69" s="425"/>
      <c r="D69" s="425"/>
      <c r="E69" s="425"/>
      <c r="F69" s="425"/>
      <c r="G69" s="425"/>
      <c r="H69" s="425"/>
      <c r="I69" s="425"/>
      <c r="J69" s="350"/>
      <c r="K69" s="18" t="str">
        <f>HYPERLINK("https://tradingeconomics.com/calendar", "Source")</f>
        <v>Source</v>
      </c>
      <c r="S69" s="18" t="str">
        <f>HYPERLINK("https://www.investing.com/central-banks/fed-rate-monitor", "Source")</f>
        <v>Source</v>
      </c>
    </row>
    <row r="70" spans="2:19">
      <c r="B70" t="s">
        <v>241</v>
      </c>
      <c r="C70" t="s">
        <v>1031</v>
      </c>
      <c r="D70" t="s">
        <v>1032</v>
      </c>
      <c r="E70" t="s">
        <v>1033</v>
      </c>
      <c r="F70" t="s">
        <v>1027</v>
      </c>
      <c r="G70" t="s">
        <v>1028</v>
      </c>
      <c r="H70" t="s">
        <v>1029</v>
      </c>
      <c r="I70" t="s">
        <v>1030</v>
      </c>
      <c r="M70" s="136" t="s">
        <v>1095</v>
      </c>
    </row>
    <row r="71" spans="2:19">
      <c r="B71" t="s">
        <v>1034</v>
      </c>
      <c r="C71" s="319">
        <v>0.10416666666666667</v>
      </c>
      <c r="D71" t="s">
        <v>1035</v>
      </c>
      <c r="E71" t="s">
        <v>1036</v>
      </c>
      <c r="M71" s="136" t="s">
        <v>1096</v>
      </c>
      <c r="N71" s="136" t="s">
        <v>1097</v>
      </c>
      <c r="O71" s="136" t="s">
        <v>1098</v>
      </c>
      <c r="P71" s="136" t="s">
        <v>1099</v>
      </c>
    </row>
    <row r="72" spans="2:19">
      <c r="B72" t="s">
        <v>1034</v>
      </c>
      <c r="C72" s="319">
        <v>0.5625</v>
      </c>
      <c r="D72" t="s">
        <v>1037</v>
      </c>
      <c r="E72" t="s">
        <v>1038</v>
      </c>
      <c r="M72" t="s">
        <v>1100</v>
      </c>
      <c r="N72" s="263">
        <v>4.2999999999999997E-2</v>
      </c>
      <c r="O72" s="263">
        <v>6.4000000000000001E-2</v>
      </c>
      <c r="P72" s="263">
        <v>6.4000000000000001E-2</v>
      </c>
    </row>
    <row r="73" spans="2:19">
      <c r="B73" t="s">
        <v>1039</v>
      </c>
      <c r="C73" s="319">
        <v>0.625</v>
      </c>
      <c r="D73" t="s">
        <v>1037</v>
      </c>
      <c r="E73" t="s">
        <v>1040</v>
      </c>
      <c r="G73">
        <v>4030000.0000000005</v>
      </c>
      <c r="H73">
        <v>4000000</v>
      </c>
      <c r="I73">
        <v>4000000</v>
      </c>
      <c r="M73" t="s">
        <v>1101</v>
      </c>
      <c r="N73" s="263">
        <v>0.95699999999999996</v>
      </c>
      <c r="O73" s="263">
        <v>0.93600000000000005</v>
      </c>
      <c r="P73" s="263">
        <v>0.93600000000000005</v>
      </c>
    </row>
    <row r="74" spans="2:19">
      <c r="B74" t="s">
        <v>1041</v>
      </c>
      <c r="C74" s="319">
        <v>0.29166666666666669</v>
      </c>
      <c r="D74" t="s">
        <v>1042</v>
      </c>
      <c r="E74" t="s">
        <v>1043</v>
      </c>
      <c r="G74">
        <v>-20.3</v>
      </c>
      <c r="H74">
        <v>-19</v>
      </c>
      <c r="I74">
        <v>-20</v>
      </c>
    </row>
    <row r="75" spans="2:19">
      <c r="B75" t="s">
        <v>1041</v>
      </c>
      <c r="C75" s="319">
        <v>0.35416666666666669</v>
      </c>
      <c r="D75" t="s">
        <v>1042</v>
      </c>
      <c r="E75" t="s">
        <v>1044</v>
      </c>
      <c r="G75">
        <v>49</v>
      </c>
      <c r="H75">
        <v>49.4</v>
      </c>
      <c r="I75">
        <v>49.5</v>
      </c>
    </row>
    <row r="76" spans="2:19">
      <c r="B76" t="s">
        <v>1041</v>
      </c>
      <c r="C76" s="319">
        <v>0.39583333333333331</v>
      </c>
      <c r="D76" t="s">
        <v>1045</v>
      </c>
      <c r="E76" t="s">
        <v>1046</v>
      </c>
      <c r="G76">
        <v>47.7</v>
      </c>
      <c r="H76">
        <v>48</v>
      </c>
      <c r="I76">
        <v>48.5</v>
      </c>
      <c r="M76" s="136" t="s">
        <v>1102</v>
      </c>
    </row>
    <row r="77" spans="2:19">
      <c r="B77" t="s">
        <v>1041</v>
      </c>
      <c r="C77" s="319">
        <v>0.39583333333333331</v>
      </c>
      <c r="D77" t="s">
        <v>1045</v>
      </c>
      <c r="E77" t="s">
        <v>1047</v>
      </c>
      <c r="G77">
        <v>52.8</v>
      </c>
      <c r="H77">
        <v>53</v>
      </c>
      <c r="I77">
        <v>52.9</v>
      </c>
      <c r="M77" s="136" t="s">
        <v>1096</v>
      </c>
      <c r="N77" s="136" t="s">
        <v>1097</v>
      </c>
      <c r="O77" s="136" t="s">
        <v>1098</v>
      </c>
      <c r="P77" s="136" t="s">
        <v>1099</v>
      </c>
    </row>
    <row r="78" spans="2:19">
      <c r="B78" t="s">
        <v>1041</v>
      </c>
      <c r="C78" s="319">
        <v>0.55208333333333337</v>
      </c>
      <c r="D78" t="s">
        <v>1048</v>
      </c>
      <c r="E78" t="s">
        <v>1049</v>
      </c>
      <c r="G78">
        <v>0.02</v>
      </c>
      <c r="H78">
        <v>0.02</v>
      </c>
      <c r="I78">
        <v>0.02</v>
      </c>
      <c r="M78" t="s">
        <v>1103</v>
      </c>
      <c r="N78" s="263">
        <v>2.5999999999999999E-2</v>
      </c>
      <c r="O78" s="263">
        <v>3.5000000000000003E-2</v>
      </c>
      <c r="P78" s="263">
        <v>3.5999999999999997E-2</v>
      </c>
    </row>
    <row r="79" spans="2:19">
      <c r="B79" t="s">
        <v>1041</v>
      </c>
      <c r="C79" s="319">
        <v>0.55208333333333337</v>
      </c>
      <c r="D79" t="s">
        <v>1048</v>
      </c>
      <c r="E79" t="s">
        <v>1050</v>
      </c>
      <c r="G79">
        <v>2.1499999999999998E-2</v>
      </c>
      <c r="H79">
        <v>2.1499999999999998E-2</v>
      </c>
      <c r="I79">
        <v>2.1499999999999998E-2</v>
      </c>
      <c r="M79" t="s">
        <v>1100</v>
      </c>
      <c r="N79" s="263">
        <v>0.59899999999999998</v>
      </c>
      <c r="O79" s="263">
        <v>0.54200000000000004</v>
      </c>
      <c r="P79" s="263">
        <v>0.55400000000000005</v>
      </c>
    </row>
    <row r="80" spans="2:19">
      <c r="B80" t="s">
        <v>1041</v>
      </c>
      <c r="C80" s="319">
        <v>0.57291666666666663</v>
      </c>
      <c r="D80" t="s">
        <v>1048</v>
      </c>
      <c r="E80" t="s">
        <v>1051</v>
      </c>
      <c r="M80" t="s">
        <v>1101</v>
      </c>
      <c r="N80" s="263">
        <v>0.375</v>
      </c>
      <c r="O80" s="263">
        <v>0.42199999999999999</v>
      </c>
      <c r="P80" s="263">
        <v>0.41</v>
      </c>
    </row>
    <row r="81" spans="2:16">
      <c r="B81" t="s">
        <v>1052</v>
      </c>
      <c r="C81" s="319">
        <v>0.29166666666666669</v>
      </c>
      <c r="D81" t="s">
        <v>1045</v>
      </c>
      <c r="E81" t="s">
        <v>1053</v>
      </c>
      <c r="G81">
        <v>-2.7000000000000003E-2</v>
      </c>
      <c r="H81">
        <v>1.2E-2</v>
      </c>
      <c r="I81">
        <v>1.4999999999999999E-2</v>
      </c>
    </row>
    <row r="82" spans="2:16">
      <c r="B82" t="s">
        <v>1052</v>
      </c>
      <c r="C82" s="319">
        <v>0.375</v>
      </c>
      <c r="D82" t="s">
        <v>1042</v>
      </c>
      <c r="E82" t="s">
        <v>1054</v>
      </c>
      <c r="G82">
        <v>88.4</v>
      </c>
      <c r="H82">
        <v>89.2</v>
      </c>
      <c r="I82">
        <v>88.9</v>
      </c>
    </row>
    <row r="83" spans="2:16">
      <c r="B83" t="s">
        <v>1052</v>
      </c>
      <c r="C83" s="319">
        <v>0.5625</v>
      </c>
      <c r="D83" t="s">
        <v>1037</v>
      </c>
      <c r="E83" t="s">
        <v>1055</v>
      </c>
      <c r="G83">
        <v>0.16399999999999998</v>
      </c>
      <c r="H83">
        <v>-0.105</v>
      </c>
      <c r="I83">
        <v>-0.09</v>
      </c>
      <c r="M83" s="136" t="s">
        <v>1104</v>
      </c>
    </row>
    <row r="84" spans="2:16">
      <c r="B84" t="s">
        <v>1056</v>
      </c>
      <c r="C84" s="319">
        <v>0.33333333333333331</v>
      </c>
      <c r="D84" t="s">
        <v>1057</v>
      </c>
      <c r="E84" t="s">
        <v>1058</v>
      </c>
      <c r="G84">
        <v>6.0000000000000001E-3</v>
      </c>
      <c r="I84">
        <v>6.0000000000000001E-3</v>
      </c>
      <c r="M84" s="136" t="s">
        <v>1096</v>
      </c>
      <c r="N84" s="136" t="s">
        <v>1097</v>
      </c>
      <c r="O84" s="136" t="s">
        <v>1098</v>
      </c>
      <c r="P84" s="136" t="s">
        <v>1099</v>
      </c>
    </row>
    <row r="85" spans="2:16">
      <c r="B85" t="s">
        <v>1056</v>
      </c>
      <c r="C85" s="319">
        <v>0.33333333333333331</v>
      </c>
      <c r="D85" t="s">
        <v>1057</v>
      </c>
      <c r="E85" t="s">
        <v>1059</v>
      </c>
      <c r="G85">
        <v>2.7999999999999997E-2</v>
      </c>
      <c r="I85">
        <v>2.6000000000000002E-2</v>
      </c>
      <c r="M85" t="s">
        <v>1105</v>
      </c>
      <c r="N85" s="263">
        <v>1.4E-2</v>
      </c>
      <c r="O85" s="263">
        <v>1.9E-2</v>
      </c>
      <c r="P85" s="263">
        <v>2.1999999999999999E-2</v>
      </c>
    </row>
    <row r="86" spans="2:16">
      <c r="B86" t="s">
        <v>1056</v>
      </c>
      <c r="C86" s="319">
        <v>0.625</v>
      </c>
      <c r="D86" t="s">
        <v>1037</v>
      </c>
      <c r="E86" t="s">
        <v>1060</v>
      </c>
      <c r="G86">
        <v>7769000</v>
      </c>
      <c r="I86">
        <v>7100000</v>
      </c>
      <c r="M86" t="s">
        <v>1103</v>
      </c>
      <c r="N86" s="263">
        <v>0.33100000000000002</v>
      </c>
      <c r="O86" s="263">
        <v>0.30499999999999999</v>
      </c>
      <c r="P86" s="263">
        <v>0.34599999999999997</v>
      </c>
    </row>
    <row r="87" spans="2:16">
      <c r="B87" t="s">
        <v>1061</v>
      </c>
      <c r="C87" s="319">
        <v>0.27083333333333331</v>
      </c>
      <c r="D87" t="s">
        <v>1062</v>
      </c>
      <c r="E87" t="s">
        <v>1063</v>
      </c>
      <c r="G87">
        <v>1E-3</v>
      </c>
      <c r="I87">
        <v>3.0000000000000001E-3</v>
      </c>
      <c r="M87" t="s">
        <v>1100</v>
      </c>
      <c r="N87" s="263">
        <v>0.48</v>
      </c>
      <c r="O87" s="263">
        <v>0.47899999999999998</v>
      </c>
      <c r="P87" s="263">
        <v>0.46800000000000003</v>
      </c>
    </row>
    <row r="88" spans="2:16">
      <c r="B88" t="s">
        <v>1061</v>
      </c>
      <c r="C88" s="319">
        <v>0.27083333333333331</v>
      </c>
      <c r="D88" t="s">
        <v>1062</v>
      </c>
      <c r="E88" t="s">
        <v>1064</v>
      </c>
      <c r="G88">
        <v>6.0000000000000001E-3</v>
      </c>
      <c r="I88">
        <v>6.0000000000000001E-3</v>
      </c>
      <c r="M88" t="s">
        <v>1101</v>
      </c>
      <c r="N88" s="263">
        <v>0.17599999999999999</v>
      </c>
      <c r="O88" s="263">
        <v>0.19800000000000001</v>
      </c>
      <c r="P88" s="263">
        <v>0.16500000000000001</v>
      </c>
    </row>
    <row r="91" spans="2:16">
      <c r="M91" s="136" t="s">
        <v>1106</v>
      </c>
    </row>
    <row r="92" spans="2:16">
      <c r="M92" s="136" t="s">
        <v>1096</v>
      </c>
      <c r="N92" s="136" t="s">
        <v>1097</v>
      </c>
      <c r="O92" s="136" t="s">
        <v>1098</v>
      </c>
      <c r="P92" s="136" t="s">
        <v>1099</v>
      </c>
    </row>
    <row r="93" spans="2:16">
      <c r="M93" t="s">
        <v>1107</v>
      </c>
      <c r="N93" s="263">
        <v>8.9999999999999993E-3</v>
      </c>
      <c r="O93" s="263">
        <v>1.2E-2</v>
      </c>
      <c r="P93" s="263">
        <v>1.4999999999999999E-2</v>
      </c>
    </row>
    <row r="94" spans="2:16">
      <c r="M94" t="s">
        <v>1105</v>
      </c>
      <c r="N94" s="263">
        <v>0.218</v>
      </c>
      <c r="O94" s="263">
        <v>0.19900000000000001</v>
      </c>
      <c r="P94" s="263">
        <v>0.245</v>
      </c>
    </row>
    <row r="95" spans="2:16">
      <c r="M95" t="s">
        <v>1103</v>
      </c>
      <c r="N95" s="263">
        <v>0.42699999999999999</v>
      </c>
      <c r="O95" s="263">
        <v>0.41399999999999998</v>
      </c>
      <c r="P95" s="263">
        <v>0.43</v>
      </c>
    </row>
    <row r="96" spans="2:16">
      <c r="M96" t="s">
        <v>1100</v>
      </c>
      <c r="N96" s="263">
        <v>0.28399999999999997</v>
      </c>
      <c r="O96" s="263">
        <v>0.30199999999999999</v>
      </c>
      <c r="P96" s="263">
        <v>0.25900000000000001</v>
      </c>
    </row>
    <row r="97" spans="2:16" ht="18">
      <c r="B97" s="317"/>
      <c r="M97" t="s">
        <v>1101</v>
      </c>
      <c r="N97" s="263">
        <v>6.3E-2</v>
      </c>
      <c r="O97" s="263">
        <v>7.2999999999999995E-2</v>
      </c>
      <c r="P97" s="263">
        <v>5.0999999999999997E-2</v>
      </c>
    </row>
    <row r="99" spans="2:16">
      <c r="B99" s="136"/>
    </row>
    <row r="100" spans="2:16" ht="18">
      <c r="B100" s="317" t="s">
        <v>894</v>
      </c>
      <c r="G100" s="18" t="str">
        <f>HYPERLINK("https://www.sifma.org/resources/research/statistics/us-corporate-bonds-statistics/", "Source")</f>
        <v>Source</v>
      </c>
    </row>
    <row r="102" spans="2:16">
      <c r="B102" s="136" t="s">
        <v>895</v>
      </c>
    </row>
    <row r="103" spans="2:16" ht="16">
      <c r="B103" s="235" t="s">
        <v>896</v>
      </c>
    </row>
    <row r="104" spans="2:16" ht="16">
      <c r="B104" s="235" t="s">
        <v>897</v>
      </c>
    </row>
    <row r="105" spans="2:16" ht="16">
      <c r="B105" s="235" t="s">
        <v>898</v>
      </c>
    </row>
    <row r="108" spans="2:16">
      <c r="B108" s="136"/>
    </row>
    <row r="110" spans="2:16" ht="18">
      <c r="B110" s="317" t="s">
        <v>908</v>
      </c>
    </row>
    <row r="111" spans="2:16">
      <c r="B111" s="20"/>
    </row>
    <row r="112" spans="2:16" ht="16">
      <c r="B112" s="235" t="s">
        <v>899</v>
      </c>
    </row>
    <row r="113" spans="2:2" ht="16">
      <c r="B113" s="235" t="s">
        <v>900</v>
      </c>
    </row>
    <row r="114" spans="2:2" ht="16">
      <c r="B114" s="235" t="s">
        <v>1065</v>
      </c>
    </row>
    <row r="115" spans="2:2" ht="16">
      <c r="B115" s="235" t="s">
        <v>901</v>
      </c>
    </row>
    <row r="116" spans="2:2" ht="16">
      <c r="B116" s="235" t="s">
        <v>1066</v>
      </c>
    </row>
    <row r="119" spans="2:2" ht="18">
      <c r="B119" s="317" t="s">
        <v>909</v>
      </c>
    </row>
    <row r="121" spans="2:2" ht="16">
      <c r="B121" s="235" t="s">
        <v>1067</v>
      </c>
    </row>
    <row r="122" spans="2:2" ht="16">
      <c r="B122" s="235" t="s">
        <v>1068</v>
      </c>
    </row>
    <row r="123" spans="2:2" ht="16">
      <c r="B123" s="235" t="s">
        <v>1069</v>
      </c>
    </row>
    <row r="124" spans="2:2" ht="16">
      <c r="B124" s="235" t="s">
        <v>1070</v>
      </c>
    </row>
    <row r="125" spans="2:2" ht="16">
      <c r="B125" s="235" t="s">
        <v>1071</v>
      </c>
    </row>
    <row r="126" spans="2:2" ht="16">
      <c r="B126" s="235" t="s">
        <v>1072</v>
      </c>
    </row>
    <row r="127" spans="2:2" ht="16">
      <c r="B127" s="235" t="s">
        <v>1073</v>
      </c>
    </row>
    <row r="128" spans="2:2" ht="14">
      <c r="B128" s="338"/>
    </row>
    <row r="135" spans="2:3" ht="18">
      <c r="B135" s="317" t="s">
        <v>910</v>
      </c>
    </row>
    <row r="136" spans="2:3" ht="16">
      <c r="B136" s="286" t="s">
        <v>911</v>
      </c>
    </row>
    <row r="137" spans="2:3" ht="16">
      <c r="C137" s="235"/>
    </row>
    <row r="138" spans="2:3" ht="16">
      <c r="B138" s="286" t="s">
        <v>902</v>
      </c>
      <c r="C138" s="235" t="s">
        <v>903</v>
      </c>
    </row>
    <row r="139" spans="2:3" ht="16">
      <c r="B139" s="235"/>
      <c r="C139" s="235"/>
    </row>
    <row r="140" spans="2:3" ht="16">
      <c r="B140" s="286" t="s">
        <v>904</v>
      </c>
      <c r="C140" s="235" t="s">
        <v>905</v>
      </c>
    </row>
    <row r="141" spans="2:3" ht="16">
      <c r="B141" s="235"/>
      <c r="C141" s="235"/>
    </row>
    <row r="142" spans="2:3" ht="16">
      <c r="B142" s="286" t="s">
        <v>906</v>
      </c>
      <c r="C142" s="235" t="s">
        <v>907</v>
      </c>
    </row>
    <row r="143" spans="2:3" ht="16">
      <c r="C143" s="235"/>
    </row>
    <row r="147" spans="2:6" ht="18">
      <c r="B147" s="317" t="s">
        <v>1093</v>
      </c>
      <c r="F147" s="18" t="str">
        <f>HYPERLINK("https://fred.stlouisfed.org/series/T10Y2Y", "Source")</f>
        <v>Source</v>
      </c>
    </row>
    <row r="150" spans="2:6" ht="16">
      <c r="B150" s="286"/>
    </row>
    <row r="152" spans="2:6" ht="18">
      <c r="B152" s="317" t="s">
        <v>1074</v>
      </c>
    </row>
    <row r="153" spans="2:6" ht="14">
      <c r="B153" s="242" t="s">
        <v>1075</v>
      </c>
      <c r="C153" s="339">
        <v>5.5999999999999999E-3</v>
      </c>
    </row>
    <row r="154" spans="2:6" ht="14">
      <c r="B154" s="242" t="s">
        <v>1076</v>
      </c>
      <c r="C154" s="338" t="s">
        <v>1077</v>
      </c>
    </row>
    <row r="155" spans="2:6" ht="14">
      <c r="B155" s="242" t="s">
        <v>1078</v>
      </c>
      <c r="C155" s="339">
        <v>8.5000000000000006E-3</v>
      </c>
    </row>
    <row r="156" spans="2:6" ht="14">
      <c r="B156" s="242" t="s">
        <v>1079</v>
      </c>
      <c r="C156" s="339" t="s">
        <v>1081</v>
      </c>
    </row>
    <row r="157" spans="2:6" ht="14">
      <c r="B157" s="242" t="s">
        <v>1080</v>
      </c>
      <c r="C157" s="338" t="s">
        <v>1082</v>
      </c>
    </row>
    <row r="161" spans="2:4">
      <c r="B161" s="136"/>
    </row>
    <row r="162" spans="2:4">
      <c r="B162" s="136"/>
      <c r="C162" s="136"/>
      <c r="D162" s="136"/>
    </row>
    <row r="163" spans="2:4">
      <c r="B163" s="21"/>
    </row>
    <row r="164" spans="2:4">
      <c r="B164" s="21"/>
      <c r="D164" s="320"/>
    </row>
    <row r="165" spans="2:4">
      <c r="B165" s="21"/>
      <c r="D165" s="321"/>
    </row>
    <row r="166" spans="2:4">
      <c r="B166" s="21"/>
      <c r="D166" s="320"/>
    </row>
    <row r="167" spans="2:4">
      <c r="B167" s="21"/>
      <c r="D167" s="320"/>
    </row>
    <row r="168" spans="2:4">
      <c r="B168" s="21"/>
      <c r="D168" s="321"/>
    </row>
    <row r="169" spans="2:4">
      <c r="B169" s="21"/>
      <c r="D169" s="320"/>
    </row>
    <row r="170" spans="2:4">
      <c r="B170" s="21"/>
      <c r="D170" s="320"/>
    </row>
    <row r="171" spans="2:4">
      <c r="B171" s="21"/>
    </row>
    <row r="172" spans="2:4">
      <c r="B172" s="21"/>
    </row>
    <row r="173" spans="2:4">
      <c r="B173" s="21"/>
      <c r="D173" s="321"/>
    </row>
    <row r="174" spans="2:4">
      <c r="B174" s="21"/>
      <c r="D174" s="321"/>
    </row>
    <row r="175" spans="2:4">
      <c r="B175" s="21"/>
    </row>
    <row r="176" spans="2:4">
      <c r="B176" s="21"/>
      <c r="D176" s="321"/>
    </row>
    <row r="177" spans="2:13">
      <c r="B177" s="21"/>
    </row>
    <row r="178" spans="2:13" ht="18">
      <c r="B178" s="343" t="s">
        <v>1094</v>
      </c>
      <c r="D178" s="320"/>
    </row>
    <row r="179" spans="2:13">
      <c r="B179" s="21"/>
      <c r="D179" s="320"/>
    </row>
    <row r="180" spans="2:13" ht="16">
      <c r="B180" s="340"/>
      <c r="C180" s="341" t="s">
        <v>1083</v>
      </c>
      <c r="D180" s="341" t="s">
        <v>840</v>
      </c>
      <c r="E180" s="341" t="s">
        <v>841</v>
      </c>
      <c r="F180" s="341" t="s">
        <v>843</v>
      </c>
      <c r="G180" s="341" t="s">
        <v>1084</v>
      </c>
      <c r="H180" s="341" t="s">
        <v>1085</v>
      </c>
      <c r="I180" s="341" t="s">
        <v>1086</v>
      </c>
      <c r="J180" s="341" t="s">
        <v>1087</v>
      </c>
      <c r="K180" s="341" t="s">
        <v>1088</v>
      </c>
      <c r="L180" s="341" t="s">
        <v>1089</v>
      </c>
      <c r="M180" s="341" t="s">
        <v>1090</v>
      </c>
    </row>
    <row r="181" spans="2:13" ht="16">
      <c r="B181" s="342">
        <v>45849</v>
      </c>
      <c r="C181" s="219">
        <v>4.37</v>
      </c>
      <c r="D181" s="219">
        <v>4.41</v>
      </c>
      <c r="E181" s="219">
        <v>4.3099999999999996</v>
      </c>
      <c r="F181" s="219">
        <v>4.09</v>
      </c>
      <c r="G181" s="219">
        <v>3.9</v>
      </c>
      <c r="H181" s="219">
        <v>3.86</v>
      </c>
      <c r="I181" s="219">
        <v>3.99</v>
      </c>
      <c r="J181" s="219">
        <v>4.1900000000000004</v>
      </c>
      <c r="K181" s="219">
        <v>4.43</v>
      </c>
      <c r="L181" s="219">
        <v>4.96</v>
      </c>
      <c r="M181" s="219">
        <v>4.96</v>
      </c>
    </row>
    <row r="182" spans="2:13" ht="16">
      <c r="B182" s="342">
        <v>45852</v>
      </c>
      <c r="C182" s="219">
        <v>4.37</v>
      </c>
      <c r="D182" s="219">
        <v>4.42</v>
      </c>
      <c r="E182" s="219">
        <v>4.3099999999999996</v>
      </c>
      <c r="F182" s="219">
        <v>4.08</v>
      </c>
      <c r="G182" s="219">
        <v>3.9</v>
      </c>
      <c r="H182" s="219">
        <v>3.86</v>
      </c>
      <c r="I182" s="219">
        <v>3.98</v>
      </c>
      <c r="J182" s="219">
        <v>4.1900000000000004</v>
      </c>
      <c r="K182" s="219">
        <v>4.43</v>
      </c>
      <c r="L182" s="219">
        <v>4.97</v>
      </c>
      <c r="M182" s="219">
        <v>4.97</v>
      </c>
    </row>
    <row r="183" spans="2:13" ht="16">
      <c r="B183" s="342">
        <v>45853</v>
      </c>
      <c r="C183" s="219">
        <v>4.3600000000000003</v>
      </c>
      <c r="D183" s="219">
        <v>4.42</v>
      </c>
      <c r="E183" s="219">
        <v>4.33</v>
      </c>
      <c r="F183" s="219">
        <v>4.12</v>
      </c>
      <c r="G183" s="219">
        <v>3.95</v>
      </c>
      <c r="H183" s="219">
        <v>3.93</v>
      </c>
      <c r="I183" s="219">
        <v>4.05</v>
      </c>
      <c r="J183" s="219">
        <v>4.26</v>
      </c>
      <c r="K183" s="219">
        <v>4.5</v>
      </c>
      <c r="L183" s="219">
        <v>5.0199999999999996</v>
      </c>
      <c r="M183" s="219">
        <v>5.01</v>
      </c>
    </row>
    <row r="184" spans="2:13" ht="16">
      <c r="B184" s="342">
        <v>45854</v>
      </c>
      <c r="C184" s="219">
        <v>4.3600000000000003</v>
      </c>
      <c r="D184" s="219">
        <v>4.41</v>
      </c>
      <c r="E184" s="219">
        <v>4.3099999999999996</v>
      </c>
      <c r="F184" s="219">
        <v>4.08</v>
      </c>
      <c r="G184" s="219">
        <v>3.88</v>
      </c>
      <c r="H184" s="219">
        <v>3.86</v>
      </c>
      <c r="I184" s="219">
        <v>3.99</v>
      </c>
      <c r="J184" s="219">
        <v>4.21</v>
      </c>
      <c r="K184" s="219">
        <v>4.46</v>
      </c>
      <c r="L184" s="219">
        <v>5.01</v>
      </c>
      <c r="M184" s="219">
        <v>5.01</v>
      </c>
    </row>
    <row r="185" spans="2:13" ht="16">
      <c r="B185" s="342">
        <v>45855</v>
      </c>
      <c r="C185" s="219">
        <v>4.3600000000000003</v>
      </c>
      <c r="D185" s="219">
        <v>4.41</v>
      </c>
      <c r="E185" s="219">
        <v>4.3099999999999996</v>
      </c>
      <c r="F185" s="219">
        <v>4.0999999999999996</v>
      </c>
      <c r="G185" s="219">
        <v>3.91</v>
      </c>
      <c r="H185" s="219">
        <v>3.89</v>
      </c>
      <c r="I185" s="219">
        <v>4.01</v>
      </c>
      <c r="J185" s="219">
        <v>4.22</v>
      </c>
      <c r="K185" s="219">
        <v>4.47</v>
      </c>
      <c r="L185" s="219">
        <v>5.01</v>
      </c>
      <c r="M185" s="219">
        <v>5.01</v>
      </c>
    </row>
    <row r="186" spans="2:13">
      <c r="B186" s="21"/>
      <c r="D186" s="321"/>
    </row>
    <row r="187" spans="2:13">
      <c r="B187" s="21"/>
      <c r="D187" s="321"/>
    </row>
    <row r="188" spans="2:13">
      <c r="B188" s="21"/>
    </row>
    <row r="189" spans="2:13">
      <c r="B189" s="21"/>
      <c r="D189" s="321"/>
    </row>
    <row r="190" spans="2:13">
      <c r="B190" s="21"/>
      <c r="D190" s="321"/>
    </row>
    <row r="191" spans="2:13">
      <c r="B191" s="21"/>
      <c r="D191" s="320"/>
    </row>
    <row r="192" spans="2:13">
      <c r="B192" s="21"/>
      <c r="D192" s="18" t="str">
        <f>HYPERLINK("https://pages.stern.nyu.edu/~adamodar/", "Source")</f>
        <v>Source</v>
      </c>
    </row>
    <row r="193" spans="2:2">
      <c r="B193" s="21"/>
    </row>
    <row r="195" spans="2:2">
      <c r="B195" t="s">
        <v>912</v>
      </c>
    </row>
    <row r="196" spans="2:2">
      <c r="B196" t="s">
        <v>914</v>
      </c>
    </row>
    <row r="198" spans="2:2">
      <c r="B198" t="s">
        <v>1091</v>
      </c>
    </row>
    <row r="199" spans="2:2">
      <c r="B199" t="s">
        <v>915</v>
      </c>
    </row>
    <row r="211" spans="2:2">
      <c r="B211" s="21"/>
    </row>
    <row r="212" spans="2:2">
      <c r="B212" s="21"/>
    </row>
    <row r="213" spans="2:2">
      <c r="B213" s="21"/>
    </row>
    <row r="214" spans="2:2">
      <c r="B214" s="21"/>
    </row>
    <row r="215" spans="2:2">
      <c r="B215" s="21"/>
    </row>
    <row r="216" spans="2:2">
      <c r="B216" s="21"/>
    </row>
    <row r="217" spans="2:2">
      <c r="B217" s="21"/>
    </row>
    <row r="218" spans="2:2">
      <c r="B218" s="21"/>
    </row>
    <row r="219" spans="2:2">
      <c r="B219" s="21"/>
    </row>
    <row r="220" spans="2:2">
      <c r="B220" s="21"/>
    </row>
    <row r="221" spans="2:2">
      <c r="B221" s="21"/>
    </row>
    <row r="222" spans="2:2">
      <c r="B222" s="21"/>
    </row>
    <row r="223" spans="2:2">
      <c r="B223" s="21"/>
    </row>
    <row r="224" spans="2:2">
      <c r="B224" s="21"/>
    </row>
    <row r="225" spans="2:2">
      <c r="B225" s="21"/>
    </row>
    <row r="226" spans="2:2">
      <c r="B226" s="21"/>
    </row>
    <row r="227" spans="2:2">
      <c r="B227" s="21"/>
    </row>
    <row r="228" spans="2:2">
      <c r="B228" s="21"/>
    </row>
    <row r="229" spans="2:2">
      <c r="B229" s="21"/>
    </row>
    <row r="230" spans="2:2">
      <c r="B230" s="21"/>
    </row>
    <row r="231" spans="2:2">
      <c r="B231" s="21"/>
    </row>
    <row r="232" spans="2:2">
      <c r="B232" s="21"/>
    </row>
    <row r="233" spans="2:2">
      <c r="B233" s="21"/>
    </row>
    <row r="234" spans="2:2">
      <c r="B234" s="21"/>
    </row>
    <row r="235" spans="2:2">
      <c r="B235" s="21"/>
    </row>
    <row r="236" spans="2:2">
      <c r="B236" s="21"/>
    </row>
    <row r="237" spans="2:2">
      <c r="B237" s="21"/>
    </row>
    <row r="238" spans="2:2">
      <c r="B238" s="21"/>
    </row>
    <row r="239" spans="2:2">
      <c r="B239" s="21"/>
    </row>
    <row r="240" spans="2:2">
      <c r="B240" s="21"/>
    </row>
    <row r="241" spans="2:2">
      <c r="B241" s="21"/>
    </row>
    <row r="242" spans="2:2">
      <c r="B242" s="21"/>
    </row>
    <row r="243" spans="2:2">
      <c r="B243" s="21"/>
    </row>
    <row r="244" spans="2:2">
      <c r="B244" s="21"/>
    </row>
    <row r="245" spans="2:2">
      <c r="B245" s="21"/>
    </row>
    <row r="246" spans="2:2">
      <c r="B246" s="21"/>
    </row>
    <row r="247" spans="2:2">
      <c r="B247" s="21"/>
    </row>
    <row r="248" spans="2:2">
      <c r="B248" s="21"/>
    </row>
    <row r="249" spans="2:2">
      <c r="B249" s="21"/>
    </row>
    <row r="250" spans="2:2">
      <c r="B250" s="21"/>
    </row>
    <row r="251" spans="2:2">
      <c r="B251" s="21"/>
    </row>
    <row r="252" spans="2:2">
      <c r="B252" s="21"/>
    </row>
    <row r="253" spans="2:2">
      <c r="B253" s="21"/>
    </row>
    <row r="254" spans="2:2">
      <c r="B254" s="21"/>
    </row>
    <row r="255" spans="2:2">
      <c r="B255" s="21"/>
    </row>
    <row r="256" spans="2:2">
      <c r="B256" s="21"/>
    </row>
    <row r="257" spans="2:2">
      <c r="B257" s="21"/>
    </row>
    <row r="258" spans="2:2">
      <c r="B258" s="21"/>
    </row>
    <row r="259" spans="2:2">
      <c r="B259" s="21"/>
    </row>
    <row r="260" spans="2:2">
      <c r="B260" s="21"/>
    </row>
    <row r="261" spans="2:2">
      <c r="B261" s="21"/>
    </row>
    <row r="262" spans="2:2">
      <c r="B262" s="21"/>
    </row>
    <row r="263" spans="2:2">
      <c r="B263" s="21"/>
    </row>
    <row r="264" spans="2:2">
      <c r="B264" s="21"/>
    </row>
    <row r="265" spans="2:2">
      <c r="B265" s="21"/>
    </row>
    <row r="266" spans="2:2">
      <c r="B266" s="21"/>
    </row>
    <row r="267" spans="2:2">
      <c r="B267" s="21"/>
    </row>
    <row r="268" spans="2:2">
      <c r="B268" s="21"/>
    </row>
    <row r="269" spans="2:2">
      <c r="B269" s="21"/>
    </row>
    <row r="270" spans="2:2">
      <c r="B270" s="21"/>
    </row>
    <row r="271" spans="2:2">
      <c r="B271" s="21"/>
    </row>
    <row r="272" spans="2:2">
      <c r="B272" s="21"/>
    </row>
    <row r="273" spans="2:2">
      <c r="B273" s="21"/>
    </row>
    <row r="274" spans="2:2">
      <c r="B274" s="21"/>
    </row>
    <row r="275" spans="2:2">
      <c r="B275" s="21"/>
    </row>
    <row r="276" spans="2:2">
      <c r="B276" s="21"/>
    </row>
    <row r="277" spans="2:2">
      <c r="B277" s="21"/>
    </row>
    <row r="278" spans="2:2">
      <c r="B278" s="21"/>
    </row>
    <row r="279" spans="2:2">
      <c r="B279" s="21"/>
    </row>
    <row r="280" spans="2:2">
      <c r="B280" s="21"/>
    </row>
    <row r="281" spans="2:2">
      <c r="B281" s="21"/>
    </row>
    <row r="282" spans="2:2">
      <c r="B282" s="21"/>
    </row>
    <row r="283" spans="2:2">
      <c r="B283" s="21"/>
    </row>
    <row r="284" spans="2:2">
      <c r="B284" s="21"/>
    </row>
    <row r="285" spans="2:2">
      <c r="B285" s="21"/>
    </row>
    <row r="286" spans="2:2">
      <c r="B286" s="21"/>
    </row>
    <row r="287" spans="2:2">
      <c r="B287" s="21"/>
    </row>
    <row r="288" spans="2:2">
      <c r="B288" s="21"/>
    </row>
    <row r="289" spans="2:2">
      <c r="B289" s="21"/>
    </row>
    <row r="290" spans="2:2">
      <c r="B290" s="21"/>
    </row>
    <row r="291" spans="2:2">
      <c r="B291" s="21"/>
    </row>
    <row r="292" spans="2:2">
      <c r="B292" s="21"/>
    </row>
    <row r="293" spans="2:2">
      <c r="B293" s="21"/>
    </row>
    <row r="294" spans="2:2">
      <c r="B294" s="21"/>
    </row>
    <row r="295" spans="2:2">
      <c r="B295" s="21"/>
    </row>
    <row r="296" spans="2:2">
      <c r="B296" s="21"/>
    </row>
    <row r="297" spans="2:2">
      <c r="B297" s="21"/>
    </row>
    <row r="298" spans="2:2">
      <c r="B298" s="21"/>
    </row>
    <row r="299" spans="2:2">
      <c r="B299" s="21"/>
    </row>
    <row r="300" spans="2:2">
      <c r="B300" s="21"/>
    </row>
    <row r="301" spans="2:2">
      <c r="B301" s="21"/>
    </row>
    <row r="302" spans="2:2">
      <c r="B302" s="21"/>
    </row>
    <row r="303" spans="2:2">
      <c r="B303" s="21"/>
    </row>
    <row r="304" spans="2:2">
      <c r="B304" s="21"/>
    </row>
    <row r="305" spans="2:2">
      <c r="B305" s="21"/>
    </row>
    <row r="306" spans="2:2">
      <c r="B306" s="21"/>
    </row>
    <row r="307" spans="2:2">
      <c r="B307" s="21"/>
    </row>
    <row r="308" spans="2:2">
      <c r="B308" s="21"/>
    </row>
    <row r="309" spans="2:2">
      <c r="B309" s="21"/>
    </row>
    <row r="310" spans="2:2">
      <c r="B310" s="21"/>
    </row>
    <row r="311" spans="2:2">
      <c r="B311" s="21"/>
    </row>
    <row r="312" spans="2:2">
      <c r="B312" s="21"/>
    </row>
    <row r="313" spans="2:2">
      <c r="B313" s="21"/>
    </row>
    <row r="314" spans="2:2">
      <c r="B314" s="21"/>
    </row>
    <row r="315" spans="2:2">
      <c r="B315" s="21"/>
    </row>
    <row r="316" spans="2:2">
      <c r="B316" s="21"/>
    </row>
    <row r="317" spans="2:2">
      <c r="B317" s="21"/>
    </row>
    <row r="318" spans="2:2">
      <c r="B318" s="21"/>
    </row>
    <row r="319" spans="2:2">
      <c r="B319" s="21"/>
    </row>
    <row r="320" spans="2:2">
      <c r="B320" s="21"/>
    </row>
    <row r="321" spans="2:2">
      <c r="B321" s="21"/>
    </row>
    <row r="322" spans="2:2">
      <c r="B322" s="21"/>
    </row>
    <row r="323" spans="2:2">
      <c r="B323" s="21"/>
    </row>
    <row r="324" spans="2:2">
      <c r="B324" s="21"/>
    </row>
    <row r="325" spans="2:2">
      <c r="B325" s="21"/>
    </row>
    <row r="326" spans="2:2">
      <c r="B326" s="21"/>
    </row>
    <row r="327" spans="2:2">
      <c r="B327" s="21"/>
    </row>
    <row r="328" spans="2:2">
      <c r="B328" s="21"/>
    </row>
    <row r="329" spans="2:2">
      <c r="B329" s="21"/>
    </row>
    <row r="330" spans="2:2">
      <c r="B330" s="21"/>
    </row>
    <row r="331" spans="2:2">
      <c r="B331" s="21"/>
    </row>
    <row r="332" spans="2:2">
      <c r="B332" s="21"/>
    </row>
    <row r="333" spans="2:2">
      <c r="B333" s="21"/>
    </row>
    <row r="334" spans="2:2">
      <c r="B334" s="21"/>
    </row>
    <row r="335" spans="2:2">
      <c r="B335" s="21"/>
    </row>
    <row r="336" spans="2:2">
      <c r="B336" s="21"/>
    </row>
    <row r="337" spans="2:2">
      <c r="B337" s="21"/>
    </row>
    <row r="338" spans="2:2">
      <c r="B338" s="21"/>
    </row>
    <row r="339" spans="2:2">
      <c r="B339" s="21"/>
    </row>
    <row r="340" spans="2:2">
      <c r="B340" s="21"/>
    </row>
    <row r="341" spans="2:2">
      <c r="B341" s="21"/>
    </row>
    <row r="342" spans="2:2">
      <c r="B342" s="21"/>
    </row>
    <row r="343" spans="2:2">
      <c r="B343" s="21"/>
    </row>
    <row r="344" spans="2:2">
      <c r="B344" s="21"/>
    </row>
    <row r="345" spans="2:2">
      <c r="B345" s="21"/>
    </row>
    <row r="346" spans="2:2">
      <c r="B346" s="21"/>
    </row>
    <row r="347" spans="2:2">
      <c r="B347" s="21"/>
    </row>
    <row r="348" spans="2:2">
      <c r="B348" s="21"/>
    </row>
    <row r="349" spans="2:2">
      <c r="B349" s="21"/>
    </row>
    <row r="350" spans="2:2">
      <c r="B350" s="21"/>
    </row>
    <row r="351" spans="2:2">
      <c r="B351" s="21"/>
    </row>
    <row r="352" spans="2:2">
      <c r="B352" s="21"/>
    </row>
    <row r="353" spans="2:2">
      <c r="B353" s="21"/>
    </row>
    <row r="354" spans="2:2">
      <c r="B354" s="21"/>
    </row>
    <row r="355" spans="2:2">
      <c r="B355" s="21"/>
    </row>
    <row r="356" spans="2:2">
      <c r="B356" s="21"/>
    </row>
    <row r="357" spans="2:2">
      <c r="B357" s="21"/>
    </row>
    <row r="358" spans="2:2">
      <c r="B358" s="21"/>
    </row>
    <row r="359" spans="2:2">
      <c r="B359" s="21"/>
    </row>
    <row r="360" spans="2:2">
      <c r="B360" s="21"/>
    </row>
    <row r="361" spans="2:2">
      <c r="B361" s="21"/>
    </row>
    <row r="362" spans="2:2">
      <c r="B362" s="21"/>
    </row>
    <row r="363" spans="2:2">
      <c r="B363" s="21"/>
    </row>
    <row r="364" spans="2:2">
      <c r="B364" s="21"/>
    </row>
    <row r="365" spans="2:2">
      <c r="B365" s="21"/>
    </row>
    <row r="366" spans="2:2">
      <c r="B366" s="21"/>
    </row>
    <row r="367" spans="2:2">
      <c r="B367" s="21"/>
    </row>
    <row r="368" spans="2:2">
      <c r="B368" s="21"/>
    </row>
    <row r="369" spans="2:2">
      <c r="B369" s="21"/>
    </row>
    <row r="370" spans="2:2">
      <c r="B370" s="21"/>
    </row>
    <row r="371" spans="2:2">
      <c r="B371" s="21"/>
    </row>
    <row r="372" spans="2:2">
      <c r="B372" s="21"/>
    </row>
    <row r="373" spans="2:2">
      <c r="B373" s="21"/>
    </row>
    <row r="374" spans="2:2">
      <c r="B374" s="21"/>
    </row>
    <row r="375" spans="2:2">
      <c r="B375" s="21"/>
    </row>
    <row r="376" spans="2:2">
      <c r="B376" s="21"/>
    </row>
    <row r="377" spans="2:2">
      <c r="B377" s="21"/>
    </row>
    <row r="378" spans="2:2">
      <c r="B378" s="21"/>
    </row>
    <row r="379" spans="2:2">
      <c r="B379" s="21"/>
    </row>
    <row r="380" spans="2:2">
      <c r="B380" s="21"/>
    </row>
    <row r="381" spans="2:2">
      <c r="B381" s="21"/>
    </row>
    <row r="382" spans="2:2">
      <c r="B382" s="21"/>
    </row>
    <row r="383" spans="2:2">
      <c r="B383" s="21"/>
    </row>
    <row r="384" spans="2:2">
      <c r="B384" s="21"/>
    </row>
    <row r="385" spans="2:2">
      <c r="B385" s="21"/>
    </row>
    <row r="386" spans="2:2">
      <c r="B386" s="21"/>
    </row>
    <row r="387" spans="2:2">
      <c r="B387" s="21"/>
    </row>
    <row r="388" spans="2:2">
      <c r="B388" s="21"/>
    </row>
    <row r="389" spans="2:2">
      <c r="B389" s="21"/>
    </row>
    <row r="390" spans="2:2">
      <c r="B390" s="21"/>
    </row>
    <row r="391" spans="2:2">
      <c r="B391" s="21"/>
    </row>
    <row r="392" spans="2:2">
      <c r="B392" s="21"/>
    </row>
    <row r="393" spans="2:2">
      <c r="B393" s="21"/>
    </row>
    <row r="394" spans="2:2">
      <c r="B394" s="21"/>
    </row>
    <row r="395" spans="2:2">
      <c r="B395" s="21"/>
    </row>
    <row r="396" spans="2:2">
      <c r="B396" s="21"/>
    </row>
    <row r="397" spans="2:2">
      <c r="B397" s="21"/>
    </row>
    <row r="398" spans="2:2">
      <c r="B398" s="21"/>
    </row>
    <row r="399" spans="2:2">
      <c r="B399" s="21"/>
    </row>
    <row r="400" spans="2:2">
      <c r="B400" s="21"/>
    </row>
    <row r="401" spans="2:2">
      <c r="B401" s="21"/>
    </row>
    <row r="402" spans="2:2">
      <c r="B402" s="21"/>
    </row>
    <row r="403" spans="2:2">
      <c r="B403" s="21"/>
    </row>
    <row r="404" spans="2:2">
      <c r="B404" s="21"/>
    </row>
    <row r="405" spans="2:2">
      <c r="B405" s="21"/>
    </row>
    <row r="406" spans="2:2">
      <c r="B406" s="21"/>
    </row>
    <row r="407" spans="2:2">
      <c r="B407" s="21"/>
    </row>
    <row r="408" spans="2:2">
      <c r="B408" s="21"/>
    </row>
    <row r="409" spans="2:2">
      <c r="B409" s="21"/>
    </row>
    <row r="410" spans="2:2">
      <c r="B410" s="21"/>
    </row>
    <row r="411" spans="2:2">
      <c r="B411" s="21"/>
    </row>
    <row r="412" spans="2:2">
      <c r="B412" s="21"/>
    </row>
    <row r="413" spans="2:2">
      <c r="B413" s="21"/>
    </row>
    <row r="414" spans="2:2">
      <c r="B414" s="21"/>
    </row>
    <row r="415" spans="2:2">
      <c r="B415" s="21"/>
    </row>
    <row r="416" spans="2:2">
      <c r="B416" s="21"/>
    </row>
    <row r="417" spans="2:2">
      <c r="B417" s="21"/>
    </row>
    <row r="418" spans="2:2">
      <c r="B418" s="21"/>
    </row>
    <row r="419" spans="2:2">
      <c r="B419" s="21"/>
    </row>
    <row r="420" spans="2:2">
      <c r="B420" s="21"/>
    </row>
    <row r="421" spans="2:2">
      <c r="B421" s="21"/>
    </row>
    <row r="422" spans="2:2">
      <c r="B422" s="21"/>
    </row>
    <row r="423" spans="2:2">
      <c r="B423" s="21"/>
    </row>
    <row r="424" spans="2:2">
      <c r="B424" s="21"/>
    </row>
    <row r="425" spans="2:2">
      <c r="B425" s="21"/>
    </row>
    <row r="426" spans="2:2">
      <c r="B426" s="21"/>
    </row>
    <row r="427" spans="2:2">
      <c r="B427" s="21"/>
    </row>
    <row r="428" spans="2:2">
      <c r="B428" s="21"/>
    </row>
    <row r="429" spans="2:2">
      <c r="B429" s="21"/>
    </row>
    <row r="430" spans="2:2">
      <c r="B430" s="21"/>
    </row>
    <row r="431" spans="2:2">
      <c r="B431" s="21"/>
    </row>
    <row r="432" spans="2:2">
      <c r="B432" s="21"/>
    </row>
    <row r="433" spans="2:2">
      <c r="B433" s="21"/>
    </row>
    <row r="434" spans="2:2">
      <c r="B434" s="21"/>
    </row>
    <row r="435" spans="2:2">
      <c r="B435" s="21"/>
    </row>
    <row r="436" spans="2:2">
      <c r="B436" s="21"/>
    </row>
    <row r="437" spans="2:2">
      <c r="B437" s="21"/>
    </row>
    <row r="438" spans="2:2">
      <c r="B438" s="21"/>
    </row>
    <row r="439" spans="2:2">
      <c r="B439" s="21"/>
    </row>
    <row r="440" spans="2:2">
      <c r="B440" s="21"/>
    </row>
    <row r="441" spans="2:2">
      <c r="B441" s="21"/>
    </row>
    <row r="442" spans="2:2">
      <c r="B442" s="21"/>
    </row>
    <row r="443" spans="2:2">
      <c r="B443" s="21"/>
    </row>
    <row r="444" spans="2:2">
      <c r="B444" s="21"/>
    </row>
    <row r="445" spans="2:2">
      <c r="B445" s="21"/>
    </row>
    <row r="446" spans="2:2">
      <c r="B446" s="21"/>
    </row>
    <row r="447" spans="2:2">
      <c r="B447" s="21"/>
    </row>
    <row r="448" spans="2:2">
      <c r="B448" s="21"/>
    </row>
    <row r="449" spans="2:2">
      <c r="B449" s="21"/>
    </row>
    <row r="450" spans="2:2">
      <c r="B450" s="21"/>
    </row>
    <row r="451" spans="2:2">
      <c r="B451" s="21"/>
    </row>
    <row r="452" spans="2:2">
      <c r="B452" s="21"/>
    </row>
    <row r="453" spans="2:2">
      <c r="B453" s="21"/>
    </row>
    <row r="454" spans="2:2">
      <c r="B454" s="21"/>
    </row>
    <row r="455" spans="2:2">
      <c r="B455" s="21"/>
    </row>
    <row r="456" spans="2:2">
      <c r="B456" s="21"/>
    </row>
    <row r="457" spans="2:2">
      <c r="B457" s="21"/>
    </row>
    <row r="458" spans="2:2">
      <c r="B458" s="21"/>
    </row>
    <row r="459" spans="2:2">
      <c r="B459" s="21"/>
    </row>
    <row r="460" spans="2:2">
      <c r="B460" s="21"/>
    </row>
    <row r="461" spans="2:2">
      <c r="B461" s="21"/>
    </row>
    <row r="462" spans="2:2">
      <c r="B462" s="21"/>
    </row>
    <row r="463" spans="2:2">
      <c r="B463" s="21"/>
    </row>
    <row r="464" spans="2:2">
      <c r="B464" s="21"/>
    </row>
    <row r="465" spans="2:2">
      <c r="B465" s="21"/>
    </row>
    <row r="466" spans="2:2">
      <c r="B466" s="21"/>
    </row>
    <row r="467" spans="2:2">
      <c r="B467" s="21"/>
    </row>
    <row r="468" spans="2:2">
      <c r="B468" s="21"/>
    </row>
    <row r="469" spans="2:2">
      <c r="B469" s="21"/>
    </row>
    <row r="470" spans="2:2">
      <c r="B470" s="21"/>
    </row>
    <row r="471" spans="2:2">
      <c r="B471" s="21"/>
    </row>
    <row r="472" spans="2:2">
      <c r="B472" s="21"/>
    </row>
    <row r="473" spans="2:2">
      <c r="B473" s="21"/>
    </row>
    <row r="474" spans="2:2">
      <c r="B474" s="21"/>
    </row>
    <row r="475" spans="2:2">
      <c r="B475" s="21"/>
    </row>
    <row r="476" spans="2:2">
      <c r="B476" s="21"/>
    </row>
    <row r="477" spans="2:2">
      <c r="B477" s="21"/>
    </row>
    <row r="478" spans="2:2">
      <c r="B478" s="21"/>
    </row>
    <row r="479" spans="2:2">
      <c r="B479" s="21"/>
    </row>
    <row r="480" spans="2:2">
      <c r="B480" s="21"/>
    </row>
    <row r="481" spans="2:2">
      <c r="B481" s="21"/>
    </row>
    <row r="482" spans="2:2">
      <c r="B482" s="21"/>
    </row>
    <row r="483" spans="2:2">
      <c r="B483" s="21"/>
    </row>
    <row r="484" spans="2:2">
      <c r="B484" s="21"/>
    </row>
    <row r="485" spans="2:2">
      <c r="B485" s="21"/>
    </row>
    <row r="486" spans="2:2">
      <c r="B486" s="21"/>
    </row>
    <row r="487" spans="2:2">
      <c r="B487" s="21"/>
    </row>
    <row r="488" spans="2:2">
      <c r="B488" s="21"/>
    </row>
    <row r="489" spans="2:2">
      <c r="B489" s="21"/>
    </row>
    <row r="490" spans="2:2">
      <c r="B490" s="21"/>
    </row>
    <row r="491" spans="2:2">
      <c r="B491" s="21"/>
    </row>
    <row r="492" spans="2:2">
      <c r="B492" s="21"/>
    </row>
    <row r="493" spans="2:2">
      <c r="B493" s="21"/>
    </row>
    <row r="494" spans="2:2">
      <c r="B494" s="21"/>
    </row>
    <row r="495" spans="2:2">
      <c r="B495" s="21"/>
    </row>
    <row r="496" spans="2:2">
      <c r="B496" s="21"/>
    </row>
    <row r="497" spans="2:2">
      <c r="B497" s="21"/>
    </row>
    <row r="498" spans="2:2">
      <c r="B498" s="21"/>
    </row>
    <row r="499" spans="2:2">
      <c r="B499" s="21"/>
    </row>
    <row r="500" spans="2:2">
      <c r="B500" s="21"/>
    </row>
    <row r="501" spans="2:2">
      <c r="B501" s="21"/>
    </row>
    <row r="502" spans="2:2">
      <c r="B502" s="21"/>
    </row>
    <row r="503" spans="2:2">
      <c r="B503" s="21"/>
    </row>
    <row r="504" spans="2:2">
      <c r="B504" s="21"/>
    </row>
    <row r="505" spans="2:2">
      <c r="B505" s="21"/>
    </row>
    <row r="506" spans="2:2">
      <c r="B506" s="21"/>
    </row>
    <row r="507" spans="2:2">
      <c r="B507" s="21"/>
    </row>
    <row r="508" spans="2:2">
      <c r="B508" s="21"/>
    </row>
    <row r="509" spans="2:2">
      <c r="B509" s="21"/>
    </row>
    <row r="510" spans="2:2">
      <c r="B510" s="21"/>
    </row>
    <row r="511" spans="2:2">
      <c r="B511" s="21"/>
    </row>
    <row r="512" spans="2:2">
      <c r="B512" s="21"/>
    </row>
    <row r="513" spans="2:2">
      <c r="B513" s="21"/>
    </row>
    <row r="514" spans="2:2">
      <c r="B514" s="21"/>
    </row>
    <row r="515" spans="2:2">
      <c r="B515" s="21"/>
    </row>
    <row r="516" spans="2:2">
      <c r="B516" s="21"/>
    </row>
    <row r="517" spans="2:2">
      <c r="B517" s="21"/>
    </row>
    <row r="518" spans="2:2">
      <c r="B518" s="21"/>
    </row>
    <row r="519" spans="2:2">
      <c r="B519" s="21"/>
    </row>
    <row r="520" spans="2:2">
      <c r="B520" s="21"/>
    </row>
    <row r="521" spans="2:2">
      <c r="B521" s="21"/>
    </row>
    <row r="522" spans="2:2">
      <c r="B522" s="21"/>
    </row>
    <row r="523" spans="2:2">
      <c r="B523" s="21"/>
    </row>
    <row r="524" spans="2:2">
      <c r="B524" s="21"/>
    </row>
    <row r="525" spans="2:2">
      <c r="B525" s="21"/>
    </row>
    <row r="526" spans="2:2">
      <c r="B526" s="21"/>
    </row>
    <row r="527" spans="2:2">
      <c r="B527" s="21"/>
    </row>
    <row r="528" spans="2:2">
      <c r="B528" s="21"/>
    </row>
    <row r="529" spans="2:2">
      <c r="B529" s="21"/>
    </row>
    <row r="530" spans="2:2">
      <c r="B530" s="21"/>
    </row>
    <row r="531" spans="2:2">
      <c r="B531" s="21"/>
    </row>
    <row r="532" spans="2:2">
      <c r="B532" s="21"/>
    </row>
    <row r="533" spans="2:2">
      <c r="B533" s="21"/>
    </row>
    <row r="534" spans="2:2">
      <c r="B534" s="21"/>
    </row>
    <row r="535" spans="2:2">
      <c r="B535" s="21"/>
    </row>
    <row r="536" spans="2:2">
      <c r="B536" s="21"/>
    </row>
    <row r="537" spans="2:2">
      <c r="B537" s="21"/>
    </row>
    <row r="538" spans="2:2">
      <c r="B538" s="21"/>
    </row>
    <row r="539" spans="2:2">
      <c r="B539" s="21"/>
    </row>
    <row r="540" spans="2:2">
      <c r="B540" s="21"/>
    </row>
    <row r="541" spans="2:2">
      <c r="B541" s="21"/>
    </row>
    <row r="542" spans="2:2">
      <c r="B542" s="21"/>
    </row>
    <row r="543" spans="2:2">
      <c r="B543" s="21"/>
    </row>
    <row r="544" spans="2:2">
      <c r="B544" s="21"/>
    </row>
    <row r="545" spans="2:2">
      <c r="B545" s="21"/>
    </row>
    <row r="546" spans="2:2">
      <c r="B546" s="21"/>
    </row>
    <row r="547" spans="2:2">
      <c r="B547" s="21"/>
    </row>
    <row r="548" spans="2:2">
      <c r="B548" s="21"/>
    </row>
    <row r="549" spans="2:2">
      <c r="B549" s="21"/>
    </row>
    <row r="550" spans="2:2">
      <c r="B550" s="21"/>
    </row>
    <row r="551" spans="2:2">
      <c r="B551" s="21"/>
    </row>
    <row r="552" spans="2:2">
      <c r="B552" s="21"/>
    </row>
    <row r="553" spans="2:2">
      <c r="B553" s="21"/>
    </row>
    <row r="554" spans="2:2">
      <c r="B554" s="21"/>
    </row>
    <row r="555" spans="2:2">
      <c r="B555" s="21"/>
    </row>
    <row r="556" spans="2:2">
      <c r="B556" s="21"/>
    </row>
    <row r="557" spans="2:2">
      <c r="B557" s="21"/>
    </row>
    <row r="558" spans="2:2">
      <c r="B558" s="21"/>
    </row>
    <row r="559" spans="2:2">
      <c r="B559" s="21"/>
    </row>
    <row r="560" spans="2:2">
      <c r="B560" s="21"/>
    </row>
    <row r="561" spans="2:2">
      <c r="B561" s="21"/>
    </row>
    <row r="562" spans="2:2">
      <c r="B562" s="21"/>
    </row>
    <row r="563" spans="2:2">
      <c r="B563" s="21"/>
    </row>
    <row r="564" spans="2:2">
      <c r="B564" s="21"/>
    </row>
    <row r="565" spans="2:2">
      <c r="B565" s="21"/>
    </row>
    <row r="566" spans="2:2">
      <c r="B566" s="21"/>
    </row>
    <row r="567" spans="2:2">
      <c r="B567" s="21"/>
    </row>
    <row r="568" spans="2:2">
      <c r="B568" s="21"/>
    </row>
    <row r="569" spans="2:2">
      <c r="B569" s="21"/>
    </row>
    <row r="570" spans="2:2">
      <c r="B570" s="21"/>
    </row>
    <row r="571" spans="2:2">
      <c r="B571" s="21"/>
    </row>
    <row r="572" spans="2:2">
      <c r="B572" s="21"/>
    </row>
    <row r="573" spans="2:2">
      <c r="B573" s="21"/>
    </row>
    <row r="574" spans="2:2">
      <c r="B574" s="21"/>
    </row>
    <row r="575" spans="2:2">
      <c r="B575" s="21"/>
    </row>
    <row r="576" spans="2:2">
      <c r="B576" s="21"/>
    </row>
    <row r="577" spans="2:2">
      <c r="B577" s="21"/>
    </row>
    <row r="578" spans="2:2">
      <c r="B578" s="21"/>
    </row>
    <row r="579" spans="2:2">
      <c r="B579" s="21"/>
    </row>
    <row r="580" spans="2:2">
      <c r="B580" s="21"/>
    </row>
    <row r="581" spans="2:2">
      <c r="B581" s="21"/>
    </row>
    <row r="582" spans="2:2">
      <c r="B582" s="21"/>
    </row>
    <row r="583" spans="2:2">
      <c r="B583" s="21"/>
    </row>
    <row r="584" spans="2:2">
      <c r="B584" s="21"/>
    </row>
    <row r="585" spans="2:2">
      <c r="B585" s="21"/>
    </row>
    <row r="586" spans="2:2">
      <c r="B586" s="21"/>
    </row>
    <row r="587" spans="2:2">
      <c r="B587" s="21"/>
    </row>
    <row r="588" spans="2:2">
      <c r="B588" s="21"/>
    </row>
    <row r="589" spans="2:2">
      <c r="B589" s="21"/>
    </row>
    <row r="590" spans="2:2">
      <c r="B590" s="21"/>
    </row>
    <row r="591" spans="2:2">
      <c r="B591" s="21"/>
    </row>
    <row r="592" spans="2:2">
      <c r="B592" s="21"/>
    </row>
    <row r="593" spans="2:2">
      <c r="B593" s="21"/>
    </row>
    <row r="594" spans="2:2">
      <c r="B594" s="21"/>
    </row>
    <row r="595" spans="2:2">
      <c r="B595" s="21"/>
    </row>
    <row r="596" spans="2:2">
      <c r="B596" s="21"/>
    </row>
    <row r="597" spans="2:2">
      <c r="B597" s="21"/>
    </row>
    <row r="598" spans="2:2">
      <c r="B598" s="21"/>
    </row>
    <row r="599" spans="2:2">
      <c r="B599" s="21"/>
    </row>
    <row r="600" spans="2:2">
      <c r="B600" s="21"/>
    </row>
    <row r="601" spans="2:2">
      <c r="B601" s="21"/>
    </row>
    <row r="602" spans="2:2">
      <c r="B602" s="21"/>
    </row>
    <row r="603" spans="2:2">
      <c r="B603" s="21"/>
    </row>
    <row r="604" spans="2:2">
      <c r="B604" s="21"/>
    </row>
    <row r="605" spans="2:2">
      <c r="B605" s="21"/>
    </row>
    <row r="606" spans="2:2">
      <c r="B606" s="21"/>
    </row>
    <row r="607" spans="2:2">
      <c r="B607" s="21"/>
    </row>
    <row r="608" spans="2:2">
      <c r="B608" s="21"/>
    </row>
    <row r="609" spans="2:2">
      <c r="B609" s="21"/>
    </row>
    <row r="610" spans="2:2">
      <c r="B610" s="21"/>
    </row>
    <row r="611" spans="2:2">
      <c r="B611" s="21"/>
    </row>
    <row r="612" spans="2:2">
      <c r="B612" s="21"/>
    </row>
    <row r="613" spans="2:2">
      <c r="B613" s="21"/>
    </row>
    <row r="614" spans="2:2">
      <c r="B614" s="21"/>
    </row>
    <row r="615" spans="2:2">
      <c r="B615" s="21"/>
    </row>
    <row r="616" spans="2:2">
      <c r="B616" s="21"/>
    </row>
    <row r="617" spans="2:2">
      <c r="B617" s="21"/>
    </row>
    <row r="618" spans="2:2">
      <c r="B618" s="21"/>
    </row>
    <row r="619" spans="2:2">
      <c r="B619" s="21"/>
    </row>
    <row r="620" spans="2:2">
      <c r="B620" s="21"/>
    </row>
    <row r="621" spans="2:2">
      <c r="B621" s="21"/>
    </row>
    <row r="622" spans="2:2">
      <c r="B622" s="21"/>
    </row>
    <row r="623" spans="2:2">
      <c r="B623" s="21"/>
    </row>
    <row r="624" spans="2:2">
      <c r="B624" s="21"/>
    </row>
    <row r="625" spans="2:2">
      <c r="B625" s="21"/>
    </row>
    <row r="626" spans="2:2">
      <c r="B626" s="21"/>
    </row>
    <row r="627" spans="2:2">
      <c r="B627" s="21"/>
    </row>
    <row r="628" spans="2:2">
      <c r="B628" s="21"/>
    </row>
    <row r="629" spans="2:2">
      <c r="B629" s="21"/>
    </row>
    <row r="630" spans="2:2">
      <c r="B630" s="21"/>
    </row>
    <row r="631" spans="2:2">
      <c r="B631" s="21"/>
    </row>
    <row r="632" spans="2:2">
      <c r="B632" s="21"/>
    </row>
    <row r="633" spans="2:2">
      <c r="B633" s="21"/>
    </row>
    <row r="634" spans="2:2">
      <c r="B634" s="21"/>
    </row>
    <row r="635" spans="2:2">
      <c r="B635" s="21"/>
    </row>
    <row r="636" spans="2:2">
      <c r="B636" s="21"/>
    </row>
    <row r="637" spans="2:2">
      <c r="B637" s="21"/>
    </row>
    <row r="638" spans="2:2">
      <c r="B638" s="21"/>
    </row>
    <row r="639" spans="2:2">
      <c r="B639" s="21"/>
    </row>
    <row r="640" spans="2:2">
      <c r="B640" s="21"/>
    </row>
    <row r="641" spans="2:2">
      <c r="B641" s="21"/>
    </row>
    <row r="642" spans="2:2">
      <c r="B642" s="21"/>
    </row>
    <row r="643" spans="2:2">
      <c r="B643" s="21"/>
    </row>
    <row r="644" spans="2:2">
      <c r="B644" s="21"/>
    </row>
    <row r="645" spans="2:2">
      <c r="B645" s="21"/>
    </row>
    <row r="646" spans="2:2">
      <c r="B646" s="21"/>
    </row>
    <row r="647" spans="2:2">
      <c r="B647" s="21"/>
    </row>
    <row r="648" spans="2:2">
      <c r="B648" s="21"/>
    </row>
    <row r="649" spans="2:2">
      <c r="B649" s="21"/>
    </row>
    <row r="650" spans="2:2">
      <c r="B650" s="21"/>
    </row>
    <row r="651" spans="2:2">
      <c r="B651" s="21"/>
    </row>
    <row r="652" spans="2:2">
      <c r="B652" s="21"/>
    </row>
    <row r="653" spans="2:2">
      <c r="B653" s="21"/>
    </row>
    <row r="654" spans="2:2">
      <c r="B654" s="21"/>
    </row>
    <row r="655" spans="2:2">
      <c r="B655" s="21"/>
    </row>
    <row r="656" spans="2:2">
      <c r="B656" s="21"/>
    </row>
    <row r="657" spans="2:2">
      <c r="B657" s="21"/>
    </row>
    <row r="658" spans="2:2">
      <c r="B658" s="21"/>
    </row>
    <row r="659" spans="2:2">
      <c r="B659" s="21"/>
    </row>
    <row r="660" spans="2:2">
      <c r="B660" s="21"/>
    </row>
    <row r="661" spans="2:2">
      <c r="B661" s="21"/>
    </row>
    <row r="662" spans="2:2">
      <c r="B662" s="21"/>
    </row>
    <row r="663" spans="2:2">
      <c r="B663" s="21"/>
    </row>
    <row r="664" spans="2:2">
      <c r="B664" s="21"/>
    </row>
    <row r="665" spans="2:2">
      <c r="B665" s="21"/>
    </row>
    <row r="666" spans="2:2">
      <c r="B666" s="21"/>
    </row>
    <row r="667" spans="2:2">
      <c r="B667" s="21"/>
    </row>
    <row r="668" spans="2:2">
      <c r="B668" s="21"/>
    </row>
    <row r="669" spans="2:2">
      <c r="B669" s="21"/>
    </row>
    <row r="670" spans="2:2">
      <c r="B670" s="21"/>
    </row>
    <row r="671" spans="2:2">
      <c r="B671" s="21"/>
    </row>
    <row r="672" spans="2:2">
      <c r="B672" s="21"/>
    </row>
    <row r="673" spans="2:2">
      <c r="B673" s="21"/>
    </row>
    <row r="674" spans="2:2">
      <c r="B674" s="21"/>
    </row>
    <row r="675" spans="2:2">
      <c r="B675" s="21"/>
    </row>
    <row r="676" spans="2:2">
      <c r="B676" s="21"/>
    </row>
    <row r="677" spans="2:2">
      <c r="B677" s="21"/>
    </row>
    <row r="678" spans="2:2">
      <c r="B678" s="21"/>
    </row>
    <row r="679" spans="2:2">
      <c r="B679" s="21"/>
    </row>
    <row r="680" spans="2:2">
      <c r="B680" s="21"/>
    </row>
    <row r="681" spans="2:2">
      <c r="B681" s="21"/>
    </row>
    <row r="682" spans="2:2">
      <c r="B682" s="21"/>
    </row>
    <row r="683" spans="2:2">
      <c r="B683" s="21"/>
    </row>
    <row r="684" spans="2:2">
      <c r="B684" s="21"/>
    </row>
    <row r="685" spans="2:2">
      <c r="B685" s="21"/>
    </row>
    <row r="686" spans="2:2">
      <c r="B686" s="21"/>
    </row>
    <row r="687" spans="2:2">
      <c r="B687" s="21"/>
    </row>
    <row r="688" spans="2:2">
      <c r="B688" s="21"/>
    </row>
    <row r="689" spans="2:2">
      <c r="B689" s="21"/>
    </row>
    <row r="690" spans="2:2">
      <c r="B690" s="21"/>
    </row>
    <row r="691" spans="2:2">
      <c r="B691" s="21"/>
    </row>
    <row r="692" spans="2:2">
      <c r="B692" s="21"/>
    </row>
    <row r="693" spans="2:2">
      <c r="B693" s="21"/>
    </row>
    <row r="694" spans="2:2">
      <c r="B694" s="21"/>
    </row>
    <row r="695" spans="2:2">
      <c r="B695" s="21"/>
    </row>
    <row r="696" spans="2:2">
      <c r="B696" s="21"/>
    </row>
    <row r="697" spans="2:2">
      <c r="B697" s="21"/>
    </row>
    <row r="698" spans="2:2">
      <c r="B698" s="21"/>
    </row>
    <row r="699" spans="2:2">
      <c r="B699" s="21"/>
    </row>
    <row r="700" spans="2:2">
      <c r="B700" s="21"/>
    </row>
    <row r="701" spans="2:2">
      <c r="B701" s="21"/>
    </row>
    <row r="702" spans="2:2">
      <c r="B702" s="21"/>
    </row>
    <row r="703" spans="2:2">
      <c r="B703" s="21"/>
    </row>
    <row r="704" spans="2:2">
      <c r="B704" s="21"/>
    </row>
    <row r="705" spans="2:2">
      <c r="B705" s="21"/>
    </row>
    <row r="706" spans="2:2">
      <c r="B706" s="21"/>
    </row>
    <row r="707" spans="2:2">
      <c r="B707" s="21"/>
    </row>
    <row r="708" spans="2:2">
      <c r="B708" s="21"/>
    </row>
    <row r="709" spans="2:2">
      <c r="B709" s="21"/>
    </row>
    <row r="710" spans="2:2">
      <c r="B710" s="21"/>
    </row>
    <row r="711" spans="2:2">
      <c r="B711" s="21"/>
    </row>
    <row r="712" spans="2:2">
      <c r="B712" s="21"/>
    </row>
    <row r="713" spans="2:2">
      <c r="B713" s="21"/>
    </row>
    <row r="714" spans="2:2">
      <c r="B714" s="21"/>
    </row>
    <row r="715" spans="2:2">
      <c r="B715" s="21"/>
    </row>
    <row r="716" spans="2:2">
      <c r="B716" s="21"/>
    </row>
    <row r="717" spans="2:2">
      <c r="B717" s="21"/>
    </row>
    <row r="718" spans="2:2">
      <c r="B718" s="21"/>
    </row>
    <row r="719" spans="2:2">
      <c r="B719" s="21"/>
    </row>
    <row r="720" spans="2:2">
      <c r="B720" s="21"/>
    </row>
    <row r="721" spans="2:2">
      <c r="B721" s="21"/>
    </row>
    <row r="722" spans="2:2">
      <c r="B722" s="21"/>
    </row>
    <row r="723" spans="2:2">
      <c r="B723" s="21"/>
    </row>
    <row r="724" spans="2:2">
      <c r="B724" s="21"/>
    </row>
    <row r="725" spans="2:2">
      <c r="B725" s="21"/>
    </row>
    <row r="726" spans="2:2">
      <c r="B726" s="21"/>
    </row>
    <row r="727" spans="2:2">
      <c r="B727" s="21"/>
    </row>
    <row r="728" spans="2:2">
      <c r="B728" s="21"/>
    </row>
    <row r="729" spans="2:2">
      <c r="B729" s="21"/>
    </row>
    <row r="730" spans="2:2">
      <c r="B730" s="21"/>
    </row>
    <row r="731" spans="2:2">
      <c r="B731" s="21"/>
    </row>
    <row r="732" spans="2:2">
      <c r="B732" s="21"/>
    </row>
    <row r="733" spans="2:2">
      <c r="B733" s="21"/>
    </row>
    <row r="734" spans="2:2">
      <c r="B734" s="21"/>
    </row>
    <row r="735" spans="2:2">
      <c r="B735" s="21"/>
    </row>
    <row r="736" spans="2:2">
      <c r="B736" s="21"/>
    </row>
    <row r="737" spans="2:2">
      <c r="B737" s="21"/>
    </row>
    <row r="738" spans="2:2">
      <c r="B738" s="21"/>
    </row>
    <row r="739" spans="2:2">
      <c r="B739" s="21"/>
    </row>
    <row r="740" spans="2:2">
      <c r="B740" s="21"/>
    </row>
    <row r="741" spans="2:2">
      <c r="B741" s="21"/>
    </row>
    <row r="742" spans="2:2">
      <c r="B742" s="21"/>
    </row>
    <row r="743" spans="2:2">
      <c r="B743" s="21"/>
    </row>
    <row r="744" spans="2:2">
      <c r="B744" s="21"/>
    </row>
    <row r="745" spans="2:2">
      <c r="B745" s="21"/>
    </row>
    <row r="746" spans="2:2">
      <c r="B746" s="21"/>
    </row>
    <row r="747" spans="2:2">
      <c r="B747" s="21"/>
    </row>
    <row r="748" spans="2:2">
      <c r="B748" s="21"/>
    </row>
    <row r="749" spans="2:2">
      <c r="B749" s="21"/>
    </row>
    <row r="750" spans="2:2">
      <c r="B750" s="21"/>
    </row>
    <row r="751" spans="2:2">
      <c r="B751" s="21"/>
    </row>
    <row r="752" spans="2:2">
      <c r="B752" s="21"/>
    </row>
    <row r="753" spans="2:2">
      <c r="B753" s="21"/>
    </row>
    <row r="754" spans="2:2">
      <c r="B754" s="21"/>
    </row>
    <row r="755" spans="2:2">
      <c r="B755" s="21"/>
    </row>
    <row r="756" spans="2:2">
      <c r="B756" s="21"/>
    </row>
    <row r="757" spans="2:2">
      <c r="B757" s="21"/>
    </row>
    <row r="758" spans="2:2">
      <c r="B758" s="21"/>
    </row>
    <row r="759" spans="2:2">
      <c r="B759" s="21"/>
    </row>
    <row r="760" spans="2:2">
      <c r="B760" s="21"/>
    </row>
    <row r="761" spans="2:2">
      <c r="B761" s="21"/>
    </row>
    <row r="762" spans="2:2">
      <c r="B762" s="21"/>
    </row>
    <row r="763" spans="2:2">
      <c r="B763" s="21"/>
    </row>
    <row r="764" spans="2:2">
      <c r="B764" s="21"/>
    </row>
    <row r="765" spans="2:2">
      <c r="B765" s="21"/>
    </row>
    <row r="766" spans="2:2">
      <c r="B766" s="21"/>
    </row>
    <row r="767" spans="2:2">
      <c r="B767" s="21"/>
    </row>
    <row r="768" spans="2:2">
      <c r="B768" s="21"/>
    </row>
    <row r="769" spans="2:2">
      <c r="B769" s="21"/>
    </row>
    <row r="770" spans="2:2">
      <c r="B770" s="21"/>
    </row>
    <row r="771" spans="2:2">
      <c r="B771" s="21"/>
    </row>
    <row r="772" spans="2:2">
      <c r="B772" s="21"/>
    </row>
    <row r="773" spans="2:2">
      <c r="B773" s="21"/>
    </row>
    <row r="774" spans="2:2">
      <c r="B774" s="21"/>
    </row>
    <row r="775" spans="2:2">
      <c r="B775" s="21"/>
    </row>
    <row r="776" spans="2:2">
      <c r="B776" s="21"/>
    </row>
    <row r="777" spans="2:2">
      <c r="B777" s="21"/>
    </row>
    <row r="778" spans="2:2">
      <c r="B778" s="21"/>
    </row>
    <row r="779" spans="2:2">
      <c r="B779" s="21"/>
    </row>
    <row r="780" spans="2:2">
      <c r="B780" s="21"/>
    </row>
    <row r="781" spans="2:2">
      <c r="B781" s="21"/>
    </row>
    <row r="782" spans="2:2">
      <c r="B782" s="21"/>
    </row>
    <row r="783" spans="2:2">
      <c r="B783" s="21"/>
    </row>
    <row r="784" spans="2:2">
      <c r="B784" s="21"/>
    </row>
    <row r="785" spans="2:2">
      <c r="B785" s="21"/>
    </row>
    <row r="786" spans="2:2">
      <c r="B786" s="21"/>
    </row>
    <row r="787" spans="2:2">
      <c r="B787" s="21"/>
    </row>
    <row r="788" spans="2:2">
      <c r="B788" s="21"/>
    </row>
    <row r="789" spans="2:2">
      <c r="B789" s="21"/>
    </row>
    <row r="790" spans="2:2">
      <c r="B790" s="21"/>
    </row>
    <row r="791" spans="2:2">
      <c r="B791" s="21"/>
    </row>
    <row r="792" spans="2:2">
      <c r="B792" s="21"/>
    </row>
    <row r="793" spans="2:2">
      <c r="B793" s="21"/>
    </row>
    <row r="794" spans="2:2">
      <c r="B794" s="21"/>
    </row>
    <row r="795" spans="2:2">
      <c r="B795" s="21"/>
    </row>
    <row r="796" spans="2:2">
      <c r="B796" s="21"/>
    </row>
    <row r="797" spans="2:2">
      <c r="B797" s="21"/>
    </row>
    <row r="798" spans="2:2">
      <c r="B798" s="21"/>
    </row>
    <row r="799" spans="2:2">
      <c r="B799" s="21"/>
    </row>
    <row r="800" spans="2:2">
      <c r="B800" s="21"/>
    </row>
    <row r="801" spans="2:2">
      <c r="B801" s="21"/>
    </row>
    <row r="802" spans="2:2">
      <c r="B802" s="21"/>
    </row>
    <row r="803" spans="2:2">
      <c r="B803" s="21"/>
    </row>
    <row r="804" spans="2:2">
      <c r="B804" s="21"/>
    </row>
    <row r="805" spans="2:2">
      <c r="B805" s="21"/>
    </row>
    <row r="806" spans="2:2">
      <c r="B806" s="21"/>
    </row>
    <row r="807" spans="2:2">
      <c r="B807" s="21"/>
    </row>
    <row r="808" spans="2:2">
      <c r="B808" s="21"/>
    </row>
    <row r="809" spans="2:2">
      <c r="B809" s="21"/>
    </row>
    <row r="810" spans="2:2">
      <c r="B810" s="21"/>
    </row>
    <row r="811" spans="2:2">
      <c r="B811" s="21"/>
    </row>
    <row r="812" spans="2:2">
      <c r="B812" s="21"/>
    </row>
    <row r="813" spans="2:2">
      <c r="B813" s="21"/>
    </row>
    <row r="814" spans="2:2">
      <c r="B814" s="21"/>
    </row>
    <row r="815" spans="2:2">
      <c r="B815" s="21"/>
    </row>
    <row r="816" spans="2:2">
      <c r="B816" s="21"/>
    </row>
    <row r="817" spans="2:2">
      <c r="B817" s="21"/>
    </row>
    <row r="818" spans="2:2">
      <c r="B818" s="21"/>
    </row>
    <row r="819" spans="2:2">
      <c r="B819" s="21"/>
    </row>
    <row r="820" spans="2:2">
      <c r="B820" s="21"/>
    </row>
    <row r="821" spans="2:2">
      <c r="B821" s="21"/>
    </row>
    <row r="822" spans="2:2">
      <c r="B822" s="21"/>
    </row>
    <row r="823" spans="2:2">
      <c r="B823" s="21"/>
    </row>
    <row r="824" spans="2:2">
      <c r="B824" s="21"/>
    </row>
    <row r="825" spans="2:2">
      <c r="B825" s="21"/>
    </row>
    <row r="826" spans="2:2">
      <c r="B826" s="21"/>
    </row>
    <row r="827" spans="2:2">
      <c r="B827" s="21"/>
    </row>
    <row r="828" spans="2:2">
      <c r="B828" s="21"/>
    </row>
    <row r="829" spans="2:2">
      <c r="B829" s="21"/>
    </row>
    <row r="830" spans="2:2">
      <c r="B830" s="21"/>
    </row>
    <row r="831" spans="2:2">
      <c r="B831" s="21"/>
    </row>
    <row r="832" spans="2:2">
      <c r="B832" s="21"/>
    </row>
    <row r="833" spans="2:2">
      <c r="B833" s="21"/>
    </row>
    <row r="834" spans="2:2">
      <c r="B834" s="21"/>
    </row>
    <row r="835" spans="2:2">
      <c r="B835" s="21"/>
    </row>
    <row r="836" spans="2:2">
      <c r="B836" s="21"/>
    </row>
    <row r="837" spans="2:2">
      <c r="B837" s="21"/>
    </row>
    <row r="838" spans="2:2">
      <c r="B838" s="21"/>
    </row>
    <row r="839" spans="2:2">
      <c r="B839" s="21"/>
    </row>
    <row r="840" spans="2:2">
      <c r="B840" s="21"/>
    </row>
    <row r="841" spans="2:2">
      <c r="B841" s="21"/>
    </row>
    <row r="842" spans="2:2">
      <c r="B842" s="21"/>
    </row>
    <row r="843" spans="2:2">
      <c r="B843" s="21"/>
    </row>
    <row r="844" spans="2:2">
      <c r="B844" s="21"/>
    </row>
    <row r="845" spans="2:2">
      <c r="B845" s="21"/>
    </row>
    <row r="846" spans="2:2">
      <c r="B846" s="21"/>
    </row>
    <row r="847" spans="2:2">
      <c r="B847" s="21"/>
    </row>
    <row r="848" spans="2:2">
      <c r="B848" s="21"/>
    </row>
    <row r="849" spans="2:2">
      <c r="B849" s="21"/>
    </row>
    <row r="850" spans="2:2">
      <c r="B850" s="21"/>
    </row>
    <row r="851" spans="2:2">
      <c r="B851" s="21"/>
    </row>
    <row r="852" spans="2:2">
      <c r="B852" s="21"/>
    </row>
    <row r="853" spans="2:2">
      <c r="B853" s="21"/>
    </row>
    <row r="854" spans="2:2">
      <c r="B854" s="21"/>
    </row>
    <row r="855" spans="2:2">
      <c r="B855" s="21"/>
    </row>
    <row r="856" spans="2:2">
      <c r="B856" s="21"/>
    </row>
    <row r="857" spans="2:2">
      <c r="B857" s="21"/>
    </row>
    <row r="858" spans="2:2">
      <c r="B858" s="21"/>
    </row>
    <row r="859" spans="2:2">
      <c r="B859" s="21"/>
    </row>
    <row r="860" spans="2:2">
      <c r="B860" s="21"/>
    </row>
    <row r="861" spans="2:2">
      <c r="B861" s="21"/>
    </row>
    <row r="862" spans="2:2">
      <c r="B862" s="21"/>
    </row>
    <row r="863" spans="2:2">
      <c r="B863" s="21"/>
    </row>
    <row r="864" spans="2:2">
      <c r="B864" s="21"/>
    </row>
    <row r="865" spans="2:2">
      <c r="B865" s="21"/>
    </row>
    <row r="866" spans="2:2">
      <c r="B866" s="21"/>
    </row>
    <row r="867" spans="2:2">
      <c r="B867" s="21"/>
    </row>
    <row r="868" spans="2:2">
      <c r="B868" s="21"/>
    </row>
    <row r="869" spans="2:2">
      <c r="B869" s="21"/>
    </row>
    <row r="870" spans="2:2">
      <c r="B870" s="21"/>
    </row>
    <row r="871" spans="2:2">
      <c r="B871" s="21"/>
    </row>
    <row r="872" spans="2:2">
      <c r="B872" s="21"/>
    </row>
    <row r="873" spans="2:2">
      <c r="B873" s="21"/>
    </row>
    <row r="874" spans="2:2">
      <c r="B874" s="21"/>
    </row>
    <row r="875" spans="2:2">
      <c r="B875" s="21"/>
    </row>
    <row r="876" spans="2:2">
      <c r="B876" s="21"/>
    </row>
    <row r="877" spans="2:2">
      <c r="B877" s="21"/>
    </row>
    <row r="878" spans="2:2">
      <c r="B878" s="21"/>
    </row>
    <row r="879" spans="2:2">
      <c r="B879" s="21"/>
    </row>
    <row r="880" spans="2:2">
      <c r="B880" s="21"/>
    </row>
    <row r="881" spans="2:2">
      <c r="B881" s="21"/>
    </row>
    <row r="882" spans="2:2">
      <c r="B882" s="21"/>
    </row>
    <row r="883" spans="2:2">
      <c r="B883" s="21"/>
    </row>
    <row r="884" spans="2:2">
      <c r="B884" s="21"/>
    </row>
    <row r="885" spans="2:2">
      <c r="B885" s="21"/>
    </row>
    <row r="886" spans="2:2">
      <c r="B886" s="21"/>
    </row>
    <row r="887" spans="2:2">
      <c r="B887" s="21"/>
    </row>
    <row r="888" spans="2:2">
      <c r="B888" s="21"/>
    </row>
    <row r="889" spans="2:2">
      <c r="B889" s="21"/>
    </row>
    <row r="890" spans="2:2">
      <c r="B890" s="21"/>
    </row>
    <row r="891" spans="2:2">
      <c r="B891" s="21"/>
    </row>
    <row r="892" spans="2:2">
      <c r="B892" s="21"/>
    </row>
    <row r="893" spans="2:2">
      <c r="B893" s="21"/>
    </row>
    <row r="894" spans="2:2">
      <c r="B894" s="21"/>
    </row>
    <row r="895" spans="2:2">
      <c r="B895" s="21"/>
    </row>
    <row r="896" spans="2:2">
      <c r="B896" s="21"/>
    </row>
    <row r="897" spans="2:2">
      <c r="B897" s="21"/>
    </row>
    <row r="898" spans="2:2">
      <c r="B898" s="21"/>
    </row>
    <row r="899" spans="2:2">
      <c r="B899" s="21"/>
    </row>
    <row r="900" spans="2:2">
      <c r="B900" s="21"/>
    </row>
    <row r="901" spans="2:2">
      <c r="B901" s="21"/>
    </row>
    <row r="902" spans="2:2">
      <c r="B902" s="21"/>
    </row>
    <row r="903" spans="2:2">
      <c r="B903" s="21"/>
    </row>
    <row r="904" spans="2:2">
      <c r="B904" s="21"/>
    </row>
    <row r="905" spans="2:2">
      <c r="B905" s="21"/>
    </row>
    <row r="906" spans="2:2">
      <c r="B906" s="21"/>
    </row>
    <row r="907" spans="2:2">
      <c r="B907" s="21"/>
    </row>
    <row r="908" spans="2:2">
      <c r="B908" s="21"/>
    </row>
    <row r="909" spans="2:2">
      <c r="B909" s="21"/>
    </row>
    <row r="910" spans="2:2">
      <c r="B910" s="21"/>
    </row>
    <row r="911" spans="2:2">
      <c r="B911" s="21"/>
    </row>
    <row r="912" spans="2:2">
      <c r="B912" s="21"/>
    </row>
    <row r="913" spans="2:2">
      <c r="B913" s="21"/>
    </row>
    <row r="914" spans="2:2">
      <c r="B914" s="21"/>
    </row>
    <row r="915" spans="2:2">
      <c r="B915" s="21"/>
    </row>
    <row r="916" spans="2:2">
      <c r="B916" s="21"/>
    </row>
    <row r="917" spans="2:2">
      <c r="B917" s="21"/>
    </row>
    <row r="918" spans="2:2">
      <c r="B918" s="21"/>
    </row>
    <row r="919" spans="2:2">
      <c r="B919" s="21"/>
    </row>
    <row r="920" spans="2:2">
      <c r="B920" s="21"/>
    </row>
    <row r="921" spans="2:2">
      <c r="B921" s="21"/>
    </row>
    <row r="922" spans="2:2">
      <c r="B922" s="21"/>
    </row>
    <row r="923" spans="2:2">
      <c r="B923" s="21"/>
    </row>
    <row r="924" spans="2:2">
      <c r="B924" s="21"/>
    </row>
    <row r="925" spans="2:2">
      <c r="B925" s="21"/>
    </row>
    <row r="926" spans="2:2">
      <c r="B926" s="21"/>
    </row>
    <row r="927" spans="2:2">
      <c r="B927" s="21"/>
    </row>
    <row r="928" spans="2:2">
      <c r="B928" s="21"/>
    </row>
    <row r="929" spans="2:2">
      <c r="B929" s="21"/>
    </row>
    <row r="930" spans="2:2">
      <c r="B930" s="21"/>
    </row>
    <row r="931" spans="2:2">
      <c r="B931" s="21"/>
    </row>
    <row r="932" spans="2:2">
      <c r="B932" s="21"/>
    </row>
    <row r="933" spans="2:2">
      <c r="B933" s="21"/>
    </row>
    <row r="934" spans="2:2">
      <c r="B934" s="21"/>
    </row>
    <row r="935" spans="2:2">
      <c r="B935" s="21"/>
    </row>
    <row r="936" spans="2:2">
      <c r="B936" s="21"/>
    </row>
    <row r="937" spans="2:2">
      <c r="B937" s="21"/>
    </row>
    <row r="938" spans="2:2">
      <c r="B938" s="21"/>
    </row>
    <row r="939" spans="2:2">
      <c r="B939" s="21"/>
    </row>
    <row r="940" spans="2:2">
      <c r="B940" s="21"/>
    </row>
    <row r="941" spans="2:2">
      <c r="B941" s="21"/>
    </row>
    <row r="942" spans="2:2">
      <c r="B942" s="21"/>
    </row>
    <row r="943" spans="2:2">
      <c r="B943" s="21"/>
    </row>
    <row r="944" spans="2:2">
      <c r="B944" s="21"/>
    </row>
    <row r="945" spans="2:2">
      <c r="B945" s="21"/>
    </row>
    <row r="946" spans="2:2">
      <c r="B946" s="21"/>
    </row>
    <row r="947" spans="2:2">
      <c r="B947" s="21"/>
    </row>
    <row r="948" spans="2:2">
      <c r="B948" s="21"/>
    </row>
    <row r="949" spans="2:2">
      <c r="B949" s="21"/>
    </row>
    <row r="950" spans="2:2">
      <c r="B950" s="21"/>
    </row>
    <row r="951" spans="2:2">
      <c r="B951" s="21"/>
    </row>
    <row r="952" spans="2:2">
      <c r="B952" s="21"/>
    </row>
    <row r="953" spans="2:2">
      <c r="B953" s="21"/>
    </row>
    <row r="954" spans="2:2">
      <c r="B954" s="21"/>
    </row>
    <row r="955" spans="2:2">
      <c r="B955" s="21"/>
    </row>
    <row r="956" spans="2:2">
      <c r="B956" s="21"/>
    </row>
    <row r="957" spans="2:2">
      <c r="B957" s="21"/>
    </row>
    <row r="958" spans="2:2">
      <c r="B958" s="21"/>
    </row>
    <row r="959" spans="2:2">
      <c r="B959" s="21"/>
    </row>
    <row r="960" spans="2:2">
      <c r="B960" s="21"/>
    </row>
    <row r="961" spans="2:2">
      <c r="B961" s="21"/>
    </row>
    <row r="962" spans="2:2">
      <c r="B962" s="21"/>
    </row>
    <row r="963" spans="2:2">
      <c r="B963" s="21"/>
    </row>
    <row r="964" spans="2:2">
      <c r="B964" s="21"/>
    </row>
    <row r="965" spans="2:2">
      <c r="B965" s="21"/>
    </row>
    <row r="966" spans="2:2">
      <c r="B966" s="21"/>
    </row>
    <row r="967" spans="2:2">
      <c r="B967" s="21"/>
    </row>
    <row r="968" spans="2:2">
      <c r="B968" s="21"/>
    </row>
    <row r="969" spans="2:2">
      <c r="B969" s="21"/>
    </row>
    <row r="970" spans="2:2">
      <c r="B970" s="21"/>
    </row>
    <row r="971" spans="2:2">
      <c r="B971" s="21"/>
    </row>
    <row r="972" spans="2:2">
      <c r="B972" s="21"/>
    </row>
    <row r="973" spans="2:2">
      <c r="B973" s="21"/>
    </row>
    <row r="974" spans="2:2">
      <c r="B974" s="21"/>
    </row>
    <row r="975" spans="2:2">
      <c r="B975" s="21"/>
    </row>
    <row r="976" spans="2:2">
      <c r="B976" s="21"/>
    </row>
    <row r="977" spans="2:2">
      <c r="B977" s="21"/>
    </row>
    <row r="978" spans="2:2">
      <c r="B978" s="21"/>
    </row>
    <row r="979" spans="2:2">
      <c r="B979" s="21"/>
    </row>
    <row r="980" spans="2:2">
      <c r="B980" s="21"/>
    </row>
    <row r="981" spans="2:2">
      <c r="B981" s="21"/>
    </row>
    <row r="982" spans="2:2">
      <c r="B982" s="21"/>
    </row>
    <row r="983" spans="2:2">
      <c r="B983" s="21"/>
    </row>
    <row r="984" spans="2:2">
      <c r="B984" s="21"/>
    </row>
    <row r="985" spans="2:2">
      <c r="B985" s="21"/>
    </row>
    <row r="986" spans="2:2">
      <c r="B986" s="21"/>
    </row>
    <row r="987" spans="2:2">
      <c r="B987" s="21"/>
    </row>
    <row r="988" spans="2:2">
      <c r="B988" s="21"/>
    </row>
    <row r="989" spans="2:2">
      <c r="B989" s="21"/>
    </row>
    <row r="990" spans="2:2">
      <c r="B990" s="21"/>
    </row>
    <row r="991" spans="2:2">
      <c r="B991" s="21"/>
    </row>
    <row r="992" spans="2:2">
      <c r="B992" s="21"/>
    </row>
    <row r="993" spans="2:2">
      <c r="B993" s="21"/>
    </row>
    <row r="994" spans="2:2">
      <c r="B994" s="21"/>
    </row>
    <row r="995" spans="2:2">
      <c r="B995" s="21"/>
    </row>
    <row r="996" spans="2:2">
      <c r="B996" s="21"/>
    </row>
    <row r="997" spans="2:2">
      <c r="B997" s="21"/>
    </row>
    <row r="998" spans="2:2">
      <c r="B998" s="21"/>
    </row>
    <row r="999" spans="2:2">
      <c r="B999" s="21"/>
    </row>
    <row r="1000" spans="2:2">
      <c r="B1000" s="21"/>
    </row>
    <row r="1001" spans="2:2">
      <c r="B1001" s="21"/>
    </row>
    <row r="1002" spans="2:2">
      <c r="B1002" s="21"/>
    </row>
    <row r="1003" spans="2:2">
      <c r="B1003" s="21"/>
    </row>
    <row r="1004" spans="2:2">
      <c r="B1004" s="21"/>
    </row>
    <row r="1005" spans="2:2">
      <c r="B1005" s="21"/>
    </row>
    <row r="1006" spans="2:2">
      <c r="B1006" s="21"/>
    </row>
    <row r="1007" spans="2:2">
      <c r="B1007" s="21"/>
    </row>
    <row r="1008" spans="2:2">
      <c r="B1008" s="21"/>
    </row>
    <row r="1009" spans="2:2">
      <c r="B1009" s="21"/>
    </row>
    <row r="1010" spans="2:2">
      <c r="B1010" s="21"/>
    </row>
    <row r="1011" spans="2:2">
      <c r="B1011" s="21"/>
    </row>
    <row r="1012" spans="2:2">
      <c r="B1012" s="21"/>
    </row>
    <row r="1013" spans="2:2">
      <c r="B1013" s="21"/>
    </row>
    <row r="1014" spans="2:2">
      <c r="B1014" s="21"/>
    </row>
    <row r="1015" spans="2:2">
      <c r="B1015" s="21"/>
    </row>
    <row r="1016" spans="2:2">
      <c r="B1016" s="21"/>
    </row>
    <row r="1017" spans="2:2">
      <c r="B1017" s="21"/>
    </row>
    <row r="1018" spans="2:2">
      <c r="B1018" s="21"/>
    </row>
    <row r="1019" spans="2:2">
      <c r="B1019" s="21"/>
    </row>
    <row r="1020" spans="2:2">
      <c r="B1020" s="21"/>
    </row>
    <row r="1021" spans="2:2">
      <c r="B1021" s="21"/>
    </row>
    <row r="1022" spans="2:2">
      <c r="B1022" s="21"/>
    </row>
    <row r="1023" spans="2:2">
      <c r="B1023" s="21"/>
    </row>
    <row r="1024" spans="2:2">
      <c r="B1024" s="21"/>
    </row>
    <row r="1025" spans="2:2">
      <c r="B1025" s="21"/>
    </row>
    <row r="1026" spans="2:2">
      <c r="B1026" s="21"/>
    </row>
    <row r="1027" spans="2:2">
      <c r="B1027" s="21"/>
    </row>
    <row r="1028" spans="2:2">
      <c r="B1028" s="21"/>
    </row>
    <row r="1029" spans="2:2">
      <c r="B1029" s="21"/>
    </row>
    <row r="1030" spans="2:2">
      <c r="B1030" s="21"/>
    </row>
    <row r="1031" spans="2:2">
      <c r="B1031" s="21"/>
    </row>
    <row r="1032" spans="2:2">
      <c r="B1032" s="21"/>
    </row>
    <row r="1033" spans="2:2">
      <c r="B1033" s="21"/>
    </row>
    <row r="1034" spans="2:2">
      <c r="B1034" s="21"/>
    </row>
    <row r="1035" spans="2:2">
      <c r="B1035" s="21"/>
    </row>
    <row r="1036" spans="2:2">
      <c r="B1036" s="21"/>
    </row>
    <row r="1037" spans="2:2">
      <c r="B1037" s="21"/>
    </row>
    <row r="1038" spans="2:2">
      <c r="B1038" s="21"/>
    </row>
    <row r="1039" spans="2:2">
      <c r="B1039" s="21"/>
    </row>
    <row r="1040" spans="2:2">
      <c r="B1040" s="21"/>
    </row>
    <row r="1041" spans="2:2">
      <c r="B1041" s="21"/>
    </row>
    <row r="1042" spans="2:2">
      <c r="B1042" s="21"/>
    </row>
    <row r="1043" spans="2:2">
      <c r="B1043" s="21"/>
    </row>
    <row r="1044" spans="2:2">
      <c r="B1044" s="21"/>
    </row>
    <row r="1045" spans="2:2">
      <c r="B1045" s="21"/>
    </row>
    <row r="1046" spans="2:2">
      <c r="B1046" s="21"/>
    </row>
    <row r="1047" spans="2:2">
      <c r="B1047" s="21"/>
    </row>
    <row r="1048" spans="2:2">
      <c r="B1048" s="21"/>
    </row>
    <row r="1049" spans="2:2">
      <c r="B1049" s="21"/>
    </row>
    <row r="1050" spans="2:2">
      <c r="B1050" s="21"/>
    </row>
    <row r="1051" spans="2:2">
      <c r="B1051" s="21"/>
    </row>
    <row r="1052" spans="2:2">
      <c r="B1052" s="21"/>
    </row>
    <row r="1053" spans="2:2">
      <c r="B1053" s="21"/>
    </row>
    <row r="1054" spans="2:2">
      <c r="B1054" s="21"/>
    </row>
    <row r="1055" spans="2:2">
      <c r="B1055" s="21"/>
    </row>
    <row r="1056" spans="2:2">
      <c r="B1056" s="21"/>
    </row>
    <row r="1057" spans="2:2">
      <c r="B1057" s="21"/>
    </row>
    <row r="1058" spans="2:2">
      <c r="B1058" s="21"/>
    </row>
    <row r="1059" spans="2:2">
      <c r="B1059" s="21"/>
    </row>
    <row r="1060" spans="2:2">
      <c r="B1060" s="21"/>
    </row>
    <row r="1061" spans="2:2">
      <c r="B1061" s="21"/>
    </row>
    <row r="1062" spans="2:2">
      <c r="B1062" s="21"/>
    </row>
    <row r="1063" spans="2:2">
      <c r="B1063" s="21"/>
    </row>
    <row r="1064" spans="2:2">
      <c r="B1064" s="21"/>
    </row>
    <row r="1065" spans="2:2">
      <c r="B1065" s="21"/>
    </row>
    <row r="1066" spans="2:2">
      <c r="B1066" s="21"/>
    </row>
    <row r="1067" spans="2:2">
      <c r="B1067" s="21"/>
    </row>
    <row r="1068" spans="2:2">
      <c r="B1068" s="21"/>
    </row>
    <row r="1069" spans="2:2">
      <c r="B1069" s="21"/>
    </row>
    <row r="1070" spans="2:2">
      <c r="B1070" s="21"/>
    </row>
    <row r="1071" spans="2:2">
      <c r="B1071" s="21"/>
    </row>
    <row r="1072" spans="2:2">
      <c r="B1072" s="21"/>
    </row>
    <row r="1073" spans="2:2">
      <c r="B1073" s="21"/>
    </row>
    <row r="1074" spans="2:2">
      <c r="B1074" s="21"/>
    </row>
    <row r="1075" spans="2:2">
      <c r="B1075" s="21"/>
    </row>
    <row r="1076" spans="2:2">
      <c r="B1076" s="21"/>
    </row>
    <row r="1077" spans="2:2">
      <c r="B1077" s="21"/>
    </row>
    <row r="1078" spans="2:2">
      <c r="B1078" s="21"/>
    </row>
    <row r="1079" spans="2:2">
      <c r="B1079" s="21"/>
    </row>
    <row r="1080" spans="2:2">
      <c r="B1080" s="21"/>
    </row>
    <row r="1081" spans="2:2">
      <c r="B1081" s="21"/>
    </row>
    <row r="1082" spans="2:2">
      <c r="B1082" s="21"/>
    </row>
    <row r="1083" spans="2:2">
      <c r="B1083" s="21"/>
    </row>
    <row r="1084" spans="2:2">
      <c r="B1084" s="21"/>
    </row>
    <row r="1085" spans="2:2">
      <c r="B1085" s="21"/>
    </row>
    <row r="1086" spans="2:2">
      <c r="B1086" s="21"/>
    </row>
    <row r="1087" spans="2:2">
      <c r="B1087" s="21"/>
    </row>
    <row r="1088" spans="2:2">
      <c r="B1088" s="21"/>
    </row>
    <row r="1089" spans="2:2">
      <c r="B1089" s="21"/>
    </row>
    <row r="1090" spans="2:2">
      <c r="B1090" s="21"/>
    </row>
    <row r="1091" spans="2:2">
      <c r="B1091" s="21"/>
    </row>
    <row r="1092" spans="2:2">
      <c r="B1092" s="21"/>
    </row>
    <row r="1093" spans="2:2">
      <c r="B1093" s="21"/>
    </row>
    <row r="1094" spans="2:2">
      <c r="B1094" s="21"/>
    </row>
    <row r="1095" spans="2:2">
      <c r="B1095" s="21"/>
    </row>
    <row r="1096" spans="2:2">
      <c r="B1096" s="21"/>
    </row>
    <row r="1097" spans="2:2">
      <c r="B1097" s="21"/>
    </row>
    <row r="1098" spans="2:2">
      <c r="B1098" s="21"/>
    </row>
    <row r="1099" spans="2:2">
      <c r="B1099" s="21"/>
    </row>
    <row r="1100" spans="2:2">
      <c r="B1100" s="21"/>
    </row>
    <row r="1101" spans="2:2">
      <c r="B1101" s="21"/>
    </row>
    <row r="1102" spans="2:2">
      <c r="B1102" s="21"/>
    </row>
    <row r="1103" spans="2:2">
      <c r="B1103" s="21"/>
    </row>
    <row r="1104" spans="2:2">
      <c r="B1104" s="21"/>
    </row>
    <row r="1105" spans="2:2">
      <c r="B1105" s="21"/>
    </row>
    <row r="1106" spans="2:2">
      <c r="B1106" s="21"/>
    </row>
    <row r="1107" spans="2:2">
      <c r="B1107" s="21"/>
    </row>
    <row r="1108" spans="2:2">
      <c r="B1108" s="21"/>
    </row>
    <row r="1109" spans="2:2">
      <c r="B1109" s="21"/>
    </row>
    <row r="1110" spans="2:2">
      <c r="B1110" s="21"/>
    </row>
    <row r="1111" spans="2:2">
      <c r="B1111" s="21"/>
    </row>
    <row r="1112" spans="2:2">
      <c r="B1112" s="21"/>
    </row>
    <row r="1113" spans="2:2">
      <c r="B1113" s="21"/>
    </row>
    <row r="1114" spans="2:2">
      <c r="B1114" s="21"/>
    </row>
    <row r="1115" spans="2:2">
      <c r="B1115" s="21"/>
    </row>
    <row r="1116" spans="2:2">
      <c r="B1116" s="21"/>
    </row>
    <row r="1117" spans="2:2">
      <c r="B1117" s="21"/>
    </row>
    <row r="1118" spans="2:2">
      <c r="B1118" s="21"/>
    </row>
    <row r="1119" spans="2:2">
      <c r="B1119" s="21"/>
    </row>
    <row r="1120" spans="2:2">
      <c r="B1120" s="21"/>
    </row>
    <row r="1121" spans="2:2">
      <c r="B1121" s="21"/>
    </row>
    <row r="1122" spans="2:2">
      <c r="B1122" s="21"/>
    </row>
    <row r="1123" spans="2:2">
      <c r="B1123" s="21"/>
    </row>
    <row r="1124" spans="2:2">
      <c r="B1124" s="21"/>
    </row>
    <row r="1125" spans="2:2">
      <c r="B1125" s="21"/>
    </row>
    <row r="1126" spans="2:2">
      <c r="B1126" s="21"/>
    </row>
    <row r="1127" spans="2:2">
      <c r="B1127" s="21"/>
    </row>
    <row r="1128" spans="2:2">
      <c r="B1128" s="21"/>
    </row>
    <row r="1129" spans="2:2">
      <c r="B1129" s="21"/>
    </row>
    <row r="1130" spans="2:2">
      <c r="B1130" s="21"/>
    </row>
    <row r="1131" spans="2:2">
      <c r="B1131" s="21"/>
    </row>
    <row r="1132" spans="2:2">
      <c r="B1132" s="21"/>
    </row>
    <row r="1133" spans="2:2">
      <c r="B1133" s="21"/>
    </row>
    <row r="1134" spans="2:2">
      <c r="B1134" s="21"/>
    </row>
    <row r="1135" spans="2:2">
      <c r="B1135" s="21"/>
    </row>
    <row r="1136" spans="2:2">
      <c r="B1136" s="21"/>
    </row>
    <row r="1137" spans="2:2">
      <c r="B1137" s="21"/>
    </row>
    <row r="1138" spans="2:2">
      <c r="B1138" s="21"/>
    </row>
    <row r="1139" spans="2:2">
      <c r="B1139" s="21"/>
    </row>
    <row r="1140" spans="2:2">
      <c r="B1140" s="21"/>
    </row>
    <row r="1141" spans="2:2">
      <c r="B1141" s="21"/>
    </row>
    <row r="1142" spans="2:2">
      <c r="B1142" s="21"/>
    </row>
    <row r="1143" spans="2:2">
      <c r="B1143" s="21"/>
    </row>
    <row r="1144" spans="2:2">
      <c r="B1144" s="21"/>
    </row>
    <row r="1145" spans="2:2">
      <c r="B1145" s="21"/>
    </row>
    <row r="1146" spans="2:2">
      <c r="B1146" s="21"/>
    </row>
    <row r="1147" spans="2:2">
      <c r="B1147" s="21"/>
    </row>
    <row r="1148" spans="2:2">
      <c r="B1148" s="21"/>
    </row>
    <row r="1149" spans="2:2">
      <c r="B1149" s="21"/>
    </row>
    <row r="1150" spans="2:2">
      <c r="B1150" s="21"/>
    </row>
    <row r="1151" spans="2:2">
      <c r="B1151" s="21"/>
    </row>
    <row r="1152" spans="2:2">
      <c r="B1152" s="21"/>
    </row>
    <row r="1153" spans="2:2">
      <c r="B1153" s="21"/>
    </row>
    <row r="1154" spans="2:2">
      <c r="B1154" s="21"/>
    </row>
    <row r="1155" spans="2:2">
      <c r="B1155" s="21"/>
    </row>
    <row r="1156" spans="2:2">
      <c r="B1156" s="21"/>
    </row>
    <row r="1157" spans="2:2">
      <c r="B1157" s="21"/>
    </row>
    <row r="1158" spans="2:2">
      <c r="B1158" s="21"/>
    </row>
    <row r="1159" spans="2:2">
      <c r="B1159" s="21"/>
    </row>
    <row r="1160" spans="2:2">
      <c r="B1160" s="21"/>
    </row>
    <row r="1161" spans="2:2">
      <c r="B1161" s="21"/>
    </row>
    <row r="1162" spans="2:2">
      <c r="B1162" s="21"/>
    </row>
    <row r="1163" spans="2:2">
      <c r="B1163" s="21"/>
    </row>
    <row r="1164" spans="2:2">
      <c r="B1164" s="21"/>
    </row>
    <row r="1165" spans="2:2">
      <c r="B1165" s="21"/>
    </row>
    <row r="1166" spans="2:2">
      <c r="B1166" s="21"/>
    </row>
    <row r="1167" spans="2:2">
      <c r="B1167" s="21"/>
    </row>
    <row r="1168" spans="2:2">
      <c r="B1168" s="21"/>
    </row>
    <row r="1169" spans="2:2">
      <c r="B1169" s="21"/>
    </row>
    <row r="1170" spans="2:2">
      <c r="B1170" s="21"/>
    </row>
    <row r="1171" spans="2:2">
      <c r="B1171" s="21"/>
    </row>
    <row r="1172" spans="2:2">
      <c r="B1172" s="21"/>
    </row>
    <row r="1173" spans="2:2">
      <c r="B1173" s="21"/>
    </row>
    <row r="1174" spans="2:2">
      <c r="B1174" s="21"/>
    </row>
    <row r="1175" spans="2:2">
      <c r="B1175" s="21"/>
    </row>
    <row r="1176" spans="2:2">
      <c r="B1176" s="21"/>
    </row>
    <row r="1177" spans="2:2">
      <c r="B1177" s="21"/>
    </row>
    <row r="1178" spans="2:2">
      <c r="B1178" s="21"/>
    </row>
    <row r="1179" spans="2:2">
      <c r="B1179" s="21"/>
    </row>
    <row r="1180" spans="2:2">
      <c r="B1180" s="21"/>
    </row>
    <row r="1181" spans="2:2">
      <c r="B1181" s="21"/>
    </row>
    <row r="1182" spans="2:2">
      <c r="B1182" s="21"/>
    </row>
    <row r="1183" spans="2:2">
      <c r="B1183" s="21"/>
    </row>
    <row r="1184" spans="2:2">
      <c r="B1184" s="21"/>
    </row>
    <row r="1185" spans="2:2">
      <c r="B1185" s="21"/>
    </row>
    <row r="1186" spans="2:2">
      <c r="B1186" s="21"/>
    </row>
    <row r="1187" spans="2:2">
      <c r="B1187" s="21"/>
    </row>
    <row r="1188" spans="2:2">
      <c r="B1188" s="21"/>
    </row>
    <row r="1189" spans="2:2">
      <c r="B1189" s="21"/>
    </row>
    <row r="1190" spans="2:2">
      <c r="B1190" s="21"/>
    </row>
    <row r="1191" spans="2:2">
      <c r="B1191" s="21"/>
    </row>
    <row r="1192" spans="2:2">
      <c r="B1192" s="21"/>
    </row>
    <row r="1193" spans="2:2">
      <c r="B1193" s="21"/>
    </row>
    <row r="1194" spans="2:2">
      <c r="B1194" s="21"/>
    </row>
    <row r="1195" spans="2:2">
      <c r="B1195" s="21"/>
    </row>
    <row r="1196" spans="2:2">
      <c r="B1196" s="21"/>
    </row>
    <row r="1197" spans="2:2">
      <c r="B1197" s="21"/>
    </row>
    <row r="1198" spans="2:2">
      <c r="B1198" s="21"/>
    </row>
    <row r="1199" spans="2:2">
      <c r="B1199" s="21"/>
    </row>
    <row r="1200" spans="2:2">
      <c r="B1200" s="21"/>
    </row>
    <row r="1201" spans="2:2">
      <c r="B1201" s="21"/>
    </row>
    <row r="1202" spans="2:2">
      <c r="B1202" s="21"/>
    </row>
    <row r="1203" spans="2:2">
      <c r="B1203" s="21"/>
    </row>
    <row r="1204" spans="2:2">
      <c r="B1204" s="21"/>
    </row>
    <row r="1205" spans="2:2">
      <c r="B1205" s="21"/>
    </row>
    <row r="1206" spans="2:2">
      <c r="B1206" s="21"/>
    </row>
    <row r="1207" spans="2:2">
      <c r="B1207" s="21"/>
    </row>
    <row r="1208" spans="2:2">
      <c r="B1208" s="21"/>
    </row>
    <row r="1209" spans="2:2">
      <c r="B1209" s="21"/>
    </row>
    <row r="1210" spans="2:2">
      <c r="B1210" s="21"/>
    </row>
    <row r="1211" spans="2:2">
      <c r="B1211" s="21"/>
    </row>
    <row r="1212" spans="2:2">
      <c r="B1212" s="21"/>
    </row>
    <row r="1213" spans="2:2">
      <c r="B1213" s="21"/>
    </row>
    <row r="1214" spans="2:2">
      <c r="B1214" s="21"/>
    </row>
    <row r="1215" spans="2:2">
      <c r="B1215" s="21"/>
    </row>
    <row r="1216" spans="2:2">
      <c r="B1216" s="21"/>
    </row>
    <row r="1217" spans="2:2">
      <c r="B1217" s="21"/>
    </row>
    <row r="1218" spans="2:2">
      <c r="B1218" s="21"/>
    </row>
    <row r="1219" spans="2:2">
      <c r="B1219" s="21"/>
    </row>
    <row r="1220" spans="2:2">
      <c r="B1220" s="21"/>
    </row>
    <row r="1221" spans="2:2">
      <c r="B1221" s="21"/>
    </row>
    <row r="1222" spans="2:2">
      <c r="B1222" s="21"/>
    </row>
    <row r="1223" spans="2:2">
      <c r="B1223" s="21"/>
    </row>
    <row r="1224" spans="2:2">
      <c r="B1224" s="21"/>
    </row>
    <row r="1225" spans="2:2">
      <c r="B1225" s="21"/>
    </row>
    <row r="1226" spans="2:2">
      <c r="B1226" s="21"/>
    </row>
    <row r="1227" spans="2:2">
      <c r="B1227" s="21"/>
    </row>
    <row r="1228" spans="2:2">
      <c r="B1228" s="21"/>
    </row>
    <row r="1229" spans="2:2">
      <c r="B1229" s="21"/>
    </row>
    <row r="1230" spans="2:2">
      <c r="B1230" s="21"/>
    </row>
    <row r="1231" spans="2:2">
      <c r="B1231" s="21"/>
    </row>
    <row r="1232" spans="2:2">
      <c r="B1232" s="21"/>
    </row>
    <row r="1233" spans="2:2">
      <c r="B1233" s="21"/>
    </row>
    <row r="1234" spans="2:2">
      <c r="B1234" s="21"/>
    </row>
    <row r="1235" spans="2:2">
      <c r="B1235" s="21"/>
    </row>
    <row r="1236" spans="2:2">
      <c r="B1236" s="21"/>
    </row>
    <row r="1237" spans="2:2">
      <c r="B1237" s="21"/>
    </row>
    <row r="1238" spans="2:2">
      <c r="B1238" s="21"/>
    </row>
    <row r="1239" spans="2:2">
      <c r="B1239" s="21"/>
    </row>
    <row r="1240" spans="2:2">
      <c r="B1240" s="21"/>
    </row>
    <row r="1241" spans="2:2">
      <c r="B1241" s="21"/>
    </row>
    <row r="1242" spans="2:2">
      <c r="B1242" s="21"/>
    </row>
    <row r="1243" spans="2:2">
      <c r="B1243" s="21"/>
    </row>
    <row r="1244" spans="2:2">
      <c r="B1244" s="21"/>
    </row>
    <row r="1245" spans="2:2">
      <c r="B1245" s="21"/>
    </row>
    <row r="1246" spans="2:2">
      <c r="B1246" s="21"/>
    </row>
    <row r="1247" spans="2:2">
      <c r="B1247" s="21"/>
    </row>
    <row r="1248" spans="2:2">
      <c r="B1248" s="21"/>
    </row>
    <row r="1249" spans="2:2">
      <c r="B1249" s="21"/>
    </row>
    <row r="1250" spans="2:2">
      <c r="B1250" s="21"/>
    </row>
    <row r="1251" spans="2:2">
      <c r="B1251" s="21"/>
    </row>
    <row r="1252" spans="2:2">
      <c r="B1252" s="21"/>
    </row>
    <row r="1253" spans="2:2">
      <c r="B1253" s="21"/>
    </row>
    <row r="1254" spans="2:2">
      <c r="B1254" s="21"/>
    </row>
    <row r="1255" spans="2:2">
      <c r="B1255" s="21"/>
    </row>
    <row r="1256" spans="2:2">
      <c r="B1256" s="21"/>
    </row>
    <row r="1257" spans="2:2">
      <c r="B1257" s="21"/>
    </row>
    <row r="1258" spans="2:2">
      <c r="B1258" s="21"/>
    </row>
    <row r="1259" spans="2:2">
      <c r="B1259" s="21"/>
    </row>
    <row r="1260" spans="2:2">
      <c r="B1260" s="21"/>
    </row>
    <row r="1261" spans="2:2">
      <c r="B1261" s="21"/>
    </row>
    <row r="1262" spans="2:2">
      <c r="B1262" s="21"/>
    </row>
    <row r="1263" spans="2:2">
      <c r="B1263" s="21"/>
    </row>
    <row r="1264" spans="2:2">
      <c r="B1264" s="21"/>
    </row>
    <row r="1265" spans="2:2">
      <c r="B1265" s="21"/>
    </row>
    <row r="1266" spans="2:2">
      <c r="B1266" s="21"/>
    </row>
    <row r="1267" spans="2:2">
      <c r="B1267" s="21"/>
    </row>
    <row r="1268" spans="2:2">
      <c r="B1268" s="21"/>
    </row>
    <row r="1269" spans="2:2">
      <c r="B1269" s="21"/>
    </row>
    <row r="1270" spans="2:2">
      <c r="B1270" s="21"/>
    </row>
    <row r="1271" spans="2:2">
      <c r="B1271" s="21"/>
    </row>
    <row r="1272" spans="2:2">
      <c r="B1272" s="21"/>
    </row>
    <row r="1273" spans="2:2">
      <c r="B1273" s="21"/>
    </row>
    <row r="1274" spans="2:2">
      <c r="B1274" s="21"/>
    </row>
    <row r="1275" spans="2:2">
      <c r="B1275" s="21"/>
    </row>
    <row r="1276" spans="2:2">
      <c r="B1276" s="21"/>
    </row>
    <row r="1277" spans="2:2">
      <c r="B1277" s="21"/>
    </row>
    <row r="1278" spans="2:2">
      <c r="B1278" s="21"/>
    </row>
    <row r="1279" spans="2:2">
      <c r="B1279" s="21"/>
    </row>
    <row r="1280" spans="2:2">
      <c r="B1280" s="21"/>
    </row>
    <row r="1281" spans="2:2">
      <c r="B1281" s="21"/>
    </row>
    <row r="1282" spans="2:2">
      <c r="B1282" s="21"/>
    </row>
    <row r="1283" spans="2:2">
      <c r="B1283" s="21"/>
    </row>
    <row r="1284" spans="2:2">
      <c r="B1284" s="21"/>
    </row>
    <row r="1285" spans="2:2">
      <c r="B1285" s="21"/>
    </row>
    <row r="1286" spans="2:2">
      <c r="B1286" s="21"/>
    </row>
    <row r="1287" spans="2:2">
      <c r="B1287" s="21"/>
    </row>
    <row r="1288" spans="2:2">
      <c r="B1288" s="21"/>
    </row>
    <row r="1289" spans="2:2">
      <c r="B1289" s="21"/>
    </row>
    <row r="1290" spans="2:2">
      <c r="B1290" s="21"/>
    </row>
    <row r="1291" spans="2:2">
      <c r="B1291" s="21"/>
    </row>
    <row r="1292" spans="2:2">
      <c r="B1292" s="21"/>
    </row>
    <row r="1293" spans="2:2">
      <c r="B1293" s="21"/>
    </row>
    <row r="1294" spans="2:2">
      <c r="B1294" s="21"/>
    </row>
    <row r="1295" spans="2:2">
      <c r="B1295" s="21"/>
    </row>
    <row r="1296" spans="2:2">
      <c r="B1296" s="21"/>
    </row>
    <row r="1297" spans="2:2">
      <c r="B1297" s="21"/>
    </row>
    <row r="1298" spans="2:2">
      <c r="B1298" s="21"/>
    </row>
    <row r="1299" spans="2:2">
      <c r="B1299" s="21"/>
    </row>
    <row r="1300" spans="2:2">
      <c r="B1300" s="21"/>
    </row>
    <row r="1301" spans="2:2">
      <c r="B1301" s="21"/>
    </row>
    <row r="1302" spans="2:2">
      <c r="B1302" s="21"/>
    </row>
    <row r="1303" spans="2:2">
      <c r="B1303" s="21"/>
    </row>
    <row r="1304" spans="2:2">
      <c r="B1304" s="21"/>
    </row>
    <row r="1305" spans="2:2">
      <c r="B1305" s="21"/>
    </row>
    <row r="1306" spans="2:2">
      <c r="B1306" s="21"/>
    </row>
    <row r="1307" spans="2:2">
      <c r="B1307" s="21"/>
    </row>
    <row r="1308" spans="2:2">
      <c r="B1308" s="21"/>
    </row>
    <row r="1309" spans="2:2">
      <c r="B1309" s="21"/>
    </row>
    <row r="1310" spans="2:2">
      <c r="B1310" s="21"/>
    </row>
    <row r="1311" spans="2:2">
      <c r="B1311" s="21"/>
    </row>
    <row r="1312" spans="2:2">
      <c r="B1312" s="21"/>
    </row>
    <row r="1313" spans="2:2">
      <c r="B1313" s="21"/>
    </row>
    <row r="1314" spans="2:2">
      <c r="B1314" s="21"/>
    </row>
    <row r="1315" spans="2:2">
      <c r="B1315" s="21"/>
    </row>
    <row r="1316" spans="2:2">
      <c r="B1316" s="21"/>
    </row>
    <row r="1317" spans="2:2">
      <c r="B1317" s="21"/>
    </row>
    <row r="1318" spans="2:2">
      <c r="B1318" s="21"/>
    </row>
    <row r="1319" spans="2:2">
      <c r="B1319" s="21"/>
    </row>
    <row r="1320" spans="2:2">
      <c r="B1320" s="21"/>
    </row>
    <row r="1321" spans="2:2">
      <c r="B1321" s="21"/>
    </row>
    <row r="1322" spans="2:2">
      <c r="B1322" s="21"/>
    </row>
    <row r="1323" spans="2:2">
      <c r="B1323" s="21"/>
    </row>
    <row r="1324" spans="2:2">
      <c r="B1324" s="21"/>
    </row>
    <row r="1325" spans="2:2">
      <c r="B1325" s="21"/>
    </row>
    <row r="1326" spans="2:2">
      <c r="B1326" s="21"/>
    </row>
    <row r="1327" spans="2:2">
      <c r="B1327" s="21"/>
    </row>
    <row r="1328" spans="2:2">
      <c r="B1328" s="21"/>
    </row>
    <row r="1329" spans="2:2">
      <c r="B1329" s="21"/>
    </row>
    <row r="1330" spans="2:2">
      <c r="B1330" s="21"/>
    </row>
    <row r="1331" spans="2:2">
      <c r="B1331" s="21"/>
    </row>
    <row r="1332" spans="2:2">
      <c r="B1332" s="21"/>
    </row>
    <row r="1333" spans="2:2">
      <c r="B1333" s="21"/>
    </row>
    <row r="1334" spans="2:2">
      <c r="B1334" s="21"/>
    </row>
    <row r="1335" spans="2:2">
      <c r="B1335" s="21"/>
    </row>
    <row r="1336" spans="2:2">
      <c r="B1336" s="21"/>
    </row>
    <row r="1337" spans="2:2">
      <c r="B1337" s="21"/>
    </row>
    <row r="1338" spans="2:2">
      <c r="B1338" s="21"/>
    </row>
    <row r="1339" spans="2:2">
      <c r="B1339" s="21"/>
    </row>
    <row r="1340" spans="2:2">
      <c r="B1340" s="21"/>
    </row>
    <row r="1341" spans="2:2">
      <c r="B1341" s="21"/>
    </row>
    <row r="1342" spans="2:2">
      <c r="B1342" s="21"/>
    </row>
    <row r="1343" spans="2:2">
      <c r="B1343" s="21"/>
    </row>
    <row r="1344" spans="2:2">
      <c r="B1344" s="21"/>
    </row>
    <row r="1345" spans="2:2">
      <c r="B1345" s="21"/>
    </row>
    <row r="1346" spans="2:2">
      <c r="B1346" s="21"/>
    </row>
    <row r="1347" spans="2:2">
      <c r="B1347" s="21"/>
    </row>
    <row r="1348" spans="2:2">
      <c r="B1348" s="21"/>
    </row>
    <row r="1349" spans="2:2">
      <c r="B1349" s="21"/>
    </row>
    <row r="1350" spans="2:2">
      <c r="B1350" s="21"/>
    </row>
    <row r="1351" spans="2:2">
      <c r="B1351" s="21"/>
    </row>
    <row r="1352" spans="2:2">
      <c r="B1352" s="21"/>
    </row>
    <row r="1353" spans="2:2">
      <c r="B1353" s="21"/>
    </row>
    <row r="1354" spans="2:2">
      <c r="B1354" s="21"/>
    </row>
    <row r="1355" spans="2:2">
      <c r="B1355" s="21"/>
    </row>
    <row r="1356" spans="2:2">
      <c r="B1356" s="21"/>
    </row>
    <row r="1357" spans="2:2">
      <c r="B1357" s="21"/>
    </row>
    <row r="1358" spans="2:2">
      <c r="B1358" s="21"/>
    </row>
    <row r="1359" spans="2:2">
      <c r="B1359" s="21"/>
    </row>
    <row r="1360" spans="2:2">
      <c r="B1360" s="21"/>
    </row>
    <row r="1361" spans="2:2">
      <c r="B1361" s="21"/>
    </row>
    <row r="1362" spans="2:2">
      <c r="B1362" s="21"/>
    </row>
    <row r="1363" spans="2:2">
      <c r="B1363" s="21"/>
    </row>
    <row r="1364" spans="2:2">
      <c r="B1364" s="21"/>
    </row>
    <row r="1365" spans="2:2">
      <c r="B1365" s="21"/>
    </row>
    <row r="1366" spans="2:2">
      <c r="B1366" s="21"/>
    </row>
    <row r="1367" spans="2:2">
      <c r="B1367" s="21"/>
    </row>
    <row r="1368" spans="2:2">
      <c r="B1368" s="21"/>
    </row>
    <row r="1369" spans="2:2">
      <c r="B1369" s="21"/>
    </row>
    <row r="1370" spans="2:2">
      <c r="B1370" s="21"/>
    </row>
    <row r="1371" spans="2:2">
      <c r="B1371" s="21"/>
    </row>
    <row r="1372" spans="2:2">
      <c r="B1372" s="21"/>
    </row>
    <row r="1373" spans="2:2">
      <c r="B1373" s="21"/>
    </row>
    <row r="1374" spans="2:2">
      <c r="B1374" s="21"/>
    </row>
    <row r="1375" spans="2:2">
      <c r="B1375" s="21"/>
    </row>
    <row r="1376" spans="2:2">
      <c r="B1376" s="21"/>
    </row>
    <row r="1377" spans="2:2">
      <c r="B1377" s="21"/>
    </row>
    <row r="1378" spans="2:2">
      <c r="B1378" s="21"/>
    </row>
    <row r="1379" spans="2:2">
      <c r="B1379" s="21"/>
    </row>
    <row r="1380" spans="2:2">
      <c r="B1380" s="21"/>
    </row>
    <row r="1381" spans="2:2">
      <c r="B1381" s="21"/>
    </row>
    <row r="1382" spans="2:2">
      <c r="B1382" s="21"/>
    </row>
    <row r="1383" spans="2:2">
      <c r="B1383" s="21"/>
    </row>
    <row r="1384" spans="2:2">
      <c r="B1384" s="21"/>
    </row>
    <row r="1385" spans="2:2">
      <c r="B1385" s="21"/>
    </row>
    <row r="1386" spans="2:2">
      <c r="B1386" s="21"/>
    </row>
    <row r="1387" spans="2:2">
      <c r="B1387" s="21"/>
    </row>
    <row r="1388" spans="2:2">
      <c r="B1388" s="21"/>
    </row>
    <row r="1389" spans="2:2">
      <c r="B1389" s="21"/>
    </row>
    <row r="1390" spans="2:2">
      <c r="B1390" s="21"/>
    </row>
    <row r="1391" spans="2:2">
      <c r="B1391" s="21"/>
    </row>
    <row r="1392" spans="2:2">
      <c r="B1392" s="21"/>
    </row>
    <row r="1393" spans="2:2">
      <c r="B1393" s="21"/>
    </row>
    <row r="1394" spans="2:2">
      <c r="B1394" s="21"/>
    </row>
    <row r="1395" spans="2:2">
      <c r="B1395" s="21"/>
    </row>
    <row r="1396" spans="2:2">
      <c r="B1396" s="21"/>
    </row>
    <row r="1397" spans="2:2">
      <c r="B1397" s="21"/>
    </row>
    <row r="1398" spans="2:2">
      <c r="B1398" s="21"/>
    </row>
    <row r="1399" spans="2:2">
      <c r="B1399" s="21"/>
    </row>
    <row r="1400" spans="2:2">
      <c r="B1400" s="21"/>
    </row>
    <row r="1401" spans="2:2">
      <c r="B1401" s="21"/>
    </row>
    <row r="1402" spans="2:2">
      <c r="B1402" s="21"/>
    </row>
    <row r="1403" spans="2:2">
      <c r="B1403" s="21"/>
    </row>
    <row r="1404" spans="2:2">
      <c r="B1404" s="21"/>
    </row>
    <row r="1405" spans="2:2">
      <c r="B1405" s="21"/>
    </row>
    <row r="1406" spans="2:2">
      <c r="B1406" s="21"/>
    </row>
    <row r="1407" spans="2:2">
      <c r="B1407" s="21"/>
    </row>
    <row r="1408" spans="2:2">
      <c r="B1408" s="21"/>
    </row>
    <row r="1409" spans="2:2">
      <c r="B1409" s="21"/>
    </row>
    <row r="1410" spans="2:2">
      <c r="B1410" s="21"/>
    </row>
    <row r="1411" spans="2:2">
      <c r="B1411" s="21"/>
    </row>
    <row r="1412" spans="2:2">
      <c r="B1412" s="21"/>
    </row>
    <row r="1413" spans="2:2">
      <c r="B1413" s="21"/>
    </row>
    <row r="1414" spans="2:2">
      <c r="B1414" s="21"/>
    </row>
    <row r="1415" spans="2:2">
      <c r="B1415" s="21"/>
    </row>
    <row r="1416" spans="2:2">
      <c r="B1416" s="21"/>
    </row>
    <row r="1417" spans="2:2">
      <c r="B1417" s="21"/>
    </row>
    <row r="1418" spans="2:2">
      <c r="B1418" s="21"/>
    </row>
    <row r="1419" spans="2:2">
      <c r="B1419" s="21"/>
    </row>
    <row r="1420" spans="2:2">
      <c r="B1420" s="21"/>
    </row>
    <row r="1421" spans="2:2">
      <c r="B1421" s="21"/>
    </row>
    <row r="1422" spans="2:2">
      <c r="B1422" s="21"/>
    </row>
    <row r="1423" spans="2:2">
      <c r="B1423" s="21"/>
    </row>
    <row r="1424" spans="2:2">
      <c r="B1424" s="21"/>
    </row>
    <row r="1425" spans="2:2">
      <c r="B1425" s="21"/>
    </row>
    <row r="1426" spans="2:2">
      <c r="B1426" s="21"/>
    </row>
    <row r="1427" spans="2:2">
      <c r="B1427" s="21"/>
    </row>
    <row r="1428" spans="2:2">
      <c r="B1428" s="21"/>
    </row>
    <row r="1429" spans="2:2">
      <c r="B1429" s="21"/>
    </row>
    <row r="1430" spans="2:2">
      <c r="B1430" s="21"/>
    </row>
    <row r="1431" spans="2:2">
      <c r="B1431" s="21"/>
    </row>
    <row r="1432" spans="2:2">
      <c r="B1432" s="21"/>
    </row>
    <row r="1433" spans="2:2">
      <c r="B1433" s="21"/>
    </row>
    <row r="1434" spans="2:2">
      <c r="B1434" s="21"/>
    </row>
    <row r="1435" spans="2:2">
      <c r="B1435" s="21"/>
    </row>
    <row r="1436" spans="2:2">
      <c r="B1436" s="21"/>
    </row>
    <row r="1437" spans="2:2">
      <c r="B1437" s="21"/>
    </row>
    <row r="1438" spans="2:2">
      <c r="B1438" s="21"/>
    </row>
    <row r="1439" spans="2:2">
      <c r="B1439" s="21"/>
    </row>
    <row r="1440" spans="2:2">
      <c r="B1440" s="21"/>
    </row>
    <row r="1441" spans="2:2">
      <c r="B1441" s="21"/>
    </row>
    <row r="1442" spans="2:2">
      <c r="B1442" s="21"/>
    </row>
    <row r="1443" spans="2:2">
      <c r="B1443" s="21"/>
    </row>
    <row r="1444" spans="2:2">
      <c r="B1444" s="21"/>
    </row>
    <row r="1445" spans="2:2">
      <c r="B1445" s="21"/>
    </row>
    <row r="1446" spans="2:2">
      <c r="B1446" s="21"/>
    </row>
    <row r="1447" spans="2:2">
      <c r="B1447" s="21"/>
    </row>
    <row r="1448" spans="2:2">
      <c r="B1448" s="21"/>
    </row>
    <row r="1449" spans="2:2">
      <c r="B1449" s="21"/>
    </row>
    <row r="1450" spans="2:2">
      <c r="B1450" s="21"/>
    </row>
    <row r="1451" spans="2:2">
      <c r="B1451" s="21"/>
    </row>
    <row r="1452" spans="2:2">
      <c r="B1452" s="21"/>
    </row>
    <row r="1453" spans="2:2">
      <c r="B1453" s="21"/>
    </row>
    <row r="1454" spans="2:2">
      <c r="B1454" s="21"/>
    </row>
    <row r="1455" spans="2:2">
      <c r="B1455" s="21"/>
    </row>
    <row r="1456" spans="2:2">
      <c r="B1456" s="21"/>
    </row>
    <row r="1457" spans="2:2">
      <c r="B1457" s="21"/>
    </row>
    <row r="1458" spans="2:2">
      <c r="B1458" s="21"/>
    </row>
    <row r="1459" spans="2:2">
      <c r="B1459" s="21"/>
    </row>
    <row r="1460" spans="2:2">
      <c r="B1460" s="21"/>
    </row>
    <row r="1461" spans="2:2">
      <c r="B1461" s="21"/>
    </row>
    <row r="1462" spans="2:2">
      <c r="B1462" s="21"/>
    </row>
    <row r="1463" spans="2:2">
      <c r="B1463" s="21"/>
    </row>
    <row r="1464" spans="2:2">
      <c r="B1464" s="21"/>
    </row>
    <row r="1465" spans="2:2">
      <c r="B1465" s="21"/>
    </row>
    <row r="1466" spans="2:2">
      <c r="B1466" s="21"/>
    </row>
    <row r="1467" spans="2:2">
      <c r="B1467" s="21"/>
    </row>
    <row r="1468" spans="2:2">
      <c r="B1468" s="21"/>
    </row>
    <row r="1469" spans="2:2">
      <c r="B1469" s="21"/>
    </row>
    <row r="1470" spans="2:2">
      <c r="B1470" s="21"/>
    </row>
    <row r="1471" spans="2:2">
      <c r="B1471" s="21"/>
    </row>
    <row r="1472" spans="2:2">
      <c r="B1472" s="21"/>
    </row>
    <row r="1473" spans="2:2">
      <c r="B1473" s="21"/>
    </row>
    <row r="1474" spans="2:2">
      <c r="B1474" s="21"/>
    </row>
    <row r="1475" spans="2:2">
      <c r="B1475" s="21"/>
    </row>
    <row r="1476" spans="2:2">
      <c r="B1476" s="21"/>
    </row>
    <row r="1477" spans="2:2">
      <c r="B1477" s="21"/>
    </row>
    <row r="1478" spans="2:2">
      <c r="B1478" s="21"/>
    </row>
    <row r="1479" spans="2:2">
      <c r="B1479" s="21"/>
    </row>
    <row r="1480" spans="2:2">
      <c r="B1480" s="21"/>
    </row>
    <row r="1481" spans="2:2">
      <c r="B1481" s="21"/>
    </row>
    <row r="1482" spans="2:2">
      <c r="B1482" s="21"/>
    </row>
    <row r="1483" spans="2:2">
      <c r="B1483" s="21"/>
    </row>
    <row r="1484" spans="2:2">
      <c r="B1484" s="21"/>
    </row>
    <row r="1485" spans="2:2">
      <c r="B1485" s="21"/>
    </row>
    <row r="1486" spans="2:2">
      <c r="B1486" s="21"/>
    </row>
    <row r="1487" spans="2:2">
      <c r="B1487" s="21"/>
    </row>
    <row r="1488" spans="2:2">
      <c r="B1488" s="21"/>
    </row>
    <row r="1489" spans="2:2">
      <c r="B1489" s="21"/>
    </row>
    <row r="1490" spans="2:2">
      <c r="B1490" s="21"/>
    </row>
    <row r="1491" spans="2:2">
      <c r="B1491" s="21"/>
    </row>
    <row r="1492" spans="2:2">
      <c r="B1492" s="21"/>
    </row>
    <row r="1493" spans="2:2">
      <c r="B1493" s="21"/>
    </row>
    <row r="1494" spans="2:2">
      <c r="B1494" s="21"/>
    </row>
    <row r="1495" spans="2:2">
      <c r="B1495" s="21"/>
    </row>
    <row r="1496" spans="2:2">
      <c r="B1496" s="21"/>
    </row>
    <row r="1497" spans="2:2">
      <c r="B1497" s="21"/>
    </row>
    <row r="1498" spans="2:2">
      <c r="B1498" s="21"/>
    </row>
    <row r="1499" spans="2:2">
      <c r="B1499" s="21"/>
    </row>
    <row r="1500" spans="2:2">
      <c r="B1500" s="21"/>
    </row>
    <row r="1501" spans="2:2">
      <c r="B1501" s="21"/>
    </row>
    <row r="1502" spans="2:2">
      <c r="B1502" s="21"/>
    </row>
    <row r="1503" spans="2:2">
      <c r="B1503" s="21"/>
    </row>
    <row r="1504" spans="2:2">
      <c r="B1504" s="21"/>
    </row>
    <row r="1505" spans="2:2">
      <c r="B1505" s="21"/>
    </row>
    <row r="1506" spans="2:2">
      <c r="B1506" s="21"/>
    </row>
    <row r="1507" spans="2:2">
      <c r="B1507" s="21"/>
    </row>
    <row r="1508" spans="2:2">
      <c r="B1508" s="21"/>
    </row>
    <row r="1509" spans="2:2">
      <c r="B1509" s="21"/>
    </row>
    <row r="1510" spans="2:2">
      <c r="B1510" s="21"/>
    </row>
    <row r="1511" spans="2:2">
      <c r="B1511" s="21"/>
    </row>
    <row r="1512" spans="2:2">
      <c r="B1512" s="21"/>
    </row>
    <row r="1513" spans="2:2">
      <c r="B1513" s="21"/>
    </row>
    <row r="1514" spans="2:2">
      <c r="B1514" s="21"/>
    </row>
    <row r="1515" spans="2:2">
      <c r="B1515" s="21"/>
    </row>
    <row r="1516" spans="2:2">
      <c r="B1516" s="21"/>
    </row>
    <row r="1517" spans="2:2">
      <c r="B1517" s="21"/>
    </row>
    <row r="1518" spans="2:2">
      <c r="B1518" s="21"/>
    </row>
    <row r="1519" spans="2:2">
      <c r="B1519" s="21"/>
    </row>
    <row r="1520" spans="2:2">
      <c r="B1520" s="21"/>
    </row>
    <row r="1521" spans="2:2">
      <c r="B1521" s="21"/>
    </row>
    <row r="1522" spans="2:2">
      <c r="B1522" s="21"/>
    </row>
    <row r="1523" spans="2:2">
      <c r="B1523" s="21"/>
    </row>
    <row r="1524" spans="2:2">
      <c r="B1524" s="21"/>
    </row>
    <row r="1525" spans="2:2">
      <c r="B1525" s="21"/>
    </row>
    <row r="1526" spans="2:2">
      <c r="B1526" s="21"/>
    </row>
    <row r="1527" spans="2:2">
      <c r="B1527" s="21"/>
    </row>
    <row r="1528" spans="2:2">
      <c r="B1528" s="21"/>
    </row>
    <row r="1529" spans="2:2">
      <c r="B1529" s="21"/>
    </row>
    <row r="1530" spans="2:2">
      <c r="B1530" s="21"/>
    </row>
    <row r="1531" spans="2:2">
      <c r="B1531" s="21"/>
    </row>
    <row r="1532" spans="2:2">
      <c r="B1532" s="21"/>
    </row>
    <row r="1533" spans="2:2">
      <c r="B1533" s="21"/>
    </row>
    <row r="1534" spans="2:2">
      <c r="B1534" s="21"/>
    </row>
    <row r="1535" spans="2:2">
      <c r="B1535" s="21"/>
    </row>
    <row r="1536" spans="2:2">
      <c r="B1536" s="21"/>
    </row>
    <row r="1537" spans="2:2">
      <c r="B1537" s="21"/>
    </row>
    <row r="1538" spans="2:2">
      <c r="B1538" s="21"/>
    </row>
    <row r="1539" spans="2:2">
      <c r="B1539" s="21"/>
    </row>
    <row r="1540" spans="2:2">
      <c r="B1540" s="21"/>
    </row>
    <row r="1541" spans="2:2">
      <c r="B1541" s="21"/>
    </row>
    <row r="1542" spans="2:2">
      <c r="B1542" s="21"/>
    </row>
    <row r="1543" spans="2:2">
      <c r="B1543" s="21"/>
    </row>
    <row r="1544" spans="2:2">
      <c r="B1544" s="21"/>
    </row>
    <row r="1545" spans="2:2">
      <c r="B1545" s="21"/>
    </row>
    <row r="1546" spans="2:2">
      <c r="B1546" s="21"/>
    </row>
    <row r="1547" spans="2:2">
      <c r="B1547" s="21"/>
    </row>
    <row r="1548" spans="2:2">
      <c r="B1548" s="21"/>
    </row>
    <row r="1549" spans="2:2">
      <c r="B1549" s="21"/>
    </row>
    <row r="1550" spans="2:2">
      <c r="B1550" s="21"/>
    </row>
    <row r="1551" spans="2:2">
      <c r="B1551" s="21"/>
    </row>
    <row r="1552" spans="2:2">
      <c r="B1552" s="21"/>
    </row>
    <row r="1553" spans="2:2">
      <c r="B1553" s="21"/>
    </row>
    <row r="1554" spans="2:2">
      <c r="B1554" s="21"/>
    </row>
    <row r="1555" spans="2:2">
      <c r="B1555" s="21"/>
    </row>
    <row r="1556" spans="2:2">
      <c r="B1556" s="21"/>
    </row>
    <row r="1557" spans="2:2">
      <c r="B1557" s="21"/>
    </row>
    <row r="1558" spans="2:2">
      <c r="B1558" s="21"/>
    </row>
    <row r="1559" spans="2:2">
      <c r="B1559" s="21"/>
    </row>
    <row r="1560" spans="2:2">
      <c r="B1560" s="21"/>
    </row>
    <row r="1561" spans="2:2">
      <c r="B1561" s="21"/>
    </row>
    <row r="1562" spans="2:2">
      <c r="B1562" s="21"/>
    </row>
    <row r="1563" spans="2:2">
      <c r="B1563" s="21"/>
    </row>
    <row r="1564" spans="2:2">
      <c r="B1564" s="21"/>
    </row>
    <row r="1565" spans="2:2">
      <c r="B1565" s="21"/>
    </row>
    <row r="1566" spans="2:2">
      <c r="B1566" s="21"/>
    </row>
    <row r="1567" spans="2:2">
      <c r="B1567" s="21"/>
    </row>
    <row r="1568" spans="2:2">
      <c r="B1568" s="21"/>
    </row>
    <row r="1569" spans="2:2">
      <c r="B1569" s="21"/>
    </row>
    <row r="1570" spans="2:2">
      <c r="B1570" s="21"/>
    </row>
    <row r="1571" spans="2:2">
      <c r="B1571" s="21"/>
    </row>
    <row r="1572" spans="2:2">
      <c r="B1572" s="21"/>
    </row>
    <row r="1573" spans="2:2">
      <c r="B1573" s="21"/>
    </row>
    <row r="1574" spans="2:2">
      <c r="B1574" s="21"/>
    </row>
    <row r="1575" spans="2:2">
      <c r="B1575" s="21"/>
    </row>
    <row r="1576" spans="2:2">
      <c r="B1576" s="21"/>
    </row>
    <row r="1577" spans="2:2">
      <c r="B1577" s="21"/>
    </row>
    <row r="1578" spans="2:2">
      <c r="B1578" s="21"/>
    </row>
    <row r="1579" spans="2:2">
      <c r="B1579" s="21"/>
    </row>
    <row r="1580" spans="2:2">
      <c r="B1580" s="21"/>
    </row>
    <row r="1581" spans="2:2">
      <c r="B1581" s="21"/>
    </row>
    <row r="1582" spans="2:2">
      <c r="B1582" s="21"/>
    </row>
    <row r="1583" spans="2:2">
      <c r="B1583" s="21"/>
    </row>
    <row r="1584" spans="2:2">
      <c r="B1584" s="21"/>
    </row>
    <row r="1585" spans="2:2">
      <c r="B1585" s="21"/>
    </row>
    <row r="1586" spans="2:2">
      <c r="B1586" s="21"/>
    </row>
    <row r="1587" spans="2:2">
      <c r="B1587" s="21"/>
    </row>
    <row r="1588" spans="2:2">
      <c r="B1588" s="21"/>
    </row>
    <row r="1589" spans="2:2">
      <c r="B1589" s="21"/>
    </row>
    <row r="1590" spans="2:2">
      <c r="B1590" s="21"/>
    </row>
    <row r="1591" spans="2:2">
      <c r="B1591" s="21"/>
    </row>
    <row r="1592" spans="2:2">
      <c r="B1592" s="21"/>
    </row>
    <row r="1593" spans="2:2">
      <c r="B1593" s="21"/>
    </row>
    <row r="1594" spans="2:2">
      <c r="B1594" s="21"/>
    </row>
    <row r="1595" spans="2:2">
      <c r="B1595" s="21"/>
    </row>
    <row r="1596" spans="2:2">
      <c r="B1596" s="21"/>
    </row>
    <row r="1597" spans="2:2">
      <c r="B1597" s="21"/>
    </row>
    <row r="1598" spans="2:2">
      <c r="B1598" s="21"/>
    </row>
    <row r="1599" spans="2:2">
      <c r="B1599" s="21"/>
    </row>
    <row r="1600" spans="2:2">
      <c r="B1600" s="21"/>
    </row>
    <row r="1601" spans="2:2">
      <c r="B1601" s="21"/>
    </row>
    <row r="1602" spans="2:2">
      <c r="B1602" s="21"/>
    </row>
    <row r="1603" spans="2:2">
      <c r="B1603" s="21"/>
    </row>
    <row r="1604" spans="2:2">
      <c r="B1604" s="21"/>
    </row>
    <row r="1605" spans="2:2">
      <c r="B1605" s="21"/>
    </row>
    <row r="1606" spans="2:2">
      <c r="B1606" s="21"/>
    </row>
    <row r="1607" spans="2:2">
      <c r="B1607" s="21"/>
    </row>
    <row r="1608" spans="2:2">
      <c r="B1608" s="21"/>
    </row>
    <row r="1609" spans="2:2">
      <c r="B1609" s="21"/>
    </row>
    <row r="1610" spans="2:2">
      <c r="B1610" s="21"/>
    </row>
    <row r="1611" spans="2:2">
      <c r="B1611" s="21"/>
    </row>
    <row r="1612" spans="2:2">
      <c r="B1612" s="21"/>
    </row>
    <row r="1613" spans="2:2">
      <c r="B1613" s="21"/>
    </row>
    <row r="1614" spans="2:2">
      <c r="B1614" s="21"/>
    </row>
    <row r="1615" spans="2:2">
      <c r="B1615" s="21"/>
    </row>
    <row r="1616" spans="2:2">
      <c r="B1616" s="21"/>
    </row>
    <row r="1617" spans="2:2">
      <c r="B1617" s="21"/>
    </row>
    <row r="1618" spans="2:2">
      <c r="B1618" s="21"/>
    </row>
    <row r="1619" spans="2:2">
      <c r="B1619" s="21"/>
    </row>
    <row r="1620" spans="2:2">
      <c r="B1620" s="21"/>
    </row>
    <row r="1621" spans="2:2">
      <c r="B1621" s="21"/>
    </row>
    <row r="1622" spans="2:2">
      <c r="B1622" s="21"/>
    </row>
    <row r="1623" spans="2:2">
      <c r="B1623" s="21"/>
    </row>
    <row r="1624" spans="2:2">
      <c r="B1624" s="21"/>
    </row>
    <row r="1625" spans="2:2">
      <c r="B1625" s="21"/>
    </row>
    <row r="1626" spans="2:2">
      <c r="B1626" s="21"/>
    </row>
    <row r="1627" spans="2:2">
      <c r="B1627" s="21"/>
    </row>
    <row r="1628" spans="2:2">
      <c r="B1628" s="21"/>
    </row>
    <row r="1629" spans="2:2">
      <c r="B1629" s="21"/>
    </row>
    <row r="1630" spans="2:2">
      <c r="B1630" s="21"/>
    </row>
    <row r="1631" spans="2:2">
      <c r="B1631" s="21"/>
    </row>
    <row r="1632" spans="2:2">
      <c r="B1632" s="21"/>
    </row>
    <row r="1633" spans="2:2">
      <c r="B1633" s="21"/>
    </row>
    <row r="1634" spans="2:2">
      <c r="B1634" s="21"/>
    </row>
    <row r="1635" spans="2:2">
      <c r="B1635" s="21"/>
    </row>
    <row r="1636" spans="2:2">
      <c r="B1636" s="21"/>
    </row>
    <row r="1637" spans="2:2">
      <c r="B1637" s="21"/>
    </row>
    <row r="1638" spans="2:2">
      <c r="B1638" s="21"/>
    </row>
    <row r="1639" spans="2:2">
      <c r="B1639" s="21"/>
    </row>
    <row r="1640" spans="2:2">
      <c r="B1640" s="21"/>
    </row>
    <row r="1641" spans="2:2">
      <c r="B1641" s="21"/>
    </row>
    <row r="1642" spans="2:2">
      <c r="B1642" s="21"/>
    </row>
    <row r="1643" spans="2:2">
      <c r="B1643" s="21"/>
    </row>
    <row r="1644" spans="2:2">
      <c r="B1644" s="21"/>
    </row>
    <row r="1645" spans="2:2">
      <c r="B1645" s="21"/>
    </row>
    <row r="1646" spans="2:2">
      <c r="B1646" s="21"/>
    </row>
    <row r="1647" spans="2:2">
      <c r="B1647" s="21"/>
    </row>
    <row r="1648" spans="2:2">
      <c r="B1648" s="21"/>
    </row>
    <row r="1649" spans="2:2">
      <c r="B1649" s="21"/>
    </row>
    <row r="1650" spans="2:2">
      <c r="B1650" s="21"/>
    </row>
    <row r="1651" spans="2:2">
      <c r="B1651" s="21"/>
    </row>
    <row r="1652" spans="2:2">
      <c r="B1652" s="21"/>
    </row>
    <row r="1653" spans="2:2">
      <c r="B1653" s="21"/>
    </row>
    <row r="1654" spans="2:2">
      <c r="B1654" s="21"/>
    </row>
    <row r="1655" spans="2:2">
      <c r="B1655" s="21"/>
    </row>
    <row r="1656" spans="2:2">
      <c r="B1656" s="21"/>
    </row>
    <row r="1657" spans="2:2">
      <c r="B1657" s="21"/>
    </row>
    <row r="1658" spans="2:2">
      <c r="B1658" s="21"/>
    </row>
    <row r="1659" spans="2:2">
      <c r="B1659" s="21"/>
    </row>
    <row r="1660" spans="2:2">
      <c r="B1660" s="21"/>
    </row>
    <row r="1661" spans="2:2">
      <c r="B1661" s="21"/>
    </row>
    <row r="1662" spans="2:2">
      <c r="B1662" s="21"/>
    </row>
    <row r="1663" spans="2:2">
      <c r="B1663" s="21"/>
    </row>
    <row r="1664" spans="2:2">
      <c r="B1664" s="21"/>
    </row>
    <row r="1665" spans="2:2">
      <c r="B1665" s="21"/>
    </row>
    <row r="1666" spans="2:2">
      <c r="B1666" s="21"/>
    </row>
    <row r="1667" spans="2:2">
      <c r="B1667" s="21"/>
    </row>
    <row r="1668" spans="2:2">
      <c r="B1668" s="21"/>
    </row>
    <row r="1669" spans="2:2">
      <c r="B1669" s="21"/>
    </row>
    <row r="1670" spans="2:2">
      <c r="B1670" s="21"/>
    </row>
    <row r="1671" spans="2:2">
      <c r="B1671" s="21"/>
    </row>
    <row r="1672" spans="2:2">
      <c r="B1672" s="21"/>
    </row>
    <row r="1673" spans="2:2">
      <c r="B1673" s="21"/>
    </row>
    <row r="1674" spans="2:2">
      <c r="B1674" s="21"/>
    </row>
    <row r="1675" spans="2:2">
      <c r="B1675" s="21"/>
    </row>
    <row r="1676" spans="2:2">
      <c r="B1676" s="21"/>
    </row>
    <row r="1677" spans="2:2">
      <c r="B1677" s="21"/>
    </row>
    <row r="1678" spans="2:2">
      <c r="B1678" s="21"/>
    </row>
    <row r="1679" spans="2:2">
      <c r="B1679" s="21"/>
    </row>
    <row r="1680" spans="2:2">
      <c r="B1680" s="21"/>
    </row>
    <row r="1681" spans="2:2">
      <c r="B1681" s="21"/>
    </row>
    <row r="1682" spans="2:2">
      <c r="B1682" s="21"/>
    </row>
    <row r="1683" spans="2:2">
      <c r="B1683" s="21"/>
    </row>
    <row r="1684" spans="2:2">
      <c r="B1684" s="21"/>
    </row>
    <row r="1685" spans="2:2">
      <c r="B1685" s="21"/>
    </row>
    <row r="1686" spans="2:2">
      <c r="B1686" s="21"/>
    </row>
    <row r="1687" spans="2:2">
      <c r="B1687" s="21"/>
    </row>
    <row r="1688" spans="2:2">
      <c r="B1688" s="21"/>
    </row>
    <row r="1689" spans="2:2">
      <c r="B1689" s="21"/>
    </row>
    <row r="1690" spans="2:2">
      <c r="B1690" s="21"/>
    </row>
    <row r="1691" spans="2:2">
      <c r="B1691" s="21"/>
    </row>
    <row r="1692" spans="2:2">
      <c r="B1692" s="21"/>
    </row>
    <row r="1693" spans="2:2">
      <c r="B1693" s="21"/>
    </row>
    <row r="1694" spans="2:2">
      <c r="B1694" s="21"/>
    </row>
    <row r="1695" spans="2:2">
      <c r="B1695" s="21"/>
    </row>
    <row r="1696" spans="2:2">
      <c r="B1696" s="21"/>
    </row>
    <row r="1697" spans="2:2">
      <c r="B1697" s="21"/>
    </row>
    <row r="1698" spans="2:2">
      <c r="B1698" s="21"/>
    </row>
    <row r="1699" spans="2:2">
      <c r="B1699" s="21"/>
    </row>
    <row r="1700" spans="2:2">
      <c r="B1700" s="21"/>
    </row>
    <row r="1701" spans="2:2">
      <c r="B1701" s="21"/>
    </row>
    <row r="1702" spans="2:2">
      <c r="B1702" s="21"/>
    </row>
    <row r="1703" spans="2:2">
      <c r="B1703" s="21"/>
    </row>
    <row r="1704" spans="2:2">
      <c r="B1704" s="21"/>
    </row>
    <row r="1705" spans="2:2">
      <c r="B1705" s="21"/>
    </row>
    <row r="1706" spans="2:2">
      <c r="B1706" s="21"/>
    </row>
    <row r="1707" spans="2:2">
      <c r="B1707" s="21"/>
    </row>
    <row r="1708" spans="2:2">
      <c r="B1708" s="21"/>
    </row>
    <row r="1709" spans="2:2">
      <c r="B1709" s="21"/>
    </row>
    <row r="1710" spans="2:2">
      <c r="B1710" s="21"/>
    </row>
    <row r="1711" spans="2:2">
      <c r="B1711" s="21"/>
    </row>
    <row r="1712" spans="2:2">
      <c r="B1712" s="21"/>
    </row>
    <row r="1713" spans="2:2">
      <c r="B1713" s="21"/>
    </row>
    <row r="1714" spans="2:2">
      <c r="B1714" s="21"/>
    </row>
    <row r="1715" spans="2:2">
      <c r="B1715" s="21"/>
    </row>
    <row r="1716" spans="2:2">
      <c r="B1716" s="21"/>
    </row>
    <row r="1717" spans="2:2">
      <c r="B1717" s="21"/>
    </row>
    <row r="1718" spans="2:2">
      <c r="B1718" s="21"/>
    </row>
    <row r="1719" spans="2:2">
      <c r="B1719" s="21"/>
    </row>
    <row r="1720" spans="2:2">
      <c r="B1720" s="21"/>
    </row>
    <row r="1721" spans="2:2">
      <c r="B1721" s="21"/>
    </row>
    <row r="1722" spans="2:2">
      <c r="B1722" s="21"/>
    </row>
    <row r="1723" spans="2:2">
      <c r="B1723" s="21"/>
    </row>
    <row r="1724" spans="2:2">
      <c r="B1724" s="21"/>
    </row>
    <row r="1725" spans="2:2">
      <c r="B1725" s="21"/>
    </row>
    <row r="1726" spans="2:2">
      <c r="B1726" s="21"/>
    </row>
    <row r="1727" spans="2:2">
      <c r="B1727" s="21"/>
    </row>
    <row r="1728" spans="2:2">
      <c r="B1728" s="21"/>
    </row>
    <row r="1729" spans="2:2">
      <c r="B1729" s="21"/>
    </row>
    <row r="1730" spans="2:2">
      <c r="B1730" s="21"/>
    </row>
    <row r="1731" spans="2:2">
      <c r="B1731" s="21"/>
    </row>
    <row r="1732" spans="2:2">
      <c r="B1732" s="21"/>
    </row>
    <row r="1733" spans="2:2">
      <c r="B1733" s="21"/>
    </row>
    <row r="1734" spans="2:2">
      <c r="B1734" s="21"/>
    </row>
    <row r="1735" spans="2:2">
      <c r="B1735" s="21"/>
    </row>
    <row r="1736" spans="2:2">
      <c r="B1736" s="21"/>
    </row>
    <row r="1737" spans="2:2">
      <c r="B1737" s="21"/>
    </row>
    <row r="1738" spans="2:2">
      <c r="B1738" s="21"/>
    </row>
    <row r="1739" spans="2:2">
      <c r="B1739" s="21"/>
    </row>
    <row r="1740" spans="2:2">
      <c r="B1740" s="21"/>
    </row>
    <row r="1741" spans="2:2">
      <c r="B1741" s="21"/>
    </row>
    <row r="1742" spans="2:2">
      <c r="B1742" s="21"/>
    </row>
    <row r="1743" spans="2:2">
      <c r="B1743" s="21"/>
    </row>
    <row r="1744" spans="2:2">
      <c r="B1744" s="21"/>
    </row>
    <row r="1745" spans="2:2">
      <c r="B1745" s="21"/>
    </row>
    <row r="1746" spans="2:2">
      <c r="B1746" s="21"/>
    </row>
    <row r="1747" spans="2:2">
      <c r="B1747" s="21"/>
    </row>
    <row r="1748" spans="2:2">
      <c r="B1748" s="21"/>
    </row>
    <row r="1749" spans="2:2">
      <c r="B1749" s="21"/>
    </row>
    <row r="1750" spans="2:2">
      <c r="B1750" s="21"/>
    </row>
    <row r="1751" spans="2:2">
      <c r="B1751" s="21"/>
    </row>
    <row r="1752" spans="2:2">
      <c r="B1752" s="21"/>
    </row>
    <row r="1753" spans="2:2">
      <c r="B1753" s="21"/>
    </row>
    <row r="1754" spans="2:2">
      <c r="B1754" s="21"/>
    </row>
    <row r="1755" spans="2:2">
      <c r="B1755" s="21"/>
    </row>
    <row r="1756" spans="2:2">
      <c r="B1756" s="21"/>
    </row>
    <row r="1757" spans="2:2">
      <c r="B1757" s="21"/>
    </row>
    <row r="1758" spans="2:2">
      <c r="B1758" s="21"/>
    </row>
    <row r="1759" spans="2:2">
      <c r="B1759" s="21"/>
    </row>
    <row r="1760" spans="2:2">
      <c r="B1760" s="21"/>
    </row>
    <row r="1761" spans="2:2">
      <c r="B1761" s="21"/>
    </row>
    <row r="1762" spans="2:2">
      <c r="B1762" s="21"/>
    </row>
    <row r="1763" spans="2:2">
      <c r="B1763" s="21"/>
    </row>
    <row r="1764" spans="2:2">
      <c r="B1764" s="21"/>
    </row>
    <row r="1765" spans="2:2">
      <c r="B1765" s="21"/>
    </row>
    <row r="1766" spans="2:2">
      <c r="B1766" s="21"/>
    </row>
    <row r="1767" spans="2:2">
      <c r="B1767" s="21"/>
    </row>
    <row r="1768" spans="2:2">
      <c r="B1768" s="21"/>
    </row>
    <row r="1769" spans="2:2">
      <c r="B1769" s="21"/>
    </row>
    <row r="1770" spans="2:2">
      <c r="B1770" s="21"/>
    </row>
    <row r="1771" spans="2:2">
      <c r="B1771" s="21"/>
    </row>
    <row r="1772" spans="2:2">
      <c r="B1772" s="21"/>
    </row>
    <row r="1773" spans="2:2">
      <c r="B1773" s="21"/>
    </row>
    <row r="1774" spans="2:2">
      <c r="B1774" s="21"/>
    </row>
    <row r="1775" spans="2:2">
      <c r="B1775" s="21"/>
    </row>
    <row r="1776" spans="2:2">
      <c r="B1776" s="21"/>
    </row>
    <row r="1777" spans="2:2">
      <c r="B1777" s="21"/>
    </row>
    <row r="1778" spans="2:2">
      <c r="B1778" s="21"/>
    </row>
    <row r="1779" spans="2:2">
      <c r="B1779" s="21"/>
    </row>
    <row r="1780" spans="2:2">
      <c r="B1780" s="21"/>
    </row>
    <row r="1781" spans="2:2">
      <c r="B1781" s="21"/>
    </row>
    <row r="1782" spans="2:2">
      <c r="B1782" s="21"/>
    </row>
    <row r="1783" spans="2:2">
      <c r="B1783" s="21"/>
    </row>
    <row r="1784" spans="2:2">
      <c r="B1784" s="21"/>
    </row>
    <row r="1785" spans="2:2">
      <c r="B1785" s="21"/>
    </row>
    <row r="1786" spans="2:2">
      <c r="B1786" s="21"/>
    </row>
    <row r="1787" spans="2:2">
      <c r="B1787" s="21"/>
    </row>
    <row r="1788" spans="2:2">
      <c r="B1788" s="21"/>
    </row>
    <row r="1789" spans="2:2">
      <c r="B1789" s="21"/>
    </row>
    <row r="1790" spans="2:2">
      <c r="B1790" s="21"/>
    </row>
    <row r="1791" spans="2:2">
      <c r="B1791" s="21"/>
    </row>
    <row r="1792" spans="2:2">
      <c r="B1792" s="21"/>
    </row>
    <row r="1793" spans="2:2">
      <c r="B1793" s="21"/>
    </row>
    <row r="1794" spans="2:2">
      <c r="B1794" s="21"/>
    </row>
    <row r="1795" spans="2:2">
      <c r="B1795" s="21"/>
    </row>
    <row r="1796" spans="2:2">
      <c r="B1796" s="21"/>
    </row>
    <row r="1797" spans="2:2">
      <c r="B1797" s="21"/>
    </row>
    <row r="1798" spans="2:2">
      <c r="B1798" s="21"/>
    </row>
    <row r="1799" spans="2:2">
      <c r="B1799" s="21"/>
    </row>
    <row r="1800" spans="2:2">
      <c r="B1800" s="21"/>
    </row>
    <row r="1801" spans="2:2">
      <c r="B1801" s="21"/>
    </row>
    <row r="1802" spans="2:2">
      <c r="B1802" s="21"/>
    </row>
    <row r="1803" spans="2:2">
      <c r="B1803" s="21"/>
    </row>
    <row r="1804" spans="2:2">
      <c r="B1804" s="21"/>
    </row>
    <row r="1805" spans="2:2">
      <c r="B1805" s="21"/>
    </row>
    <row r="1806" spans="2:2">
      <c r="B1806" s="21"/>
    </row>
    <row r="1807" spans="2:2">
      <c r="B1807" s="21"/>
    </row>
    <row r="1808" spans="2:2">
      <c r="B1808" s="21"/>
    </row>
    <row r="1809" spans="2:2">
      <c r="B1809" s="21"/>
    </row>
    <row r="1810" spans="2:2">
      <c r="B1810" s="21"/>
    </row>
    <row r="1811" spans="2:2">
      <c r="B1811" s="21"/>
    </row>
    <row r="1812" spans="2:2">
      <c r="B1812" s="21"/>
    </row>
    <row r="1813" spans="2:2">
      <c r="B1813" s="21"/>
    </row>
    <row r="1814" spans="2:2">
      <c r="B1814" s="21"/>
    </row>
    <row r="1815" spans="2:2">
      <c r="B1815" s="21"/>
    </row>
    <row r="1816" spans="2:2">
      <c r="B1816" s="21"/>
    </row>
    <row r="1817" spans="2:2">
      <c r="B1817" s="21"/>
    </row>
    <row r="1818" spans="2:2">
      <c r="B1818" s="21"/>
    </row>
    <row r="1819" spans="2:2">
      <c r="B1819" s="21"/>
    </row>
    <row r="1820" spans="2:2">
      <c r="B1820" s="21"/>
    </row>
    <row r="1821" spans="2:2">
      <c r="B1821" s="21"/>
    </row>
    <row r="1822" spans="2:2">
      <c r="B1822" s="21"/>
    </row>
    <row r="1823" spans="2:2">
      <c r="B1823" s="21"/>
    </row>
    <row r="1824" spans="2:2">
      <c r="B1824" s="21"/>
    </row>
    <row r="1825" spans="2:2">
      <c r="B1825" s="21"/>
    </row>
    <row r="1826" spans="2:2">
      <c r="B1826" s="21"/>
    </row>
    <row r="1827" spans="2:2">
      <c r="B1827" s="21"/>
    </row>
    <row r="1828" spans="2:2">
      <c r="B1828" s="21"/>
    </row>
    <row r="1829" spans="2:2">
      <c r="B1829" s="21"/>
    </row>
    <row r="1830" spans="2:2">
      <c r="B1830" s="21"/>
    </row>
    <row r="1831" spans="2:2">
      <c r="B1831" s="21"/>
    </row>
    <row r="1832" spans="2:2">
      <c r="B1832" s="21"/>
    </row>
    <row r="1833" spans="2:2">
      <c r="B1833" s="21"/>
    </row>
    <row r="1834" spans="2:2">
      <c r="B1834" s="21"/>
    </row>
    <row r="1835" spans="2:2">
      <c r="B1835" s="21"/>
    </row>
    <row r="1836" spans="2:2">
      <c r="B1836" s="21"/>
    </row>
    <row r="1837" spans="2:2">
      <c r="B1837" s="21"/>
    </row>
    <row r="1838" spans="2:2">
      <c r="B1838" s="21"/>
    </row>
    <row r="1839" spans="2:2">
      <c r="B1839" s="21"/>
    </row>
    <row r="1840" spans="2:2">
      <c r="B1840" s="21"/>
    </row>
    <row r="1841" spans="2:2">
      <c r="B1841" s="21"/>
    </row>
    <row r="1842" spans="2:2">
      <c r="B1842" s="21"/>
    </row>
    <row r="1843" spans="2:2">
      <c r="B1843" s="21"/>
    </row>
    <row r="1844" spans="2:2">
      <c r="B1844" s="21"/>
    </row>
    <row r="1845" spans="2:2">
      <c r="B1845" s="21"/>
    </row>
    <row r="1846" spans="2:2">
      <c r="B1846" s="21"/>
    </row>
    <row r="1847" spans="2:2">
      <c r="B1847" s="21"/>
    </row>
    <row r="1848" spans="2:2">
      <c r="B1848" s="21"/>
    </row>
    <row r="1849" spans="2:2">
      <c r="B1849" s="21"/>
    </row>
    <row r="1850" spans="2:2">
      <c r="B1850" s="21"/>
    </row>
    <row r="1851" spans="2:2">
      <c r="B1851" s="21"/>
    </row>
    <row r="1852" spans="2:2">
      <c r="B1852" s="21"/>
    </row>
    <row r="1853" spans="2:2">
      <c r="B1853" s="21"/>
    </row>
    <row r="1854" spans="2:2">
      <c r="B1854" s="21"/>
    </row>
    <row r="1855" spans="2:2">
      <c r="B1855" s="21"/>
    </row>
    <row r="1856" spans="2:2">
      <c r="B1856" s="21"/>
    </row>
    <row r="1857" spans="2:2">
      <c r="B1857" s="21"/>
    </row>
    <row r="1858" spans="2:2">
      <c r="B1858" s="21"/>
    </row>
    <row r="1859" spans="2:2">
      <c r="B1859" s="21"/>
    </row>
    <row r="1860" spans="2:2">
      <c r="B1860" s="21"/>
    </row>
    <row r="1861" spans="2:2">
      <c r="B1861" s="21"/>
    </row>
    <row r="1862" spans="2:2">
      <c r="B1862" s="21"/>
    </row>
    <row r="1863" spans="2:2">
      <c r="B1863" s="21"/>
    </row>
    <row r="1864" spans="2:2">
      <c r="B1864" s="21"/>
    </row>
    <row r="1865" spans="2:2">
      <c r="B1865" s="21"/>
    </row>
    <row r="1866" spans="2:2">
      <c r="B1866" s="21"/>
    </row>
    <row r="1867" spans="2:2">
      <c r="B1867" s="21"/>
    </row>
    <row r="1868" spans="2:2">
      <c r="B1868" s="21"/>
    </row>
    <row r="1869" spans="2:2">
      <c r="B1869" s="21"/>
    </row>
    <row r="1870" spans="2:2">
      <c r="B1870" s="21"/>
    </row>
    <row r="1871" spans="2:2">
      <c r="B1871" s="21"/>
    </row>
    <row r="1872" spans="2:2">
      <c r="B1872" s="21"/>
    </row>
    <row r="1873" spans="2:2">
      <c r="B1873" s="21"/>
    </row>
    <row r="1874" spans="2:2">
      <c r="B1874" s="21"/>
    </row>
    <row r="1875" spans="2:2">
      <c r="B1875" s="21"/>
    </row>
    <row r="1876" spans="2:2">
      <c r="B1876" s="21"/>
    </row>
    <row r="1877" spans="2:2">
      <c r="B1877" s="21"/>
    </row>
    <row r="1878" spans="2:2">
      <c r="B1878" s="21"/>
    </row>
    <row r="1879" spans="2:2">
      <c r="B1879" s="21"/>
    </row>
    <row r="1880" spans="2:2">
      <c r="B1880" s="21"/>
    </row>
    <row r="1881" spans="2:2">
      <c r="B1881" s="21"/>
    </row>
    <row r="1882" spans="2:2">
      <c r="B1882" s="21"/>
    </row>
    <row r="1883" spans="2:2">
      <c r="B1883" s="21"/>
    </row>
    <row r="1884" spans="2:2">
      <c r="B1884" s="21"/>
    </row>
    <row r="1885" spans="2:2">
      <c r="B1885" s="21"/>
    </row>
    <row r="1886" spans="2:2">
      <c r="B1886" s="21"/>
    </row>
    <row r="1887" spans="2:2">
      <c r="B1887" s="21"/>
    </row>
    <row r="1888" spans="2:2">
      <c r="B1888" s="21"/>
    </row>
    <row r="1889" spans="2:2">
      <c r="B1889" s="21"/>
    </row>
    <row r="1890" spans="2:2">
      <c r="B1890" s="21"/>
    </row>
    <row r="1891" spans="2:2">
      <c r="B1891" s="21"/>
    </row>
    <row r="1892" spans="2:2">
      <c r="B1892" s="21"/>
    </row>
    <row r="1893" spans="2:2">
      <c r="B1893" s="21"/>
    </row>
    <row r="1894" spans="2:2">
      <c r="B1894" s="21"/>
    </row>
    <row r="1895" spans="2:2">
      <c r="B1895" s="21"/>
    </row>
    <row r="1896" spans="2:2">
      <c r="B1896" s="21"/>
    </row>
    <row r="1897" spans="2:2">
      <c r="B1897" s="21"/>
    </row>
    <row r="1898" spans="2:2">
      <c r="B1898" s="21"/>
    </row>
    <row r="1899" spans="2:2">
      <c r="B1899" s="21"/>
    </row>
    <row r="1900" spans="2:2">
      <c r="B1900" s="21"/>
    </row>
    <row r="1901" spans="2:2">
      <c r="B1901" s="21"/>
    </row>
    <row r="1902" spans="2:2">
      <c r="B1902" s="21"/>
    </row>
    <row r="1903" spans="2:2">
      <c r="B1903" s="21"/>
    </row>
    <row r="1904" spans="2:2">
      <c r="B1904" s="21"/>
    </row>
    <row r="1905" spans="2:2">
      <c r="B1905" s="21"/>
    </row>
    <row r="1906" spans="2:2">
      <c r="B1906" s="21"/>
    </row>
    <row r="1907" spans="2:2">
      <c r="B1907" s="21"/>
    </row>
    <row r="1908" spans="2:2">
      <c r="B1908" s="21"/>
    </row>
    <row r="1909" spans="2:2">
      <c r="B1909" s="21"/>
    </row>
    <row r="1910" spans="2:2">
      <c r="B1910" s="21"/>
    </row>
    <row r="1911" spans="2:2">
      <c r="B1911" s="21"/>
    </row>
    <row r="1912" spans="2:2">
      <c r="B1912" s="21"/>
    </row>
    <row r="1913" spans="2:2">
      <c r="B1913" s="21"/>
    </row>
    <row r="1914" spans="2:2">
      <c r="B1914" s="21"/>
    </row>
    <row r="1915" spans="2:2">
      <c r="B1915" s="21"/>
    </row>
    <row r="1916" spans="2:2">
      <c r="B1916" s="21"/>
    </row>
    <row r="1917" spans="2:2">
      <c r="B1917" s="21"/>
    </row>
    <row r="1918" spans="2:2">
      <c r="B1918" s="21"/>
    </row>
    <row r="1919" spans="2:2">
      <c r="B1919" s="21"/>
    </row>
    <row r="1920" spans="2:2">
      <c r="B1920" s="21"/>
    </row>
    <row r="1921" spans="2:2">
      <c r="B1921" s="21"/>
    </row>
    <row r="1922" spans="2:2">
      <c r="B1922" s="21"/>
    </row>
    <row r="1923" spans="2:2">
      <c r="B1923" s="21"/>
    </row>
    <row r="1924" spans="2:2">
      <c r="B1924" s="21"/>
    </row>
    <row r="1925" spans="2:2">
      <c r="B1925" s="21"/>
    </row>
    <row r="1926" spans="2:2">
      <c r="B1926" s="21"/>
    </row>
    <row r="1927" spans="2:2">
      <c r="B1927" s="21"/>
    </row>
    <row r="1928" spans="2:2">
      <c r="B1928" s="21"/>
    </row>
    <row r="1929" spans="2:2">
      <c r="B1929" s="21"/>
    </row>
    <row r="1930" spans="2:2">
      <c r="B1930" s="21"/>
    </row>
    <row r="1931" spans="2:2">
      <c r="B1931" s="21"/>
    </row>
    <row r="1932" spans="2:2">
      <c r="B1932" s="21"/>
    </row>
    <row r="1933" spans="2:2">
      <c r="B1933" s="21"/>
    </row>
    <row r="1934" spans="2:2">
      <c r="B1934" s="21"/>
    </row>
    <row r="1935" spans="2:2">
      <c r="B1935" s="21"/>
    </row>
    <row r="1936" spans="2:2">
      <c r="B1936" s="21"/>
    </row>
    <row r="1937" spans="2:2">
      <c r="B1937" s="21"/>
    </row>
    <row r="1938" spans="2:2">
      <c r="B1938" s="21"/>
    </row>
    <row r="1939" spans="2:2">
      <c r="B1939" s="21"/>
    </row>
    <row r="1940" spans="2:2">
      <c r="B1940" s="21"/>
    </row>
    <row r="1941" spans="2:2">
      <c r="B1941" s="21"/>
    </row>
    <row r="1942" spans="2:2">
      <c r="B1942" s="21"/>
    </row>
    <row r="1943" spans="2:2">
      <c r="B1943" s="21"/>
    </row>
    <row r="1944" spans="2:2">
      <c r="B1944" s="21"/>
    </row>
    <row r="1945" spans="2:2">
      <c r="B1945" s="21"/>
    </row>
    <row r="1946" spans="2:2">
      <c r="B1946" s="21"/>
    </row>
    <row r="1947" spans="2:2">
      <c r="B1947" s="21"/>
    </row>
    <row r="1948" spans="2:2">
      <c r="B1948" s="21"/>
    </row>
    <row r="1949" spans="2:2">
      <c r="B1949" s="21"/>
    </row>
    <row r="1950" spans="2:2">
      <c r="B1950" s="21"/>
    </row>
    <row r="1951" spans="2:2">
      <c r="B1951" s="21"/>
    </row>
    <row r="1952" spans="2:2">
      <c r="B1952" s="21"/>
    </row>
    <row r="1953" spans="2:2">
      <c r="B1953" s="21"/>
    </row>
    <row r="1954" spans="2:2">
      <c r="B1954" s="21"/>
    </row>
    <row r="1955" spans="2:2">
      <c r="B1955" s="21"/>
    </row>
    <row r="1956" spans="2:2">
      <c r="B1956" s="21"/>
    </row>
    <row r="1957" spans="2:2">
      <c r="B1957" s="21"/>
    </row>
    <row r="1958" spans="2:2">
      <c r="B1958" s="21"/>
    </row>
    <row r="1959" spans="2:2">
      <c r="B1959" s="21"/>
    </row>
    <row r="1960" spans="2:2">
      <c r="B1960" s="21"/>
    </row>
    <row r="1961" spans="2:2">
      <c r="B1961" s="21"/>
    </row>
    <row r="1962" spans="2:2">
      <c r="B1962" s="21"/>
    </row>
    <row r="1963" spans="2:2">
      <c r="B1963" s="21"/>
    </row>
    <row r="1964" spans="2:2">
      <c r="B1964" s="21"/>
    </row>
    <row r="1965" spans="2:2">
      <c r="B1965" s="21"/>
    </row>
    <row r="1966" spans="2:2">
      <c r="B1966" s="21"/>
    </row>
    <row r="1967" spans="2:2">
      <c r="B1967" s="21"/>
    </row>
    <row r="1968" spans="2:2">
      <c r="B1968" s="21"/>
    </row>
    <row r="1969" spans="2:2">
      <c r="B1969" s="21"/>
    </row>
    <row r="1970" spans="2:2">
      <c r="B1970" s="21"/>
    </row>
    <row r="1971" spans="2:2">
      <c r="B1971" s="21"/>
    </row>
    <row r="1972" spans="2:2">
      <c r="B1972" s="21"/>
    </row>
    <row r="1973" spans="2:2">
      <c r="B1973" s="21"/>
    </row>
    <row r="1974" spans="2:2">
      <c r="B1974" s="21"/>
    </row>
    <row r="1975" spans="2:2">
      <c r="B1975" s="21"/>
    </row>
    <row r="1976" spans="2:2">
      <c r="B1976" s="21"/>
    </row>
    <row r="1977" spans="2:2">
      <c r="B1977" s="21"/>
    </row>
    <row r="1978" spans="2:2">
      <c r="B1978" s="21"/>
    </row>
    <row r="1979" spans="2:2">
      <c r="B1979" s="21"/>
    </row>
    <row r="1980" spans="2:2">
      <c r="B1980" s="21"/>
    </row>
    <row r="1981" spans="2:2">
      <c r="B1981" s="21"/>
    </row>
    <row r="1982" spans="2:2">
      <c r="B1982" s="21"/>
    </row>
    <row r="1983" spans="2:2">
      <c r="B1983" s="21"/>
    </row>
    <row r="1984" spans="2:2">
      <c r="B1984" s="21"/>
    </row>
    <row r="1985" spans="2:2">
      <c r="B1985" s="21"/>
    </row>
    <row r="1986" spans="2:2">
      <c r="B1986" s="21"/>
    </row>
    <row r="1987" spans="2:2">
      <c r="B1987" s="21"/>
    </row>
    <row r="1988" spans="2:2">
      <c r="B1988" s="21"/>
    </row>
    <row r="1989" spans="2:2">
      <c r="B1989" s="21"/>
    </row>
    <row r="1990" spans="2:2">
      <c r="B1990" s="21"/>
    </row>
    <row r="1991" spans="2:2">
      <c r="B1991" s="21"/>
    </row>
    <row r="1992" spans="2:2">
      <c r="B1992" s="21"/>
    </row>
    <row r="1993" spans="2:2">
      <c r="B1993" s="21"/>
    </row>
    <row r="1994" spans="2:2">
      <c r="B1994" s="21"/>
    </row>
    <row r="1995" spans="2:2">
      <c r="B1995" s="21"/>
    </row>
    <row r="1996" spans="2:2">
      <c r="B1996" s="21"/>
    </row>
    <row r="1997" spans="2:2">
      <c r="B1997" s="21"/>
    </row>
    <row r="1998" spans="2:2">
      <c r="B1998" s="21"/>
    </row>
    <row r="1999" spans="2:2">
      <c r="B1999" s="21"/>
    </row>
    <row r="2000" spans="2:2">
      <c r="B2000" s="21"/>
    </row>
    <row r="2001" spans="2:2">
      <c r="B2001" s="21"/>
    </row>
    <row r="2002" spans="2:2">
      <c r="B2002" s="21"/>
    </row>
    <row r="2003" spans="2:2">
      <c r="B2003" s="21"/>
    </row>
    <row r="2004" spans="2:2">
      <c r="B2004" s="21"/>
    </row>
    <row r="2005" spans="2:2">
      <c r="B2005" s="21"/>
    </row>
    <row r="2006" spans="2:2">
      <c r="B2006" s="21"/>
    </row>
    <row r="2007" spans="2:2">
      <c r="B2007" s="21"/>
    </row>
    <row r="2008" spans="2:2">
      <c r="B2008" s="21"/>
    </row>
    <row r="2009" spans="2:2">
      <c r="B2009" s="21"/>
    </row>
    <row r="2010" spans="2:2">
      <c r="B2010" s="21"/>
    </row>
    <row r="2011" spans="2:2">
      <c r="B2011" s="21"/>
    </row>
    <row r="2012" spans="2:2">
      <c r="B2012" s="21"/>
    </row>
    <row r="2013" spans="2:2">
      <c r="B2013" s="21"/>
    </row>
    <row r="2014" spans="2:2">
      <c r="B2014" s="21"/>
    </row>
    <row r="2015" spans="2:2">
      <c r="B2015" s="21"/>
    </row>
    <row r="2016" spans="2:2">
      <c r="B2016" s="21"/>
    </row>
    <row r="2017" spans="2:2">
      <c r="B2017" s="21"/>
    </row>
    <row r="2018" spans="2:2">
      <c r="B2018" s="21"/>
    </row>
    <row r="2019" spans="2:2">
      <c r="B2019" s="21"/>
    </row>
    <row r="2020" spans="2:2">
      <c r="B2020" s="21"/>
    </row>
    <row r="2021" spans="2:2">
      <c r="B2021" s="21"/>
    </row>
    <row r="2022" spans="2:2">
      <c r="B2022" s="21"/>
    </row>
    <row r="2023" spans="2:2">
      <c r="B2023" s="21"/>
    </row>
    <row r="2024" spans="2:2">
      <c r="B2024" s="21"/>
    </row>
    <row r="2025" spans="2:2">
      <c r="B2025" s="21"/>
    </row>
    <row r="2026" spans="2:2">
      <c r="B2026" s="21"/>
    </row>
    <row r="2027" spans="2:2">
      <c r="B2027" s="21"/>
    </row>
    <row r="2028" spans="2:2">
      <c r="B2028" s="21"/>
    </row>
    <row r="2029" spans="2:2">
      <c r="B2029" s="21"/>
    </row>
    <row r="2030" spans="2:2">
      <c r="B2030" s="21"/>
    </row>
    <row r="2031" spans="2:2">
      <c r="B2031" s="21"/>
    </row>
    <row r="2032" spans="2:2">
      <c r="B2032" s="21"/>
    </row>
    <row r="2033" spans="2:2">
      <c r="B2033" s="21"/>
    </row>
    <row r="2034" spans="2:2">
      <c r="B2034" s="21"/>
    </row>
    <row r="2035" spans="2:2">
      <c r="B2035" s="21"/>
    </row>
    <row r="2036" spans="2:2">
      <c r="B2036" s="21"/>
    </row>
    <row r="2037" spans="2:2">
      <c r="B2037" s="21"/>
    </row>
    <row r="2038" spans="2:2">
      <c r="B2038" s="21"/>
    </row>
    <row r="2039" spans="2:2">
      <c r="B2039" s="21"/>
    </row>
    <row r="2040" spans="2:2">
      <c r="B2040" s="21"/>
    </row>
    <row r="2041" spans="2:2">
      <c r="B2041" s="21"/>
    </row>
    <row r="2042" spans="2:2">
      <c r="B2042" s="21"/>
    </row>
    <row r="2043" spans="2:2">
      <c r="B2043" s="21"/>
    </row>
    <row r="2044" spans="2:2">
      <c r="B2044" s="21"/>
    </row>
    <row r="2045" spans="2:2">
      <c r="B2045" s="21"/>
    </row>
    <row r="2046" spans="2:2">
      <c r="B2046" s="21"/>
    </row>
    <row r="2047" spans="2:2">
      <c r="B2047" s="21"/>
    </row>
    <row r="2048" spans="2:2">
      <c r="B2048" s="21"/>
    </row>
    <row r="2049" spans="2:2">
      <c r="B2049" s="21"/>
    </row>
    <row r="2050" spans="2:2">
      <c r="B2050" s="21"/>
    </row>
    <row r="2051" spans="2:2">
      <c r="B2051" s="21"/>
    </row>
    <row r="2052" spans="2:2">
      <c r="B2052" s="21"/>
    </row>
    <row r="2053" spans="2:2">
      <c r="B2053" s="21"/>
    </row>
    <row r="2054" spans="2:2">
      <c r="B2054" s="21"/>
    </row>
    <row r="2055" spans="2:2">
      <c r="B2055" s="21"/>
    </row>
    <row r="2056" spans="2:2">
      <c r="B2056" s="21"/>
    </row>
    <row r="2057" spans="2:2">
      <c r="B2057" s="21"/>
    </row>
    <row r="2058" spans="2:2">
      <c r="B2058" s="21"/>
    </row>
    <row r="2059" spans="2:2">
      <c r="B2059" s="21"/>
    </row>
    <row r="2060" spans="2:2">
      <c r="B2060" s="21"/>
    </row>
    <row r="2061" spans="2:2">
      <c r="B2061" s="21"/>
    </row>
    <row r="2062" spans="2:2">
      <c r="B2062" s="21"/>
    </row>
    <row r="2063" spans="2:2">
      <c r="B2063" s="21"/>
    </row>
    <row r="2064" spans="2:2">
      <c r="B2064" s="21"/>
    </row>
    <row r="2065" spans="2:2">
      <c r="B2065" s="21"/>
    </row>
    <row r="2066" spans="2:2">
      <c r="B2066" s="21"/>
    </row>
    <row r="2067" spans="2:2">
      <c r="B2067" s="21"/>
    </row>
    <row r="2068" spans="2:2">
      <c r="B2068" s="21"/>
    </row>
    <row r="2069" spans="2:2">
      <c r="B2069" s="21"/>
    </row>
    <row r="2070" spans="2:2">
      <c r="B2070" s="21"/>
    </row>
    <row r="2071" spans="2:2">
      <c r="B2071" s="21"/>
    </row>
    <row r="2072" spans="2:2">
      <c r="B2072" s="21"/>
    </row>
    <row r="2073" spans="2:2">
      <c r="B2073" s="21"/>
    </row>
    <row r="2074" spans="2:2">
      <c r="B2074" s="21"/>
    </row>
    <row r="2075" spans="2:2">
      <c r="B2075" s="21"/>
    </row>
    <row r="2076" spans="2:2">
      <c r="B2076" s="21"/>
    </row>
    <row r="2077" spans="2:2">
      <c r="B2077" s="21"/>
    </row>
    <row r="2078" spans="2:2">
      <c r="B2078" s="21"/>
    </row>
    <row r="2079" spans="2:2">
      <c r="B2079" s="21"/>
    </row>
    <row r="2080" spans="2:2">
      <c r="B2080" s="21"/>
    </row>
    <row r="2081" spans="2:2">
      <c r="B2081" s="21"/>
    </row>
    <row r="2082" spans="2:2">
      <c r="B2082" s="21"/>
    </row>
    <row r="2083" spans="2:2">
      <c r="B2083" s="21"/>
    </row>
    <row r="2084" spans="2:2">
      <c r="B2084" s="21"/>
    </row>
    <row r="2085" spans="2:2">
      <c r="B2085" s="21"/>
    </row>
    <row r="2086" spans="2:2">
      <c r="B2086" s="21"/>
    </row>
    <row r="2087" spans="2:2">
      <c r="B2087" s="21"/>
    </row>
    <row r="2088" spans="2:2">
      <c r="B2088" s="21"/>
    </row>
    <row r="2089" spans="2:2">
      <c r="B2089" s="21"/>
    </row>
    <row r="2090" spans="2:2">
      <c r="B2090" s="21"/>
    </row>
    <row r="2091" spans="2:2">
      <c r="B2091" s="21"/>
    </row>
    <row r="2092" spans="2:2">
      <c r="B2092" s="21"/>
    </row>
    <row r="2093" spans="2:2">
      <c r="B2093" s="21"/>
    </row>
    <row r="2094" spans="2:2">
      <c r="B2094" s="21"/>
    </row>
    <row r="2095" spans="2:2">
      <c r="B2095" s="21"/>
    </row>
    <row r="2096" spans="2:2">
      <c r="B2096" s="21"/>
    </row>
    <row r="2097" spans="2:2">
      <c r="B2097" s="21"/>
    </row>
    <row r="2098" spans="2:2">
      <c r="B2098" s="21"/>
    </row>
    <row r="2099" spans="2:2">
      <c r="B2099" s="21"/>
    </row>
    <row r="2100" spans="2:2">
      <c r="B2100" s="21"/>
    </row>
    <row r="2101" spans="2:2">
      <c r="B2101" s="21"/>
    </row>
    <row r="2102" spans="2:2">
      <c r="B2102" s="21"/>
    </row>
    <row r="2103" spans="2:2">
      <c r="B2103" s="21"/>
    </row>
    <row r="2104" spans="2:2">
      <c r="B2104" s="21"/>
    </row>
    <row r="2105" spans="2:2">
      <c r="B2105" s="21"/>
    </row>
    <row r="2106" spans="2:2">
      <c r="B2106" s="21"/>
    </row>
    <row r="2107" spans="2:2">
      <c r="B2107" s="21"/>
    </row>
    <row r="2108" spans="2:2">
      <c r="B2108" s="21"/>
    </row>
    <row r="2109" spans="2:2">
      <c r="B2109" s="21"/>
    </row>
    <row r="2110" spans="2:2">
      <c r="B2110" s="21"/>
    </row>
    <row r="2111" spans="2:2">
      <c r="B2111" s="21"/>
    </row>
    <row r="2112" spans="2:2">
      <c r="B2112" s="21"/>
    </row>
    <row r="2113" spans="2:2">
      <c r="B2113" s="21"/>
    </row>
    <row r="2114" spans="2:2">
      <c r="B2114" s="21"/>
    </row>
    <row r="2115" spans="2:2">
      <c r="B2115" s="21"/>
    </row>
    <row r="2116" spans="2:2">
      <c r="B2116" s="21"/>
    </row>
    <row r="2117" spans="2:2">
      <c r="B2117" s="21"/>
    </row>
    <row r="2118" spans="2:2">
      <c r="B2118" s="21"/>
    </row>
    <row r="2119" spans="2:2">
      <c r="B2119" s="21"/>
    </row>
    <row r="2120" spans="2:2">
      <c r="B2120" s="21"/>
    </row>
    <row r="2121" spans="2:2">
      <c r="B2121" s="21"/>
    </row>
    <row r="2122" spans="2:2">
      <c r="B2122" s="21"/>
    </row>
    <row r="2123" spans="2:2">
      <c r="B2123" s="21"/>
    </row>
    <row r="2124" spans="2:2">
      <c r="B2124" s="21"/>
    </row>
    <row r="2125" spans="2:2">
      <c r="B2125" s="21"/>
    </row>
    <row r="2126" spans="2:2">
      <c r="B2126" s="21"/>
    </row>
    <row r="2127" spans="2:2">
      <c r="B2127" s="21"/>
    </row>
    <row r="2128" spans="2:2">
      <c r="B2128" s="21"/>
    </row>
    <row r="2129" spans="2:2">
      <c r="B2129" s="21"/>
    </row>
    <row r="2130" spans="2:2">
      <c r="B2130" s="21"/>
    </row>
    <row r="2131" spans="2:2">
      <c r="B2131" s="21"/>
    </row>
    <row r="2132" spans="2:2">
      <c r="B2132" s="21"/>
    </row>
    <row r="2133" spans="2:2">
      <c r="B2133" s="21"/>
    </row>
    <row r="2134" spans="2:2">
      <c r="B2134" s="21"/>
    </row>
    <row r="2135" spans="2:2">
      <c r="B2135" s="21"/>
    </row>
    <row r="2136" spans="2:2">
      <c r="B2136" s="21"/>
    </row>
    <row r="2137" spans="2:2">
      <c r="B2137" s="21"/>
    </row>
    <row r="2138" spans="2:2">
      <c r="B2138" s="21"/>
    </row>
    <row r="2139" spans="2:2">
      <c r="B2139" s="21"/>
    </row>
    <row r="2140" spans="2:2">
      <c r="B2140" s="21"/>
    </row>
    <row r="2141" spans="2:2">
      <c r="B2141" s="21"/>
    </row>
    <row r="2142" spans="2:2">
      <c r="B2142" s="21"/>
    </row>
    <row r="2143" spans="2:2">
      <c r="B2143" s="21"/>
    </row>
    <row r="2144" spans="2:2">
      <c r="B2144" s="21"/>
    </row>
    <row r="2145" spans="2:2">
      <c r="B2145" s="21"/>
    </row>
    <row r="2146" spans="2:2">
      <c r="B2146" s="21"/>
    </row>
    <row r="2147" spans="2:2">
      <c r="B2147" s="21"/>
    </row>
    <row r="2148" spans="2:2">
      <c r="B2148" s="21"/>
    </row>
    <row r="2149" spans="2:2">
      <c r="B2149" s="21"/>
    </row>
    <row r="2150" spans="2:2">
      <c r="B2150" s="21"/>
    </row>
    <row r="2151" spans="2:2">
      <c r="B2151" s="21"/>
    </row>
    <row r="2152" spans="2:2">
      <c r="B2152" s="21"/>
    </row>
    <row r="2153" spans="2:2">
      <c r="B2153" s="21"/>
    </row>
    <row r="2154" spans="2:2">
      <c r="B2154" s="21"/>
    </row>
    <row r="2155" spans="2:2">
      <c r="B2155" s="21"/>
    </row>
    <row r="2156" spans="2:2">
      <c r="B2156" s="21"/>
    </row>
    <row r="2157" spans="2:2">
      <c r="B2157" s="21"/>
    </row>
    <row r="2158" spans="2:2">
      <c r="B2158" s="21"/>
    </row>
    <row r="2159" spans="2:2">
      <c r="B2159" s="21"/>
    </row>
    <row r="2160" spans="2:2">
      <c r="B2160" s="21"/>
    </row>
    <row r="2161" spans="2:2">
      <c r="B2161" s="21"/>
    </row>
    <row r="2162" spans="2:2">
      <c r="B2162" s="21"/>
    </row>
    <row r="2163" spans="2:2">
      <c r="B2163" s="21"/>
    </row>
    <row r="2164" spans="2:2">
      <c r="B2164" s="21"/>
    </row>
    <row r="2165" spans="2:2">
      <c r="B2165" s="21"/>
    </row>
    <row r="2166" spans="2:2">
      <c r="B2166" s="21"/>
    </row>
    <row r="2167" spans="2:2">
      <c r="B2167" s="21"/>
    </row>
    <row r="2168" spans="2:2">
      <c r="B2168" s="21"/>
    </row>
    <row r="2169" spans="2:2">
      <c r="B2169" s="21"/>
    </row>
    <row r="2170" spans="2:2">
      <c r="B2170" s="21"/>
    </row>
    <row r="2171" spans="2:2">
      <c r="B2171" s="21"/>
    </row>
    <row r="2172" spans="2:2">
      <c r="B2172" s="21"/>
    </row>
    <row r="2173" spans="2:2">
      <c r="B2173" s="21"/>
    </row>
    <row r="2174" spans="2:2">
      <c r="B2174" s="21"/>
    </row>
    <row r="2175" spans="2:2">
      <c r="B2175" s="21"/>
    </row>
    <row r="2176" spans="2:2">
      <c r="B2176" s="21"/>
    </row>
    <row r="2177" spans="2:2">
      <c r="B2177" s="21"/>
    </row>
    <row r="2178" spans="2:2">
      <c r="B2178" s="21"/>
    </row>
    <row r="2179" spans="2:2">
      <c r="B2179" s="21"/>
    </row>
    <row r="2180" spans="2:2">
      <c r="B2180" s="21"/>
    </row>
    <row r="2181" spans="2:2">
      <c r="B2181" s="21"/>
    </row>
    <row r="2182" spans="2:2">
      <c r="B2182" s="21"/>
    </row>
    <row r="2183" spans="2:2">
      <c r="B2183" s="21"/>
    </row>
    <row r="2184" spans="2:2">
      <c r="B2184" s="21"/>
    </row>
    <row r="2185" spans="2:2">
      <c r="B2185" s="21"/>
    </row>
    <row r="2186" spans="2:2">
      <c r="B2186" s="21"/>
    </row>
    <row r="2187" spans="2:2">
      <c r="B2187" s="21"/>
    </row>
    <row r="2188" spans="2:2">
      <c r="B2188" s="21"/>
    </row>
    <row r="2189" spans="2:2">
      <c r="B2189" s="21"/>
    </row>
    <row r="2190" spans="2:2">
      <c r="B2190" s="21"/>
    </row>
    <row r="2191" spans="2:2">
      <c r="B2191" s="21"/>
    </row>
    <row r="2192" spans="2:2">
      <c r="B2192" s="21"/>
    </row>
    <row r="2193" spans="2:2">
      <c r="B2193" s="21"/>
    </row>
    <row r="2194" spans="2:2">
      <c r="B2194" s="21"/>
    </row>
    <row r="2195" spans="2:2">
      <c r="B2195" s="21"/>
    </row>
    <row r="2196" spans="2:2">
      <c r="B2196" s="21"/>
    </row>
    <row r="2197" spans="2:2">
      <c r="B2197" s="21"/>
    </row>
    <row r="2198" spans="2:2">
      <c r="B2198" s="21"/>
    </row>
    <row r="2199" spans="2:2">
      <c r="B2199" s="21"/>
    </row>
    <row r="2200" spans="2:2">
      <c r="B2200" s="21"/>
    </row>
    <row r="2201" spans="2:2">
      <c r="B2201" s="21"/>
    </row>
    <row r="2202" spans="2:2">
      <c r="B2202" s="21"/>
    </row>
    <row r="2203" spans="2:2">
      <c r="B2203" s="21"/>
    </row>
    <row r="2204" spans="2:2">
      <c r="B2204" s="21"/>
    </row>
    <row r="2205" spans="2:2">
      <c r="B2205" s="21"/>
    </row>
    <row r="2206" spans="2:2">
      <c r="B2206" s="21"/>
    </row>
    <row r="2207" spans="2:2">
      <c r="B2207" s="21"/>
    </row>
    <row r="2208" spans="2:2">
      <c r="B2208" s="21"/>
    </row>
    <row r="2209" spans="2:2">
      <c r="B2209" s="21"/>
    </row>
    <row r="2210" spans="2:2">
      <c r="B2210" s="21"/>
    </row>
    <row r="2211" spans="2:2">
      <c r="B2211" s="21"/>
    </row>
    <row r="2212" spans="2:2">
      <c r="B2212" s="21"/>
    </row>
    <row r="2213" spans="2:2">
      <c r="B2213" s="21"/>
    </row>
    <row r="2214" spans="2:2">
      <c r="B2214" s="21"/>
    </row>
    <row r="2215" spans="2:2">
      <c r="B2215" s="21"/>
    </row>
    <row r="2216" spans="2:2">
      <c r="B2216" s="21"/>
    </row>
    <row r="2217" spans="2:2">
      <c r="B2217" s="21"/>
    </row>
    <row r="2218" spans="2:2">
      <c r="B2218" s="21"/>
    </row>
    <row r="2219" spans="2:2">
      <c r="B2219" s="21"/>
    </row>
    <row r="2220" spans="2:2">
      <c r="B2220" s="21"/>
    </row>
    <row r="2221" spans="2:2">
      <c r="B2221" s="21"/>
    </row>
    <row r="2222" spans="2:2">
      <c r="B2222" s="21"/>
    </row>
    <row r="2223" spans="2:2">
      <c r="B2223" s="21"/>
    </row>
    <row r="2224" spans="2:2">
      <c r="B2224" s="21"/>
    </row>
    <row r="2225" spans="2:2">
      <c r="B2225" s="21"/>
    </row>
    <row r="2226" spans="2:2">
      <c r="B2226" s="21"/>
    </row>
    <row r="2227" spans="2:2">
      <c r="B2227" s="21"/>
    </row>
    <row r="2228" spans="2:2">
      <c r="B2228" s="21"/>
    </row>
    <row r="2229" spans="2:2">
      <c r="B2229" s="21"/>
    </row>
    <row r="2230" spans="2:2">
      <c r="B2230" s="21"/>
    </row>
    <row r="2231" spans="2:2">
      <c r="B2231" s="21"/>
    </row>
    <row r="2232" spans="2:2">
      <c r="B2232" s="21"/>
    </row>
    <row r="2233" spans="2:2">
      <c r="B2233" s="21"/>
    </row>
    <row r="2234" spans="2:2">
      <c r="B2234" s="21"/>
    </row>
    <row r="2235" spans="2:2">
      <c r="B2235" s="21"/>
    </row>
    <row r="2236" spans="2:2">
      <c r="B2236" s="21"/>
    </row>
    <row r="2237" spans="2:2">
      <c r="B2237" s="21"/>
    </row>
    <row r="2238" spans="2:2">
      <c r="B2238" s="21"/>
    </row>
    <row r="2239" spans="2:2">
      <c r="B2239" s="21"/>
    </row>
    <row r="2240" spans="2:2">
      <c r="B2240" s="21"/>
    </row>
    <row r="2241" spans="2:2">
      <c r="B2241" s="21"/>
    </row>
    <row r="2242" spans="2:2">
      <c r="B2242" s="21"/>
    </row>
    <row r="2243" spans="2:2">
      <c r="B2243" s="21"/>
    </row>
    <row r="2244" spans="2:2">
      <c r="B2244" s="21"/>
    </row>
    <row r="2245" spans="2:2">
      <c r="B2245" s="21"/>
    </row>
    <row r="2246" spans="2:2">
      <c r="B2246" s="21"/>
    </row>
    <row r="2247" spans="2:2">
      <c r="B2247" s="21"/>
    </row>
    <row r="2248" spans="2:2">
      <c r="B2248" s="21"/>
    </row>
    <row r="2249" spans="2:2">
      <c r="B2249" s="21"/>
    </row>
    <row r="2250" spans="2:2">
      <c r="B2250" s="21"/>
    </row>
    <row r="2251" spans="2:2">
      <c r="B2251" s="21"/>
    </row>
    <row r="2252" spans="2:2">
      <c r="B2252" s="21"/>
    </row>
    <row r="2253" spans="2:2">
      <c r="B2253" s="21"/>
    </row>
    <row r="2254" spans="2:2">
      <c r="B2254" s="21"/>
    </row>
    <row r="2255" spans="2:2">
      <c r="B2255" s="21"/>
    </row>
    <row r="2256" spans="2:2">
      <c r="B2256" s="21"/>
    </row>
    <row r="2257" spans="2:2">
      <c r="B2257" s="21"/>
    </row>
    <row r="2258" spans="2:2">
      <c r="B2258" s="21"/>
    </row>
    <row r="2259" spans="2:2">
      <c r="B2259" s="21"/>
    </row>
    <row r="2260" spans="2:2">
      <c r="B2260" s="21"/>
    </row>
    <row r="2261" spans="2:2">
      <c r="B2261" s="21"/>
    </row>
    <row r="2262" spans="2:2">
      <c r="B2262" s="21"/>
    </row>
    <row r="2263" spans="2:2">
      <c r="B2263" s="21"/>
    </row>
    <row r="2264" spans="2:2">
      <c r="B2264" s="21"/>
    </row>
    <row r="2265" spans="2:2">
      <c r="B2265" s="21"/>
    </row>
    <row r="2266" spans="2:2">
      <c r="B2266" s="21"/>
    </row>
    <row r="2267" spans="2:2">
      <c r="B2267" s="21"/>
    </row>
    <row r="2268" spans="2:2">
      <c r="B2268" s="21"/>
    </row>
    <row r="2269" spans="2:2">
      <c r="B2269" s="21"/>
    </row>
    <row r="2270" spans="2:2">
      <c r="B2270" s="21"/>
    </row>
    <row r="2271" spans="2:2">
      <c r="B2271" s="21"/>
    </row>
    <row r="2272" spans="2:2">
      <c r="B2272" s="21"/>
    </row>
    <row r="2273" spans="2:2">
      <c r="B2273" s="21"/>
    </row>
    <row r="2274" spans="2:2">
      <c r="B2274" s="21"/>
    </row>
    <row r="2275" spans="2:2">
      <c r="B2275" s="21"/>
    </row>
    <row r="2276" spans="2:2">
      <c r="B2276" s="21"/>
    </row>
    <row r="2277" spans="2:2">
      <c r="B2277" s="21"/>
    </row>
    <row r="2278" spans="2:2">
      <c r="B2278" s="21"/>
    </row>
    <row r="2279" spans="2:2">
      <c r="B2279" s="21"/>
    </row>
    <row r="2280" spans="2:2">
      <c r="B2280" s="21"/>
    </row>
    <row r="2281" spans="2:2">
      <c r="B2281" s="21"/>
    </row>
    <row r="2282" spans="2:2">
      <c r="B2282" s="21"/>
    </row>
    <row r="2283" spans="2:2">
      <c r="B2283" s="21"/>
    </row>
    <row r="2284" spans="2:2">
      <c r="B2284" s="21"/>
    </row>
    <row r="2285" spans="2:2">
      <c r="B2285" s="21"/>
    </row>
    <row r="2286" spans="2:2">
      <c r="B2286" s="21"/>
    </row>
    <row r="2287" spans="2:2">
      <c r="B2287" s="21"/>
    </row>
    <row r="2288" spans="2:2">
      <c r="B2288" s="21"/>
    </row>
    <row r="2289" spans="2:2">
      <c r="B2289" s="21"/>
    </row>
    <row r="2290" spans="2:2">
      <c r="B2290" s="21"/>
    </row>
    <row r="2291" spans="2:2">
      <c r="B2291" s="21"/>
    </row>
    <row r="2292" spans="2:2">
      <c r="B2292" s="21"/>
    </row>
    <row r="2293" spans="2:2">
      <c r="B2293" s="21"/>
    </row>
    <row r="2294" spans="2:2">
      <c r="B2294" s="21"/>
    </row>
    <row r="2295" spans="2:2">
      <c r="B2295" s="21"/>
    </row>
    <row r="2296" spans="2:2">
      <c r="B2296" s="21"/>
    </row>
    <row r="2297" spans="2:2">
      <c r="B2297" s="21"/>
    </row>
    <row r="2298" spans="2:2">
      <c r="B2298" s="21"/>
    </row>
    <row r="2299" spans="2:2">
      <c r="B2299" s="21"/>
    </row>
    <row r="2300" spans="2:2">
      <c r="B2300" s="21"/>
    </row>
    <row r="2301" spans="2:2">
      <c r="B2301" s="21"/>
    </row>
    <row r="2302" spans="2:2">
      <c r="B2302" s="21"/>
    </row>
    <row r="2303" spans="2:2">
      <c r="B2303" s="21"/>
    </row>
    <row r="2304" spans="2:2">
      <c r="B2304" s="21"/>
    </row>
    <row r="2305" spans="2:2">
      <c r="B2305" s="21"/>
    </row>
    <row r="2306" spans="2:2">
      <c r="B2306" s="21"/>
    </row>
    <row r="2307" spans="2:2">
      <c r="B2307" s="21"/>
    </row>
    <row r="2308" spans="2:2">
      <c r="B2308" s="21"/>
    </row>
    <row r="2309" spans="2:2">
      <c r="B2309" s="21"/>
    </row>
    <row r="2310" spans="2:2">
      <c r="B2310" s="21"/>
    </row>
    <row r="2311" spans="2:2">
      <c r="B2311" s="21"/>
    </row>
    <row r="2312" spans="2:2">
      <c r="B2312" s="21"/>
    </row>
    <row r="2313" spans="2:2">
      <c r="B2313" s="21"/>
    </row>
    <row r="2314" spans="2:2">
      <c r="B2314" s="21"/>
    </row>
    <row r="2315" spans="2:2">
      <c r="B2315" s="21"/>
    </row>
    <row r="2316" spans="2:2">
      <c r="B2316" s="21"/>
    </row>
    <row r="2317" spans="2:2">
      <c r="B2317" s="21"/>
    </row>
    <row r="2318" spans="2:2">
      <c r="B2318" s="21"/>
    </row>
    <row r="2319" spans="2:2">
      <c r="B2319" s="21"/>
    </row>
    <row r="2320" spans="2:2">
      <c r="B2320" s="21"/>
    </row>
    <row r="2321" spans="2:2">
      <c r="B2321" s="21"/>
    </row>
    <row r="2322" spans="2:2">
      <c r="B2322" s="21"/>
    </row>
    <row r="2323" spans="2:2">
      <c r="B2323" s="21"/>
    </row>
    <row r="2324" spans="2:2">
      <c r="B2324" s="21"/>
    </row>
    <row r="2325" spans="2:2">
      <c r="B2325" s="21"/>
    </row>
    <row r="2326" spans="2:2">
      <c r="B2326" s="21"/>
    </row>
    <row r="2327" spans="2:2">
      <c r="B2327" s="21"/>
    </row>
    <row r="2328" spans="2:2">
      <c r="B2328" s="21"/>
    </row>
    <row r="2329" spans="2:2">
      <c r="B2329" s="21"/>
    </row>
    <row r="2330" spans="2:2">
      <c r="B2330" s="21"/>
    </row>
    <row r="2331" spans="2:2">
      <c r="B2331" s="21"/>
    </row>
    <row r="2332" spans="2:2">
      <c r="B2332" s="21"/>
    </row>
    <row r="2333" spans="2:2">
      <c r="B2333" s="21"/>
    </row>
    <row r="2334" spans="2:2">
      <c r="B2334" s="21"/>
    </row>
    <row r="2335" spans="2:2">
      <c r="B2335" s="21"/>
    </row>
    <row r="2336" spans="2:2">
      <c r="B2336" s="21"/>
    </row>
    <row r="2337" spans="2:2">
      <c r="B2337" s="21"/>
    </row>
    <row r="2338" spans="2:2">
      <c r="B2338" s="21"/>
    </row>
    <row r="2339" spans="2:2">
      <c r="B2339" s="21"/>
    </row>
    <row r="2340" spans="2:2">
      <c r="B2340" s="21"/>
    </row>
    <row r="2341" spans="2:2">
      <c r="B2341" s="21"/>
    </row>
    <row r="2342" spans="2:2">
      <c r="B2342" s="21"/>
    </row>
    <row r="2343" spans="2:2">
      <c r="B2343" s="21"/>
    </row>
    <row r="2344" spans="2:2">
      <c r="B2344" s="21"/>
    </row>
    <row r="2345" spans="2:2">
      <c r="B2345" s="21"/>
    </row>
    <row r="2346" spans="2:2">
      <c r="B2346" s="21"/>
    </row>
    <row r="2347" spans="2:2">
      <c r="B2347" s="21"/>
    </row>
    <row r="2348" spans="2:2">
      <c r="B2348" s="21"/>
    </row>
    <row r="2349" spans="2:2">
      <c r="B2349" s="21"/>
    </row>
    <row r="2350" spans="2:2">
      <c r="B2350" s="21"/>
    </row>
    <row r="2351" spans="2:2">
      <c r="B2351" s="21"/>
    </row>
    <row r="2352" spans="2:2">
      <c r="B2352" s="21"/>
    </row>
    <row r="2353" spans="2:2">
      <c r="B2353" s="21"/>
    </row>
    <row r="2354" spans="2:2">
      <c r="B2354" s="21"/>
    </row>
    <row r="2355" spans="2:2">
      <c r="B2355" s="21"/>
    </row>
    <row r="2356" spans="2:2">
      <c r="B2356" s="21"/>
    </row>
    <row r="2357" spans="2:2">
      <c r="B2357" s="21"/>
    </row>
    <row r="2358" spans="2:2">
      <c r="B2358" s="21"/>
    </row>
    <row r="2359" spans="2:2">
      <c r="B2359" s="21"/>
    </row>
    <row r="2360" spans="2:2">
      <c r="B2360" s="21"/>
    </row>
    <row r="2361" spans="2:2">
      <c r="B2361" s="21"/>
    </row>
    <row r="2362" spans="2:2">
      <c r="B2362" s="21"/>
    </row>
    <row r="2363" spans="2:2">
      <c r="B2363" s="21"/>
    </row>
    <row r="2364" spans="2:2">
      <c r="B2364" s="21"/>
    </row>
    <row r="2365" spans="2:2">
      <c r="B2365" s="21"/>
    </row>
    <row r="2366" spans="2:2">
      <c r="B2366" s="21"/>
    </row>
    <row r="2367" spans="2:2">
      <c r="B2367" s="21"/>
    </row>
    <row r="2368" spans="2:2">
      <c r="B2368" s="21"/>
    </row>
    <row r="2369" spans="2:2">
      <c r="B2369" s="21"/>
    </row>
    <row r="2370" spans="2:2">
      <c r="B2370" s="21"/>
    </row>
    <row r="2371" spans="2:2">
      <c r="B2371" s="21"/>
    </row>
    <row r="2372" spans="2:2">
      <c r="B2372" s="21"/>
    </row>
    <row r="2373" spans="2:2">
      <c r="B2373" s="21"/>
    </row>
    <row r="2374" spans="2:2">
      <c r="B2374" s="21"/>
    </row>
    <row r="2375" spans="2:2">
      <c r="B2375" s="21"/>
    </row>
    <row r="2376" spans="2:2">
      <c r="B2376" s="21"/>
    </row>
    <row r="2377" spans="2:2">
      <c r="B2377" s="21"/>
    </row>
    <row r="2378" spans="2:2">
      <c r="B2378" s="21"/>
    </row>
    <row r="2379" spans="2:2">
      <c r="B2379" s="21"/>
    </row>
    <row r="2380" spans="2:2">
      <c r="B2380" s="21"/>
    </row>
    <row r="2381" spans="2:2">
      <c r="B2381" s="21"/>
    </row>
    <row r="2382" spans="2:2">
      <c r="B2382" s="21"/>
    </row>
    <row r="2383" spans="2:2">
      <c r="B2383" s="21"/>
    </row>
    <row r="2384" spans="2:2">
      <c r="B2384" s="21"/>
    </row>
    <row r="2385" spans="2:2">
      <c r="B2385" s="21"/>
    </row>
    <row r="2386" spans="2:2">
      <c r="B2386" s="21"/>
    </row>
    <row r="2387" spans="2:2">
      <c r="B2387" s="21"/>
    </row>
    <row r="2388" spans="2:2">
      <c r="B2388" s="21"/>
    </row>
    <row r="2389" spans="2:2">
      <c r="B2389" s="21"/>
    </row>
    <row r="2390" spans="2:2">
      <c r="B2390" s="21"/>
    </row>
    <row r="2391" spans="2:2">
      <c r="B2391" s="21"/>
    </row>
    <row r="2392" spans="2:2">
      <c r="B2392" s="21"/>
    </row>
    <row r="2393" spans="2:2">
      <c r="B2393" s="21"/>
    </row>
    <row r="2394" spans="2:2">
      <c r="B2394" s="21"/>
    </row>
    <row r="2395" spans="2:2">
      <c r="B2395" s="21"/>
    </row>
    <row r="2396" spans="2:2">
      <c r="B2396" s="21"/>
    </row>
    <row r="2397" spans="2:2">
      <c r="B2397" s="21"/>
    </row>
    <row r="2398" spans="2:2">
      <c r="B2398" s="21"/>
    </row>
    <row r="2399" spans="2:2">
      <c r="B2399" s="21"/>
    </row>
    <row r="2400" spans="2:2">
      <c r="B2400" s="21"/>
    </row>
    <row r="2401" spans="2:2">
      <c r="B2401" s="21"/>
    </row>
    <row r="2402" spans="2:2">
      <c r="B2402" s="21"/>
    </row>
    <row r="2403" spans="2:2">
      <c r="B2403" s="21"/>
    </row>
    <row r="2404" spans="2:2">
      <c r="B2404" s="21"/>
    </row>
    <row r="2405" spans="2:2">
      <c r="B2405" s="21"/>
    </row>
    <row r="2406" spans="2:2">
      <c r="B2406" s="21"/>
    </row>
    <row r="2407" spans="2:2">
      <c r="B2407" s="21"/>
    </row>
    <row r="2408" spans="2:2">
      <c r="B2408" s="21"/>
    </row>
    <row r="2409" spans="2:2">
      <c r="B2409" s="21"/>
    </row>
    <row r="2410" spans="2:2">
      <c r="B2410" s="21"/>
    </row>
    <row r="2411" spans="2:2">
      <c r="B2411" s="21"/>
    </row>
    <row r="2412" spans="2:2">
      <c r="B2412" s="21"/>
    </row>
    <row r="2413" spans="2:2">
      <c r="B2413" s="21"/>
    </row>
    <row r="2414" spans="2:2">
      <c r="B2414" s="21"/>
    </row>
    <row r="2415" spans="2:2">
      <c r="B2415" s="21"/>
    </row>
    <row r="2416" spans="2:2">
      <c r="B2416" s="21"/>
    </row>
    <row r="2417" spans="2:2">
      <c r="B2417" s="21"/>
    </row>
    <row r="2418" spans="2:2">
      <c r="B2418" s="21"/>
    </row>
    <row r="2419" spans="2:2">
      <c r="B2419" s="21"/>
    </row>
    <row r="2420" spans="2:2">
      <c r="B2420" s="21"/>
    </row>
    <row r="2421" spans="2:2">
      <c r="B2421" s="21"/>
    </row>
    <row r="2422" spans="2:2">
      <c r="B2422" s="21"/>
    </row>
    <row r="2423" spans="2:2">
      <c r="B2423" s="21"/>
    </row>
    <row r="2424" spans="2:2">
      <c r="B2424" s="21"/>
    </row>
    <row r="2425" spans="2:2">
      <c r="B2425" s="21"/>
    </row>
    <row r="2426" spans="2:2">
      <c r="B2426" s="21"/>
    </row>
    <row r="2427" spans="2:2">
      <c r="B2427" s="21"/>
    </row>
    <row r="2428" spans="2:2">
      <c r="B2428" s="21"/>
    </row>
    <row r="2429" spans="2:2">
      <c r="B2429" s="21"/>
    </row>
    <row r="2430" spans="2:2">
      <c r="B2430" s="21"/>
    </row>
    <row r="2431" spans="2:2">
      <c r="B2431" s="21"/>
    </row>
    <row r="2432" spans="2:2">
      <c r="B2432" s="21"/>
    </row>
    <row r="2433" spans="2:2">
      <c r="B2433" s="21"/>
    </row>
    <row r="2434" spans="2:2">
      <c r="B2434" s="21"/>
    </row>
    <row r="2435" spans="2:2">
      <c r="B2435" s="21"/>
    </row>
    <row r="2436" spans="2:2">
      <c r="B2436" s="21"/>
    </row>
    <row r="2437" spans="2:2">
      <c r="B2437" s="21"/>
    </row>
    <row r="2438" spans="2:2">
      <c r="B2438" s="21"/>
    </row>
    <row r="2439" spans="2:2">
      <c r="B2439" s="21"/>
    </row>
    <row r="2440" spans="2:2">
      <c r="B2440" s="21"/>
    </row>
    <row r="2441" spans="2:2">
      <c r="B2441" s="21"/>
    </row>
    <row r="2442" spans="2:2">
      <c r="B2442" s="21"/>
    </row>
    <row r="2443" spans="2:2">
      <c r="B2443" s="21"/>
    </row>
    <row r="2444" spans="2:2">
      <c r="B2444" s="21"/>
    </row>
    <row r="2445" spans="2:2">
      <c r="B2445" s="21"/>
    </row>
    <row r="2446" spans="2:2">
      <c r="B2446" s="21"/>
    </row>
    <row r="2447" spans="2:2">
      <c r="B2447" s="21"/>
    </row>
    <row r="2448" spans="2:2">
      <c r="B2448" s="21"/>
    </row>
    <row r="2449" spans="2:2">
      <c r="B2449" s="21"/>
    </row>
    <row r="2450" spans="2:2">
      <c r="B2450" s="21"/>
    </row>
    <row r="2451" spans="2:2">
      <c r="B2451" s="21"/>
    </row>
    <row r="2452" spans="2:2">
      <c r="B2452" s="21"/>
    </row>
    <row r="2453" spans="2:2">
      <c r="B2453" s="21"/>
    </row>
    <row r="2454" spans="2:2">
      <c r="B2454" s="21"/>
    </row>
    <row r="2455" spans="2:2">
      <c r="B2455" s="21"/>
    </row>
    <row r="2456" spans="2:2">
      <c r="B2456" s="21"/>
    </row>
    <row r="2457" spans="2:2">
      <c r="B2457" s="21"/>
    </row>
    <row r="2458" spans="2:2">
      <c r="B2458" s="21"/>
    </row>
    <row r="2459" spans="2:2">
      <c r="B2459" s="21"/>
    </row>
    <row r="2460" spans="2:2">
      <c r="B2460" s="21"/>
    </row>
    <row r="2461" spans="2:2">
      <c r="B2461" s="21"/>
    </row>
    <row r="2462" spans="2:2">
      <c r="B2462" s="21"/>
    </row>
    <row r="2463" spans="2:2">
      <c r="B2463" s="21"/>
    </row>
    <row r="2464" spans="2:2">
      <c r="B2464" s="21"/>
    </row>
    <row r="2465" spans="2:2">
      <c r="B2465" s="21"/>
    </row>
    <row r="2466" spans="2:2">
      <c r="B2466" s="21"/>
    </row>
    <row r="2467" spans="2:2">
      <c r="B2467" s="21"/>
    </row>
    <row r="2468" spans="2:2">
      <c r="B2468" s="21"/>
    </row>
    <row r="2469" spans="2:2">
      <c r="B2469" s="21"/>
    </row>
    <row r="2470" spans="2:2">
      <c r="B2470" s="21"/>
    </row>
    <row r="2471" spans="2:2">
      <c r="B2471" s="21"/>
    </row>
    <row r="2472" spans="2:2">
      <c r="B2472" s="21"/>
    </row>
    <row r="2473" spans="2:2">
      <c r="B2473" s="21"/>
    </row>
    <row r="2474" spans="2:2">
      <c r="B2474" s="21"/>
    </row>
    <row r="2475" spans="2:2">
      <c r="B2475" s="21"/>
    </row>
    <row r="2476" spans="2:2">
      <c r="B2476" s="21"/>
    </row>
    <row r="2477" spans="2:2">
      <c r="B2477" s="21"/>
    </row>
    <row r="2478" spans="2:2">
      <c r="B2478" s="21"/>
    </row>
    <row r="2479" spans="2:2">
      <c r="B2479" s="21"/>
    </row>
    <row r="2480" spans="2:2">
      <c r="B2480" s="21"/>
    </row>
    <row r="2481" spans="2:2">
      <c r="B2481" s="21"/>
    </row>
    <row r="2482" spans="2:2">
      <c r="B2482" s="21"/>
    </row>
    <row r="2483" spans="2:2">
      <c r="B2483" s="21"/>
    </row>
    <row r="2484" spans="2:2">
      <c r="B2484" s="21"/>
    </row>
    <row r="2485" spans="2:2">
      <c r="B2485" s="21"/>
    </row>
    <row r="2486" spans="2:2">
      <c r="B2486" s="21"/>
    </row>
    <row r="2487" spans="2:2">
      <c r="B2487" s="21"/>
    </row>
    <row r="2488" spans="2:2">
      <c r="B2488" s="21"/>
    </row>
    <row r="2489" spans="2:2">
      <c r="B2489" s="21"/>
    </row>
    <row r="2490" spans="2:2">
      <c r="B2490" s="21"/>
    </row>
    <row r="2491" spans="2:2">
      <c r="B2491" s="21"/>
    </row>
    <row r="2492" spans="2:2">
      <c r="B2492" s="21"/>
    </row>
    <row r="2493" spans="2:2">
      <c r="B2493" s="21"/>
    </row>
    <row r="2494" spans="2:2">
      <c r="B2494" s="21"/>
    </row>
    <row r="2495" spans="2:2">
      <c r="B2495" s="21"/>
    </row>
    <row r="2496" spans="2:2">
      <c r="B2496" s="21"/>
    </row>
    <row r="2497" spans="2:2">
      <c r="B2497" s="21"/>
    </row>
    <row r="2498" spans="2:2">
      <c r="B2498" s="21"/>
    </row>
    <row r="2499" spans="2:2">
      <c r="B2499" s="21"/>
    </row>
    <row r="2500" spans="2:2">
      <c r="B2500" s="21"/>
    </row>
    <row r="2501" spans="2:2">
      <c r="B2501" s="21"/>
    </row>
    <row r="2502" spans="2:2">
      <c r="B2502" s="21"/>
    </row>
    <row r="2503" spans="2:2">
      <c r="B2503" s="21"/>
    </row>
    <row r="2504" spans="2:2">
      <c r="B2504" s="21"/>
    </row>
    <row r="2505" spans="2:2">
      <c r="B2505" s="21"/>
    </row>
    <row r="2506" spans="2:2">
      <c r="B2506" s="21"/>
    </row>
    <row r="2507" spans="2:2">
      <c r="B2507" s="21"/>
    </row>
    <row r="2508" spans="2:2">
      <c r="B2508" s="21"/>
    </row>
    <row r="2509" spans="2:2">
      <c r="B2509" s="21"/>
    </row>
    <row r="2510" spans="2:2">
      <c r="B2510" s="21"/>
    </row>
    <row r="2511" spans="2:2">
      <c r="B2511" s="21"/>
    </row>
    <row r="2512" spans="2:2">
      <c r="B2512" s="21"/>
    </row>
    <row r="2513" spans="2:2">
      <c r="B2513" s="21"/>
    </row>
    <row r="2514" spans="2:2">
      <c r="B2514" s="21"/>
    </row>
    <row r="2515" spans="2:2">
      <c r="B2515" s="21"/>
    </row>
    <row r="2516" spans="2:2">
      <c r="B2516" s="21"/>
    </row>
    <row r="2517" spans="2:2">
      <c r="B2517" s="21"/>
    </row>
    <row r="2518" spans="2:2">
      <c r="B2518" s="21"/>
    </row>
    <row r="2519" spans="2:2">
      <c r="B2519" s="21"/>
    </row>
    <row r="2520" spans="2:2">
      <c r="B2520" s="21"/>
    </row>
    <row r="2521" spans="2:2">
      <c r="B2521" s="21"/>
    </row>
    <row r="2522" spans="2:2">
      <c r="B2522" s="21"/>
    </row>
    <row r="2523" spans="2:2">
      <c r="B2523" s="21"/>
    </row>
    <row r="2524" spans="2:2">
      <c r="B2524" s="21"/>
    </row>
    <row r="2525" spans="2:2">
      <c r="B2525" s="21"/>
    </row>
    <row r="2526" spans="2:2">
      <c r="B2526" s="21"/>
    </row>
    <row r="2527" spans="2:2">
      <c r="B2527" s="21"/>
    </row>
    <row r="2528" spans="2:2">
      <c r="B2528" s="21"/>
    </row>
    <row r="2529" spans="2:2">
      <c r="B2529" s="21"/>
    </row>
    <row r="2530" spans="2:2">
      <c r="B2530" s="21"/>
    </row>
    <row r="2531" spans="2:2">
      <c r="B2531" s="21"/>
    </row>
    <row r="2532" spans="2:2">
      <c r="B2532" s="21"/>
    </row>
    <row r="2533" spans="2:2">
      <c r="B2533" s="21"/>
    </row>
    <row r="2534" spans="2:2">
      <c r="B2534" s="21"/>
    </row>
    <row r="2535" spans="2:2">
      <c r="B2535" s="21"/>
    </row>
    <row r="2536" spans="2:2">
      <c r="B2536" s="21"/>
    </row>
    <row r="2537" spans="2:2">
      <c r="B2537" s="21"/>
    </row>
    <row r="2538" spans="2:2">
      <c r="B2538" s="21"/>
    </row>
    <row r="2539" spans="2:2">
      <c r="B2539" s="21"/>
    </row>
    <row r="2540" spans="2:2">
      <c r="B2540" s="21"/>
    </row>
    <row r="2541" spans="2:2">
      <c r="B2541" s="21"/>
    </row>
    <row r="2542" spans="2:2">
      <c r="B2542" s="21"/>
    </row>
    <row r="2543" spans="2:2">
      <c r="B2543" s="21"/>
    </row>
    <row r="2544" spans="2:2">
      <c r="B2544" s="21"/>
    </row>
    <row r="2545" spans="2:2">
      <c r="B2545" s="21"/>
    </row>
    <row r="2546" spans="2:2">
      <c r="B2546" s="21"/>
    </row>
    <row r="2547" spans="2:2">
      <c r="B2547" s="21"/>
    </row>
    <row r="2548" spans="2:2">
      <c r="B2548" s="21"/>
    </row>
    <row r="2549" spans="2:2">
      <c r="B2549" s="21"/>
    </row>
    <row r="2550" spans="2:2">
      <c r="B2550" s="21"/>
    </row>
    <row r="2551" spans="2:2">
      <c r="B2551" s="21"/>
    </row>
    <row r="2552" spans="2:2">
      <c r="B2552" s="21"/>
    </row>
    <row r="2553" spans="2:2">
      <c r="B2553" s="21"/>
    </row>
    <row r="2554" spans="2:2">
      <c r="B2554" s="21"/>
    </row>
    <row r="2555" spans="2:2">
      <c r="B2555" s="21"/>
    </row>
    <row r="2556" spans="2:2">
      <c r="B2556" s="21"/>
    </row>
    <row r="2557" spans="2:2">
      <c r="B2557" s="21"/>
    </row>
    <row r="2558" spans="2:2">
      <c r="B2558" s="21"/>
    </row>
    <row r="2559" spans="2:2">
      <c r="B2559" s="21"/>
    </row>
    <row r="2560" spans="2:2">
      <c r="B2560" s="21"/>
    </row>
    <row r="2561" spans="2:2">
      <c r="B2561" s="21"/>
    </row>
    <row r="2562" spans="2:2">
      <c r="B2562" s="21"/>
    </row>
    <row r="2563" spans="2:2">
      <c r="B2563" s="21"/>
    </row>
    <row r="2564" spans="2:2">
      <c r="B2564" s="21"/>
    </row>
    <row r="2565" spans="2:2">
      <c r="B2565" s="21"/>
    </row>
    <row r="2566" spans="2:2">
      <c r="B2566" s="21"/>
    </row>
    <row r="2567" spans="2:2">
      <c r="B2567" s="21"/>
    </row>
    <row r="2568" spans="2:2">
      <c r="B2568" s="21"/>
    </row>
    <row r="2569" spans="2:2">
      <c r="B2569" s="21"/>
    </row>
    <row r="2570" spans="2:2">
      <c r="B2570" s="21"/>
    </row>
    <row r="2571" spans="2:2">
      <c r="B2571" s="21"/>
    </row>
    <row r="2572" spans="2:2">
      <c r="B2572" s="21"/>
    </row>
    <row r="2573" spans="2:2">
      <c r="B2573" s="21"/>
    </row>
    <row r="2574" spans="2:2">
      <c r="B2574" s="21"/>
    </row>
    <row r="2575" spans="2:2">
      <c r="B2575" s="21"/>
    </row>
    <row r="2576" spans="2:2">
      <c r="B2576" s="21"/>
    </row>
    <row r="2577" spans="2:2">
      <c r="B2577" s="21"/>
    </row>
    <row r="2578" spans="2:2">
      <c r="B2578" s="21"/>
    </row>
    <row r="2579" spans="2:2">
      <c r="B2579" s="21"/>
    </row>
    <row r="2580" spans="2:2">
      <c r="B2580" s="21"/>
    </row>
    <row r="2581" spans="2:2">
      <c r="B2581" s="21"/>
    </row>
    <row r="2582" spans="2:2">
      <c r="B2582" s="21"/>
    </row>
    <row r="2583" spans="2:2">
      <c r="B2583" s="21"/>
    </row>
    <row r="2584" spans="2:2">
      <c r="B2584" s="21"/>
    </row>
    <row r="2585" spans="2:2">
      <c r="B2585" s="21"/>
    </row>
    <row r="2586" spans="2:2">
      <c r="B2586" s="21"/>
    </row>
    <row r="2587" spans="2:2">
      <c r="B2587" s="21"/>
    </row>
    <row r="2588" spans="2:2">
      <c r="B2588" s="21"/>
    </row>
    <row r="2589" spans="2:2">
      <c r="B2589" s="21"/>
    </row>
    <row r="2590" spans="2:2">
      <c r="B2590" s="21"/>
    </row>
    <row r="2591" spans="2:2">
      <c r="B2591" s="21"/>
    </row>
    <row r="2592" spans="2:2">
      <c r="B2592" s="21"/>
    </row>
    <row r="2593" spans="2:2">
      <c r="B2593" s="21"/>
    </row>
    <row r="2594" spans="2:2">
      <c r="B2594" s="21"/>
    </row>
    <row r="2595" spans="2:2">
      <c r="B2595" s="21"/>
    </row>
    <row r="2596" spans="2:2">
      <c r="B2596" s="21"/>
    </row>
    <row r="2597" spans="2:2">
      <c r="B2597" s="21"/>
    </row>
    <row r="2598" spans="2:2">
      <c r="B2598" s="21"/>
    </row>
    <row r="2599" spans="2:2">
      <c r="B2599" s="21"/>
    </row>
    <row r="2600" spans="2:2">
      <c r="B2600" s="21"/>
    </row>
    <row r="2601" spans="2:2">
      <c r="B2601" s="21"/>
    </row>
    <row r="2602" spans="2:2">
      <c r="B2602" s="21"/>
    </row>
    <row r="2603" spans="2:2">
      <c r="B2603" s="21"/>
    </row>
    <row r="2604" spans="2:2">
      <c r="B2604" s="21"/>
    </row>
    <row r="2605" spans="2:2">
      <c r="B2605" s="21"/>
    </row>
    <row r="2606" spans="2:2">
      <c r="B2606" s="21"/>
    </row>
    <row r="2607" spans="2:2">
      <c r="B2607" s="21"/>
    </row>
    <row r="2608" spans="2:2">
      <c r="B2608" s="21"/>
    </row>
    <row r="2609" spans="2:2">
      <c r="B2609" s="21"/>
    </row>
    <row r="2610" spans="2:2">
      <c r="B2610" s="21"/>
    </row>
    <row r="2611" spans="2:2">
      <c r="B2611" s="21"/>
    </row>
    <row r="2612" spans="2:2">
      <c r="B2612" s="21"/>
    </row>
    <row r="2613" spans="2:2">
      <c r="B2613" s="21"/>
    </row>
    <row r="2614" spans="2:2">
      <c r="B2614" s="21"/>
    </row>
    <row r="2615" spans="2:2">
      <c r="B2615" s="21"/>
    </row>
    <row r="2616" spans="2:2">
      <c r="B2616" s="21"/>
    </row>
    <row r="2617" spans="2:2">
      <c r="B2617" s="21"/>
    </row>
    <row r="2618" spans="2:2">
      <c r="B2618" s="21"/>
    </row>
    <row r="2619" spans="2:2">
      <c r="B2619" s="21"/>
    </row>
    <row r="2620" spans="2:2">
      <c r="B2620" s="21"/>
    </row>
    <row r="2621" spans="2:2">
      <c r="B2621" s="21"/>
    </row>
    <row r="2622" spans="2:2">
      <c r="B2622" s="21"/>
    </row>
    <row r="2623" spans="2:2">
      <c r="B2623" s="21"/>
    </row>
    <row r="2624" spans="2:2">
      <c r="B2624" s="21"/>
    </row>
    <row r="2625" spans="2:2">
      <c r="B2625" s="21"/>
    </row>
    <row r="2626" spans="2:2">
      <c r="B2626" s="21"/>
    </row>
    <row r="2627" spans="2:2">
      <c r="B2627" s="21"/>
    </row>
    <row r="2628" spans="2:2">
      <c r="B2628" s="21"/>
    </row>
    <row r="2629" spans="2:2">
      <c r="B2629" s="21"/>
    </row>
    <row r="2630" spans="2:2">
      <c r="B2630" s="21"/>
    </row>
    <row r="2631" spans="2:2">
      <c r="B2631" s="21"/>
    </row>
    <row r="2632" spans="2:2">
      <c r="B2632" s="21"/>
    </row>
    <row r="2633" spans="2:2">
      <c r="B2633" s="21"/>
    </row>
    <row r="2634" spans="2:2">
      <c r="B2634" s="21"/>
    </row>
    <row r="2635" spans="2:2">
      <c r="B2635" s="21"/>
    </row>
    <row r="2636" spans="2:2">
      <c r="B2636" s="21"/>
    </row>
    <row r="2637" spans="2:2">
      <c r="B2637" s="21"/>
    </row>
    <row r="2638" spans="2:2">
      <c r="B2638" s="21"/>
    </row>
    <row r="2639" spans="2:2">
      <c r="B2639" s="21"/>
    </row>
    <row r="2640" spans="2:2">
      <c r="B2640" s="21"/>
    </row>
    <row r="2641" spans="2:2">
      <c r="B2641" s="21"/>
    </row>
    <row r="2642" spans="2:2">
      <c r="B2642" s="21"/>
    </row>
    <row r="2643" spans="2:2">
      <c r="B2643" s="21"/>
    </row>
    <row r="2644" spans="2:2">
      <c r="B2644" s="21"/>
    </row>
    <row r="2645" spans="2:2">
      <c r="B2645" s="21"/>
    </row>
    <row r="2646" spans="2:2">
      <c r="B2646" s="21"/>
    </row>
    <row r="2647" spans="2:2">
      <c r="B2647" s="21"/>
    </row>
    <row r="2648" spans="2:2">
      <c r="B2648" s="21"/>
    </row>
    <row r="2649" spans="2:2">
      <c r="B2649" s="21"/>
    </row>
    <row r="2650" spans="2:2">
      <c r="B2650" s="21"/>
    </row>
    <row r="2651" spans="2:2">
      <c r="B2651" s="21"/>
    </row>
    <row r="2652" spans="2:2">
      <c r="B2652" s="21"/>
    </row>
    <row r="2653" spans="2:2">
      <c r="B2653" s="21"/>
    </row>
    <row r="2654" spans="2:2">
      <c r="B2654" s="21"/>
    </row>
    <row r="2655" spans="2:2">
      <c r="B2655" s="21"/>
    </row>
    <row r="2656" spans="2:2">
      <c r="B2656" s="21"/>
    </row>
    <row r="2657" spans="2:2">
      <c r="B2657" s="21"/>
    </row>
    <row r="2658" spans="2:2">
      <c r="B2658" s="21"/>
    </row>
    <row r="2659" spans="2:2">
      <c r="B2659" s="21"/>
    </row>
    <row r="2660" spans="2:2">
      <c r="B2660" s="21"/>
    </row>
    <row r="2661" spans="2:2">
      <c r="B2661" s="21"/>
    </row>
    <row r="2662" spans="2:2">
      <c r="B2662" s="21"/>
    </row>
    <row r="2663" spans="2:2">
      <c r="B2663" s="21"/>
    </row>
    <row r="2664" spans="2:2">
      <c r="B2664" s="21"/>
    </row>
    <row r="2665" spans="2:2">
      <c r="B2665" s="21"/>
    </row>
    <row r="2666" spans="2:2">
      <c r="B2666" s="21"/>
    </row>
    <row r="2667" spans="2:2">
      <c r="B2667" s="21"/>
    </row>
    <row r="2668" spans="2:2">
      <c r="B2668" s="21"/>
    </row>
    <row r="2669" spans="2:2">
      <c r="B2669" s="21"/>
    </row>
    <row r="2670" spans="2:2">
      <c r="B2670" s="21"/>
    </row>
    <row r="2671" spans="2:2">
      <c r="B2671" s="21"/>
    </row>
    <row r="2672" spans="2:2">
      <c r="B2672" s="21"/>
    </row>
    <row r="2673" spans="2:2">
      <c r="B2673" s="21"/>
    </row>
    <row r="2674" spans="2:2">
      <c r="B2674" s="21"/>
    </row>
    <row r="2675" spans="2:2">
      <c r="B2675" s="21"/>
    </row>
    <row r="2676" spans="2:2">
      <c r="B2676" s="21"/>
    </row>
    <row r="2677" spans="2:2">
      <c r="B2677" s="21"/>
    </row>
    <row r="2678" spans="2:2">
      <c r="B2678" s="21"/>
    </row>
    <row r="2679" spans="2:2">
      <c r="B2679" s="21"/>
    </row>
    <row r="2680" spans="2:2">
      <c r="B2680" s="21"/>
    </row>
    <row r="2681" spans="2:2">
      <c r="B2681" s="21"/>
    </row>
    <row r="2682" spans="2:2">
      <c r="B2682" s="21"/>
    </row>
    <row r="2683" spans="2:2">
      <c r="B2683" s="21"/>
    </row>
    <row r="2684" spans="2:2">
      <c r="B2684" s="21"/>
    </row>
    <row r="2685" spans="2:2">
      <c r="B2685" s="21"/>
    </row>
    <row r="2686" spans="2:2">
      <c r="B2686" s="21"/>
    </row>
    <row r="2687" spans="2:2">
      <c r="B2687" s="21"/>
    </row>
    <row r="2688" spans="2:2">
      <c r="B2688" s="21"/>
    </row>
    <row r="2689" spans="2:2">
      <c r="B2689" s="21"/>
    </row>
    <row r="2690" spans="2:2">
      <c r="B2690" s="21"/>
    </row>
    <row r="2691" spans="2:2">
      <c r="B2691" s="21"/>
    </row>
    <row r="2692" spans="2:2">
      <c r="B2692" s="21"/>
    </row>
    <row r="2693" spans="2:2">
      <c r="B2693" s="21"/>
    </row>
    <row r="2694" spans="2:2">
      <c r="B2694" s="21"/>
    </row>
    <row r="2695" spans="2:2">
      <c r="B2695" s="21"/>
    </row>
    <row r="2696" spans="2:2">
      <c r="B2696" s="21"/>
    </row>
    <row r="2697" spans="2:2">
      <c r="B2697" s="21"/>
    </row>
    <row r="2698" spans="2:2">
      <c r="B2698" s="21"/>
    </row>
    <row r="2699" spans="2:2">
      <c r="B2699" s="21"/>
    </row>
    <row r="2700" spans="2:2">
      <c r="B2700" s="21"/>
    </row>
    <row r="2701" spans="2:2">
      <c r="B2701" s="21"/>
    </row>
    <row r="2702" spans="2:2">
      <c r="B2702" s="21"/>
    </row>
    <row r="2703" spans="2:2">
      <c r="B2703" s="21"/>
    </row>
    <row r="2704" spans="2:2">
      <c r="B2704" s="21"/>
    </row>
    <row r="2705" spans="2:2">
      <c r="B2705" s="21"/>
    </row>
    <row r="2706" spans="2:2">
      <c r="B2706" s="21"/>
    </row>
    <row r="2707" spans="2:2">
      <c r="B2707" s="21"/>
    </row>
    <row r="2708" spans="2:2">
      <c r="B2708" s="21"/>
    </row>
    <row r="2709" spans="2:2">
      <c r="B2709" s="21"/>
    </row>
    <row r="2710" spans="2:2">
      <c r="B2710" s="21"/>
    </row>
    <row r="2711" spans="2:2">
      <c r="B2711" s="21"/>
    </row>
    <row r="2712" spans="2:2">
      <c r="B2712" s="21"/>
    </row>
    <row r="2713" spans="2:2">
      <c r="B2713" s="21"/>
    </row>
    <row r="2714" spans="2:2">
      <c r="B2714" s="21"/>
    </row>
    <row r="2715" spans="2:2">
      <c r="B2715" s="21"/>
    </row>
    <row r="2716" spans="2:2">
      <c r="B2716" s="21"/>
    </row>
    <row r="2717" spans="2:2">
      <c r="B2717" s="21"/>
    </row>
    <row r="2718" spans="2:2">
      <c r="B2718" s="21"/>
    </row>
    <row r="2719" spans="2:2">
      <c r="B2719" s="21"/>
    </row>
    <row r="2720" spans="2:2">
      <c r="B2720" s="21"/>
    </row>
    <row r="2721" spans="2:2">
      <c r="B2721" s="21"/>
    </row>
    <row r="2722" spans="2:2">
      <c r="B2722" s="21"/>
    </row>
    <row r="2723" spans="2:2">
      <c r="B2723" s="21"/>
    </row>
    <row r="2724" spans="2:2">
      <c r="B2724" s="21"/>
    </row>
    <row r="2725" spans="2:2">
      <c r="B2725" s="21"/>
    </row>
    <row r="2726" spans="2:2">
      <c r="B2726" s="21"/>
    </row>
    <row r="2727" spans="2:2">
      <c r="B2727" s="21"/>
    </row>
    <row r="2728" spans="2:2">
      <c r="B2728" s="21"/>
    </row>
    <row r="2729" spans="2:2">
      <c r="B2729" s="21"/>
    </row>
    <row r="2730" spans="2:2">
      <c r="B2730" s="21"/>
    </row>
    <row r="2731" spans="2:2">
      <c r="B2731" s="21"/>
    </row>
    <row r="2732" spans="2:2">
      <c r="B2732" s="21"/>
    </row>
    <row r="2733" spans="2:2">
      <c r="B2733" s="21"/>
    </row>
    <row r="2734" spans="2:2">
      <c r="B2734" s="21"/>
    </row>
    <row r="2735" spans="2:2">
      <c r="B2735" s="21"/>
    </row>
    <row r="2736" spans="2:2">
      <c r="B2736" s="21"/>
    </row>
    <row r="2737" spans="2:2">
      <c r="B2737" s="21"/>
    </row>
    <row r="2738" spans="2:2">
      <c r="B2738" s="21"/>
    </row>
    <row r="2739" spans="2:2">
      <c r="B2739" s="21"/>
    </row>
    <row r="2740" spans="2:2">
      <c r="B2740" s="21"/>
    </row>
    <row r="2741" spans="2:2">
      <c r="B2741" s="21"/>
    </row>
    <row r="2742" spans="2:2">
      <c r="B2742" s="21"/>
    </row>
    <row r="2743" spans="2:2">
      <c r="B2743" s="21"/>
    </row>
    <row r="2744" spans="2:2">
      <c r="B2744" s="21"/>
    </row>
    <row r="2745" spans="2:2">
      <c r="B2745" s="21"/>
    </row>
    <row r="2746" spans="2:2">
      <c r="B2746" s="21"/>
    </row>
    <row r="2747" spans="2:2">
      <c r="B2747" s="21"/>
    </row>
    <row r="2748" spans="2:2">
      <c r="B2748" s="21"/>
    </row>
    <row r="2749" spans="2:2">
      <c r="B2749" s="21"/>
    </row>
    <row r="2750" spans="2:2">
      <c r="B2750" s="21"/>
    </row>
    <row r="2751" spans="2:2">
      <c r="B2751" s="21"/>
    </row>
    <row r="2752" spans="2:2">
      <c r="B2752" s="21"/>
    </row>
    <row r="2753" spans="2:2">
      <c r="B2753" s="21"/>
    </row>
    <row r="2754" spans="2:2">
      <c r="B2754" s="21"/>
    </row>
    <row r="2755" spans="2:2">
      <c r="B2755" s="21"/>
    </row>
    <row r="2756" spans="2:2">
      <c r="B2756" s="21"/>
    </row>
    <row r="2757" spans="2:2">
      <c r="B2757" s="21"/>
    </row>
    <row r="2758" spans="2:2">
      <c r="B2758" s="21"/>
    </row>
    <row r="2759" spans="2:2">
      <c r="B2759" s="21"/>
    </row>
    <row r="2760" spans="2:2">
      <c r="B2760" s="21"/>
    </row>
    <row r="2761" spans="2:2">
      <c r="B2761" s="21"/>
    </row>
    <row r="2762" spans="2:2">
      <c r="B2762" s="21"/>
    </row>
    <row r="2763" spans="2:2">
      <c r="B2763" s="21"/>
    </row>
    <row r="2764" spans="2:2">
      <c r="B2764" s="21"/>
    </row>
    <row r="2765" spans="2:2">
      <c r="B2765" s="21"/>
    </row>
    <row r="2766" spans="2:2">
      <c r="B2766" s="21"/>
    </row>
    <row r="2767" spans="2:2">
      <c r="B2767" s="21"/>
    </row>
    <row r="2768" spans="2:2">
      <c r="B2768" s="21"/>
    </row>
    <row r="2769" spans="2:2">
      <c r="B2769" s="21"/>
    </row>
    <row r="2770" spans="2:2">
      <c r="B2770" s="21"/>
    </row>
    <row r="2771" spans="2:2">
      <c r="B2771" s="21"/>
    </row>
    <row r="2772" spans="2:2">
      <c r="B2772" s="21"/>
    </row>
    <row r="2773" spans="2:2">
      <c r="B2773" s="21"/>
    </row>
    <row r="2774" spans="2:2">
      <c r="B2774" s="21"/>
    </row>
    <row r="2775" spans="2:2">
      <c r="B2775" s="21"/>
    </row>
    <row r="2776" spans="2:2">
      <c r="B2776" s="21"/>
    </row>
    <row r="2777" spans="2:2">
      <c r="B2777" s="21"/>
    </row>
    <row r="2778" spans="2:2">
      <c r="B2778" s="21"/>
    </row>
    <row r="2779" spans="2:2">
      <c r="B2779" s="21"/>
    </row>
    <row r="2780" spans="2:2">
      <c r="B2780" s="21"/>
    </row>
    <row r="2781" spans="2:2">
      <c r="B2781" s="21"/>
    </row>
    <row r="2782" spans="2:2">
      <c r="B2782" s="21"/>
    </row>
    <row r="2783" spans="2:2">
      <c r="B2783" s="21"/>
    </row>
    <row r="2784" spans="2:2">
      <c r="B2784" s="21"/>
    </row>
    <row r="2785" spans="2:2">
      <c r="B2785" s="21"/>
    </row>
    <row r="2786" spans="2:2">
      <c r="B2786" s="21"/>
    </row>
    <row r="2787" spans="2:2">
      <c r="B2787" s="21"/>
    </row>
    <row r="2788" spans="2:2">
      <c r="B2788" s="21"/>
    </row>
    <row r="2789" spans="2:2">
      <c r="B2789" s="21"/>
    </row>
    <row r="2790" spans="2:2">
      <c r="B2790" s="21"/>
    </row>
    <row r="2791" spans="2:2">
      <c r="B2791" s="21"/>
    </row>
    <row r="2792" spans="2:2">
      <c r="B2792" s="21"/>
    </row>
    <row r="2793" spans="2:2">
      <c r="B2793" s="21"/>
    </row>
    <row r="2794" spans="2:2">
      <c r="B2794" s="21"/>
    </row>
    <row r="2795" spans="2:2">
      <c r="B2795" s="21"/>
    </row>
    <row r="2796" spans="2:2">
      <c r="B2796" s="21"/>
    </row>
    <row r="2797" spans="2:2">
      <c r="B2797" s="21"/>
    </row>
    <row r="2798" spans="2:2">
      <c r="B2798" s="21"/>
    </row>
    <row r="2799" spans="2:2">
      <c r="B2799" s="21"/>
    </row>
    <row r="2800" spans="2:2">
      <c r="B2800" s="21"/>
    </row>
    <row r="2801" spans="2:2">
      <c r="B2801" s="21"/>
    </row>
    <row r="2802" spans="2:2">
      <c r="B2802" s="21"/>
    </row>
    <row r="2803" spans="2:2">
      <c r="B2803" s="21"/>
    </row>
    <row r="2804" spans="2:2">
      <c r="B2804" s="21"/>
    </row>
    <row r="2805" spans="2:2">
      <c r="B2805" s="21"/>
    </row>
    <row r="2806" spans="2:2">
      <c r="B2806" s="21"/>
    </row>
    <row r="2807" spans="2:2">
      <c r="B2807" s="21"/>
    </row>
    <row r="2808" spans="2:2">
      <c r="B2808" s="21"/>
    </row>
    <row r="2809" spans="2:2">
      <c r="B2809" s="21"/>
    </row>
    <row r="2810" spans="2:2">
      <c r="B2810" s="21"/>
    </row>
    <row r="2811" spans="2:2">
      <c r="B2811" s="21"/>
    </row>
    <row r="2812" spans="2:2">
      <c r="B2812" s="21"/>
    </row>
    <row r="2813" spans="2:2">
      <c r="B2813" s="21"/>
    </row>
    <row r="2814" spans="2:2">
      <c r="B2814" s="21"/>
    </row>
    <row r="2815" spans="2:2">
      <c r="B2815" s="21"/>
    </row>
    <row r="2816" spans="2:2">
      <c r="B2816" s="21"/>
    </row>
    <row r="2817" spans="2:2">
      <c r="B2817" s="21"/>
    </row>
    <row r="2818" spans="2:2">
      <c r="B2818" s="21"/>
    </row>
    <row r="2819" spans="2:2">
      <c r="B2819" s="21"/>
    </row>
    <row r="2820" spans="2:2">
      <c r="B2820" s="21"/>
    </row>
    <row r="2821" spans="2:2">
      <c r="B2821" s="21"/>
    </row>
    <row r="2822" spans="2:2">
      <c r="B2822" s="21"/>
    </row>
    <row r="2823" spans="2:2">
      <c r="B2823" s="21"/>
    </row>
    <row r="2824" spans="2:2">
      <c r="B2824" s="21"/>
    </row>
    <row r="2825" spans="2:2">
      <c r="B2825" s="21"/>
    </row>
    <row r="2826" spans="2:2">
      <c r="B2826" s="21"/>
    </row>
    <row r="2827" spans="2:2">
      <c r="B2827" s="21"/>
    </row>
    <row r="2828" spans="2:2">
      <c r="B2828" s="21"/>
    </row>
    <row r="2829" spans="2:2">
      <c r="B2829" s="21"/>
    </row>
    <row r="2830" spans="2:2">
      <c r="B2830" s="21"/>
    </row>
    <row r="2831" spans="2:2">
      <c r="B2831" s="21"/>
    </row>
    <row r="2832" spans="2:2">
      <c r="B2832" s="21"/>
    </row>
    <row r="2833" spans="2:2">
      <c r="B2833" s="21"/>
    </row>
    <row r="2834" spans="2:2">
      <c r="B2834" s="21"/>
    </row>
    <row r="2835" spans="2:2">
      <c r="B2835" s="21"/>
    </row>
    <row r="2836" spans="2:2">
      <c r="B2836" s="21"/>
    </row>
    <row r="2837" spans="2:2">
      <c r="B2837" s="21"/>
    </row>
    <row r="2838" spans="2:2">
      <c r="B2838" s="21"/>
    </row>
    <row r="2839" spans="2:2">
      <c r="B2839" s="21"/>
    </row>
    <row r="2840" spans="2:2">
      <c r="B2840" s="21"/>
    </row>
    <row r="2841" spans="2:2">
      <c r="B2841" s="21"/>
    </row>
    <row r="2842" spans="2:2">
      <c r="B2842" s="21"/>
    </row>
    <row r="2843" spans="2:2">
      <c r="B2843" s="21"/>
    </row>
    <row r="2844" spans="2:2">
      <c r="B2844" s="21"/>
    </row>
    <row r="2845" spans="2:2">
      <c r="B2845" s="21"/>
    </row>
    <row r="2846" spans="2:2">
      <c r="B2846" s="21"/>
    </row>
    <row r="2847" spans="2:2">
      <c r="B2847" s="21"/>
    </row>
    <row r="2848" spans="2:2">
      <c r="B2848" s="21"/>
    </row>
    <row r="2849" spans="2:2">
      <c r="B2849" s="21"/>
    </row>
    <row r="2850" spans="2:2">
      <c r="B2850" s="21"/>
    </row>
    <row r="2851" spans="2:2">
      <c r="B2851" s="21"/>
    </row>
    <row r="2852" spans="2:2">
      <c r="B2852" s="21"/>
    </row>
    <row r="2853" spans="2:2">
      <c r="B2853" s="21"/>
    </row>
    <row r="2854" spans="2:2">
      <c r="B2854" s="21"/>
    </row>
    <row r="2855" spans="2:2">
      <c r="B2855" s="21"/>
    </row>
    <row r="2856" spans="2:2">
      <c r="B2856" s="21"/>
    </row>
    <row r="2857" spans="2:2">
      <c r="B2857" s="21"/>
    </row>
    <row r="2858" spans="2:2">
      <c r="B2858" s="21"/>
    </row>
    <row r="2859" spans="2:2">
      <c r="B2859" s="21"/>
    </row>
    <row r="2860" spans="2:2">
      <c r="B2860" s="21"/>
    </row>
    <row r="2861" spans="2:2">
      <c r="B2861" s="21"/>
    </row>
    <row r="2862" spans="2:2">
      <c r="B2862" s="21"/>
    </row>
    <row r="2863" spans="2:2">
      <c r="B2863" s="21"/>
    </row>
    <row r="2864" spans="2:2">
      <c r="B2864" s="21"/>
    </row>
    <row r="2865" spans="2:2">
      <c r="B2865" s="21"/>
    </row>
    <row r="2866" spans="2:2">
      <c r="B2866" s="21"/>
    </row>
    <row r="2867" spans="2:2">
      <c r="B2867" s="21"/>
    </row>
    <row r="2868" spans="2:2">
      <c r="B2868" s="21"/>
    </row>
    <row r="2869" spans="2:2">
      <c r="B2869" s="21"/>
    </row>
    <row r="2870" spans="2:2">
      <c r="B2870" s="21"/>
    </row>
    <row r="2871" spans="2:2">
      <c r="B2871" s="21"/>
    </row>
    <row r="2872" spans="2:2">
      <c r="B2872" s="21"/>
    </row>
    <row r="2873" spans="2:2">
      <c r="B2873" s="21"/>
    </row>
    <row r="2874" spans="2:2">
      <c r="B2874" s="21"/>
    </row>
    <row r="2875" spans="2:2">
      <c r="B2875" s="21"/>
    </row>
    <row r="2876" spans="2:2">
      <c r="B2876" s="21"/>
    </row>
    <row r="2877" spans="2:2">
      <c r="B2877" s="21"/>
    </row>
    <row r="2878" spans="2:2">
      <c r="B2878" s="21"/>
    </row>
    <row r="2879" spans="2:2">
      <c r="B2879" s="21"/>
    </row>
    <row r="2880" spans="2:2">
      <c r="B2880" s="21"/>
    </row>
    <row r="2881" spans="2:2">
      <c r="B2881" s="21"/>
    </row>
    <row r="2882" spans="2:2">
      <c r="B2882" s="21"/>
    </row>
    <row r="2883" spans="2:2">
      <c r="B2883" s="21"/>
    </row>
    <row r="2884" spans="2:2">
      <c r="B2884" s="21"/>
    </row>
    <row r="2885" spans="2:2">
      <c r="B2885" s="21"/>
    </row>
    <row r="2886" spans="2:2">
      <c r="B2886" s="21"/>
    </row>
    <row r="2887" spans="2:2">
      <c r="B2887" s="21"/>
    </row>
    <row r="2888" spans="2:2">
      <c r="B2888" s="21"/>
    </row>
    <row r="2889" spans="2:2">
      <c r="B2889" s="21"/>
    </row>
    <row r="2890" spans="2:2">
      <c r="B2890" s="21"/>
    </row>
    <row r="2891" spans="2:2">
      <c r="B2891" s="21"/>
    </row>
    <row r="2892" spans="2:2">
      <c r="B2892" s="21"/>
    </row>
    <row r="2893" spans="2:2">
      <c r="B2893" s="21"/>
    </row>
    <row r="2894" spans="2:2">
      <c r="B2894" s="21"/>
    </row>
    <row r="2895" spans="2:2">
      <c r="B2895" s="21"/>
    </row>
    <row r="2896" spans="2:2">
      <c r="B2896" s="21"/>
    </row>
    <row r="2897" spans="2:2">
      <c r="B2897" s="21"/>
    </row>
    <row r="2898" spans="2:2">
      <c r="B2898" s="21"/>
    </row>
    <row r="2899" spans="2:2">
      <c r="B2899" s="21"/>
    </row>
    <row r="2900" spans="2:2">
      <c r="B2900" s="21"/>
    </row>
    <row r="2901" spans="2:2">
      <c r="B2901" s="21"/>
    </row>
    <row r="2902" spans="2:2">
      <c r="B2902" s="21"/>
    </row>
    <row r="2903" spans="2:2">
      <c r="B2903" s="21"/>
    </row>
    <row r="2904" spans="2:2">
      <c r="B2904" s="21"/>
    </row>
    <row r="2905" spans="2:2">
      <c r="B2905" s="21"/>
    </row>
    <row r="2906" spans="2:2">
      <c r="B2906" s="21"/>
    </row>
    <row r="2907" spans="2:2">
      <c r="B2907" s="21"/>
    </row>
    <row r="2908" spans="2:2">
      <c r="B2908" s="21"/>
    </row>
    <row r="2909" spans="2:2">
      <c r="B2909" s="21"/>
    </row>
    <row r="2910" spans="2:2">
      <c r="B2910" s="21"/>
    </row>
    <row r="2911" spans="2:2">
      <c r="B2911" s="21"/>
    </row>
    <row r="2912" spans="2:2">
      <c r="B2912" s="21"/>
    </row>
    <row r="2913" spans="2:2">
      <c r="B2913" s="21"/>
    </row>
    <row r="2914" spans="2:2">
      <c r="B2914" s="21"/>
    </row>
    <row r="2915" spans="2:2">
      <c r="B2915" s="21"/>
    </row>
    <row r="2916" spans="2:2">
      <c r="B2916" s="21"/>
    </row>
    <row r="2917" spans="2:2">
      <c r="B2917" s="21"/>
    </row>
    <row r="2918" spans="2:2">
      <c r="B2918" s="21"/>
    </row>
    <row r="2919" spans="2:2">
      <c r="B2919" s="21"/>
    </row>
    <row r="2920" spans="2:2">
      <c r="B2920" s="21"/>
    </row>
    <row r="2921" spans="2:2">
      <c r="B2921" s="21"/>
    </row>
    <row r="2922" spans="2:2">
      <c r="B2922" s="21"/>
    </row>
    <row r="2923" spans="2:2">
      <c r="B2923" s="21"/>
    </row>
    <row r="2924" spans="2:2">
      <c r="B2924" s="21"/>
    </row>
    <row r="2925" spans="2:2">
      <c r="B2925" s="21"/>
    </row>
    <row r="2926" spans="2:2">
      <c r="B2926" s="21"/>
    </row>
    <row r="2927" spans="2:2">
      <c r="B2927" s="21"/>
    </row>
    <row r="2928" spans="2:2">
      <c r="B2928" s="21"/>
    </row>
    <row r="2929" spans="2:2">
      <c r="B2929" s="21"/>
    </row>
    <row r="2930" spans="2:2">
      <c r="B2930" s="21"/>
    </row>
    <row r="2931" spans="2:2">
      <c r="B2931" s="21"/>
    </row>
    <row r="2932" spans="2:2">
      <c r="B2932" s="21"/>
    </row>
    <row r="2933" spans="2:2">
      <c r="B2933" s="21"/>
    </row>
    <row r="2934" spans="2:2">
      <c r="B2934" s="21"/>
    </row>
    <row r="2935" spans="2:2">
      <c r="B2935" s="21"/>
    </row>
    <row r="2936" spans="2:2">
      <c r="B2936" s="21"/>
    </row>
    <row r="2937" spans="2:2">
      <c r="B2937" s="21"/>
    </row>
    <row r="2938" spans="2:2">
      <c r="B2938" s="21"/>
    </row>
    <row r="2939" spans="2:2">
      <c r="B2939" s="21"/>
    </row>
    <row r="2940" spans="2:2">
      <c r="B2940" s="21"/>
    </row>
    <row r="2941" spans="2:2">
      <c r="B2941" s="21"/>
    </row>
    <row r="2942" spans="2:2">
      <c r="B2942" s="21"/>
    </row>
    <row r="2943" spans="2:2">
      <c r="B2943" s="21"/>
    </row>
    <row r="2944" spans="2:2">
      <c r="B2944" s="21"/>
    </row>
    <row r="2945" spans="2:2">
      <c r="B2945" s="21"/>
    </row>
    <row r="2946" spans="2:2">
      <c r="B2946" s="21"/>
    </row>
    <row r="2947" spans="2:2">
      <c r="B2947" s="21"/>
    </row>
    <row r="2948" spans="2:2">
      <c r="B2948" s="21"/>
    </row>
    <row r="2949" spans="2:2">
      <c r="B2949" s="21"/>
    </row>
    <row r="2950" spans="2:2">
      <c r="B2950" s="21"/>
    </row>
    <row r="2951" spans="2:2">
      <c r="B2951" s="21"/>
    </row>
    <row r="2952" spans="2:2">
      <c r="B2952" s="21"/>
    </row>
    <row r="2953" spans="2:2">
      <c r="B2953" s="21"/>
    </row>
    <row r="2954" spans="2:2">
      <c r="B2954" s="21"/>
    </row>
    <row r="2955" spans="2:2">
      <c r="B2955" s="21"/>
    </row>
    <row r="2956" spans="2:2">
      <c r="B2956" s="21"/>
    </row>
    <row r="2957" spans="2:2">
      <c r="B2957" s="21"/>
    </row>
    <row r="2958" spans="2:2">
      <c r="B2958" s="21"/>
    </row>
    <row r="2959" spans="2:2">
      <c r="B2959" s="21"/>
    </row>
    <row r="2960" spans="2:2">
      <c r="B2960" s="21"/>
    </row>
    <row r="2961" spans="2:2">
      <c r="B2961" s="21"/>
    </row>
    <row r="2962" spans="2:2">
      <c r="B2962" s="21"/>
    </row>
    <row r="2963" spans="2:2">
      <c r="B2963" s="21"/>
    </row>
    <row r="2964" spans="2:2">
      <c r="B2964" s="21"/>
    </row>
    <row r="2965" spans="2:2">
      <c r="B2965" s="21"/>
    </row>
    <row r="2966" spans="2:2">
      <c r="B2966" s="21"/>
    </row>
    <row r="2967" spans="2:2">
      <c r="B2967" s="21"/>
    </row>
    <row r="2968" spans="2:2">
      <c r="B2968" s="21"/>
    </row>
    <row r="2969" spans="2:2">
      <c r="B2969" s="21"/>
    </row>
    <row r="2970" spans="2:2">
      <c r="B2970" s="21"/>
    </row>
    <row r="2971" spans="2:2">
      <c r="B2971" s="21"/>
    </row>
    <row r="2972" spans="2:2">
      <c r="B2972" s="21"/>
    </row>
    <row r="2973" spans="2:2">
      <c r="B2973" s="21"/>
    </row>
    <row r="2974" spans="2:2">
      <c r="B2974" s="21"/>
    </row>
    <row r="2975" spans="2:2">
      <c r="B2975" s="21"/>
    </row>
    <row r="2976" spans="2:2">
      <c r="B2976" s="21"/>
    </row>
    <row r="2977" spans="2:2">
      <c r="B2977" s="21"/>
    </row>
    <row r="2978" spans="2:2">
      <c r="B2978" s="21"/>
    </row>
    <row r="2979" spans="2:2">
      <c r="B2979" s="21"/>
    </row>
    <row r="2980" spans="2:2">
      <c r="B2980" s="21"/>
    </row>
    <row r="2981" spans="2:2">
      <c r="B2981" s="21"/>
    </row>
    <row r="2982" spans="2:2">
      <c r="B2982" s="21"/>
    </row>
    <row r="2983" spans="2:2">
      <c r="B2983" s="21"/>
    </row>
    <row r="2984" spans="2:2">
      <c r="B2984" s="21"/>
    </row>
    <row r="2985" spans="2:2">
      <c r="B2985" s="21"/>
    </row>
    <row r="2986" spans="2:2">
      <c r="B2986" s="21"/>
    </row>
    <row r="2987" spans="2:2">
      <c r="B2987" s="21"/>
    </row>
    <row r="2988" spans="2:2">
      <c r="B2988" s="21"/>
    </row>
    <row r="2989" spans="2:2">
      <c r="B2989" s="21"/>
    </row>
    <row r="2990" spans="2:2">
      <c r="B2990" s="21"/>
    </row>
    <row r="2991" spans="2:2">
      <c r="B2991" s="21"/>
    </row>
    <row r="2992" spans="2:2">
      <c r="B2992" s="21"/>
    </row>
    <row r="2993" spans="2:2">
      <c r="B2993" s="21"/>
    </row>
    <row r="2994" spans="2:2">
      <c r="B2994" s="21"/>
    </row>
    <row r="2995" spans="2:2">
      <c r="B2995" s="21"/>
    </row>
    <row r="2996" spans="2:2">
      <c r="B2996" s="21"/>
    </row>
    <row r="2997" spans="2:2">
      <c r="B2997" s="21"/>
    </row>
    <row r="2998" spans="2:2">
      <c r="B2998" s="21"/>
    </row>
    <row r="2999" spans="2:2">
      <c r="B2999" s="21"/>
    </row>
    <row r="3000" spans="2:2">
      <c r="B3000" s="21"/>
    </row>
    <row r="3001" spans="2:2">
      <c r="B3001" s="21"/>
    </row>
    <row r="3002" spans="2:2">
      <c r="B3002" s="21"/>
    </row>
    <row r="3003" spans="2:2">
      <c r="B3003" s="21"/>
    </row>
    <row r="3004" spans="2:2">
      <c r="B3004" s="21"/>
    </row>
    <row r="3005" spans="2:2">
      <c r="B3005" s="21"/>
    </row>
    <row r="3006" spans="2:2">
      <c r="B3006" s="21"/>
    </row>
    <row r="3007" spans="2:2">
      <c r="B3007" s="21"/>
    </row>
    <row r="3008" spans="2:2">
      <c r="B3008" s="21"/>
    </row>
    <row r="3009" spans="2:2">
      <c r="B3009" s="21"/>
    </row>
    <row r="3010" spans="2:2">
      <c r="B3010" s="21"/>
    </row>
    <row r="3011" spans="2:2">
      <c r="B3011" s="21"/>
    </row>
    <row r="3012" spans="2:2">
      <c r="B3012" s="21"/>
    </row>
    <row r="3013" spans="2:2">
      <c r="B3013" s="21"/>
    </row>
    <row r="3014" spans="2:2">
      <c r="B3014" s="21"/>
    </row>
    <row r="3015" spans="2:2">
      <c r="B3015" s="21"/>
    </row>
    <row r="3016" spans="2:2">
      <c r="B3016" s="21"/>
    </row>
    <row r="3017" spans="2:2">
      <c r="B3017" s="21"/>
    </row>
    <row r="3018" spans="2:2">
      <c r="B3018" s="21"/>
    </row>
    <row r="3019" spans="2:2">
      <c r="B3019" s="21"/>
    </row>
    <row r="3020" spans="2:2">
      <c r="B3020" s="21"/>
    </row>
    <row r="3021" spans="2:2">
      <c r="B3021" s="21"/>
    </row>
    <row r="3022" spans="2:2">
      <c r="B3022" s="21"/>
    </row>
    <row r="3023" spans="2:2">
      <c r="B3023" s="21"/>
    </row>
    <row r="3024" spans="2:2">
      <c r="B3024" s="21"/>
    </row>
    <row r="3025" spans="2:2">
      <c r="B3025" s="21"/>
    </row>
    <row r="3026" spans="2:2">
      <c r="B3026" s="21"/>
    </row>
    <row r="3027" spans="2:2">
      <c r="B3027" s="21"/>
    </row>
    <row r="3028" spans="2:2">
      <c r="B3028" s="21"/>
    </row>
    <row r="3029" spans="2:2">
      <c r="B3029" s="21"/>
    </row>
    <row r="3030" spans="2:2">
      <c r="B3030" s="21"/>
    </row>
    <row r="3031" spans="2:2">
      <c r="B3031" s="21"/>
    </row>
    <row r="3032" spans="2:2">
      <c r="B3032" s="21"/>
    </row>
    <row r="3033" spans="2:2">
      <c r="B3033" s="21"/>
    </row>
    <row r="3034" spans="2:2">
      <c r="B3034" s="21"/>
    </row>
    <row r="3035" spans="2:2">
      <c r="B3035" s="21"/>
    </row>
    <row r="3036" spans="2:2">
      <c r="B3036" s="21"/>
    </row>
    <row r="3037" spans="2:2">
      <c r="B3037" s="21"/>
    </row>
    <row r="3038" spans="2:2">
      <c r="B3038" s="21"/>
    </row>
    <row r="3039" spans="2:2">
      <c r="B3039" s="21"/>
    </row>
    <row r="3040" spans="2:2">
      <c r="B3040" s="21"/>
    </row>
    <row r="3041" spans="2:2">
      <c r="B3041" s="21"/>
    </row>
    <row r="3042" spans="2:2">
      <c r="B3042" s="21"/>
    </row>
    <row r="3043" spans="2:2">
      <c r="B3043" s="21"/>
    </row>
    <row r="3044" spans="2:2">
      <c r="B3044" s="21"/>
    </row>
    <row r="3045" spans="2:2">
      <c r="B3045" s="21"/>
    </row>
    <row r="3046" spans="2:2">
      <c r="B3046" s="21"/>
    </row>
    <row r="3047" spans="2:2">
      <c r="B3047" s="21"/>
    </row>
    <row r="3048" spans="2:2">
      <c r="B3048" s="21"/>
    </row>
    <row r="3049" spans="2:2">
      <c r="B3049" s="21"/>
    </row>
    <row r="3050" spans="2:2">
      <c r="B3050" s="21"/>
    </row>
    <row r="3051" spans="2:2">
      <c r="B3051" s="21"/>
    </row>
    <row r="3052" spans="2:2">
      <c r="B3052" s="21"/>
    </row>
    <row r="3053" spans="2:2">
      <c r="B3053" s="21"/>
    </row>
    <row r="3054" spans="2:2">
      <c r="B3054" s="21"/>
    </row>
    <row r="3055" spans="2:2">
      <c r="B3055" s="21"/>
    </row>
    <row r="3056" spans="2:2">
      <c r="B3056" s="21"/>
    </row>
    <row r="3057" spans="2:2">
      <c r="B3057" s="21"/>
    </row>
    <row r="3058" spans="2:2">
      <c r="B3058" s="21"/>
    </row>
    <row r="3059" spans="2:2">
      <c r="B3059" s="21"/>
    </row>
    <row r="3060" spans="2:2">
      <c r="B3060" s="21"/>
    </row>
    <row r="3061" spans="2:2">
      <c r="B3061" s="21"/>
    </row>
    <row r="3062" spans="2:2">
      <c r="B3062" s="21"/>
    </row>
    <row r="3063" spans="2:2">
      <c r="B3063" s="21"/>
    </row>
    <row r="3064" spans="2:2">
      <c r="B3064" s="21"/>
    </row>
    <row r="3065" spans="2:2">
      <c r="B3065" s="21"/>
    </row>
    <row r="3066" spans="2:2">
      <c r="B3066" s="21"/>
    </row>
    <row r="3067" spans="2:2">
      <c r="B3067" s="21"/>
    </row>
    <row r="3068" spans="2:2">
      <c r="B3068" s="21"/>
    </row>
    <row r="3069" spans="2:2">
      <c r="B3069" s="21"/>
    </row>
    <row r="3070" spans="2:2">
      <c r="B3070" s="21"/>
    </row>
    <row r="3071" spans="2:2">
      <c r="B3071" s="21"/>
    </row>
    <row r="3072" spans="2:2">
      <c r="B3072" s="21"/>
    </row>
    <row r="3073" spans="2:2">
      <c r="B3073" s="21"/>
    </row>
    <row r="3074" spans="2:2">
      <c r="B3074" s="21"/>
    </row>
    <row r="3075" spans="2:2">
      <c r="B3075" s="21"/>
    </row>
    <row r="3076" spans="2:2">
      <c r="B3076" s="21"/>
    </row>
    <row r="3077" spans="2:2">
      <c r="B3077" s="21"/>
    </row>
    <row r="3078" spans="2:2">
      <c r="B3078" s="21"/>
    </row>
    <row r="3079" spans="2:2">
      <c r="B3079" s="21"/>
    </row>
    <row r="3080" spans="2:2">
      <c r="B3080" s="21"/>
    </row>
    <row r="3081" spans="2:2">
      <c r="B3081" s="21"/>
    </row>
    <row r="3082" spans="2:2">
      <c r="B3082" s="21"/>
    </row>
    <row r="3083" spans="2:2">
      <c r="B3083" s="21"/>
    </row>
    <row r="3084" spans="2:2">
      <c r="B3084" s="21"/>
    </row>
    <row r="3085" spans="2:2">
      <c r="B3085" s="21"/>
    </row>
    <row r="3086" spans="2:2">
      <c r="B3086" s="21"/>
    </row>
    <row r="3087" spans="2:2">
      <c r="B3087" s="21"/>
    </row>
    <row r="3088" spans="2:2">
      <c r="B3088" s="21"/>
    </row>
    <row r="3089" spans="2:2">
      <c r="B3089" s="21"/>
    </row>
    <row r="3090" spans="2:2">
      <c r="B3090" s="21"/>
    </row>
    <row r="3091" spans="2:2">
      <c r="B3091" s="21"/>
    </row>
    <row r="3092" spans="2:2">
      <c r="B3092" s="21"/>
    </row>
    <row r="3093" spans="2:2">
      <c r="B3093" s="21"/>
    </row>
    <row r="3094" spans="2:2">
      <c r="B3094" s="21"/>
    </row>
    <row r="3095" spans="2:2">
      <c r="B3095" s="21"/>
    </row>
    <row r="3096" spans="2:2">
      <c r="B3096" s="21"/>
    </row>
    <row r="3097" spans="2:2">
      <c r="B3097" s="21"/>
    </row>
    <row r="3098" spans="2:2">
      <c r="B3098" s="21"/>
    </row>
    <row r="3099" spans="2:2">
      <c r="B3099" s="21"/>
    </row>
    <row r="3100" spans="2:2">
      <c r="B3100" s="21"/>
    </row>
    <row r="3101" spans="2:2">
      <c r="B3101" s="21"/>
    </row>
    <row r="3102" spans="2:2">
      <c r="B3102" s="21"/>
    </row>
    <row r="3103" spans="2:2">
      <c r="B3103" s="21"/>
    </row>
    <row r="3104" spans="2:2">
      <c r="B3104" s="21"/>
    </row>
    <row r="3105" spans="2:2">
      <c r="B3105" s="21"/>
    </row>
    <row r="3106" spans="2:2">
      <c r="B3106" s="21"/>
    </row>
    <row r="3107" spans="2:2">
      <c r="B3107" s="21"/>
    </row>
    <row r="3108" spans="2:2">
      <c r="B3108" s="21"/>
    </row>
    <row r="3109" spans="2:2">
      <c r="B3109" s="21"/>
    </row>
    <row r="3110" spans="2:2">
      <c r="B3110" s="21"/>
    </row>
    <row r="3111" spans="2:2">
      <c r="B3111" s="21"/>
    </row>
    <row r="3112" spans="2:2">
      <c r="B3112" s="21"/>
    </row>
    <row r="3113" spans="2:2">
      <c r="B3113" s="21"/>
    </row>
    <row r="3114" spans="2:2">
      <c r="B3114" s="21"/>
    </row>
    <row r="3115" spans="2:2">
      <c r="B3115" s="21"/>
    </row>
    <row r="3116" spans="2:2">
      <c r="B3116" s="21"/>
    </row>
    <row r="3117" spans="2:2">
      <c r="B3117" s="21"/>
    </row>
    <row r="3118" spans="2:2">
      <c r="B3118" s="21"/>
    </row>
    <row r="3119" spans="2:2">
      <c r="B3119" s="21"/>
    </row>
    <row r="3120" spans="2:2">
      <c r="B3120" s="21"/>
    </row>
    <row r="3121" spans="2:2">
      <c r="B3121" s="21"/>
    </row>
    <row r="3122" spans="2:2">
      <c r="B3122" s="21"/>
    </row>
    <row r="3123" spans="2:2">
      <c r="B3123" s="21"/>
    </row>
    <row r="3124" spans="2:2">
      <c r="B3124" s="21"/>
    </row>
    <row r="3125" spans="2:2">
      <c r="B3125" s="21"/>
    </row>
    <row r="3126" spans="2:2">
      <c r="B3126" s="21"/>
    </row>
    <row r="3127" spans="2:2">
      <c r="B3127" s="21"/>
    </row>
    <row r="3128" spans="2:2">
      <c r="B3128" s="21"/>
    </row>
    <row r="3129" spans="2:2">
      <c r="B3129" s="21"/>
    </row>
    <row r="3130" spans="2:2">
      <c r="B3130" s="21"/>
    </row>
    <row r="3131" spans="2:2">
      <c r="B3131" s="21"/>
    </row>
    <row r="3132" spans="2:2">
      <c r="B3132" s="21"/>
    </row>
    <row r="3133" spans="2:2">
      <c r="B3133" s="21"/>
    </row>
    <row r="3134" spans="2:2">
      <c r="B3134" s="21"/>
    </row>
    <row r="3135" spans="2:2">
      <c r="B3135" s="21"/>
    </row>
    <row r="3136" spans="2:2">
      <c r="B3136" s="21"/>
    </row>
    <row r="3137" spans="2:2">
      <c r="B3137" s="21"/>
    </row>
    <row r="3138" spans="2:2">
      <c r="B3138" s="21"/>
    </row>
    <row r="3139" spans="2:2">
      <c r="B3139" s="21"/>
    </row>
    <row r="3140" spans="2:2">
      <c r="B3140" s="21"/>
    </row>
    <row r="3141" spans="2:2">
      <c r="B3141" s="21"/>
    </row>
    <row r="3142" spans="2:2">
      <c r="B3142" s="21"/>
    </row>
    <row r="3143" spans="2:2">
      <c r="B3143" s="21"/>
    </row>
    <row r="3144" spans="2:2">
      <c r="B3144" s="21"/>
    </row>
    <row r="3145" spans="2:2">
      <c r="B3145" s="21"/>
    </row>
    <row r="3146" spans="2:2">
      <c r="B3146" s="21"/>
    </row>
    <row r="3147" spans="2:2">
      <c r="B3147" s="21"/>
    </row>
    <row r="3148" spans="2:2">
      <c r="B3148" s="21"/>
    </row>
    <row r="3149" spans="2:2">
      <c r="B3149" s="21"/>
    </row>
    <row r="3150" spans="2:2">
      <c r="B3150" s="21"/>
    </row>
    <row r="3151" spans="2:2">
      <c r="B3151" s="21"/>
    </row>
    <row r="3152" spans="2:2">
      <c r="B3152" s="21"/>
    </row>
    <row r="3153" spans="2:2">
      <c r="B3153" s="21"/>
    </row>
    <row r="3154" spans="2:2">
      <c r="B3154" s="21"/>
    </row>
    <row r="3155" spans="2:2">
      <c r="B3155" s="21"/>
    </row>
    <row r="3156" spans="2:2">
      <c r="B3156" s="21"/>
    </row>
    <row r="3157" spans="2:2">
      <c r="B3157" s="21"/>
    </row>
    <row r="3158" spans="2:2">
      <c r="B3158" s="21"/>
    </row>
    <row r="3159" spans="2:2">
      <c r="B3159" s="21"/>
    </row>
    <row r="3160" spans="2:2">
      <c r="B3160" s="21"/>
    </row>
    <row r="3161" spans="2:2">
      <c r="B3161" s="21"/>
    </row>
    <row r="3162" spans="2:2">
      <c r="B3162" s="21"/>
    </row>
    <row r="3163" spans="2:2">
      <c r="B3163" s="21"/>
    </row>
    <row r="3164" spans="2:2">
      <c r="B3164" s="21"/>
    </row>
    <row r="3165" spans="2:2">
      <c r="B3165" s="21"/>
    </row>
    <row r="3166" spans="2:2">
      <c r="B3166" s="21"/>
    </row>
    <row r="3167" spans="2:2">
      <c r="B3167" s="21"/>
    </row>
    <row r="3168" spans="2:2">
      <c r="B3168" s="21"/>
    </row>
    <row r="3169" spans="2:2">
      <c r="B3169" s="21"/>
    </row>
    <row r="3170" spans="2:2">
      <c r="B3170" s="21"/>
    </row>
    <row r="3171" spans="2:2">
      <c r="B3171" s="21"/>
    </row>
    <row r="3172" spans="2:2">
      <c r="B3172" s="21"/>
    </row>
    <row r="3173" spans="2:2">
      <c r="B3173" s="21"/>
    </row>
    <row r="3174" spans="2:2">
      <c r="B3174" s="21"/>
    </row>
    <row r="3175" spans="2:2">
      <c r="B3175" s="21"/>
    </row>
    <row r="3176" spans="2:2">
      <c r="B3176" s="21"/>
    </row>
    <row r="3177" spans="2:2">
      <c r="B3177" s="21"/>
    </row>
    <row r="3178" spans="2:2">
      <c r="B3178" s="21"/>
    </row>
    <row r="3179" spans="2:2">
      <c r="B3179" s="21"/>
    </row>
    <row r="3180" spans="2:2">
      <c r="B3180" s="21"/>
    </row>
    <row r="3181" spans="2:2">
      <c r="B3181" s="21"/>
    </row>
    <row r="3182" spans="2:2">
      <c r="B3182" s="21"/>
    </row>
    <row r="3183" spans="2:2">
      <c r="B3183" s="21"/>
    </row>
    <row r="3184" spans="2:2">
      <c r="B3184" s="21"/>
    </row>
    <row r="3185" spans="2:2">
      <c r="B3185" s="21"/>
    </row>
    <row r="3186" spans="2:2">
      <c r="B3186" s="21"/>
    </row>
    <row r="3187" spans="2:2">
      <c r="B3187" s="21"/>
    </row>
    <row r="3188" spans="2:2">
      <c r="B3188" s="21"/>
    </row>
    <row r="3189" spans="2:2">
      <c r="B3189" s="21"/>
    </row>
    <row r="3190" spans="2:2">
      <c r="B3190" s="21"/>
    </row>
    <row r="3191" spans="2:2">
      <c r="B3191" s="21"/>
    </row>
    <row r="3192" spans="2:2">
      <c r="B3192" s="21"/>
    </row>
    <row r="3193" spans="2:2">
      <c r="B3193" s="21"/>
    </row>
    <row r="3194" spans="2:2">
      <c r="B3194" s="21"/>
    </row>
    <row r="3195" spans="2:2">
      <c r="B3195" s="21"/>
    </row>
    <row r="3196" spans="2:2">
      <c r="B3196" s="21"/>
    </row>
    <row r="3197" spans="2:2">
      <c r="B3197" s="21"/>
    </row>
    <row r="3198" spans="2:2">
      <c r="B3198" s="21"/>
    </row>
    <row r="3199" spans="2:2">
      <c r="B3199" s="21"/>
    </row>
    <row r="3200" spans="2:2">
      <c r="B3200" s="21"/>
    </row>
    <row r="3201" spans="2:2">
      <c r="B3201" s="21"/>
    </row>
    <row r="3202" spans="2:2">
      <c r="B3202" s="21"/>
    </row>
    <row r="3203" spans="2:2">
      <c r="B3203" s="21"/>
    </row>
    <row r="3204" spans="2:2">
      <c r="B3204" s="21"/>
    </row>
    <row r="3205" spans="2:2">
      <c r="B3205" s="21"/>
    </row>
    <row r="3206" spans="2:2">
      <c r="B3206" s="21"/>
    </row>
    <row r="3207" spans="2:2">
      <c r="B3207" s="21"/>
    </row>
    <row r="3208" spans="2:2">
      <c r="B3208" s="21"/>
    </row>
    <row r="3209" spans="2:2">
      <c r="B3209" s="21"/>
    </row>
    <row r="3210" spans="2:2">
      <c r="B3210" s="21"/>
    </row>
    <row r="3211" spans="2:2">
      <c r="B3211" s="21"/>
    </row>
    <row r="3212" spans="2:2">
      <c r="B3212" s="21"/>
    </row>
    <row r="3213" spans="2:2">
      <c r="B3213" s="21"/>
    </row>
    <row r="3214" spans="2:2">
      <c r="B3214" s="21"/>
    </row>
    <row r="3215" spans="2:2">
      <c r="B3215" s="21"/>
    </row>
    <row r="3216" spans="2:2">
      <c r="B3216" s="21"/>
    </row>
    <row r="3217" spans="2:2">
      <c r="B3217" s="21"/>
    </row>
    <row r="3218" spans="2:2">
      <c r="B3218" s="21"/>
    </row>
    <row r="3219" spans="2:2">
      <c r="B3219" s="21"/>
    </row>
    <row r="3220" spans="2:2">
      <c r="B3220" s="21"/>
    </row>
    <row r="3221" spans="2:2">
      <c r="B3221" s="21"/>
    </row>
    <row r="3222" spans="2:2">
      <c r="B3222" s="21"/>
    </row>
    <row r="3223" spans="2:2">
      <c r="B3223" s="21"/>
    </row>
    <row r="3224" spans="2:2">
      <c r="B3224" s="21"/>
    </row>
    <row r="3225" spans="2:2">
      <c r="B3225" s="21"/>
    </row>
    <row r="3226" spans="2:2">
      <c r="B3226" s="21"/>
    </row>
    <row r="3227" spans="2:2">
      <c r="B3227" s="21"/>
    </row>
    <row r="3228" spans="2:2">
      <c r="B3228" s="21"/>
    </row>
    <row r="3229" spans="2:2">
      <c r="B3229" s="21"/>
    </row>
    <row r="3230" spans="2:2">
      <c r="B3230" s="21"/>
    </row>
    <row r="3231" spans="2:2">
      <c r="B3231" s="21"/>
    </row>
    <row r="3232" spans="2:2">
      <c r="B3232" s="21"/>
    </row>
    <row r="3233" spans="2:2">
      <c r="B3233" s="21"/>
    </row>
    <row r="3234" spans="2:2">
      <c r="B3234" s="21"/>
    </row>
    <row r="3235" spans="2:2">
      <c r="B3235" s="21"/>
    </row>
    <row r="3236" spans="2:2">
      <c r="B3236" s="21"/>
    </row>
    <row r="3237" spans="2:2">
      <c r="B3237" s="21"/>
    </row>
    <row r="3238" spans="2:2">
      <c r="B3238" s="21"/>
    </row>
    <row r="3239" spans="2:2">
      <c r="B3239" s="21"/>
    </row>
    <row r="3240" spans="2:2">
      <c r="B3240" s="21"/>
    </row>
    <row r="3241" spans="2:2">
      <c r="B3241" s="21"/>
    </row>
    <row r="3242" spans="2:2">
      <c r="B3242" s="21"/>
    </row>
    <row r="3243" spans="2:2">
      <c r="B3243" s="21"/>
    </row>
    <row r="3244" spans="2:2">
      <c r="B3244" s="21"/>
    </row>
    <row r="3245" spans="2:2">
      <c r="B3245" s="21"/>
    </row>
    <row r="3246" spans="2:2">
      <c r="B3246" s="21"/>
    </row>
    <row r="3247" spans="2:2">
      <c r="B3247" s="21"/>
    </row>
    <row r="3248" spans="2:2">
      <c r="B3248" s="21"/>
    </row>
    <row r="3249" spans="2:2">
      <c r="B3249" s="21"/>
    </row>
    <row r="3250" spans="2:2">
      <c r="B3250" s="21"/>
    </row>
    <row r="3251" spans="2:2">
      <c r="B3251" s="21"/>
    </row>
    <row r="3252" spans="2:2">
      <c r="B3252" s="21"/>
    </row>
    <row r="3253" spans="2:2">
      <c r="B3253" s="21"/>
    </row>
    <row r="3254" spans="2:2">
      <c r="B3254" s="21"/>
    </row>
    <row r="3255" spans="2:2">
      <c r="B3255" s="21"/>
    </row>
    <row r="3256" spans="2:2">
      <c r="B3256" s="21"/>
    </row>
    <row r="3257" spans="2:2">
      <c r="B3257" s="21"/>
    </row>
    <row r="3258" spans="2:2">
      <c r="B3258" s="21"/>
    </row>
    <row r="3259" spans="2:2">
      <c r="B3259" s="21"/>
    </row>
    <row r="3260" spans="2:2">
      <c r="B3260" s="21"/>
    </row>
    <row r="3261" spans="2:2">
      <c r="B3261" s="21"/>
    </row>
    <row r="3262" spans="2:2">
      <c r="B3262" s="21"/>
    </row>
    <row r="3263" spans="2:2">
      <c r="B3263" s="21"/>
    </row>
    <row r="3264" spans="2:2">
      <c r="B3264" s="21"/>
    </row>
    <row r="3265" spans="2:2">
      <c r="B3265" s="21"/>
    </row>
    <row r="3266" spans="2:2">
      <c r="B3266" s="21"/>
    </row>
    <row r="3267" spans="2:2">
      <c r="B3267" s="21"/>
    </row>
    <row r="3268" spans="2:2">
      <c r="B3268" s="21"/>
    </row>
    <row r="3269" spans="2:2">
      <c r="B3269" s="21"/>
    </row>
    <row r="3270" spans="2:2">
      <c r="B3270" s="21"/>
    </row>
    <row r="3271" spans="2:2">
      <c r="B3271" s="21"/>
    </row>
    <row r="3272" spans="2:2">
      <c r="B3272" s="21"/>
    </row>
    <row r="3273" spans="2:2">
      <c r="B3273" s="21"/>
    </row>
    <row r="3274" spans="2:2">
      <c r="B3274" s="21"/>
    </row>
    <row r="3275" spans="2:2">
      <c r="B3275" s="21"/>
    </row>
    <row r="3276" spans="2:2">
      <c r="B3276" s="21"/>
    </row>
    <row r="3277" spans="2:2">
      <c r="B3277" s="21"/>
    </row>
    <row r="3278" spans="2:2">
      <c r="B3278" s="21"/>
    </row>
    <row r="3279" spans="2:2">
      <c r="B3279" s="21"/>
    </row>
    <row r="3280" spans="2:2">
      <c r="B3280" s="21"/>
    </row>
    <row r="3281" spans="2:2">
      <c r="B3281" s="21"/>
    </row>
    <row r="3282" spans="2:2">
      <c r="B3282" s="21"/>
    </row>
    <row r="3283" spans="2:2">
      <c r="B3283" s="21"/>
    </row>
    <row r="3284" spans="2:2">
      <c r="B3284" s="21"/>
    </row>
    <row r="3285" spans="2:2">
      <c r="B3285" s="21"/>
    </row>
    <row r="3286" spans="2:2">
      <c r="B3286" s="21"/>
    </row>
    <row r="3287" spans="2:2">
      <c r="B3287" s="21"/>
    </row>
    <row r="3288" spans="2:2">
      <c r="B3288" s="21"/>
    </row>
    <row r="3289" spans="2:2">
      <c r="B3289" s="21"/>
    </row>
    <row r="3290" spans="2:2">
      <c r="B3290" s="21"/>
    </row>
    <row r="3291" spans="2:2">
      <c r="B3291" s="21"/>
    </row>
    <row r="3292" spans="2:2">
      <c r="B3292" s="21"/>
    </row>
    <row r="3293" spans="2:2">
      <c r="B3293" s="21"/>
    </row>
    <row r="3294" spans="2:2">
      <c r="B3294" s="21"/>
    </row>
    <row r="3295" spans="2:2">
      <c r="B3295" s="21"/>
    </row>
    <row r="3296" spans="2:2">
      <c r="B3296" s="21"/>
    </row>
    <row r="3297" spans="2:2">
      <c r="B3297" s="21"/>
    </row>
    <row r="3298" spans="2:2">
      <c r="B3298" s="21"/>
    </row>
    <row r="3299" spans="2:2">
      <c r="B3299" s="21"/>
    </row>
    <row r="3300" spans="2:2">
      <c r="B3300" s="21"/>
    </row>
    <row r="3301" spans="2:2">
      <c r="B3301" s="21"/>
    </row>
    <row r="3302" spans="2:2">
      <c r="B3302" s="21"/>
    </row>
    <row r="3303" spans="2:2">
      <c r="B3303" s="21"/>
    </row>
    <row r="3304" spans="2:2">
      <c r="B3304" s="21"/>
    </row>
    <row r="3305" spans="2:2">
      <c r="B3305" s="21"/>
    </row>
    <row r="3306" spans="2:2">
      <c r="B3306" s="21"/>
    </row>
    <row r="3307" spans="2:2">
      <c r="B3307" s="21"/>
    </row>
    <row r="3308" spans="2:2">
      <c r="B3308" s="21"/>
    </row>
    <row r="3309" spans="2:2">
      <c r="B3309" s="21"/>
    </row>
    <row r="3310" spans="2:2">
      <c r="B3310" s="21"/>
    </row>
    <row r="3311" spans="2:2">
      <c r="B3311" s="21"/>
    </row>
    <row r="3312" spans="2:2">
      <c r="B3312" s="21"/>
    </row>
    <row r="3313" spans="2:2">
      <c r="B3313" s="21"/>
    </row>
    <row r="3314" spans="2:2">
      <c r="B3314" s="21"/>
    </row>
    <row r="3315" spans="2:2">
      <c r="B3315" s="21"/>
    </row>
    <row r="3316" spans="2:2">
      <c r="B3316" s="21"/>
    </row>
    <row r="3317" spans="2:2">
      <c r="B3317" s="21"/>
    </row>
    <row r="3318" spans="2:2">
      <c r="B3318" s="21"/>
    </row>
    <row r="3319" spans="2:2">
      <c r="B3319" s="21"/>
    </row>
    <row r="3320" spans="2:2">
      <c r="B3320" s="21"/>
    </row>
    <row r="3321" spans="2:2">
      <c r="B3321" s="21"/>
    </row>
    <row r="3322" spans="2:2">
      <c r="B3322" s="21"/>
    </row>
    <row r="3323" spans="2:2">
      <c r="B3323" s="21"/>
    </row>
    <row r="3324" spans="2:2">
      <c r="B3324" s="21"/>
    </row>
    <row r="3325" spans="2:2">
      <c r="B3325" s="21"/>
    </row>
    <row r="3326" spans="2:2">
      <c r="B3326" s="21"/>
    </row>
    <row r="3327" spans="2:2">
      <c r="B3327" s="21"/>
    </row>
    <row r="3328" spans="2:2">
      <c r="B3328" s="21"/>
    </row>
    <row r="3329" spans="2:2">
      <c r="B3329" s="21"/>
    </row>
    <row r="3330" spans="2:2">
      <c r="B3330" s="21"/>
    </row>
    <row r="3331" spans="2:2">
      <c r="B3331" s="21"/>
    </row>
    <row r="3332" spans="2:2">
      <c r="B3332" s="21"/>
    </row>
    <row r="3333" spans="2:2">
      <c r="B3333" s="21"/>
    </row>
    <row r="3334" spans="2:2">
      <c r="B3334" s="21"/>
    </row>
    <row r="3335" spans="2:2">
      <c r="B3335" s="21"/>
    </row>
    <row r="3336" spans="2:2">
      <c r="B3336" s="21"/>
    </row>
    <row r="3337" spans="2:2">
      <c r="B3337" s="21"/>
    </row>
    <row r="3338" spans="2:2">
      <c r="B3338" s="21"/>
    </row>
    <row r="3339" spans="2:2">
      <c r="B3339" s="21"/>
    </row>
    <row r="3340" spans="2:2">
      <c r="B3340" s="21"/>
    </row>
    <row r="3341" spans="2:2">
      <c r="B3341" s="21"/>
    </row>
    <row r="3342" spans="2:2">
      <c r="B3342" s="21"/>
    </row>
    <row r="3343" spans="2:2">
      <c r="B3343" s="21"/>
    </row>
    <row r="3344" spans="2:2">
      <c r="B3344" s="21"/>
    </row>
    <row r="3345" spans="2:2">
      <c r="B3345" s="21"/>
    </row>
    <row r="3346" spans="2:2">
      <c r="B3346" s="21"/>
    </row>
    <row r="3347" spans="2:2">
      <c r="B3347" s="21"/>
    </row>
    <row r="3348" spans="2:2">
      <c r="B3348" s="21"/>
    </row>
    <row r="3349" spans="2:2">
      <c r="B3349" s="21"/>
    </row>
    <row r="3350" spans="2:2">
      <c r="B3350" s="21"/>
    </row>
    <row r="3351" spans="2:2">
      <c r="B3351" s="21"/>
    </row>
    <row r="3352" spans="2:2">
      <c r="B3352" s="21"/>
    </row>
    <row r="3353" spans="2:2">
      <c r="B3353" s="21"/>
    </row>
    <row r="3354" spans="2:2">
      <c r="B3354" s="21"/>
    </row>
    <row r="3355" spans="2:2">
      <c r="B3355" s="21"/>
    </row>
    <row r="3356" spans="2:2">
      <c r="B3356" s="21"/>
    </row>
    <row r="3357" spans="2:2">
      <c r="B3357" s="21"/>
    </row>
    <row r="3358" spans="2:2">
      <c r="B3358" s="21"/>
    </row>
    <row r="3359" spans="2:2">
      <c r="B3359" s="21"/>
    </row>
    <row r="3360" spans="2:2">
      <c r="B3360" s="21"/>
    </row>
    <row r="3361" spans="2:2">
      <c r="B3361" s="21"/>
    </row>
    <row r="3362" spans="2:2">
      <c r="B3362" s="21"/>
    </row>
    <row r="3363" spans="2:2">
      <c r="B3363" s="21"/>
    </row>
    <row r="3364" spans="2:2">
      <c r="B3364" s="21"/>
    </row>
    <row r="3365" spans="2:2">
      <c r="B3365" s="21"/>
    </row>
    <row r="3366" spans="2:2">
      <c r="B3366" s="21"/>
    </row>
    <row r="3367" spans="2:2">
      <c r="B3367" s="21"/>
    </row>
    <row r="3368" spans="2:2">
      <c r="B3368" s="21"/>
    </row>
    <row r="3369" spans="2:2">
      <c r="B3369" s="21"/>
    </row>
    <row r="3370" spans="2:2">
      <c r="B3370" s="21"/>
    </row>
    <row r="3371" spans="2:2">
      <c r="B3371" s="21"/>
    </row>
    <row r="3372" spans="2:2">
      <c r="B3372" s="21"/>
    </row>
    <row r="3373" spans="2:2">
      <c r="B3373" s="21"/>
    </row>
    <row r="3374" spans="2:2">
      <c r="B3374" s="21"/>
    </row>
    <row r="3375" spans="2:2">
      <c r="B3375" s="21"/>
    </row>
    <row r="3376" spans="2:2">
      <c r="B3376" s="21"/>
    </row>
    <row r="3377" spans="2:2">
      <c r="B3377" s="21"/>
    </row>
    <row r="3378" spans="2:2">
      <c r="B3378" s="21"/>
    </row>
    <row r="3379" spans="2:2">
      <c r="B3379" s="21"/>
    </row>
    <row r="3380" spans="2:2">
      <c r="B3380" s="21"/>
    </row>
    <row r="3381" spans="2:2">
      <c r="B3381" s="21"/>
    </row>
    <row r="3382" spans="2:2">
      <c r="B3382" s="21"/>
    </row>
    <row r="3383" spans="2:2">
      <c r="B3383" s="21"/>
    </row>
    <row r="3384" spans="2:2">
      <c r="B3384" s="21"/>
    </row>
    <row r="3385" spans="2:2">
      <c r="B3385" s="21"/>
    </row>
    <row r="3386" spans="2:2">
      <c r="B3386" s="21"/>
    </row>
    <row r="3387" spans="2:2">
      <c r="B3387" s="21"/>
    </row>
    <row r="3388" spans="2:2">
      <c r="B3388" s="21"/>
    </row>
    <row r="3389" spans="2:2">
      <c r="B3389" s="21"/>
    </row>
    <row r="3390" spans="2:2">
      <c r="B3390" s="21"/>
    </row>
    <row r="3391" spans="2:2">
      <c r="B3391" s="21"/>
    </row>
    <row r="3392" spans="2:2">
      <c r="B3392" s="21"/>
    </row>
    <row r="3393" spans="2:2">
      <c r="B3393" s="21"/>
    </row>
    <row r="3394" spans="2:2">
      <c r="B3394" s="21"/>
    </row>
    <row r="3395" spans="2:2">
      <c r="B3395" s="21"/>
    </row>
    <row r="3396" spans="2:2">
      <c r="B3396" s="21"/>
    </row>
    <row r="3397" spans="2:2">
      <c r="B3397" s="21"/>
    </row>
    <row r="3398" spans="2:2">
      <c r="B3398" s="21"/>
    </row>
    <row r="3399" spans="2:2">
      <c r="B3399" s="21"/>
    </row>
    <row r="3400" spans="2:2">
      <c r="B3400" s="21"/>
    </row>
    <row r="3401" spans="2:2">
      <c r="B3401" s="21"/>
    </row>
    <row r="3402" spans="2:2">
      <c r="B3402" s="21"/>
    </row>
    <row r="3403" spans="2:2">
      <c r="B3403" s="21"/>
    </row>
    <row r="3404" spans="2:2">
      <c r="B3404" s="21"/>
    </row>
    <row r="3405" spans="2:2">
      <c r="B3405" s="21"/>
    </row>
    <row r="3406" spans="2:2">
      <c r="B3406" s="21"/>
    </row>
    <row r="3407" spans="2:2">
      <c r="B3407" s="21"/>
    </row>
    <row r="3408" spans="2:2">
      <c r="B3408" s="21"/>
    </row>
    <row r="3409" spans="2:2">
      <c r="B3409" s="21"/>
    </row>
    <row r="3410" spans="2:2">
      <c r="B3410" s="21"/>
    </row>
    <row r="3411" spans="2:2">
      <c r="B3411" s="21"/>
    </row>
    <row r="3412" spans="2:2">
      <c r="B3412" s="21"/>
    </row>
    <row r="3413" spans="2:2">
      <c r="B3413" s="21"/>
    </row>
    <row r="3414" spans="2:2">
      <c r="B3414" s="21"/>
    </row>
    <row r="3415" spans="2:2">
      <c r="B3415" s="21"/>
    </row>
    <row r="3416" spans="2:2">
      <c r="B3416" s="21"/>
    </row>
    <row r="3417" spans="2:2">
      <c r="B3417" s="21"/>
    </row>
    <row r="3418" spans="2:2">
      <c r="B3418" s="21"/>
    </row>
    <row r="3419" spans="2:2">
      <c r="B3419" s="21"/>
    </row>
    <row r="3420" spans="2:2">
      <c r="B3420" s="21"/>
    </row>
    <row r="3421" spans="2:2">
      <c r="B3421" s="21"/>
    </row>
    <row r="3422" spans="2:2">
      <c r="B3422" s="21"/>
    </row>
    <row r="3423" spans="2:2">
      <c r="B3423" s="21"/>
    </row>
    <row r="3424" spans="2:2">
      <c r="B3424" s="21"/>
    </row>
    <row r="3425" spans="2:2">
      <c r="B3425" s="21"/>
    </row>
    <row r="3426" spans="2:2">
      <c r="B3426" s="21"/>
    </row>
    <row r="3427" spans="2:2">
      <c r="B3427" s="21"/>
    </row>
    <row r="3428" spans="2:2">
      <c r="B3428" s="21"/>
    </row>
    <row r="3429" spans="2:2">
      <c r="B3429" s="21"/>
    </row>
    <row r="3430" spans="2:2">
      <c r="B3430" s="21"/>
    </row>
    <row r="3431" spans="2:2">
      <c r="B3431" s="21"/>
    </row>
    <row r="3432" spans="2:2">
      <c r="B3432" s="21"/>
    </row>
    <row r="3433" spans="2:2">
      <c r="B3433" s="21"/>
    </row>
    <row r="3434" spans="2:2">
      <c r="B3434" s="21"/>
    </row>
    <row r="3435" spans="2:2">
      <c r="B3435" s="21"/>
    </row>
    <row r="3436" spans="2:2">
      <c r="B3436" s="21"/>
    </row>
    <row r="3437" spans="2:2">
      <c r="B3437" s="21"/>
    </row>
    <row r="3438" spans="2:2">
      <c r="B3438" s="21"/>
    </row>
    <row r="3439" spans="2:2">
      <c r="B3439" s="21"/>
    </row>
    <row r="3440" spans="2:2">
      <c r="B3440" s="21"/>
    </row>
    <row r="3441" spans="2:2">
      <c r="B3441" s="21"/>
    </row>
    <row r="3442" spans="2:2">
      <c r="B3442" s="21"/>
    </row>
    <row r="3443" spans="2:2">
      <c r="B3443" s="21"/>
    </row>
    <row r="3444" spans="2:2">
      <c r="B3444" s="21"/>
    </row>
    <row r="3445" spans="2:2">
      <c r="B3445" s="21"/>
    </row>
    <row r="3446" spans="2:2">
      <c r="B3446" s="21"/>
    </row>
    <row r="3447" spans="2:2">
      <c r="B3447" s="21"/>
    </row>
    <row r="3448" spans="2:2">
      <c r="B3448" s="21"/>
    </row>
    <row r="3449" spans="2:2">
      <c r="B3449" s="21"/>
    </row>
    <row r="3450" spans="2:2">
      <c r="B3450" s="21"/>
    </row>
    <row r="3451" spans="2:2">
      <c r="B3451" s="21"/>
    </row>
    <row r="3452" spans="2:2">
      <c r="B3452" s="21"/>
    </row>
    <row r="3453" spans="2:2">
      <c r="B3453" s="21"/>
    </row>
    <row r="3454" spans="2:2">
      <c r="B3454" s="21"/>
    </row>
    <row r="3455" spans="2:2">
      <c r="B3455" s="21"/>
    </row>
    <row r="3456" spans="2:2">
      <c r="B3456" s="21"/>
    </row>
    <row r="3457" spans="2:2">
      <c r="B3457" s="21"/>
    </row>
    <row r="3458" spans="2:2">
      <c r="B3458" s="21"/>
    </row>
    <row r="3459" spans="2:2">
      <c r="B3459" s="21"/>
    </row>
    <row r="3460" spans="2:2">
      <c r="B3460" s="21"/>
    </row>
    <row r="3461" spans="2:2">
      <c r="B3461" s="21"/>
    </row>
    <row r="3462" spans="2:2">
      <c r="B3462" s="21"/>
    </row>
    <row r="3463" spans="2:2">
      <c r="B3463" s="21"/>
    </row>
    <row r="3464" spans="2:2">
      <c r="B3464" s="21"/>
    </row>
    <row r="3465" spans="2:2">
      <c r="B3465" s="21"/>
    </row>
    <row r="3466" spans="2:2">
      <c r="B3466" s="21"/>
    </row>
    <row r="3467" spans="2:2">
      <c r="B3467" s="21"/>
    </row>
    <row r="3468" spans="2:2">
      <c r="B3468" s="21"/>
    </row>
    <row r="3469" spans="2:2">
      <c r="B3469" s="21"/>
    </row>
    <row r="3470" spans="2:2">
      <c r="B3470" s="21"/>
    </row>
    <row r="3471" spans="2:2">
      <c r="B3471" s="21"/>
    </row>
    <row r="3472" spans="2:2">
      <c r="B3472" s="21"/>
    </row>
    <row r="3473" spans="2:2">
      <c r="B3473" s="21"/>
    </row>
    <row r="3474" spans="2:2">
      <c r="B3474" s="21"/>
    </row>
    <row r="3475" spans="2:2">
      <c r="B3475" s="21"/>
    </row>
    <row r="3476" spans="2:2">
      <c r="B3476" s="21"/>
    </row>
    <row r="3477" spans="2:2">
      <c r="B3477" s="21"/>
    </row>
    <row r="3478" spans="2:2">
      <c r="B3478" s="21"/>
    </row>
    <row r="3479" spans="2:2">
      <c r="B3479" s="21"/>
    </row>
    <row r="3480" spans="2:2">
      <c r="B3480" s="21"/>
    </row>
    <row r="3481" spans="2:2">
      <c r="B3481" s="21"/>
    </row>
    <row r="3482" spans="2:2">
      <c r="B3482" s="21"/>
    </row>
    <row r="3483" spans="2:2">
      <c r="B3483" s="21"/>
    </row>
    <row r="3484" spans="2:2">
      <c r="B3484" s="21"/>
    </row>
    <row r="3485" spans="2:2">
      <c r="B3485" s="21"/>
    </row>
    <row r="3486" spans="2:2">
      <c r="B3486" s="21"/>
    </row>
    <row r="3487" spans="2:2">
      <c r="B3487" s="21"/>
    </row>
    <row r="3488" spans="2:2">
      <c r="B3488" s="21"/>
    </row>
    <row r="3489" spans="2:2">
      <c r="B3489" s="21"/>
    </row>
    <row r="3490" spans="2:2">
      <c r="B3490" s="21"/>
    </row>
    <row r="3491" spans="2:2">
      <c r="B3491" s="21"/>
    </row>
    <row r="3492" spans="2:2">
      <c r="B3492" s="21"/>
    </row>
    <row r="3493" spans="2:2">
      <c r="B3493" s="21"/>
    </row>
    <row r="3494" spans="2:2">
      <c r="B3494" s="21"/>
    </row>
    <row r="3495" spans="2:2">
      <c r="B3495" s="21"/>
    </row>
    <row r="3496" spans="2:2">
      <c r="B3496" s="21"/>
    </row>
    <row r="3497" spans="2:2">
      <c r="B3497" s="21"/>
    </row>
    <row r="3498" spans="2:2">
      <c r="B3498" s="21"/>
    </row>
    <row r="3499" spans="2:2">
      <c r="B3499" s="21"/>
    </row>
    <row r="3500" spans="2:2">
      <c r="B3500" s="21"/>
    </row>
    <row r="3501" spans="2:2">
      <c r="B3501" s="21"/>
    </row>
    <row r="3502" spans="2:2">
      <c r="B3502" s="21"/>
    </row>
    <row r="3503" spans="2:2">
      <c r="B3503" s="21"/>
    </row>
    <row r="3504" spans="2:2">
      <c r="B3504" s="21"/>
    </row>
    <row r="3505" spans="2:2">
      <c r="B3505" s="21"/>
    </row>
    <row r="3506" spans="2:2">
      <c r="B3506" s="21"/>
    </row>
    <row r="3507" spans="2:2">
      <c r="B3507" s="21"/>
    </row>
    <row r="3508" spans="2:2">
      <c r="B3508" s="21"/>
    </row>
    <row r="3509" spans="2:2">
      <c r="B3509" s="21"/>
    </row>
    <row r="3510" spans="2:2">
      <c r="B3510" s="21"/>
    </row>
    <row r="3511" spans="2:2">
      <c r="B3511" s="21"/>
    </row>
    <row r="3512" spans="2:2">
      <c r="B3512" s="21"/>
    </row>
    <row r="3513" spans="2:2">
      <c r="B3513" s="21"/>
    </row>
    <row r="3514" spans="2:2">
      <c r="B3514" s="21"/>
    </row>
    <row r="3515" spans="2:2">
      <c r="B3515" s="21"/>
    </row>
    <row r="3516" spans="2:2">
      <c r="B3516" s="21"/>
    </row>
    <row r="3517" spans="2:2">
      <c r="B3517" s="21"/>
    </row>
    <row r="3518" spans="2:2">
      <c r="B3518" s="21"/>
    </row>
    <row r="3519" spans="2:2">
      <c r="B3519" s="21"/>
    </row>
    <row r="3520" spans="2:2">
      <c r="B3520" s="21"/>
    </row>
    <row r="3521" spans="2:2">
      <c r="B3521" s="21"/>
    </row>
    <row r="3522" spans="2:2">
      <c r="B3522" s="21"/>
    </row>
    <row r="3523" spans="2:2">
      <c r="B3523" s="21"/>
    </row>
    <row r="3524" spans="2:2">
      <c r="B3524" s="21"/>
    </row>
    <row r="3525" spans="2:2">
      <c r="B3525" s="21"/>
    </row>
    <row r="3526" spans="2:2">
      <c r="B3526" s="21"/>
    </row>
    <row r="3527" spans="2:2">
      <c r="B3527" s="21"/>
    </row>
    <row r="3528" spans="2:2">
      <c r="B3528" s="21"/>
    </row>
    <row r="3529" spans="2:2">
      <c r="B3529" s="21"/>
    </row>
    <row r="3530" spans="2:2">
      <c r="B3530" s="21"/>
    </row>
    <row r="3531" spans="2:2">
      <c r="B3531" s="21"/>
    </row>
    <row r="3532" spans="2:2">
      <c r="B3532" s="21"/>
    </row>
    <row r="3533" spans="2:2">
      <c r="B3533" s="21"/>
    </row>
    <row r="3534" spans="2:2">
      <c r="B3534" s="21"/>
    </row>
    <row r="3535" spans="2:2">
      <c r="B3535" s="21"/>
    </row>
    <row r="3536" spans="2:2">
      <c r="B3536" s="21"/>
    </row>
    <row r="3537" spans="2:2">
      <c r="B3537" s="21"/>
    </row>
    <row r="3538" spans="2:2">
      <c r="B3538" s="21"/>
    </row>
    <row r="3539" spans="2:2">
      <c r="B3539" s="21"/>
    </row>
    <row r="3540" spans="2:2">
      <c r="B3540" s="21"/>
    </row>
    <row r="3541" spans="2:2">
      <c r="B3541" s="21"/>
    </row>
    <row r="3542" spans="2:2">
      <c r="B3542" s="21"/>
    </row>
    <row r="3543" spans="2:2">
      <c r="B3543" s="21"/>
    </row>
    <row r="3544" spans="2:2">
      <c r="B3544" s="21"/>
    </row>
    <row r="3545" spans="2:2">
      <c r="B3545" s="21"/>
    </row>
    <row r="3546" spans="2:2">
      <c r="B3546" s="21"/>
    </row>
    <row r="3547" spans="2:2">
      <c r="B3547" s="21"/>
    </row>
    <row r="3548" spans="2:2">
      <c r="B3548" s="21"/>
    </row>
    <row r="3549" spans="2:2">
      <c r="B3549" s="21"/>
    </row>
    <row r="3550" spans="2:2">
      <c r="B3550" s="21"/>
    </row>
    <row r="3551" spans="2:2">
      <c r="B3551" s="21"/>
    </row>
    <row r="3552" spans="2:2">
      <c r="B3552" s="21"/>
    </row>
    <row r="3553" spans="2:2">
      <c r="B3553" s="21"/>
    </row>
    <row r="3554" spans="2:2">
      <c r="B3554" s="21"/>
    </row>
    <row r="3555" spans="2:2">
      <c r="B3555" s="21"/>
    </row>
    <row r="3556" spans="2:2">
      <c r="B3556" s="21"/>
    </row>
    <row r="3557" spans="2:2">
      <c r="B3557" s="21"/>
    </row>
    <row r="3558" spans="2:2">
      <c r="B3558" s="21"/>
    </row>
    <row r="3559" spans="2:2">
      <c r="B3559" s="21"/>
    </row>
    <row r="3560" spans="2:2">
      <c r="B3560" s="21"/>
    </row>
    <row r="3561" spans="2:2">
      <c r="B3561" s="21"/>
    </row>
    <row r="3562" spans="2:2">
      <c r="B3562" s="21"/>
    </row>
    <row r="3563" spans="2:2">
      <c r="B3563" s="21"/>
    </row>
    <row r="3564" spans="2:2">
      <c r="B3564" s="21"/>
    </row>
    <row r="3565" spans="2:2">
      <c r="B3565" s="21"/>
    </row>
    <row r="3566" spans="2:2">
      <c r="B3566" s="21"/>
    </row>
    <row r="3567" spans="2:2">
      <c r="B3567" s="21"/>
    </row>
    <row r="3568" spans="2:2">
      <c r="B3568" s="21"/>
    </row>
    <row r="3569" spans="2:2">
      <c r="B3569" s="21"/>
    </row>
    <row r="3570" spans="2:2">
      <c r="B3570" s="21"/>
    </row>
    <row r="3571" spans="2:2">
      <c r="B3571" s="21"/>
    </row>
    <row r="3572" spans="2:2">
      <c r="B3572" s="21"/>
    </row>
    <row r="3573" spans="2:2">
      <c r="B3573" s="21"/>
    </row>
    <row r="3574" spans="2:2">
      <c r="B3574" s="21"/>
    </row>
    <row r="3575" spans="2:2">
      <c r="B3575" s="21"/>
    </row>
    <row r="3576" spans="2:2">
      <c r="B3576" s="21"/>
    </row>
    <row r="3577" spans="2:2">
      <c r="B3577" s="21"/>
    </row>
    <row r="3578" spans="2:2">
      <c r="B3578" s="21"/>
    </row>
    <row r="3579" spans="2:2">
      <c r="B3579" s="21"/>
    </row>
    <row r="3580" spans="2:2">
      <c r="B3580" s="21"/>
    </row>
    <row r="3581" spans="2:2">
      <c r="B3581" s="21"/>
    </row>
    <row r="3582" spans="2:2">
      <c r="B3582" s="21"/>
    </row>
    <row r="3583" spans="2:2">
      <c r="B3583" s="21"/>
    </row>
    <row r="3584" spans="2:2">
      <c r="B3584" s="21"/>
    </row>
    <row r="3585" spans="2:2">
      <c r="B3585" s="21"/>
    </row>
    <row r="3586" spans="2:2">
      <c r="B3586" s="21"/>
    </row>
    <row r="3587" spans="2:2">
      <c r="B3587" s="21"/>
    </row>
    <row r="3588" spans="2:2">
      <c r="B3588" s="21"/>
    </row>
    <row r="3589" spans="2:2">
      <c r="B3589" s="21"/>
    </row>
    <row r="3590" spans="2:2">
      <c r="B3590" s="21"/>
    </row>
    <row r="3591" spans="2:2">
      <c r="B3591" s="21"/>
    </row>
    <row r="3592" spans="2:2">
      <c r="B3592" s="21"/>
    </row>
    <row r="3593" spans="2:2">
      <c r="B3593" s="21"/>
    </row>
    <row r="3594" spans="2:2">
      <c r="B3594" s="21"/>
    </row>
    <row r="3595" spans="2:2">
      <c r="B3595" s="21"/>
    </row>
    <row r="3596" spans="2:2">
      <c r="B3596" s="21"/>
    </row>
    <row r="3597" spans="2:2">
      <c r="B3597" s="21"/>
    </row>
    <row r="3598" spans="2:2">
      <c r="B3598" s="21"/>
    </row>
    <row r="3599" spans="2:2">
      <c r="B3599" s="21"/>
    </row>
    <row r="3600" spans="2:2">
      <c r="B3600" s="21"/>
    </row>
    <row r="3601" spans="2:2">
      <c r="B3601" s="21"/>
    </row>
    <row r="3602" spans="2:2">
      <c r="B3602" s="21"/>
    </row>
    <row r="3603" spans="2:2">
      <c r="B3603" s="21"/>
    </row>
    <row r="3604" spans="2:2">
      <c r="B3604" s="21"/>
    </row>
    <row r="3605" spans="2:2">
      <c r="B3605" s="21"/>
    </row>
    <row r="3606" spans="2:2">
      <c r="B3606" s="21"/>
    </row>
    <row r="3607" spans="2:2">
      <c r="B3607" s="21"/>
    </row>
    <row r="3608" spans="2:2">
      <c r="B3608" s="21"/>
    </row>
    <row r="3609" spans="2:2">
      <c r="B3609" s="21"/>
    </row>
    <row r="3610" spans="2:2">
      <c r="B3610" s="21"/>
    </row>
    <row r="3611" spans="2:2">
      <c r="B3611" s="21"/>
    </row>
    <row r="3612" spans="2:2">
      <c r="B3612" s="21"/>
    </row>
    <row r="3613" spans="2:2">
      <c r="B3613" s="21"/>
    </row>
    <row r="3614" spans="2:2">
      <c r="B3614" s="21"/>
    </row>
    <row r="3615" spans="2:2">
      <c r="B3615" s="21"/>
    </row>
    <row r="3616" spans="2:2">
      <c r="B3616" s="21"/>
    </row>
    <row r="3617" spans="2:2">
      <c r="B3617" s="21"/>
    </row>
    <row r="3618" spans="2:2">
      <c r="B3618" s="21"/>
    </row>
    <row r="3619" spans="2:2">
      <c r="B3619" s="21"/>
    </row>
    <row r="3620" spans="2:2">
      <c r="B3620" s="21"/>
    </row>
    <row r="3621" spans="2:2">
      <c r="B3621" s="21"/>
    </row>
    <row r="3622" spans="2:2">
      <c r="B3622" s="21"/>
    </row>
    <row r="3623" spans="2:2">
      <c r="B3623" s="21"/>
    </row>
    <row r="3624" spans="2:2">
      <c r="B3624" s="21"/>
    </row>
    <row r="3625" spans="2:2">
      <c r="B3625" s="21"/>
    </row>
    <row r="3626" spans="2:2">
      <c r="B3626" s="21"/>
    </row>
    <row r="3627" spans="2:2">
      <c r="B3627" s="21"/>
    </row>
    <row r="3628" spans="2:2">
      <c r="B3628" s="21"/>
    </row>
    <row r="3629" spans="2:2">
      <c r="B3629" s="21"/>
    </row>
    <row r="3630" spans="2:2">
      <c r="B3630" s="21"/>
    </row>
    <row r="3631" spans="2:2">
      <c r="B3631" s="21"/>
    </row>
    <row r="3632" spans="2:2">
      <c r="B3632" s="21"/>
    </row>
    <row r="3633" spans="2:2">
      <c r="B3633" s="21"/>
    </row>
    <row r="3634" spans="2:2">
      <c r="B3634" s="21"/>
    </row>
    <row r="3635" spans="2:2">
      <c r="B3635" s="21"/>
    </row>
    <row r="3636" spans="2:2">
      <c r="B3636" s="21"/>
    </row>
    <row r="3637" spans="2:2">
      <c r="B3637" s="21"/>
    </row>
    <row r="3638" spans="2:2">
      <c r="B3638" s="21"/>
    </row>
    <row r="3639" spans="2:2">
      <c r="B3639" s="21"/>
    </row>
    <row r="3640" spans="2:2">
      <c r="B3640" s="21"/>
    </row>
    <row r="3641" spans="2:2">
      <c r="B3641" s="21"/>
    </row>
    <row r="3642" spans="2:2">
      <c r="B3642" s="21"/>
    </row>
    <row r="3643" spans="2:2">
      <c r="B3643" s="21"/>
    </row>
    <row r="3644" spans="2:2">
      <c r="B3644" s="21"/>
    </row>
    <row r="3645" spans="2:2">
      <c r="B3645" s="21"/>
    </row>
    <row r="3646" spans="2:2">
      <c r="B3646" s="21"/>
    </row>
    <row r="3647" spans="2:2">
      <c r="B3647" s="21"/>
    </row>
    <row r="3648" spans="2:2">
      <c r="B3648" s="21"/>
    </row>
    <row r="3649" spans="2:2">
      <c r="B3649" s="21"/>
    </row>
    <row r="3650" spans="2:2">
      <c r="B3650" s="21"/>
    </row>
    <row r="3651" spans="2:2">
      <c r="B3651" s="21"/>
    </row>
    <row r="3652" spans="2:2">
      <c r="B3652" s="21"/>
    </row>
    <row r="3653" spans="2:2">
      <c r="B3653" s="21"/>
    </row>
    <row r="3654" spans="2:2">
      <c r="B3654" s="21"/>
    </row>
    <row r="3655" spans="2:2">
      <c r="B3655" s="21"/>
    </row>
    <row r="3656" spans="2:2">
      <c r="B3656" s="21"/>
    </row>
    <row r="3657" spans="2:2">
      <c r="B3657" s="21"/>
    </row>
    <row r="3658" spans="2:2">
      <c r="B3658" s="21"/>
    </row>
    <row r="3659" spans="2:2">
      <c r="B3659" s="21"/>
    </row>
    <row r="3660" spans="2:2">
      <c r="B3660" s="21"/>
    </row>
    <row r="3661" spans="2:2">
      <c r="B3661" s="21"/>
    </row>
    <row r="3662" spans="2:2">
      <c r="B3662" s="21"/>
    </row>
    <row r="3663" spans="2:2">
      <c r="B3663" s="21"/>
    </row>
    <row r="3664" spans="2:2">
      <c r="B3664" s="21"/>
    </row>
    <row r="3665" spans="2:2">
      <c r="B3665" s="21"/>
    </row>
    <row r="3666" spans="2:2">
      <c r="B3666" s="21"/>
    </row>
    <row r="3667" spans="2:2">
      <c r="B3667" s="21"/>
    </row>
    <row r="3668" spans="2:2">
      <c r="B3668" s="21"/>
    </row>
    <row r="3669" spans="2:2">
      <c r="B3669" s="21"/>
    </row>
    <row r="3670" spans="2:2">
      <c r="B3670" s="21"/>
    </row>
    <row r="3671" spans="2:2">
      <c r="B3671" s="21"/>
    </row>
    <row r="3672" spans="2:2">
      <c r="B3672" s="21"/>
    </row>
    <row r="3673" spans="2:2">
      <c r="B3673" s="21"/>
    </row>
    <row r="3674" spans="2:2">
      <c r="B3674" s="21"/>
    </row>
    <row r="3675" spans="2:2">
      <c r="B3675" s="21"/>
    </row>
    <row r="3676" spans="2:2">
      <c r="B3676" s="21"/>
    </row>
    <row r="3677" spans="2:2">
      <c r="B3677" s="21"/>
    </row>
    <row r="3678" spans="2:2">
      <c r="B3678" s="21"/>
    </row>
    <row r="3679" spans="2:2">
      <c r="B3679" s="21"/>
    </row>
    <row r="3680" spans="2:2">
      <c r="B3680" s="21"/>
    </row>
    <row r="3681" spans="2:2">
      <c r="B3681" s="21"/>
    </row>
    <row r="3682" spans="2:2">
      <c r="B3682" s="21"/>
    </row>
    <row r="3683" spans="2:2">
      <c r="B3683" s="21"/>
    </row>
    <row r="3684" spans="2:2">
      <c r="B3684" s="21"/>
    </row>
    <row r="3685" spans="2:2">
      <c r="B3685" s="21"/>
    </row>
    <row r="3686" spans="2:2">
      <c r="B3686" s="21"/>
    </row>
    <row r="3687" spans="2:2">
      <c r="B3687" s="21"/>
    </row>
    <row r="3688" spans="2:2">
      <c r="B3688" s="21"/>
    </row>
    <row r="3689" spans="2:2">
      <c r="B3689" s="21"/>
    </row>
    <row r="3690" spans="2:2">
      <c r="B3690" s="21"/>
    </row>
    <row r="3691" spans="2:2">
      <c r="B3691" s="21"/>
    </row>
    <row r="3692" spans="2:2">
      <c r="B3692" s="21"/>
    </row>
    <row r="3693" spans="2:2">
      <c r="B3693" s="21"/>
    </row>
    <row r="3694" spans="2:2">
      <c r="B3694" s="21"/>
    </row>
    <row r="3695" spans="2:2">
      <c r="B3695" s="21"/>
    </row>
    <row r="3696" spans="2:2">
      <c r="B3696" s="21"/>
    </row>
    <row r="3697" spans="2:2">
      <c r="B3697" s="21"/>
    </row>
    <row r="3698" spans="2:2">
      <c r="B3698" s="21"/>
    </row>
    <row r="3699" spans="2:2">
      <c r="B3699" s="21"/>
    </row>
    <row r="3700" spans="2:2">
      <c r="B3700" s="21"/>
    </row>
    <row r="3701" spans="2:2">
      <c r="B3701" s="21"/>
    </row>
    <row r="3702" spans="2:2">
      <c r="B3702" s="21"/>
    </row>
    <row r="3703" spans="2:2">
      <c r="B3703" s="21"/>
    </row>
    <row r="3704" spans="2:2">
      <c r="B3704" s="21"/>
    </row>
    <row r="3705" spans="2:2">
      <c r="B3705" s="21"/>
    </row>
    <row r="3706" spans="2:2">
      <c r="B3706" s="21"/>
    </row>
    <row r="3707" spans="2:2">
      <c r="B3707" s="21"/>
    </row>
    <row r="3708" spans="2:2">
      <c r="B3708" s="21"/>
    </row>
    <row r="3709" spans="2:2">
      <c r="B3709" s="21"/>
    </row>
    <row r="3710" spans="2:2">
      <c r="B3710" s="21"/>
    </row>
    <row r="3711" spans="2:2">
      <c r="B3711" s="21"/>
    </row>
    <row r="3712" spans="2:2">
      <c r="B3712" s="21"/>
    </row>
    <row r="3713" spans="2:2">
      <c r="B3713" s="21"/>
    </row>
    <row r="3714" spans="2:2">
      <c r="B3714" s="21"/>
    </row>
    <row r="3715" spans="2:2">
      <c r="B3715" s="21"/>
    </row>
    <row r="3716" spans="2:2">
      <c r="B3716" s="21"/>
    </row>
    <row r="3717" spans="2:2">
      <c r="B3717" s="21"/>
    </row>
    <row r="3718" spans="2:2">
      <c r="B3718" s="21"/>
    </row>
    <row r="3719" spans="2:2">
      <c r="B3719" s="21"/>
    </row>
    <row r="3720" spans="2:2">
      <c r="B3720" s="21"/>
    </row>
    <row r="3721" spans="2:2">
      <c r="B3721" s="21"/>
    </row>
    <row r="3722" spans="2:2">
      <c r="B3722" s="21"/>
    </row>
    <row r="3723" spans="2:2">
      <c r="B3723" s="21"/>
    </row>
    <row r="3724" spans="2:2">
      <c r="B3724" s="21"/>
    </row>
    <row r="3725" spans="2:2">
      <c r="B3725" s="21"/>
    </row>
    <row r="3726" spans="2:2">
      <c r="B3726" s="21"/>
    </row>
    <row r="3727" spans="2:2">
      <c r="B3727" s="21"/>
    </row>
    <row r="3728" spans="2:2">
      <c r="B3728" s="21"/>
    </row>
    <row r="3729" spans="2:2">
      <c r="B3729" s="21"/>
    </row>
    <row r="3730" spans="2:2">
      <c r="B3730" s="21"/>
    </row>
    <row r="3731" spans="2:2">
      <c r="B3731" s="21"/>
    </row>
    <row r="3732" spans="2:2">
      <c r="B3732" s="21"/>
    </row>
    <row r="3733" spans="2:2">
      <c r="B3733" s="21"/>
    </row>
    <row r="3734" spans="2:2">
      <c r="B3734" s="21"/>
    </row>
    <row r="3735" spans="2:2">
      <c r="B3735" s="21"/>
    </row>
    <row r="3736" spans="2:2">
      <c r="B3736" s="21"/>
    </row>
    <row r="3737" spans="2:2">
      <c r="B3737" s="21"/>
    </row>
    <row r="3738" spans="2:2">
      <c r="B3738" s="21"/>
    </row>
    <row r="3739" spans="2:2">
      <c r="B3739" s="21"/>
    </row>
    <row r="3740" spans="2:2">
      <c r="B3740" s="21"/>
    </row>
    <row r="3741" spans="2:2">
      <c r="B3741" s="21"/>
    </row>
    <row r="3742" spans="2:2">
      <c r="B3742" s="21"/>
    </row>
    <row r="3743" spans="2:2">
      <c r="B3743" s="21"/>
    </row>
    <row r="3744" spans="2:2">
      <c r="B3744" s="21"/>
    </row>
    <row r="3745" spans="2:2">
      <c r="B3745" s="21"/>
    </row>
    <row r="3746" spans="2:2">
      <c r="B3746" s="21"/>
    </row>
    <row r="3747" spans="2:2">
      <c r="B3747" s="21"/>
    </row>
    <row r="3748" spans="2:2">
      <c r="B3748" s="21"/>
    </row>
    <row r="3749" spans="2:2">
      <c r="B3749" s="21"/>
    </row>
    <row r="3750" spans="2:2">
      <c r="B3750" s="21"/>
    </row>
    <row r="3751" spans="2:2">
      <c r="B3751" s="21"/>
    </row>
    <row r="3752" spans="2:2">
      <c r="B3752" s="21"/>
    </row>
    <row r="3753" spans="2:2">
      <c r="B3753" s="21"/>
    </row>
    <row r="3754" spans="2:2">
      <c r="B3754" s="21"/>
    </row>
    <row r="3755" spans="2:2">
      <c r="B3755" s="21"/>
    </row>
    <row r="3756" spans="2:2">
      <c r="B3756" s="21"/>
    </row>
    <row r="3757" spans="2:2">
      <c r="B3757" s="21"/>
    </row>
    <row r="3758" spans="2:2">
      <c r="B3758" s="21"/>
    </row>
    <row r="3759" spans="2:2">
      <c r="B3759" s="21"/>
    </row>
    <row r="3760" spans="2:2">
      <c r="B3760" s="21"/>
    </row>
    <row r="3761" spans="2:2">
      <c r="B3761" s="21"/>
    </row>
    <row r="3762" spans="2:2">
      <c r="B3762" s="21"/>
    </row>
    <row r="3763" spans="2:2">
      <c r="B3763" s="21"/>
    </row>
    <row r="3764" spans="2:2">
      <c r="B3764" s="21"/>
    </row>
    <row r="3765" spans="2:2">
      <c r="B3765" s="21"/>
    </row>
    <row r="3766" spans="2:2">
      <c r="B3766" s="21"/>
    </row>
    <row r="3767" spans="2:2">
      <c r="B3767" s="21"/>
    </row>
    <row r="3768" spans="2:2">
      <c r="B3768" s="21"/>
    </row>
    <row r="3769" spans="2:2">
      <c r="B3769" s="21"/>
    </row>
    <row r="3770" spans="2:2">
      <c r="B3770" s="21"/>
    </row>
    <row r="3771" spans="2:2">
      <c r="B3771" s="21"/>
    </row>
    <row r="3772" spans="2:2">
      <c r="B3772" s="21"/>
    </row>
    <row r="3773" spans="2:2">
      <c r="B3773" s="21"/>
    </row>
    <row r="3774" spans="2:2">
      <c r="B3774" s="21"/>
    </row>
    <row r="3775" spans="2:2">
      <c r="B3775" s="21"/>
    </row>
    <row r="3776" spans="2:2">
      <c r="B3776" s="21"/>
    </row>
    <row r="3777" spans="2:2">
      <c r="B3777" s="21"/>
    </row>
    <row r="3778" spans="2:2">
      <c r="B3778" s="21"/>
    </row>
    <row r="3779" spans="2:2">
      <c r="B3779" s="21"/>
    </row>
    <row r="3780" spans="2:2">
      <c r="B3780" s="21"/>
    </row>
    <row r="3781" spans="2:2">
      <c r="B3781" s="21"/>
    </row>
    <row r="3782" spans="2:2">
      <c r="B3782" s="21"/>
    </row>
    <row r="3783" spans="2:2">
      <c r="B3783" s="21"/>
    </row>
    <row r="3784" spans="2:2">
      <c r="B3784" s="21"/>
    </row>
    <row r="3785" spans="2:2">
      <c r="B3785" s="21"/>
    </row>
    <row r="3786" spans="2:2">
      <c r="B3786" s="21"/>
    </row>
    <row r="3787" spans="2:2">
      <c r="B3787" s="21"/>
    </row>
    <row r="3788" spans="2:2">
      <c r="B3788" s="21"/>
    </row>
    <row r="3789" spans="2:2">
      <c r="B3789" s="21"/>
    </row>
    <row r="3790" spans="2:2">
      <c r="B3790" s="21"/>
    </row>
    <row r="3791" spans="2:2">
      <c r="B3791" s="21"/>
    </row>
    <row r="3792" spans="2:2">
      <c r="B3792" s="21"/>
    </row>
    <row r="3793" spans="2:2">
      <c r="B3793" s="21"/>
    </row>
    <row r="3794" spans="2:2">
      <c r="B3794" s="21"/>
    </row>
    <row r="3795" spans="2:2">
      <c r="B3795" s="21"/>
    </row>
    <row r="3796" spans="2:2">
      <c r="B3796" s="21"/>
    </row>
    <row r="3797" spans="2:2">
      <c r="B3797" s="21"/>
    </row>
    <row r="3798" spans="2:2">
      <c r="B3798" s="21"/>
    </row>
    <row r="3799" spans="2:2">
      <c r="B3799" s="21"/>
    </row>
    <row r="3800" spans="2:2">
      <c r="B3800" s="21"/>
    </row>
    <row r="3801" spans="2:2">
      <c r="B3801" s="21"/>
    </row>
    <row r="3802" spans="2:2">
      <c r="B3802" s="21"/>
    </row>
    <row r="3803" spans="2:2">
      <c r="B3803" s="21"/>
    </row>
    <row r="3804" spans="2:2">
      <c r="B3804" s="21"/>
    </row>
    <row r="3805" spans="2:2">
      <c r="B3805" s="21"/>
    </row>
    <row r="3806" spans="2:2">
      <c r="B3806" s="21"/>
    </row>
    <row r="3807" spans="2:2">
      <c r="B3807" s="21"/>
    </row>
    <row r="3808" spans="2:2">
      <c r="B3808" s="21"/>
    </row>
    <row r="3809" spans="2:2">
      <c r="B3809" s="21"/>
    </row>
    <row r="3810" spans="2:2">
      <c r="B3810" s="21"/>
    </row>
    <row r="3811" spans="2:2">
      <c r="B3811" s="21"/>
    </row>
    <row r="3812" spans="2:2">
      <c r="B3812" s="21"/>
    </row>
    <row r="3813" spans="2:2">
      <c r="B3813" s="21"/>
    </row>
    <row r="3814" spans="2:2">
      <c r="B3814" s="21"/>
    </row>
    <row r="3815" spans="2:2">
      <c r="B3815" s="21"/>
    </row>
    <row r="3816" spans="2:2">
      <c r="B3816" s="21"/>
    </row>
    <row r="3817" spans="2:2">
      <c r="B3817" s="21"/>
    </row>
    <row r="3818" spans="2:2">
      <c r="B3818" s="21"/>
    </row>
    <row r="3819" spans="2:2">
      <c r="B3819" s="21"/>
    </row>
    <row r="3820" spans="2:2">
      <c r="B3820" s="21"/>
    </row>
    <row r="3821" spans="2:2">
      <c r="B3821" s="21"/>
    </row>
    <row r="3822" spans="2:2">
      <c r="B3822" s="21"/>
    </row>
    <row r="3823" spans="2:2">
      <c r="B3823" s="21"/>
    </row>
    <row r="3824" spans="2:2">
      <c r="B3824" s="21"/>
    </row>
    <row r="3825" spans="2:2">
      <c r="B3825" s="21"/>
    </row>
    <row r="3826" spans="2:2">
      <c r="B3826" s="21"/>
    </row>
    <row r="3827" spans="2:2">
      <c r="B3827" s="21"/>
    </row>
    <row r="3828" spans="2:2">
      <c r="B3828" s="21"/>
    </row>
    <row r="3829" spans="2:2">
      <c r="B3829" s="21"/>
    </row>
    <row r="3830" spans="2:2">
      <c r="B3830" s="21"/>
    </row>
    <row r="3831" spans="2:2">
      <c r="B3831" s="21"/>
    </row>
    <row r="3832" spans="2:2">
      <c r="B3832" s="21"/>
    </row>
    <row r="3833" spans="2:2">
      <c r="B3833" s="21"/>
    </row>
    <row r="3834" spans="2:2">
      <c r="B3834" s="21"/>
    </row>
    <row r="3835" spans="2:2">
      <c r="B3835" s="21"/>
    </row>
    <row r="3836" spans="2:2">
      <c r="B3836" s="21"/>
    </row>
    <row r="3837" spans="2:2">
      <c r="B3837" s="21"/>
    </row>
    <row r="3838" spans="2:2">
      <c r="B3838" s="21"/>
    </row>
    <row r="3839" spans="2:2">
      <c r="B3839" s="21"/>
    </row>
    <row r="3840" spans="2:2">
      <c r="B3840" s="21"/>
    </row>
    <row r="3841" spans="2:2">
      <c r="B3841" s="21"/>
    </row>
    <row r="3842" spans="2:2">
      <c r="B3842" s="21"/>
    </row>
    <row r="3843" spans="2:2">
      <c r="B3843" s="21"/>
    </row>
    <row r="3844" spans="2:2">
      <c r="B3844" s="21"/>
    </row>
    <row r="3845" spans="2:2">
      <c r="B3845" s="21"/>
    </row>
    <row r="3846" spans="2:2">
      <c r="B3846" s="21"/>
    </row>
    <row r="3847" spans="2:2">
      <c r="B3847" s="21"/>
    </row>
    <row r="3848" spans="2:2">
      <c r="B3848" s="21"/>
    </row>
    <row r="3849" spans="2:2">
      <c r="B3849" s="21"/>
    </row>
    <row r="3850" spans="2:2">
      <c r="B3850" s="21"/>
    </row>
    <row r="3851" spans="2:2">
      <c r="B3851" s="21"/>
    </row>
    <row r="3852" spans="2:2">
      <c r="B3852" s="21"/>
    </row>
    <row r="3853" spans="2:2">
      <c r="B3853" s="21"/>
    </row>
    <row r="3854" spans="2:2">
      <c r="B3854" s="21"/>
    </row>
    <row r="3855" spans="2:2">
      <c r="B3855" s="21"/>
    </row>
    <row r="3856" spans="2:2">
      <c r="B3856" s="21"/>
    </row>
    <row r="3857" spans="2:2">
      <c r="B3857" s="21"/>
    </row>
    <row r="3858" spans="2:2">
      <c r="B3858" s="21"/>
    </row>
    <row r="3859" spans="2:2">
      <c r="B3859" s="21"/>
    </row>
    <row r="3860" spans="2:2">
      <c r="B3860" s="21"/>
    </row>
    <row r="3861" spans="2:2">
      <c r="B3861" s="21"/>
    </row>
    <row r="3862" spans="2:2">
      <c r="B3862" s="21"/>
    </row>
    <row r="3863" spans="2:2">
      <c r="B3863" s="21"/>
    </row>
    <row r="3864" spans="2:2">
      <c r="B3864" s="21"/>
    </row>
    <row r="3865" spans="2:2">
      <c r="B3865" s="21"/>
    </row>
    <row r="3866" spans="2:2">
      <c r="B3866" s="21"/>
    </row>
    <row r="3867" spans="2:2">
      <c r="B3867" s="21"/>
    </row>
    <row r="3868" spans="2:2">
      <c r="B3868" s="21"/>
    </row>
    <row r="3869" spans="2:2">
      <c r="B3869" s="21"/>
    </row>
    <row r="3870" spans="2:2">
      <c r="B3870" s="21"/>
    </row>
    <row r="3871" spans="2:2">
      <c r="B3871" s="21"/>
    </row>
    <row r="3872" spans="2:2">
      <c r="B3872" s="21"/>
    </row>
    <row r="3873" spans="2:2">
      <c r="B3873" s="21"/>
    </row>
    <row r="3874" spans="2:2">
      <c r="B3874" s="21"/>
    </row>
    <row r="3875" spans="2:2">
      <c r="B3875" s="21"/>
    </row>
    <row r="3876" spans="2:2">
      <c r="B3876" s="21"/>
    </row>
    <row r="3877" spans="2:2">
      <c r="B3877" s="21"/>
    </row>
    <row r="3878" spans="2:2">
      <c r="B3878" s="21"/>
    </row>
    <row r="3879" spans="2:2">
      <c r="B3879" s="21"/>
    </row>
    <row r="3880" spans="2:2">
      <c r="B3880" s="21"/>
    </row>
    <row r="3881" spans="2:2">
      <c r="B3881" s="21"/>
    </row>
    <row r="3882" spans="2:2">
      <c r="B3882" s="21"/>
    </row>
    <row r="3883" spans="2:2">
      <c r="B3883" s="21"/>
    </row>
    <row r="3884" spans="2:2">
      <c r="B3884" s="21"/>
    </row>
    <row r="3885" spans="2:2">
      <c r="B3885" s="21"/>
    </row>
    <row r="3886" spans="2:2">
      <c r="B3886" s="21"/>
    </row>
    <row r="3887" spans="2:2">
      <c r="B3887" s="21"/>
    </row>
    <row r="3888" spans="2:2">
      <c r="B3888" s="21"/>
    </row>
    <row r="3889" spans="2:2">
      <c r="B3889" s="21"/>
    </row>
    <row r="3890" spans="2:2">
      <c r="B3890" s="21"/>
    </row>
    <row r="3891" spans="2:2">
      <c r="B3891" s="21"/>
    </row>
    <row r="3892" spans="2:2">
      <c r="B3892" s="21"/>
    </row>
    <row r="3893" spans="2:2">
      <c r="B3893" s="21"/>
    </row>
    <row r="3894" spans="2:2">
      <c r="B3894" s="21"/>
    </row>
    <row r="3895" spans="2:2">
      <c r="B3895" s="21"/>
    </row>
    <row r="3896" spans="2:2">
      <c r="B3896" s="21"/>
    </row>
    <row r="3897" spans="2:2">
      <c r="B3897" s="21"/>
    </row>
    <row r="3898" spans="2:2">
      <c r="B3898" s="21"/>
    </row>
    <row r="3899" spans="2:2">
      <c r="B3899" s="21"/>
    </row>
    <row r="3900" spans="2:2">
      <c r="B3900" s="21"/>
    </row>
    <row r="3901" spans="2:2">
      <c r="B3901" s="21"/>
    </row>
    <row r="3902" spans="2:2">
      <c r="B3902" s="21"/>
    </row>
    <row r="3903" spans="2:2">
      <c r="B3903" s="21"/>
    </row>
    <row r="3904" spans="2:2">
      <c r="B3904" s="21"/>
    </row>
    <row r="3905" spans="2:2">
      <c r="B3905" s="21"/>
    </row>
    <row r="3906" spans="2:2">
      <c r="B3906" s="21"/>
    </row>
    <row r="3907" spans="2:2">
      <c r="B3907" s="21"/>
    </row>
    <row r="3908" spans="2:2">
      <c r="B3908" s="21"/>
    </row>
    <row r="3909" spans="2:2">
      <c r="B3909" s="21"/>
    </row>
    <row r="3910" spans="2:2">
      <c r="B3910" s="21"/>
    </row>
    <row r="3911" spans="2:2">
      <c r="B3911" s="21"/>
    </row>
    <row r="3912" spans="2:2">
      <c r="B3912" s="21"/>
    </row>
    <row r="3913" spans="2:2">
      <c r="B3913" s="21"/>
    </row>
    <row r="3914" spans="2:2">
      <c r="B3914" s="21"/>
    </row>
    <row r="3915" spans="2:2">
      <c r="B3915" s="21"/>
    </row>
    <row r="3916" spans="2:2">
      <c r="B3916" s="21"/>
    </row>
    <row r="3917" spans="2:2">
      <c r="B3917" s="21"/>
    </row>
    <row r="3918" spans="2:2">
      <c r="B3918" s="21"/>
    </row>
    <row r="3919" spans="2:2">
      <c r="B3919" s="21"/>
    </row>
    <row r="3920" spans="2:2">
      <c r="B3920" s="21"/>
    </row>
    <row r="3921" spans="2:2">
      <c r="B3921" s="21"/>
    </row>
    <row r="3922" spans="2:2">
      <c r="B3922" s="21"/>
    </row>
    <row r="3923" spans="2:2">
      <c r="B3923" s="21"/>
    </row>
    <row r="3924" spans="2:2">
      <c r="B3924" s="21"/>
    </row>
    <row r="3925" spans="2:2">
      <c r="B3925" s="21"/>
    </row>
    <row r="3926" spans="2:2">
      <c r="B3926" s="21"/>
    </row>
    <row r="3927" spans="2:2">
      <c r="B3927" s="21"/>
    </row>
    <row r="3928" spans="2:2">
      <c r="B3928" s="21"/>
    </row>
    <row r="3929" spans="2:2">
      <c r="B3929" s="21"/>
    </row>
    <row r="3930" spans="2:2">
      <c r="B3930" s="21"/>
    </row>
    <row r="3931" spans="2:2">
      <c r="B3931" s="21"/>
    </row>
    <row r="3932" spans="2:2">
      <c r="B3932" s="21"/>
    </row>
    <row r="3933" spans="2:2">
      <c r="B3933" s="21"/>
    </row>
    <row r="3934" spans="2:2">
      <c r="B3934" s="21"/>
    </row>
    <row r="3935" spans="2:2">
      <c r="B3935" s="21"/>
    </row>
    <row r="3936" spans="2:2">
      <c r="B3936" s="21"/>
    </row>
    <row r="3937" spans="2:2">
      <c r="B3937" s="21"/>
    </row>
    <row r="3938" spans="2:2">
      <c r="B3938" s="21"/>
    </row>
    <row r="3939" spans="2:2">
      <c r="B3939" s="21"/>
    </row>
    <row r="3940" spans="2:2">
      <c r="B3940" s="21"/>
    </row>
    <row r="3941" spans="2:2">
      <c r="B3941" s="21"/>
    </row>
    <row r="3942" spans="2:2">
      <c r="B3942" s="21"/>
    </row>
    <row r="3943" spans="2:2">
      <c r="B3943" s="21"/>
    </row>
    <row r="3944" spans="2:2">
      <c r="B3944" s="21"/>
    </row>
    <row r="3945" spans="2:2">
      <c r="B3945" s="21"/>
    </row>
    <row r="3946" spans="2:2">
      <c r="B3946" s="21"/>
    </row>
    <row r="3947" spans="2:2">
      <c r="B3947" s="21"/>
    </row>
    <row r="3948" spans="2:2">
      <c r="B3948" s="21"/>
    </row>
    <row r="3949" spans="2:2">
      <c r="B3949" s="21"/>
    </row>
    <row r="3950" spans="2:2">
      <c r="B3950" s="21"/>
    </row>
    <row r="3951" spans="2:2">
      <c r="B3951" s="21"/>
    </row>
    <row r="3952" spans="2:2">
      <c r="B3952" s="21"/>
    </row>
    <row r="3953" spans="2:2">
      <c r="B3953" s="21"/>
    </row>
    <row r="3954" spans="2:2">
      <c r="B3954" s="21"/>
    </row>
    <row r="3955" spans="2:2">
      <c r="B3955" s="21"/>
    </row>
    <row r="3956" spans="2:2">
      <c r="B3956" s="21"/>
    </row>
    <row r="3957" spans="2:2">
      <c r="B3957" s="21"/>
    </row>
    <row r="3958" spans="2:2">
      <c r="B3958" s="21"/>
    </row>
    <row r="3959" spans="2:2">
      <c r="B3959" s="21"/>
    </row>
    <row r="3960" spans="2:2">
      <c r="B3960" s="21"/>
    </row>
    <row r="3961" spans="2:2">
      <c r="B3961" s="21"/>
    </row>
    <row r="3962" spans="2:2">
      <c r="B3962" s="21"/>
    </row>
    <row r="3963" spans="2:2">
      <c r="B3963" s="21"/>
    </row>
    <row r="3964" spans="2:2">
      <c r="B3964" s="21"/>
    </row>
    <row r="3965" spans="2:2">
      <c r="B3965" s="21"/>
    </row>
    <row r="3966" spans="2:2">
      <c r="B3966" s="21"/>
    </row>
    <row r="3967" spans="2:2">
      <c r="B3967" s="21"/>
    </row>
    <row r="3968" spans="2:2">
      <c r="B3968" s="21"/>
    </row>
    <row r="3969" spans="2:2">
      <c r="B3969" s="21"/>
    </row>
    <row r="3970" spans="2:2">
      <c r="B3970" s="21"/>
    </row>
    <row r="3971" spans="2:2">
      <c r="B3971" s="21"/>
    </row>
    <row r="3972" spans="2:2">
      <c r="B3972" s="21"/>
    </row>
    <row r="3973" spans="2:2">
      <c r="B3973" s="21"/>
    </row>
    <row r="3974" spans="2:2">
      <c r="B3974" s="21"/>
    </row>
    <row r="3975" spans="2:2">
      <c r="B3975" s="21"/>
    </row>
    <row r="3976" spans="2:2">
      <c r="B3976" s="21"/>
    </row>
    <row r="3977" spans="2:2">
      <c r="B3977" s="21"/>
    </row>
    <row r="3978" spans="2:2">
      <c r="B3978" s="21"/>
    </row>
    <row r="3979" spans="2:2">
      <c r="B3979" s="21"/>
    </row>
    <row r="3980" spans="2:2">
      <c r="B3980" s="21"/>
    </row>
    <row r="3981" spans="2:2">
      <c r="B3981" s="21"/>
    </row>
    <row r="3982" spans="2:2">
      <c r="B3982" s="21"/>
    </row>
    <row r="3983" spans="2:2">
      <c r="B3983" s="21"/>
    </row>
    <row r="3984" spans="2:2">
      <c r="B3984" s="21"/>
    </row>
    <row r="3985" spans="2:2">
      <c r="B3985" s="21"/>
    </row>
    <row r="3986" spans="2:2">
      <c r="B3986" s="21"/>
    </row>
    <row r="3987" spans="2:2">
      <c r="B3987" s="21"/>
    </row>
    <row r="3988" spans="2:2">
      <c r="B3988" s="21"/>
    </row>
    <row r="3989" spans="2:2">
      <c r="B3989" s="21"/>
    </row>
    <row r="3990" spans="2:2">
      <c r="B3990" s="21"/>
    </row>
    <row r="3991" spans="2:2">
      <c r="B3991" s="21"/>
    </row>
    <row r="3992" spans="2:2">
      <c r="B3992" s="21"/>
    </row>
    <row r="3993" spans="2:2">
      <c r="B3993" s="21"/>
    </row>
    <row r="3994" spans="2:2">
      <c r="B3994" s="21"/>
    </row>
    <row r="3995" spans="2:2">
      <c r="B3995" s="21"/>
    </row>
    <row r="3996" spans="2:2">
      <c r="B3996" s="21"/>
    </row>
    <row r="3997" spans="2:2">
      <c r="B3997" s="21"/>
    </row>
    <row r="3998" spans="2:2">
      <c r="B3998" s="21"/>
    </row>
    <row r="3999" spans="2:2">
      <c r="B3999" s="21"/>
    </row>
    <row r="4000" spans="2:2">
      <c r="B4000" s="21"/>
    </row>
    <row r="4001" spans="2:2">
      <c r="B4001" s="21"/>
    </row>
    <row r="4002" spans="2:2">
      <c r="B4002" s="21"/>
    </row>
    <row r="4003" spans="2:2">
      <c r="B4003" s="21"/>
    </row>
    <row r="4004" spans="2:2">
      <c r="B4004" s="21"/>
    </row>
    <row r="4005" spans="2:2">
      <c r="B4005" s="21"/>
    </row>
    <row r="4006" spans="2:2">
      <c r="B4006" s="21"/>
    </row>
    <row r="4007" spans="2:2">
      <c r="B4007" s="21"/>
    </row>
    <row r="4008" spans="2:2">
      <c r="B4008" s="21"/>
    </row>
    <row r="4009" spans="2:2">
      <c r="B4009" s="21"/>
    </row>
    <row r="4010" spans="2:2">
      <c r="B4010" s="21"/>
    </row>
    <row r="4011" spans="2:2">
      <c r="B4011" s="21"/>
    </row>
    <row r="4012" spans="2:2">
      <c r="B4012" s="21"/>
    </row>
    <row r="4013" spans="2:2">
      <c r="B4013" s="21"/>
    </row>
    <row r="4014" spans="2:2">
      <c r="B4014" s="21"/>
    </row>
    <row r="4015" spans="2:2">
      <c r="B4015" s="21"/>
    </row>
    <row r="4016" spans="2:2">
      <c r="B4016" s="21"/>
    </row>
    <row r="4017" spans="2:2">
      <c r="B4017" s="21"/>
    </row>
    <row r="4018" spans="2:2">
      <c r="B4018" s="21"/>
    </row>
    <row r="4019" spans="2:2">
      <c r="B4019" s="21"/>
    </row>
    <row r="4020" spans="2:2">
      <c r="B4020" s="21"/>
    </row>
    <row r="4021" spans="2:2">
      <c r="B4021" s="21"/>
    </row>
    <row r="4022" spans="2:2">
      <c r="B4022" s="21"/>
    </row>
    <row r="4023" spans="2:2">
      <c r="B4023" s="21"/>
    </row>
    <row r="4024" spans="2:2">
      <c r="B4024" s="21"/>
    </row>
    <row r="4025" spans="2:2">
      <c r="B4025" s="21"/>
    </row>
    <row r="4026" spans="2:2">
      <c r="B4026" s="21"/>
    </row>
    <row r="4027" spans="2:2">
      <c r="B4027" s="21"/>
    </row>
    <row r="4028" spans="2:2">
      <c r="B4028" s="21"/>
    </row>
    <row r="4029" spans="2:2">
      <c r="B4029" s="21"/>
    </row>
    <row r="4030" spans="2:2">
      <c r="B4030" s="21"/>
    </row>
    <row r="4031" spans="2:2">
      <c r="B4031" s="21"/>
    </row>
    <row r="4032" spans="2:2">
      <c r="B4032" s="21"/>
    </row>
    <row r="4033" spans="2:2">
      <c r="B4033" s="21"/>
    </row>
    <row r="4034" spans="2:2">
      <c r="B4034" s="21"/>
    </row>
    <row r="4035" spans="2:2">
      <c r="B4035" s="21"/>
    </row>
    <row r="4036" spans="2:2">
      <c r="B4036" s="21"/>
    </row>
    <row r="4037" spans="2:2">
      <c r="B4037" s="21"/>
    </row>
    <row r="4038" spans="2:2">
      <c r="B4038" s="21"/>
    </row>
    <row r="4039" spans="2:2">
      <c r="B4039" s="21"/>
    </row>
    <row r="4040" spans="2:2">
      <c r="B4040" s="21"/>
    </row>
    <row r="4041" spans="2:2">
      <c r="B4041" s="21"/>
    </row>
    <row r="4042" spans="2:2">
      <c r="B4042" s="21"/>
    </row>
    <row r="4043" spans="2:2">
      <c r="B4043" s="21"/>
    </row>
    <row r="4044" spans="2:2">
      <c r="B4044" s="21"/>
    </row>
    <row r="4045" spans="2:2">
      <c r="B4045" s="21"/>
    </row>
    <row r="4046" spans="2:2">
      <c r="B4046" s="21"/>
    </row>
    <row r="4047" spans="2:2">
      <c r="B4047" s="21"/>
    </row>
    <row r="4048" spans="2:2">
      <c r="B4048" s="21"/>
    </row>
    <row r="4049" spans="2:2">
      <c r="B4049" s="21"/>
    </row>
    <row r="4050" spans="2:2">
      <c r="B4050" s="21"/>
    </row>
    <row r="4051" spans="2:2">
      <c r="B4051" s="21"/>
    </row>
    <row r="4052" spans="2:2">
      <c r="B4052" s="21"/>
    </row>
    <row r="4053" spans="2:2">
      <c r="B4053" s="21"/>
    </row>
    <row r="4054" spans="2:2">
      <c r="B4054" s="21"/>
    </row>
    <row r="4055" spans="2:2">
      <c r="B4055" s="21"/>
    </row>
    <row r="4056" spans="2:2">
      <c r="B4056" s="21"/>
    </row>
    <row r="4057" spans="2:2">
      <c r="B4057" s="21"/>
    </row>
    <row r="4058" spans="2:2">
      <c r="B4058" s="21"/>
    </row>
    <row r="4059" spans="2:2">
      <c r="B4059" s="21"/>
    </row>
    <row r="4060" spans="2:2">
      <c r="B4060" s="21"/>
    </row>
    <row r="4061" spans="2:2">
      <c r="B4061" s="21"/>
    </row>
    <row r="4062" spans="2:2">
      <c r="B4062" s="21"/>
    </row>
    <row r="4063" spans="2:2">
      <c r="B4063" s="21"/>
    </row>
    <row r="4064" spans="2:2">
      <c r="B4064" s="21"/>
    </row>
    <row r="4065" spans="2:2">
      <c r="B4065" s="21"/>
    </row>
    <row r="4066" spans="2:2">
      <c r="B4066" s="21"/>
    </row>
    <row r="4067" spans="2:2">
      <c r="B4067" s="21"/>
    </row>
    <row r="4068" spans="2:2">
      <c r="B4068" s="21"/>
    </row>
    <row r="4069" spans="2:2">
      <c r="B4069" s="21"/>
    </row>
    <row r="4070" spans="2:2">
      <c r="B4070" s="21"/>
    </row>
    <row r="4071" spans="2:2">
      <c r="B4071" s="21"/>
    </row>
    <row r="4072" spans="2:2">
      <c r="B4072" s="21"/>
    </row>
    <row r="4073" spans="2:2">
      <c r="B4073" s="21"/>
    </row>
    <row r="4074" spans="2:2">
      <c r="B4074" s="21"/>
    </row>
    <row r="4075" spans="2:2">
      <c r="B4075" s="21"/>
    </row>
    <row r="4076" spans="2:2">
      <c r="B4076" s="21"/>
    </row>
    <row r="4077" spans="2:2">
      <c r="B4077" s="21"/>
    </row>
    <row r="4078" spans="2:2">
      <c r="B4078" s="21"/>
    </row>
    <row r="4079" spans="2:2">
      <c r="B4079" s="21"/>
    </row>
    <row r="4080" spans="2:2">
      <c r="B4080" s="21"/>
    </row>
    <row r="4081" spans="2:2">
      <c r="B4081" s="21"/>
    </row>
    <row r="4082" spans="2:2">
      <c r="B4082" s="21"/>
    </row>
    <row r="4083" spans="2:2">
      <c r="B4083" s="21"/>
    </row>
    <row r="4084" spans="2:2">
      <c r="B4084" s="21"/>
    </row>
    <row r="4085" spans="2:2">
      <c r="B4085" s="21"/>
    </row>
    <row r="4086" spans="2:2">
      <c r="B4086" s="21"/>
    </row>
    <row r="4087" spans="2:2">
      <c r="B4087" s="21"/>
    </row>
    <row r="4088" spans="2:2">
      <c r="B4088" s="21"/>
    </row>
    <row r="4089" spans="2:2">
      <c r="B4089" s="21"/>
    </row>
    <row r="4090" spans="2:2">
      <c r="B4090" s="21"/>
    </row>
    <row r="4091" spans="2:2">
      <c r="B4091" s="21"/>
    </row>
    <row r="4092" spans="2:2">
      <c r="B4092" s="21"/>
    </row>
    <row r="4093" spans="2:2">
      <c r="B4093" s="21"/>
    </row>
    <row r="4094" spans="2:2">
      <c r="B4094" s="21"/>
    </row>
    <row r="4095" spans="2:2">
      <c r="B4095" s="21"/>
    </row>
    <row r="4096" spans="2:2">
      <c r="B4096" s="21"/>
    </row>
    <row r="4097" spans="2:2">
      <c r="B4097" s="21"/>
    </row>
    <row r="4098" spans="2:2">
      <c r="B4098" s="21"/>
    </row>
    <row r="4099" spans="2:2">
      <c r="B4099" s="21"/>
    </row>
    <row r="4100" spans="2:2">
      <c r="B4100" s="21"/>
    </row>
    <row r="4101" spans="2:2">
      <c r="B4101" s="21"/>
    </row>
    <row r="4102" spans="2:2">
      <c r="B4102" s="21"/>
    </row>
    <row r="4103" spans="2:2">
      <c r="B4103" s="21"/>
    </row>
    <row r="4104" spans="2:2">
      <c r="B4104" s="21"/>
    </row>
    <row r="4105" spans="2:2">
      <c r="B4105" s="21"/>
    </row>
    <row r="4106" spans="2:2">
      <c r="B4106" s="21"/>
    </row>
    <row r="4107" spans="2:2">
      <c r="B4107" s="21"/>
    </row>
    <row r="4108" spans="2:2">
      <c r="B4108" s="21"/>
    </row>
    <row r="4109" spans="2:2">
      <c r="B4109" s="21"/>
    </row>
    <row r="4110" spans="2:2">
      <c r="B4110" s="21"/>
    </row>
    <row r="4111" spans="2:2">
      <c r="B4111" s="21"/>
    </row>
    <row r="4112" spans="2:2">
      <c r="B4112" s="21"/>
    </row>
    <row r="4113" spans="2:2">
      <c r="B4113" s="21"/>
    </row>
    <row r="4114" spans="2:2">
      <c r="B4114" s="21"/>
    </row>
    <row r="4115" spans="2:2">
      <c r="B4115" s="21"/>
    </row>
    <row r="4116" spans="2:2">
      <c r="B4116" s="21"/>
    </row>
    <row r="4117" spans="2:2">
      <c r="B4117" s="21"/>
    </row>
    <row r="4118" spans="2:2">
      <c r="B4118" s="21"/>
    </row>
    <row r="4119" spans="2:2">
      <c r="B4119" s="21"/>
    </row>
    <row r="4120" spans="2:2">
      <c r="B4120" s="21"/>
    </row>
    <row r="4121" spans="2:2">
      <c r="B4121" s="21"/>
    </row>
    <row r="4122" spans="2:2">
      <c r="B4122" s="21"/>
    </row>
    <row r="4123" spans="2:2">
      <c r="B4123" s="21"/>
    </row>
    <row r="4124" spans="2:2">
      <c r="B4124" s="21"/>
    </row>
    <row r="4125" spans="2:2">
      <c r="B4125" s="21"/>
    </row>
    <row r="4126" spans="2:2">
      <c r="B4126" s="21"/>
    </row>
    <row r="4127" spans="2:2">
      <c r="B4127" s="21"/>
    </row>
    <row r="4128" spans="2:2">
      <c r="B4128" s="21"/>
    </row>
    <row r="4129" spans="2:2">
      <c r="B4129" s="21"/>
    </row>
    <row r="4130" spans="2:2">
      <c r="B4130" s="21"/>
    </row>
    <row r="4131" spans="2:2">
      <c r="B4131" s="21"/>
    </row>
    <row r="4132" spans="2:2">
      <c r="B4132" s="21"/>
    </row>
    <row r="4133" spans="2:2">
      <c r="B4133" s="21"/>
    </row>
    <row r="4134" spans="2:2">
      <c r="B4134" s="21"/>
    </row>
    <row r="4135" spans="2:2">
      <c r="B4135" s="21"/>
    </row>
    <row r="4136" spans="2:2">
      <c r="B4136" s="21"/>
    </row>
    <row r="4137" spans="2:2">
      <c r="B4137" s="21"/>
    </row>
    <row r="4138" spans="2:2">
      <c r="B4138" s="21"/>
    </row>
    <row r="4139" spans="2:2">
      <c r="B4139" s="21"/>
    </row>
    <row r="4140" spans="2:2">
      <c r="B4140" s="21"/>
    </row>
    <row r="4141" spans="2:2">
      <c r="B4141" s="21"/>
    </row>
    <row r="4142" spans="2:2">
      <c r="B4142" s="21"/>
    </row>
    <row r="4143" spans="2:2">
      <c r="B4143" s="21"/>
    </row>
    <row r="4144" spans="2:2">
      <c r="B4144" s="21"/>
    </row>
    <row r="4145" spans="2:2">
      <c r="B4145" s="21"/>
    </row>
    <row r="4146" spans="2:2">
      <c r="B4146" s="21"/>
    </row>
    <row r="4147" spans="2:2">
      <c r="B4147" s="21"/>
    </row>
    <row r="4148" spans="2:2">
      <c r="B4148" s="21"/>
    </row>
    <row r="4149" spans="2:2">
      <c r="B4149" s="21"/>
    </row>
    <row r="4150" spans="2:2">
      <c r="B4150" s="21"/>
    </row>
    <row r="4151" spans="2:2">
      <c r="B4151" s="21"/>
    </row>
    <row r="4152" spans="2:2">
      <c r="B4152" s="21"/>
    </row>
    <row r="4153" spans="2:2">
      <c r="B4153" s="21"/>
    </row>
    <row r="4154" spans="2:2">
      <c r="B4154" s="21"/>
    </row>
    <row r="4155" spans="2:2">
      <c r="B4155" s="21"/>
    </row>
    <row r="4156" spans="2:2">
      <c r="B4156" s="21"/>
    </row>
    <row r="4157" spans="2:2">
      <c r="B4157" s="21"/>
    </row>
    <row r="4158" spans="2:2">
      <c r="B4158" s="21"/>
    </row>
    <row r="4159" spans="2:2">
      <c r="B4159" s="21"/>
    </row>
    <row r="4160" spans="2:2">
      <c r="B4160" s="21"/>
    </row>
    <row r="4161" spans="2:2">
      <c r="B4161" s="21"/>
    </row>
    <row r="4162" spans="2:2">
      <c r="B4162" s="21"/>
    </row>
    <row r="4163" spans="2:2">
      <c r="B4163" s="21"/>
    </row>
    <row r="4164" spans="2:2">
      <c r="B4164" s="21"/>
    </row>
    <row r="4165" spans="2:2">
      <c r="B4165" s="21"/>
    </row>
    <row r="4166" spans="2:2">
      <c r="B4166" s="21"/>
    </row>
    <row r="4167" spans="2:2">
      <c r="B4167" s="21"/>
    </row>
    <row r="4168" spans="2:2">
      <c r="B4168" s="21"/>
    </row>
    <row r="4169" spans="2:2">
      <c r="B4169" s="21"/>
    </row>
    <row r="4170" spans="2:2">
      <c r="B4170" s="21"/>
    </row>
    <row r="4171" spans="2:2">
      <c r="B4171" s="21"/>
    </row>
    <row r="4172" spans="2:2">
      <c r="B4172" s="21"/>
    </row>
    <row r="4173" spans="2:2">
      <c r="B4173" s="21"/>
    </row>
    <row r="4174" spans="2:2">
      <c r="B4174" s="21"/>
    </row>
    <row r="4175" spans="2:2">
      <c r="B4175" s="21"/>
    </row>
    <row r="4176" spans="2:2">
      <c r="B4176" s="21"/>
    </row>
    <row r="4177" spans="2:2">
      <c r="B4177" s="21"/>
    </row>
    <row r="4178" spans="2:2">
      <c r="B4178" s="21"/>
    </row>
    <row r="4179" spans="2:2">
      <c r="B4179" s="21"/>
    </row>
    <row r="4180" spans="2:2">
      <c r="B4180" s="21"/>
    </row>
    <row r="4181" spans="2:2">
      <c r="B4181" s="21"/>
    </row>
    <row r="4182" spans="2:2">
      <c r="B4182" s="21"/>
    </row>
    <row r="4183" spans="2:2">
      <c r="B4183" s="21"/>
    </row>
    <row r="4184" spans="2:2">
      <c r="B4184" s="21"/>
    </row>
    <row r="4185" spans="2:2">
      <c r="B4185" s="21"/>
    </row>
    <row r="4186" spans="2:2">
      <c r="B4186" s="21"/>
    </row>
    <row r="4187" spans="2:2">
      <c r="B4187" s="21"/>
    </row>
    <row r="4188" spans="2:2">
      <c r="B4188" s="21"/>
    </row>
    <row r="4189" spans="2:2">
      <c r="B4189" s="21"/>
    </row>
    <row r="4190" spans="2:2">
      <c r="B4190" s="21"/>
    </row>
    <row r="4191" spans="2:2">
      <c r="B4191" s="21"/>
    </row>
    <row r="4192" spans="2:2">
      <c r="B4192" s="21"/>
    </row>
    <row r="4193" spans="2:2">
      <c r="B4193" s="21"/>
    </row>
    <row r="4194" spans="2:2">
      <c r="B4194" s="21"/>
    </row>
    <row r="4195" spans="2:2">
      <c r="B4195" s="21"/>
    </row>
    <row r="4196" spans="2:2">
      <c r="B4196" s="21"/>
    </row>
    <row r="4197" spans="2:2">
      <c r="B4197" s="21"/>
    </row>
    <row r="4198" spans="2:2">
      <c r="B4198" s="21"/>
    </row>
    <row r="4199" spans="2:2">
      <c r="B4199" s="21"/>
    </row>
    <row r="4200" spans="2:2">
      <c r="B4200" s="21"/>
    </row>
    <row r="4201" spans="2:2">
      <c r="B4201" s="21"/>
    </row>
    <row r="4202" spans="2:2">
      <c r="B4202" s="21"/>
    </row>
    <row r="4203" spans="2:2">
      <c r="B4203" s="21"/>
    </row>
    <row r="4204" spans="2:2">
      <c r="B4204" s="21"/>
    </row>
    <row r="4205" spans="2:2">
      <c r="B4205" s="21"/>
    </row>
    <row r="4206" spans="2:2">
      <c r="B4206" s="21"/>
    </row>
    <row r="4207" spans="2:2">
      <c r="B4207" s="21"/>
    </row>
    <row r="4208" spans="2:2">
      <c r="B4208" s="21"/>
    </row>
    <row r="4209" spans="2:2">
      <c r="B4209" s="21"/>
    </row>
    <row r="4210" spans="2:2">
      <c r="B4210" s="21"/>
    </row>
    <row r="4211" spans="2:2">
      <c r="B4211" s="21"/>
    </row>
    <row r="4212" spans="2:2">
      <c r="B4212" s="21"/>
    </row>
    <row r="4213" spans="2:2">
      <c r="B4213" s="21"/>
    </row>
    <row r="4214" spans="2:2">
      <c r="B4214" s="21"/>
    </row>
    <row r="4215" spans="2:2">
      <c r="B4215" s="21"/>
    </row>
    <row r="4216" spans="2:2">
      <c r="B4216" s="21"/>
    </row>
    <row r="4217" spans="2:2">
      <c r="B4217" s="21"/>
    </row>
    <row r="4218" spans="2:2">
      <c r="B4218" s="21"/>
    </row>
    <row r="4219" spans="2:2">
      <c r="B4219" s="21"/>
    </row>
    <row r="4220" spans="2:2">
      <c r="B4220" s="21"/>
    </row>
    <row r="4221" spans="2:2">
      <c r="B4221" s="21"/>
    </row>
    <row r="4222" spans="2:2">
      <c r="B4222" s="21"/>
    </row>
    <row r="4223" spans="2:2">
      <c r="B4223" s="21"/>
    </row>
    <row r="4224" spans="2:2">
      <c r="B4224" s="21"/>
    </row>
    <row r="4225" spans="2:2">
      <c r="B4225" s="21"/>
    </row>
    <row r="4226" spans="2:2">
      <c r="B4226" s="21"/>
    </row>
    <row r="4227" spans="2:2">
      <c r="B4227" s="21"/>
    </row>
    <row r="4228" spans="2:2">
      <c r="B4228" s="21"/>
    </row>
    <row r="4229" spans="2:2">
      <c r="B4229" s="21"/>
    </row>
    <row r="4230" spans="2:2">
      <c r="B4230" s="21"/>
    </row>
    <row r="4231" spans="2:2">
      <c r="B4231" s="21"/>
    </row>
    <row r="4232" spans="2:2">
      <c r="B4232" s="21"/>
    </row>
    <row r="4233" spans="2:2">
      <c r="B4233" s="21"/>
    </row>
    <row r="4234" spans="2:2">
      <c r="B4234" s="21"/>
    </row>
    <row r="4235" spans="2:2">
      <c r="B4235" s="21"/>
    </row>
    <row r="4236" spans="2:2">
      <c r="B4236" s="21"/>
    </row>
    <row r="4237" spans="2:2">
      <c r="B4237" s="21"/>
    </row>
    <row r="4238" spans="2:2">
      <c r="B4238" s="21"/>
    </row>
    <row r="4239" spans="2:2">
      <c r="B4239" s="21"/>
    </row>
    <row r="4240" spans="2:2">
      <c r="B4240" s="21"/>
    </row>
    <row r="4241" spans="2:2">
      <c r="B4241" s="21"/>
    </row>
    <row r="4242" spans="2:2">
      <c r="B4242" s="21"/>
    </row>
    <row r="4243" spans="2:2">
      <c r="B4243" s="21"/>
    </row>
    <row r="4244" spans="2:2">
      <c r="B4244" s="21"/>
    </row>
    <row r="4245" spans="2:2">
      <c r="B4245" s="21"/>
    </row>
    <row r="4246" spans="2:2">
      <c r="B4246" s="21"/>
    </row>
    <row r="4247" spans="2:2">
      <c r="B4247" s="21"/>
    </row>
    <row r="4248" spans="2:2">
      <c r="B4248" s="21"/>
    </row>
    <row r="4249" spans="2:2">
      <c r="B4249" s="21"/>
    </row>
    <row r="4250" spans="2:2">
      <c r="B4250" s="21"/>
    </row>
    <row r="4251" spans="2:2">
      <c r="B4251" s="21"/>
    </row>
    <row r="4252" spans="2:2">
      <c r="B4252" s="21"/>
    </row>
    <row r="4253" spans="2:2">
      <c r="B4253" s="21"/>
    </row>
    <row r="4254" spans="2:2">
      <c r="B4254" s="21"/>
    </row>
    <row r="4255" spans="2:2">
      <c r="B4255" s="21"/>
    </row>
    <row r="4256" spans="2:2">
      <c r="B4256" s="21"/>
    </row>
    <row r="4257" spans="2:2">
      <c r="B4257" s="21"/>
    </row>
    <row r="4258" spans="2:2">
      <c r="B4258" s="21"/>
    </row>
    <row r="4259" spans="2:2">
      <c r="B4259" s="21"/>
    </row>
    <row r="4260" spans="2:2">
      <c r="B4260" s="21"/>
    </row>
    <row r="4261" spans="2:2">
      <c r="B4261" s="21"/>
    </row>
    <row r="4262" spans="2:2">
      <c r="B4262" s="21"/>
    </row>
    <row r="4263" spans="2:2">
      <c r="B4263" s="21"/>
    </row>
    <row r="4264" spans="2:2">
      <c r="B4264" s="21"/>
    </row>
    <row r="4265" spans="2:2">
      <c r="B4265" s="21"/>
    </row>
    <row r="4266" spans="2:2">
      <c r="B4266" s="21"/>
    </row>
    <row r="4267" spans="2:2">
      <c r="B4267" s="21"/>
    </row>
    <row r="4268" spans="2:2">
      <c r="B4268" s="21"/>
    </row>
    <row r="4269" spans="2:2">
      <c r="B4269" s="21"/>
    </row>
    <row r="4270" spans="2:2">
      <c r="B4270" s="21"/>
    </row>
    <row r="4271" spans="2:2">
      <c r="B4271" s="21"/>
    </row>
    <row r="4272" spans="2:2">
      <c r="B4272" s="21"/>
    </row>
    <row r="4273" spans="2:2">
      <c r="B4273" s="21"/>
    </row>
    <row r="4274" spans="2:2">
      <c r="B4274" s="21"/>
    </row>
    <row r="4275" spans="2:2">
      <c r="B4275" s="21"/>
    </row>
    <row r="4276" spans="2:2">
      <c r="B4276" s="21"/>
    </row>
    <row r="4277" spans="2:2">
      <c r="B4277" s="21"/>
    </row>
    <row r="4278" spans="2:2">
      <c r="B4278" s="21"/>
    </row>
    <row r="4279" spans="2:2">
      <c r="B4279" s="21"/>
    </row>
    <row r="4280" spans="2:2">
      <c r="B4280" s="21"/>
    </row>
    <row r="4281" spans="2:2">
      <c r="B4281" s="21"/>
    </row>
    <row r="4282" spans="2:2">
      <c r="B4282" s="21"/>
    </row>
    <row r="4283" spans="2:2">
      <c r="B4283" s="21"/>
    </row>
    <row r="4284" spans="2:2">
      <c r="B4284" s="21"/>
    </row>
    <row r="4285" spans="2:2">
      <c r="B4285" s="21"/>
    </row>
    <row r="4286" spans="2:2">
      <c r="B4286" s="21"/>
    </row>
    <row r="4287" spans="2:2">
      <c r="B4287" s="21"/>
    </row>
    <row r="4288" spans="2:2">
      <c r="B4288" s="21"/>
    </row>
    <row r="4289" spans="2:2">
      <c r="B4289" s="21"/>
    </row>
    <row r="4290" spans="2:2">
      <c r="B4290" s="21"/>
    </row>
    <row r="4291" spans="2:2">
      <c r="B4291" s="21"/>
    </row>
    <row r="4292" spans="2:2">
      <c r="B4292" s="21"/>
    </row>
    <row r="4293" spans="2:2">
      <c r="B4293" s="21"/>
    </row>
    <row r="4294" spans="2:2">
      <c r="B4294" s="21"/>
    </row>
    <row r="4295" spans="2:2">
      <c r="B4295" s="21"/>
    </row>
    <row r="4296" spans="2:2">
      <c r="B4296" s="21"/>
    </row>
    <row r="4297" spans="2:2">
      <c r="B4297" s="21"/>
    </row>
    <row r="4298" spans="2:2">
      <c r="B4298" s="21"/>
    </row>
    <row r="4299" spans="2:2">
      <c r="B4299" s="21"/>
    </row>
    <row r="4300" spans="2:2">
      <c r="B4300" s="21"/>
    </row>
    <row r="4301" spans="2:2">
      <c r="B4301" s="21"/>
    </row>
    <row r="4302" spans="2:2">
      <c r="B4302" s="21"/>
    </row>
    <row r="4303" spans="2:2">
      <c r="B4303" s="21"/>
    </row>
    <row r="4304" spans="2:2">
      <c r="B4304" s="21"/>
    </row>
    <row r="4305" spans="2:2">
      <c r="B4305" s="21"/>
    </row>
    <row r="4306" spans="2:2">
      <c r="B4306" s="21"/>
    </row>
    <row r="4307" spans="2:2">
      <c r="B4307" s="21"/>
    </row>
    <row r="4308" spans="2:2">
      <c r="B4308" s="21"/>
    </row>
    <row r="4309" spans="2:2">
      <c r="B4309" s="21"/>
    </row>
    <row r="4310" spans="2:2">
      <c r="B4310" s="21"/>
    </row>
    <row r="4311" spans="2:2">
      <c r="B4311" s="21"/>
    </row>
    <row r="4312" spans="2:2">
      <c r="B4312" s="21"/>
    </row>
    <row r="4313" spans="2:2">
      <c r="B4313" s="21"/>
    </row>
    <row r="4314" spans="2:2">
      <c r="B4314" s="21"/>
    </row>
    <row r="4315" spans="2:2">
      <c r="B4315" s="21"/>
    </row>
    <row r="4316" spans="2:2">
      <c r="B4316" s="21"/>
    </row>
    <row r="4317" spans="2:2">
      <c r="B4317" s="21"/>
    </row>
    <row r="4318" spans="2:2">
      <c r="B4318" s="21"/>
    </row>
    <row r="4319" spans="2:2">
      <c r="B4319" s="21"/>
    </row>
    <row r="4320" spans="2:2">
      <c r="B4320" s="21"/>
    </row>
    <row r="4321" spans="2:2">
      <c r="B4321" s="21"/>
    </row>
    <row r="4322" spans="2:2">
      <c r="B4322" s="21"/>
    </row>
    <row r="4323" spans="2:2">
      <c r="B4323" s="21"/>
    </row>
    <row r="4324" spans="2:2">
      <c r="B4324" s="21"/>
    </row>
    <row r="4325" spans="2:2">
      <c r="B4325" s="21"/>
    </row>
    <row r="4326" spans="2:2">
      <c r="B4326" s="21"/>
    </row>
    <row r="4327" spans="2:2">
      <c r="B4327" s="21"/>
    </row>
    <row r="4328" spans="2:2">
      <c r="B4328" s="21"/>
    </row>
    <row r="4329" spans="2:2">
      <c r="B4329" s="21"/>
    </row>
    <row r="4330" spans="2:2">
      <c r="B4330" s="21"/>
    </row>
    <row r="4331" spans="2:2">
      <c r="B4331" s="21"/>
    </row>
    <row r="4332" spans="2:2">
      <c r="B4332" s="21"/>
    </row>
    <row r="4333" spans="2:2">
      <c r="B4333" s="21"/>
    </row>
    <row r="4334" spans="2:2">
      <c r="B4334" s="21"/>
    </row>
    <row r="4335" spans="2:2">
      <c r="B4335" s="21"/>
    </row>
    <row r="4336" spans="2:2">
      <c r="B4336" s="21"/>
    </row>
    <row r="4337" spans="2:2">
      <c r="B4337" s="21"/>
    </row>
    <row r="4338" spans="2:2">
      <c r="B4338" s="21"/>
    </row>
    <row r="4339" spans="2:2">
      <c r="B4339" s="21"/>
    </row>
    <row r="4340" spans="2:2">
      <c r="B4340" s="21"/>
    </row>
    <row r="4341" spans="2:2">
      <c r="B4341" s="21"/>
    </row>
    <row r="4342" spans="2:2">
      <c r="B4342" s="21"/>
    </row>
    <row r="4343" spans="2:2">
      <c r="B4343" s="21"/>
    </row>
    <row r="4344" spans="2:2">
      <c r="B4344" s="21"/>
    </row>
    <row r="4345" spans="2:2">
      <c r="B4345" s="21"/>
    </row>
    <row r="4346" spans="2:2">
      <c r="B4346" s="21"/>
    </row>
    <row r="4347" spans="2:2">
      <c r="B4347" s="21"/>
    </row>
    <row r="4348" spans="2:2">
      <c r="B4348" s="21"/>
    </row>
    <row r="4349" spans="2:2">
      <c r="B4349" s="21"/>
    </row>
    <row r="4350" spans="2:2">
      <c r="B4350" s="21"/>
    </row>
    <row r="4351" spans="2:2">
      <c r="B4351" s="21"/>
    </row>
    <row r="4352" spans="2:2">
      <c r="B4352" s="21"/>
    </row>
    <row r="4353" spans="2:2">
      <c r="B4353" s="21"/>
    </row>
    <row r="4354" spans="2:2">
      <c r="B4354" s="21"/>
    </row>
    <row r="4355" spans="2:2">
      <c r="B4355" s="21"/>
    </row>
    <row r="4356" spans="2:2">
      <c r="B4356" s="21"/>
    </row>
    <row r="4357" spans="2:2">
      <c r="B4357" s="21"/>
    </row>
    <row r="4358" spans="2:2">
      <c r="B4358" s="21"/>
    </row>
    <row r="4359" spans="2:2">
      <c r="B4359" s="21"/>
    </row>
    <row r="4360" spans="2:2">
      <c r="B4360" s="21"/>
    </row>
    <row r="4361" spans="2:2">
      <c r="B4361" s="21"/>
    </row>
    <row r="4362" spans="2:2">
      <c r="B4362" s="21"/>
    </row>
    <row r="4363" spans="2:2">
      <c r="B4363" s="21"/>
    </row>
    <row r="4364" spans="2:2">
      <c r="B4364" s="21"/>
    </row>
    <row r="4365" spans="2:2">
      <c r="B4365" s="21"/>
    </row>
    <row r="4366" spans="2:2">
      <c r="B4366" s="21"/>
    </row>
    <row r="4367" spans="2:2">
      <c r="B4367" s="21"/>
    </row>
    <row r="4368" spans="2:2">
      <c r="B4368" s="21"/>
    </row>
    <row r="4369" spans="2:2">
      <c r="B4369" s="21"/>
    </row>
    <row r="4370" spans="2:2">
      <c r="B4370" s="21"/>
    </row>
    <row r="4371" spans="2:2">
      <c r="B4371" s="21"/>
    </row>
    <row r="4372" spans="2:2">
      <c r="B4372" s="21"/>
    </row>
    <row r="4373" spans="2:2">
      <c r="B4373" s="21"/>
    </row>
    <row r="4374" spans="2:2">
      <c r="B4374" s="21"/>
    </row>
    <row r="4375" spans="2:2">
      <c r="B4375" s="21"/>
    </row>
    <row r="4376" spans="2:2">
      <c r="B4376" s="21"/>
    </row>
    <row r="4377" spans="2:2">
      <c r="B4377" s="21"/>
    </row>
    <row r="4378" spans="2:2">
      <c r="B4378" s="21"/>
    </row>
    <row r="4379" spans="2:2">
      <c r="B4379" s="21"/>
    </row>
    <row r="4380" spans="2:2">
      <c r="B4380" s="21"/>
    </row>
    <row r="4381" spans="2:2">
      <c r="B4381" s="21"/>
    </row>
    <row r="4382" spans="2:2">
      <c r="B4382" s="21"/>
    </row>
    <row r="4383" spans="2:2">
      <c r="B4383" s="21"/>
    </row>
    <row r="4384" spans="2:2">
      <c r="B4384" s="21"/>
    </row>
    <row r="4385" spans="2:2">
      <c r="B4385" s="21"/>
    </row>
    <row r="4386" spans="2:2">
      <c r="B4386" s="21"/>
    </row>
    <row r="4387" spans="2:2">
      <c r="B4387" s="21"/>
    </row>
    <row r="4388" spans="2:2">
      <c r="B4388" s="21"/>
    </row>
    <row r="4389" spans="2:2">
      <c r="B4389" s="21"/>
    </row>
    <row r="4390" spans="2:2">
      <c r="B4390" s="21"/>
    </row>
    <row r="4391" spans="2:2">
      <c r="B4391" s="21"/>
    </row>
    <row r="4392" spans="2:2">
      <c r="B4392" s="21"/>
    </row>
    <row r="4393" spans="2:2">
      <c r="B4393" s="21"/>
    </row>
    <row r="4394" spans="2:2">
      <c r="B4394" s="21"/>
    </row>
    <row r="4395" spans="2:2">
      <c r="B4395" s="21"/>
    </row>
    <row r="4396" spans="2:2">
      <c r="B4396" s="21"/>
    </row>
    <row r="4397" spans="2:2">
      <c r="B4397" s="21"/>
    </row>
    <row r="4398" spans="2:2">
      <c r="B4398" s="21"/>
    </row>
    <row r="4399" spans="2:2">
      <c r="B4399" s="21"/>
    </row>
    <row r="4400" spans="2:2">
      <c r="B4400" s="21"/>
    </row>
    <row r="4401" spans="2:2">
      <c r="B4401" s="21"/>
    </row>
    <row r="4402" spans="2:2">
      <c r="B4402" s="21"/>
    </row>
    <row r="4403" spans="2:2">
      <c r="B4403" s="21"/>
    </row>
    <row r="4404" spans="2:2">
      <c r="B4404" s="21"/>
    </row>
    <row r="4405" spans="2:2">
      <c r="B4405" s="21"/>
    </row>
    <row r="4406" spans="2:2">
      <c r="B4406" s="21"/>
    </row>
    <row r="4407" spans="2:2">
      <c r="B4407" s="21"/>
    </row>
    <row r="4408" spans="2:2">
      <c r="B4408" s="21"/>
    </row>
    <row r="4409" spans="2:2">
      <c r="B4409" s="21"/>
    </row>
    <row r="4410" spans="2:2">
      <c r="B4410" s="21"/>
    </row>
    <row r="4411" spans="2:2">
      <c r="B4411" s="21"/>
    </row>
    <row r="4412" spans="2:2">
      <c r="B4412" s="21"/>
    </row>
    <row r="4413" spans="2:2">
      <c r="B4413" s="21"/>
    </row>
    <row r="4414" spans="2:2">
      <c r="B4414" s="21"/>
    </row>
    <row r="4415" spans="2:2">
      <c r="B4415" s="21"/>
    </row>
    <row r="4416" spans="2:2">
      <c r="B4416" s="21"/>
    </row>
    <row r="4417" spans="2:2">
      <c r="B4417" s="21"/>
    </row>
    <row r="4418" spans="2:2">
      <c r="B4418" s="21"/>
    </row>
    <row r="4419" spans="2:2">
      <c r="B4419" s="21"/>
    </row>
    <row r="4420" spans="2:2">
      <c r="B4420" s="21"/>
    </row>
    <row r="4421" spans="2:2">
      <c r="B4421" s="21"/>
    </row>
    <row r="4422" spans="2:2">
      <c r="B4422" s="21"/>
    </row>
    <row r="4423" spans="2:2">
      <c r="B4423" s="21"/>
    </row>
    <row r="4424" spans="2:2">
      <c r="B4424" s="21"/>
    </row>
    <row r="4425" spans="2:2">
      <c r="B4425" s="21"/>
    </row>
    <row r="4426" spans="2:2">
      <c r="B4426" s="21"/>
    </row>
    <row r="4427" spans="2:2">
      <c r="B4427" s="21"/>
    </row>
    <row r="4428" spans="2:2">
      <c r="B4428" s="21"/>
    </row>
    <row r="4429" spans="2:2">
      <c r="B4429" s="21"/>
    </row>
    <row r="4430" spans="2:2">
      <c r="B4430" s="21"/>
    </row>
    <row r="4431" spans="2:2">
      <c r="B4431" s="21"/>
    </row>
    <row r="4432" spans="2:2">
      <c r="B4432" s="21"/>
    </row>
    <row r="4433" spans="2:2">
      <c r="B4433" s="21"/>
    </row>
    <row r="4434" spans="2:2">
      <c r="B4434" s="21"/>
    </row>
    <row r="4435" spans="2:2">
      <c r="B4435" s="21"/>
    </row>
    <row r="4436" spans="2:2">
      <c r="B4436" s="21"/>
    </row>
    <row r="4437" spans="2:2">
      <c r="B4437" s="21"/>
    </row>
    <row r="4438" spans="2:2">
      <c r="B4438" s="21"/>
    </row>
    <row r="4439" spans="2:2">
      <c r="B4439" s="21"/>
    </row>
    <row r="4440" spans="2:2">
      <c r="B4440" s="21"/>
    </row>
    <row r="4441" spans="2:2">
      <c r="B4441" s="21"/>
    </row>
    <row r="4442" spans="2:2">
      <c r="B4442" s="21"/>
    </row>
    <row r="4443" spans="2:2">
      <c r="B4443" s="21"/>
    </row>
    <row r="4444" spans="2:2">
      <c r="B4444" s="21"/>
    </row>
    <row r="4445" spans="2:2">
      <c r="B4445" s="21"/>
    </row>
    <row r="4446" spans="2:2">
      <c r="B4446" s="21"/>
    </row>
    <row r="4447" spans="2:2">
      <c r="B4447" s="21"/>
    </row>
    <row r="4448" spans="2:2">
      <c r="B4448" s="21"/>
    </row>
    <row r="4449" spans="2:2">
      <c r="B4449" s="21"/>
    </row>
    <row r="4450" spans="2:2">
      <c r="B4450" s="21"/>
    </row>
    <row r="4451" spans="2:2">
      <c r="B4451" s="21"/>
    </row>
    <row r="4452" spans="2:2">
      <c r="B4452" s="21"/>
    </row>
    <row r="4453" spans="2:2">
      <c r="B4453" s="21"/>
    </row>
    <row r="4454" spans="2:2">
      <c r="B4454" s="21"/>
    </row>
    <row r="4455" spans="2:2">
      <c r="B4455" s="21"/>
    </row>
    <row r="4456" spans="2:2">
      <c r="B4456" s="21"/>
    </row>
    <row r="4457" spans="2:2">
      <c r="B4457" s="21"/>
    </row>
    <row r="4458" spans="2:2">
      <c r="B4458" s="21"/>
    </row>
    <row r="4459" spans="2:2">
      <c r="B4459" s="21"/>
    </row>
    <row r="4460" spans="2:2">
      <c r="B4460" s="21"/>
    </row>
    <row r="4461" spans="2:2">
      <c r="B4461" s="21"/>
    </row>
    <row r="4462" spans="2:2">
      <c r="B4462" s="21"/>
    </row>
    <row r="4463" spans="2:2">
      <c r="B4463" s="21"/>
    </row>
    <row r="4464" spans="2:2">
      <c r="B4464" s="21"/>
    </row>
    <row r="4465" spans="2:2">
      <c r="B4465" s="21"/>
    </row>
    <row r="4466" spans="2:2">
      <c r="B4466" s="21"/>
    </row>
    <row r="4467" spans="2:2">
      <c r="B4467" s="21"/>
    </row>
    <row r="4468" spans="2:2">
      <c r="B4468" s="21"/>
    </row>
    <row r="4469" spans="2:2">
      <c r="B4469" s="21"/>
    </row>
    <row r="4470" spans="2:2">
      <c r="B4470" s="21"/>
    </row>
    <row r="4471" spans="2:2">
      <c r="B4471" s="21"/>
    </row>
    <row r="4472" spans="2:2">
      <c r="B4472" s="21"/>
    </row>
    <row r="4473" spans="2:2">
      <c r="B4473" s="21"/>
    </row>
    <row r="4474" spans="2:2">
      <c r="B4474" s="21"/>
    </row>
    <row r="4475" spans="2:2">
      <c r="B4475" s="21"/>
    </row>
    <row r="4476" spans="2:2">
      <c r="B4476" s="21"/>
    </row>
    <row r="4477" spans="2:2">
      <c r="B4477" s="21"/>
    </row>
    <row r="4478" spans="2:2">
      <c r="B4478" s="21"/>
    </row>
    <row r="4479" spans="2:2">
      <c r="B4479" s="21"/>
    </row>
    <row r="4480" spans="2:2">
      <c r="B4480" s="21"/>
    </row>
    <row r="4481" spans="2:2">
      <c r="B4481" s="21"/>
    </row>
    <row r="4482" spans="2:2">
      <c r="B4482" s="21"/>
    </row>
    <row r="4483" spans="2:2">
      <c r="B4483" s="21"/>
    </row>
    <row r="4484" spans="2:2">
      <c r="B4484" s="21"/>
    </row>
    <row r="4485" spans="2:2">
      <c r="B4485" s="21"/>
    </row>
    <row r="4486" spans="2:2">
      <c r="B4486" s="21"/>
    </row>
    <row r="4487" spans="2:2">
      <c r="B4487" s="21"/>
    </row>
    <row r="4488" spans="2:2">
      <c r="B4488" s="21"/>
    </row>
    <row r="4489" spans="2:2">
      <c r="B4489" s="21"/>
    </row>
    <row r="4490" spans="2:2">
      <c r="B4490" s="21"/>
    </row>
    <row r="4491" spans="2:2">
      <c r="B4491" s="21"/>
    </row>
    <row r="4492" spans="2:2">
      <c r="B4492" s="21"/>
    </row>
    <row r="4493" spans="2:2">
      <c r="B4493" s="21"/>
    </row>
    <row r="4494" spans="2:2">
      <c r="B4494" s="21"/>
    </row>
    <row r="4495" spans="2:2">
      <c r="B4495" s="21"/>
    </row>
    <row r="4496" spans="2:2">
      <c r="B4496" s="21"/>
    </row>
    <row r="4497" spans="2:2">
      <c r="B4497" s="21"/>
    </row>
    <row r="4498" spans="2:2">
      <c r="B4498" s="21"/>
    </row>
    <row r="4499" spans="2:2">
      <c r="B4499" s="21"/>
    </row>
    <row r="4500" spans="2:2">
      <c r="B4500" s="21"/>
    </row>
    <row r="4501" spans="2:2">
      <c r="B4501" s="21"/>
    </row>
    <row r="4502" spans="2:2">
      <c r="B4502" s="21"/>
    </row>
    <row r="4503" spans="2:2">
      <c r="B4503" s="21"/>
    </row>
    <row r="4504" spans="2:2">
      <c r="B4504" s="21"/>
    </row>
    <row r="4505" spans="2:2">
      <c r="B4505" s="21"/>
    </row>
    <row r="4506" spans="2:2">
      <c r="B4506" s="21"/>
    </row>
    <row r="4507" spans="2:2">
      <c r="B4507" s="21"/>
    </row>
    <row r="4508" spans="2:2">
      <c r="B4508" s="21"/>
    </row>
    <row r="4509" spans="2:2">
      <c r="B4509" s="21"/>
    </row>
    <row r="4510" spans="2:2">
      <c r="B4510" s="21"/>
    </row>
    <row r="4511" spans="2:2">
      <c r="B4511" s="21"/>
    </row>
    <row r="4512" spans="2:2">
      <c r="B4512" s="21"/>
    </row>
    <row r="4513" spans="2:2">
      <c r="B4513" s="21"/>
    </row>
    <row r="4514" spans="2:2">
      <c r="B4514" s="21"/>
    </row>
    <row r="4515" spans="2:2">
      <c r="B4515" s="21"/>
    </row>
    <row r="4516" spans="2:2">
      <c r="B4516" s="21"/>
    </row>
    <row r="4517" spans="2:2">
      <c r="B4517" s="21"/>
    </row>
    <row r="4518" spans="2:2">
      <c r="B4518" s="21"/>
    </row>
    <row r="4519" spans="2:2">
      <c r="B4519" s="21"/>
    </row>
    <row r="4520" spans="2:2">
      <c r="B4520" s="21"/>
    </row>
    <row r="4521" spans="2:2">
      <c r="B4521" s="21"/>
    </row>
    <row r="4522" spans="2:2">
      <c r="B4522" s="21"/>
    </row>
    <row r="4523" spans="2:2">
      <c r="B4523" s="21"/>
    </row>
    <row r="4524" spans="2:2">
      <c r="B4524" s="21"/>
    </row>
    <row r="4525" spans="2:2">
      <c r="B4525" s="21"/>
    </row>
    <row r="4526" spans="2:2">
      <c r="B4526" s="21"/>
    </row>
    <row r="4527" spans="2:2">
      <c r="B4527" s="21"/>
    </row>
    <row r="4528" spans="2:2">
      <c r="B4528" s="21"/>
    </row>
    <row r="4529" spans="2:2">
      <c r="B4529" s="21"/>
    </row>
    <row r="4530" spans="2:2">
      <c r="B4530" s="21"/>
    </row>
    <row r="4531" spans="2:2">
      <c r="B4531" s="21"/>
    </row>
    <row r="4532" spans="2:2">
      <c r="B4532" s="21"/>
    </row>
    <row r="4533" spans="2:2">
      <c r="B4533" s="21"/>
    </row>
    <row r="4534" spans="2:2">
      <c r="B4534" s="21"/>
    </row>
    <row r="4535" spans="2:2">
      <c r="B4535" s="21"/>
    </row>
    <row r="4536" spans="2:2">
      <c r="B4536" s="21"/>
    </row>
    <row r="4537" spans="2:2">
      <c r="B4537" s="21"/>
    </row>
    <row r="4538" spans="2:2">
      <c r="B4538" s="21"/>
    </row>
    <row r="4539" spans="2:2">
      <c r="B4539" s="21"/>
    </row>
    <row r="4540" spans="2:2">
      <c r="B4540" s="21"/>
    </row>
    <row r="4541" spans="2:2">
      <c r="B4541" s="21"/>
    </row>
    <row r="4542" spans="2:2">
      <c r="B4542" s="21"/>
    </row>
    <row r="4543" spans="2:2">
      <c r="B4543" s="21"/>
    </row>
    <row r="4544" spans="2:2">
      <c r="B4544" s="21"/>
    </row>
    <row r="4545" spans="2:2">
      <c r="B4545" s="21"/>
    </row>
    <row r="4546" spans="2:2">
      <c r="B4546" s="21"/>
    </row>
    <row r="4547" spans="2:2">
      <c r="B4547" s="21"/>
    </row>
    <row r="4548" spans="2:2">
      <c r="B4548" s="21"/>
    </row>
    <row r="4549" spans="2:2">
      <c r="B4549" s="21"/>
    </row>
    <row r="4550" spans="2:2">
      <c r="B4550" s="21"/>
    </row>
    <row r="4551" spans="2:2">
      <c r="B4551" s="21"/>
    </row>
    <row r="4552" spans="2:2">
      <c r="B4552" s="21"/>
    </row>
    <row r="4553" spans="2:2">
      <c r="B4553" s="21"/>
    </row>
    <row r="4554" spans="2:2">
      <c r="B4554" s="21"/>
    </row>
    <row r="4555" spans="2:2">
      <c r="B4555" s="21"/>
    </row>
    <row r="4556" spans="2:2">
      <c r="B4556" s="21"/>
    </row>
    <row r="4557" spans="2:2">
      <c r="B4557" s="21"/>
    </row>
    <row r="4558" spans="2:2">
      <c r="B4558" s="21"/>
    </row>
    <row r="4559" spans="2:2">
      <c r="B4559" s="21"/>
    </row>
    <row r="4560" spans="2:2">
      <c r="B4560" s="21"/>
    </row>
    <row r="4561" spans="2:2">
      <c r="B4561" s="21"/>
    </row>
    <row r="4562" spans="2:2">
      <c r="B4562" s="21"/>
    </row>
    <row r="4563" spans="2:2">
      <c r="B4563" s="21"/>
    </row>
    <row r="4564" spans="2:2">
      <c r="B4564" s="21"/>
    </row>
    <row r="4565" spans="2:2">
      <c r="B4565" s="21"/>
    </row>
    <row r="4566" spans="2:2">
      <c r="B4566" s="21"/>
    </row>
    <row r="4567" spans="2:2">
      <c r="B4567" s="21"/>
    </row>
    <row r="4568" spans="2:2">
      <c r="B4568" s="21"/>
    </row>
    <row r="4569" spans="2:2">
      <c r="B4569" s="21"/>
    </row>
    <row r="4570" spans="2:2">
      <c r="B4570" s="21"/>
    </row>
    <row r="4571" spans="2:2">
      <c r="B4571" s="21"/>
    </row>
    <row r="4572" spans="2:2">
      <c r="B4572" s="21"/>
    </row>
    <row r="4573" spans="2:2">
      <c r="B4573" s="21"/>
    </row>
    <row r="4574" spans="2:2">
      <c r="B4574" s="21"/>
    </row>
    <row r="4575" spans="2:2">
      <c r="B4575" s="21"/>
    </row>
    <row r="4576" spans="2:2">
      <c r="B4576" s="21"/>
    </row>
    <row r="4577" spans="2:2">
      <c r="B4577" s="21"/>
    </row>
    <row r="4578" spans="2:2">
      <c r="B4578" s="21"/>
    </row>
    <row r="4579" spans="2:2">
      <c r="B4579" s="21"/>
    </row>
    <row r="4580" spans="2:2">
      <c r="B4580" s="21"/>
    </row>
    <row r="4581" spans="2:2">
      <c r="B4581" s="21"/>
    </row>
    <row r="4582" spans="2:2">
      <c r="B4582" s="21"/>
    </row>
    <row r="4583" spans="2:2">
      <c r="B4583" s="21"/>
    </row>
    <row r="4584" spans="2:2">
      <c r="B4584" s="21"/>
    </row>
    <row r="4585" spans="2:2">
      <c r="B4585" s="21"/>
    </row>
    <row r="4586" spans="2:2">
      <c r="B4586" s="21"/>
    </row>
    <row r="4587" spans="2:2">
      <c r="B4587" s="21"/>
    </row>
    <row r="4588" spans="2:2">
      <c r="B4588" s="21"/>
    </row>
    <row r="4589" spans="2:2">
      <c r="B4589" s="21"/>
    </row>
    <row r="4590" spans="2:2">
      <c r="B4590" s="21"/>
    </row>
    <row r="4591" spans="2:2">
      <c r="B4591" s="21"/>
    </row>
    <row r="4592" spans="2:2">
      <c r="B4592" s="21"/>
    </row>
    <row r="4593" spans="2:2">
      <c r="B4593" s="21"/>
    </row>
    <row r="4594" spans="2:2">
      <c r="B4594" s="21"/>
    </row>
    <row r="4595" spans="2:2">
      <c r="B4595" s="21"/>
    </row>
    <row r="4596" spans="2:2">
      <c r="B4596" s="21"/>
    </row>
    <row r="4597" spans="2:2">
      <c r="B4597" s="21"/>
    </row>
    <row r="4598" spans="2:2">
      <c r="B4598" s="21"/>
    </row>
    <row r="4599" spans="2:2">
      <c r="B4599" s="21"/>
    </row>
    <row r="4600" spans="2:2">
      <c r="B4600" s="21"/>
    </row>
    <row r="4601" spans="2:2">
      <c r="B4601" s="21"/>
    </row>
    <row r="4602" spans="2:2">
      <c r="B4602" s="21"/>
    </row>
    <row r="4603" spans="2:2">
      <c r="B4603" s="21"/>
    </row>
    <row r="4604" spans="2:2">
      <c r="B4604" s="21"/>
    </row>
    <row r="4605" spans="2:2">
      <c r="B4605" s="21"/>
    </row>
    <row r="4606" spans="2:2">
      <c r="B4606" s="21"/>
    </row>
    <row r="4607" spans="2:2">
      <c r="B4607" s="21"/>
    </row>
    <row r="4608" spans="2:2">
      <c r="B4608" s="21"/>
    </row>
    <row r="4609" spans="2:2">
      <c r="B4609" s="21"/>
    </row>
    <row r="4610" spans="2:2">
      <c r="B4610" s="21"/>
    </row>
    <row r="4611" spans="2:2">
      <c r="B4611" s="21"/>
    </row>
    <row r="4612" spans="2:2">
      <c r="B4612" s="21"/>
    </row>
    <row r="4613" spans="2:2">
      <c r="B4613" s="21"/>
    </row>
    <row r="4614" spans="2:2">
      <c r="B4614" s="21"/>
    </row>
    <row r="4615" spans="2:2">
      <c r="B4615" s="21"/>
    </row>
    <row r="4616" spans="2:2">
      <c r="B4616" s="21"/>
    </row>
    <row r="4617" spans="2:2">
      <c r="B4617" s="21"/>
    </row>
    <row r="4618" spans="2:2">
      <c r="B4618" s="21"/>
    </row>
    <row r="4619" spans="2:2">
      <c r="B4619" s="21"/>
    </row>
    <row r="4620" spans="2:2">
      <c r="B4620" s="21"/>
    </row>
    <row r="4621" spans="2:2">
      <c r="B4621" s="21"/>
    </row>
    <row r="4622" spans="2:2">
      <c r="B4622" s="21"/>
    </row>
    <row r="4623" spans="2:2">
      <c r="B4623" s="21"/>
    </row>
    <row r="4624" spans="2:2">
      <c r="B4624" s="21"/>
    </row>
    <row r="4625" spans="2:2">
      <c r="B4625" s="21"/>
    </row>
    <row r="4626" spans="2:2">
      <c r="B4626" s="21"/>
    </row>
    <row r="4627" spans="2:2">
      <c r="B4627" s="21"/>
    </row>
    <row r="4628" spans="2:2">
      <c r="B4628" s="21"/>
    </row>
    <row r="4629" spans="2:2">
      <c r="B4629" s="21"/>
    </row>
    <row r="4630" spans="2:2">
      <c r="B4630" s="21"/>
    </row>
    <row r="4631" spans="2:2">
      <c r="B4631" s="21"/>
    </row>
    <row r="4632" spans="2:2">
      <c r="B4632" s="21"/>
    </row>
    <row r="4633" spans="2:2">
      <c r="B4633" s="21"/>
    </row>
    <row r="4634" spans="2:2">
      <c r="B4634" s="21"/>
    </row>
    <row r="4635" spans="2:2">
      <c r="B4635" s="21"/>
    </row>
    <row r="4636" spans="2:2">
      <c r="B4636" s="21"/>
    </row>
    <row r="4637" spans="2:2">
      <c r="B4637" s="21"/>
    </row>
    <row r="4638" spans="2:2">
      <c r="B4638" s="21"/>
    </row>
    <row r="4639" spans="2:2">
      <c r="B4639" s="21"/>
    </row>
    <row r="4640" spans="2:2">
      <c r="B4640" s="21"/>
    </row>
    <row r="4641" spans="2:2">
      <c r="B4641" s="21"/>
    </row>
    <row r="4642" spans="2:2">
      <c r="B4642" s="21"/>
    </row>
    <row r="4643" spans="2:2">
      <c r="B4643" s="21"/>
    </row>
    <row r="4644" spans="2:2">
      <c r="B4644" s="21"/>
    </row>
    <row r="4645" spans="2:2">
      <c r="B4645" s="21"/>
    </row>
    <row r="4646" spans="2:2">
      <c r="B4646" s="21"/>
    </row>
    <row r="4647" spans="2:2">
      <c r="B4647" s="21"/>
    </row>
    <row r="4648" spans="2:2">
      <c r="B4648" s="21"/>
    </row>
    <row r="4649" spans="2:2">
      <c r="B4649" s="21"/>
    </row>
    <row r="4650" spans="2:2">
      <c r="B4650" s="21"/>
    </row>
    <row r="4651" spans="2:2">
      <c r="B4651" s="21"/>
    </row>
    <row r="4652" spans="2:2">
      <c r="B4652" s="21"/>
    </row>
    <row r="4653" spans="2:2">
      <c r="B4653" s="21"/>
    </row>
    <row r="4654" spans="2:2">
      <c r="B4654" s="21"/>
    </row>
    <row r="4655" spans="2:2">
      <c r="B4655" s="21"/>
    </row>
    <row r="4656" spans="2:2">
      <c r="B4656" s="21"/>
    </row>
    <row r="4657" spans="2:2">
      <c r="B4657" s="21"/>
    </row>
    <row r="4658" spans="2:2">
      <c r="B4658" s="21"/>
    </row>
    <row r="4659" spans="2:2">
      <c r="B4659" s="21"/>
    </row>
    <row r="4660" spans="2:2">
      <c r="B4660" s="21"/>
    </row>
    <row r="4661" spans="2:2">
      <c r="B4661" s="21"/>
    </row>
    <row r="4662" spans="2:2">
      <c r="B4662" s="21"/>
    </row>
    <row r="4663" spans="2:2">
      <c r="B4663" s="21"/>
    </row>
    <row r="4664" spans="2:2">
      <c r="B4664" s="21"/>
    </row>
    <row r="4665" spans="2:2">
      <c r="B4665" s="21"/>
    </row>
    <row r="4666" spans="2:2">
      <c r="B4666" s="21"/>
    </row>
    <row r="4667" spans="2:2">
      <c r="B4667" s="21"/>
    </row>
    <row r="4668" spans="2:2">
      <c r="B4668" s="21"/>
    </row>
    <row r="4669" spans="2:2">
      <c r="B4669" s="21"/>
    </row>
    <row r="4670" spans="2:2">
      <c r="B4670" s="21"/>
    </row>
    <row r="4671" spans="2:2">
      <c r="B4671" s="21"/>
    </row>
    <row r="4672" spans="2:2">
      <c r="B4672" s="21"/>
    </row>
    <row r="4673" spans="2:2">
      <c r="B4673" s="21"/>
    </row>
    <row r="4674" spans="2:2">
      <c r="B4674" s="21"/>
    </row>
    <row r="4675" spans="2:2">
      <c r="B4675" s="21"/>
    </row>
    <row r="4676" spans="2:2">
      <c r="B4676" s="21"/>
    </row>
    <row r="4677" spans="2:2">
      <c r="B4677" s="21"/>
    </row>
    <row r="4678" spans="2:2">
      <c r="B4678" s="21"/>
    </row>
    <row r="4679" spans="2:2">
      <c r="B4679" s="21"/>
    </row>
    <row r="4680" spans="2:2">
      <c r="B4680" s="21"/>
    </row>
    <row r="4681" spans="2:2">
      <c r="B4681" s="21"/>
    </row>
    <row r="4682" spans="2:2">
      <c r="B4682" s="21"/>
    </row>
    <row r="4683" spans="2:2">
      <c r="B4683" s="21"/>
    </row>
    <row r="4684" spans="2:2">
      <c r="B4684" s="21"/>
    </row>
    <row r="4685" spans="2:2">
      <c r="B4685" s="21"/>
    </row>
    <row r="4686" spans="2:2">
      <c r="B4686" s="21"/>
    </row>
    <row r="4687" spans="2:2">
      <c r="B4687" s="21"/>
    </row>
    <row r="4688" spans="2:2">
      <c r="B4688" s="21"/>
    </row>
    <row r="4689" spans="2:2">
      <c r="B4689" s="21"/>
    </row>
    <row r="4690" spans="2:2">
      <c r="B4690" s="21"/>
    </row>
    <row r="4691" spans="2:2">
      <c r="B4691" s="21"/>
    </row>
    <row r="4692" spans="2:2">
      <c r="B4692" s="21"/>
    </row>
    <row r="4693" spans="2:2">
      <c r="B4693" s="21"/>
    </row>
    <row r="4694" spans="2:2">
      <c r="B4694" s="21"/>
    </row>
    <row r="4695" spans="2:2">
      <c r="B4695" s="21"/>
    </row>
    <row r="4696" spans="2:2">
      <c r="B4696" s="21"/>
    </row>
    <row r="4697" spans="2:2">
      <c r="B4697" s="21"/>
    </row>
    <row r="4698" spans="2:2">
      <c r="B4698" s="21"/>
    </row>
    <row r="4699" spans="2:2">
      <c r="B4699" s="21"/>
    </row>
    <row r="4700" spans="2:2">
      <c r="B4700" s="21"/>
    </row>
    <row r="4701" spans="2:2">
      <c r="B4701" s="21"/>
    </row>
    <row r="4702" spans="2:2">
      <c r="B4702" s="21"/>
    </row>
    <row r="4703" spans="2:2">
      <c r="B4703" s="21"/>
    </row>
    <row r="4704" spans="2:2">
      <c r="B4704" s="21"/>
    </row>
    <row r="4705" spans="2:2">
      <c r="B4705" s="21"/>
    </row>
    <row r="4706" spans="2:2">
      <c r="B4706" s="21"/>
    </row>
    <row r="4707" spans="2:2">
      <c r="B4707" s="21"/>
    </row>
    <row r="4708" spans="2:2">
      <c r="B4708" s="21"/>
    </row>
    <row r="4709" spans="2:2">
      <c r="B4709" s="21"/>
    </row>
    <row r="4710" spans="2:2">
      <c r="B4710" s="21"/>
    </row>
    <row r="4711" spans="2:2">
      <c r="B4711" s="21"/>
    </row>
    <row r="4712" spans="2:2">
      <c r="B4712" s="21"/>
    </row>
    <row r="4713" spans="2:2">
      <c r="B4713" s="21"/>
    </row>
    <row r="4714" spans="2:2">
      <c r="B4714" s="21"/>
    </row>
    <row r="4715" spans="2:2">
      <c r="B4715" s="21"/>
    </row>
    <row r="4716" spans="2:2">
      <c r="B4716" s="21"/>
    </row>
    <row r="4717" spans="2:2">
      <c r="B4717" s="21"/>
    </row>
    <row r="4718" spans="2:2">
      <c r="B4718" s="21"/>
    </row>
    <row r="4719" spans="2:2">
      <c r="B4719" s="21"/>
    </row>
    <row r="4720" spans="2:2">
      <c r="B4720" s="21"/>
    </row>
    <row r="4721" spans="2:2">
      <c r="B4721" s="21"/>
    </row>
    <row r="4722" spans="2:2">
      <c r="B4722" s="21"/>
    </row>
    <row r="4723" spans="2:2">
      <c r="B4723" s="21"/>
    </row>
    <row r="4724" spans="2:2">
      <c r="B4724" s="21"/>
    </row>
    <row r="4725" spans="2:2">
      <c r="B4725" s="21"/>
    </row>
    <row r="4726" spans="2:2">
      <c r="B4726" s="21"/>
    </row>
    <row r="4727" spans="2:2">
      <c r="B4727" s="21"/>
    </row>
    <row r="4728" spans="2:2">
      <c r="B4728" s="21"/>
    </row>
    <row r="4729" spans="2:2">
      <c r="B4729" s="21"/>
    </row>
    <row r="4730" spans="2:2">
      <c r="B4730" s="21"/>
    </row>
    <row r="4731" spans="2:2">
      <c r="B4731" s="21"/>
    </row>
    <row r="4732" spans="2:2">
      <c r="B4732" s="21"/>
    </row>
    <row r="4733" spans="2:2">
      <c r="B4733" s="21"/>
    </row>
    <row r="4734" spans="2:2">
      <c r="B4734" s="21"/>
    </row>
    <row r="4735" spans="2:2">
      <c r="B4735" s="21"/>
    </row>
    <row r="4736" spans="2:2">
      <c r="B4736" s="21"/>
    </row>
    <row r="4737" spans="2:2">
      <c r="B4737" s="21"/>
    </row>
    <row r="4738" spans="2:2">
      <c r="B4738" s="21"/>
    </row>
    <row r="4739" spans="2:2">
      <c r="B4739" s="21"/>
    </row>
    <row r="4740" spans="2:2">
      <c r="B4740" s="21"/>
    </row>
    <row r="4741" spans="2:2">
      <c r="B4741" s="21"/>
    </row>
    <row r="4742" spans="2:2">
      <c r="B4742" s="21"/>
    </row>
    <row r="4743" spans="2:2">
      <c r="B4743" s="21"/>
    </row>
    <row r="4744" spans="2:2">
      <c r="B4744" s="21"/>
    </row>
    <row r="4745" spans="2:2">
      <c r="B4745" s="21"/>
    </row>
    <row r="4746" spans="2:2">
      <c r="B4746" s="21"/>
    </row>
    <row r="4747" spans="2:2">
      <c r="B4747" s="21"/>
    </row>
    <row r="4748" spans="2:2">
      <c r="B4748" s="21"/>
    </row>
    <row r="4749" spans="2:2">
      <c r="B4749" s="21"/>
    </row>
    <row r="4750" spans="2:2">
      <c r="B4750" s="21"/>
    </row>
    <row r="4751" spans="2:2">
      <c r="B4751" s="21"/>
    </row>
    <row r="4752" spans="2:2">
      <c r="B4752" s="21"/>
    </row>
    <row r="4753" spans="2:2">
      <c r="B4753" s="21"/>
    </row>
    <row r="4754" spans="2:2">
      <c r="B4754" s="21"/>
    </row>
    <row r="4755" spans="2:2">
      <c r="B4755" s="21"/>
    </row>
    <row r="4756" spans="2:2">
      <c r="B4756" s="21"/>
    </row>
    <row r="4757" spans="2:2">
      <c r="B4757" s="21"/>
    </row>
    <row r="4758" spans="2:2">
      <c r="B4758" s="21"/>
    </row>
    <row r="4759" spans="2:2">
      <c r="B4759" s="21"/>
    </row>
    <row r="4760" spans="2:2">
      <c r="B4760" s="21"/>
    </row>
    <row r="4761" spans="2:2">
      <c r="B4761" s="21"/>
    </row>
    <row r="4762" spans="2:2">
      <c r="B4762" s="21"/>
    </row>
    <row r="4763" spans="2:2">
      <c r="B4763" s="21"/>
    </row>
    <row r="4764" spans="2:2">
      <c r="B4764" s="21"/>
    </row>
    <row r="4765" spans="2:2">
      <c r="B4765" s="21"/>
    </row>
    <row r="4766" spans="2:2">
      <c r="B4766" s="21"/>
    </row>
    <row r="4767" spans="2:2">
      <c r="B4767" s="21"/>
    </row>
    <row r="4768" spans="2:2">
      <c r="B4768" s="21"/>
    </row>
    <row r="4769" spans="2:2">
      <c r="B4769" s="21"/>
    </row>
    <row r="4770" spans="2:2">
      <c r="B4770" s="21"/>
    </row>
    <row r="4771" spans="2:2">
      <c r="B4771" s="21"/>
    </row>
    <row r="4772" spans="2:2">
      <c r="B4772" s="21"/>
    </row>
    <row r="4773" spans="2:2">
      <c r="B4773" s="21"/>
    </row>
    <row r="4774" spans="2:2">
      <c r="B4774" s="21"/>
    </row>
    <row r="4775" spans="2:2">
      <c r="B4775" s="21"/>
    </row>
    <row r="4776" spans="2:2">
      <c r="B4776" s="21"/>
    </row>
    <row r="4777" spans="2:2">
      <c r="B4777" s="21"/>
    </row>
    <row r="4778" spans="2:2">
      <c r="B4778" s="21"/>
    </row>
    <row r="4779" spans="2:2">
      <c r="B4779" s="21"/>
    </row>
    <row r="4780" spans="2:2">
      <c r="B4780" s="21"/>
    </row>
    <row r="4781" spans="2:2">
      <c r="B4781" s="21"/>
    </row>
    <row r="4782" spans="2:2">
      <c r="B4782" s="21"/>
    </row>
    <row r="4783" spans="2:2">
      <c r="B4783" s="21"/>
    </row>
    <row r="4784" spans="2:2">
      <c r="B4784" s="21"/>
    </row>
    <row r="4785" spans="2:2">
      <c r="B4785" s="21"/>
    </row>
    <row r="4786" spans="2:2">
      <c r="B4786" s="21"/>
    </row>
    <row r="4787" spans="2:2">
      <c r="B4787" s="21"/>
    </row>
    <row r="4788" spans="2:2">
      <c r="B4788" s="21"/>
    </row>
    <row r="4789" spans="2:2">
      <c r="B4789" s="21"/>
    </row>
    <row r="4790" spans="2:2">
      <c r="B4790" s="21"/>
    </row>
    <row r="4791" spans="2:2">
      <c r="B4791" s="21"/>
    </row>
    <row r="4792" spans="2:2">
      <c r="B4792" s="21"/>
    </row>
    <row r="4793" spans="2:2">
      <c r="B4793" s="21"/>
    </row>
    <row r="4794" spans="2:2">
      <c r="B4794" s="21"/>
    </row>
    <row r="4795" spans="2:2">
      <c r="B4795" s="21"/>
    </row>
    <row r="4796" spans="2:2">
      <c r="B4796" s="21"/>
    </row>
    <row r="4797" spans="2:2">
      <c r="B4797" s="21"/>
    </row>
    <row r="4798" spans="2:2">
      <c r="B4798" s="21"/>
    </row>
    <row r="4799" spans="2:2">
      <c r="B4799" s="21"/>
    </row>
    <row r="4800" spans="2:2">
      <c r="B4800" s="21"/>
    </row>
    <row r="4801" spans="2:2">
      <c r="B4801" s="21"/>
    </row>
    <row r="4802" spans="2:2">
      <c r="B4802" s="21"/>
    </row>
    <row r="4803" spans="2:2">
      <c r="B4803" s="21"/>
    </row>
    <row r="4804" spans="2:2">
      <c r="B4804" s="21"/>
    </row>
    <row r="4805" spans="2:2">
      <c r="B4805" s="21"/>
    </row>
    <row r="4806" spans="2:2">
      <c r="B4806" s="21"/>
    </row>
    <row r="4807" spans="2:2">
      <c r="B4807" s="21"/>
    </row>
    <row r="4808" spans="2:2">
      <c r="B4808" s="21"/>
    </row>
    <row r="4809" spans="2:2">
      <c r="B4809" s="21"/>
    </row>
    <row r="4810" spans="2:2">
      <c r="B4810" s="21"/>
    </row>
    <row r="4811" spans="2:2">
      <c r="B4811" s="21"/>
    </row>
    <row r="4812" spans="2:2">
      <c r="B4812" s="21"/>
    </row>
    <row r="4813" spans="2:2">
      <c r="B4813" s="21"/>
    </row>
    <row r="4814" spans="2:2">
      <c r="B4814" s="21"/>
    </row>
    <row r="4815" spans="2:2">
      <c r="B4815" s="21"/>
    </row>
    <row r="4816" spans="2:2">
      <c r="B4816" s="21"/>
    </row>
    <row r="4817" spans="2:2">
      <c r="B4817" s="21"/>
    </row>
    <row r="4818" spans="2:2">
      <c r="B4818" s="21"/>
    </row>
    <row r="4819" spans="2:2">
      <c r="B4819" s="21"/>
    </row>
    <row r="4820" spans="2:2">
      <c r="B4820" s="21"/>
    </row>
    <row r="4821" spans="2:2">
      <c r="B4821" s="21"/>
    </row>
    <row r="4822" spans="2:2">
      <c r="B4822" s="21"/>
    </row>
    <row r="4823" spans="2:2">
      <c r="B4823" s="21"/>
    </row>
    <row r="4824" spans="2:2">
      <c r="B4824" s="21"/>
    </row>
    <row r="4825" spans="2:2">
      <c r="B4825" s="21"/>
    </row>
    <row r="4826" spans="2:2">
      <c r="B4826" s="21"/>
    </row>
    <row r="4827" spans="2:2">
      <c r="B4827" s="21"/>
    </row>
    <row r="4828" spans="2:2">
      <c r="B4828" s="21"/>
    </row>
    <row r="4829" spans="2:2">
      <c r="B4829" s="21"/>
    </row>
    <row r="4830" spans="2:2">
      <c r="B4830" s="21"/>
    </row>
    <row r="4831" spans="2:2">
      <c r="B4831" s="21"/>
    </row>
    <row r="4832" spans="2:2">
      <c r="B4832" s="21"/>
    </row>
    <row r="4833" spans="2:2">
      <c r="B4833" s="21"/>
    </row>
    <row r="4834" spans="2:2">
      <c r="B4834" s="21"/>
    </row>
    <row r="4835" spans="2:2">
      <c r="B4835" s="21"/>
    </row>
    <row r="4836" spans="2:2">
      <c r="B4836" s="21"/>
    </row>
    <row r="4837" spans="2:2">
      <c r="B4837" s="21"/>
    </row>
    <row r="4838" spans="2:2">
      <c r="B4838" s="21"/>
    </row>
    <row r="4839" spans="2:2">
      <c r="B4839" s="21"/>
    </row>
    <row r="4840" spans="2:2">
      <c r="B4840" s="21"/>
    </row>
    <row r="4841" spans="2:2">
      <c r="B4841" s="21"/>
    </row>
    <row r="4842" spans="2:2">
      <c r="B4842" s="21"/>
    </row>
    <row r="4843" spans="2:2">
      <c r="B4843" s="21"/>
    </row>
    <row r="4844" spans="2:2">
      <c r="B4844" s="21"/>
    </row>
    <row r="4845" spans="2:2">
      <c r="B4845" s="21"/>
    </row>
    <row r="4846" spans="2:2">
      <c r="B4846" s="21"/>
    </row>
    <row r="4847" spans="2:2">
      <c r="B4847" s="21"/>
    </row>
    <row r="4848" spans="2:2">
      <c r="B4848" s="21"/>
    </row>
    <row r="4849" spans="2:2">
      <c r="B4849" s="21"/>
    </row>
    <row r="4850" spans="2:2">
      <c r="B4850" s="21"/>
    </row>
    <row r="4851" spans="2:2">
      <c r="B4851" s="21"/>
    </row>
    <row r="4852" spans="2:2">
      <c r="B4852" s="21"/>
    </row>
    <row r="4853" spans="2:2">
      <c r="B4853" s="21"/>
    </row>
    <row r="4854" spans="2:2">
      <c r="B4854" s="21"/>
    </row>
    <row r="4855" spans="2:2">
      <c r="B4855" s="21"/>
    </row>
    <row r="4856" spans="2:2">
      <c r="B4856" s="21"/>
    </row>
    <row r="4857" spans="2:2">
      <c r="B4857" s="21"/>
    </row>
    <row r="4858" spans="2:2">
      <c r="B4858" s="21"/>
    </row>
    <row r="4859" spans="2:2">
      <c r="B4859" s="21"/>
    </row>
    <row r="4860" spans="2:2">
      <c r="B4860" s="21"/>
    </row>
    <row r="4861" spans="2:2">
      <c r="B4861" s="21"/>
    </row>
    <row r="4862" spans="2:2">
      <c r="B4862" s="21"/>
    </row>
    <row r="4863" spans="2:2">
      <c r="B4863" s="21"/>
    </row>
    <row r="4864" spans="2:2">
      <c r="B4864" s="21"/>
    </row>
    <row r="4865" spans="2:2">
      <c r="B4865" s="21"/>
    </row>
    <row r="4866" spans="2:2">
      <c r="B4866" s="21"/>
    </row>
    <row r="4867" spans="2:2">
      <c r="B4867" s="21"/>
    </row>
    <row r="4868" spans="2:2">
      <c r="B4868" s="21"/>
    </row>
    <row r="4869" spans="2:2">
      <c r="B4869" s="21"/>
    </row>
    <row r="4870" spans="2:2">
      <c r="B4870" s="21"/>
    </row>
    <row r="4871" spans="2:2">
      <c r="B4871" s="21"/>
    </row>
    <row r="4872" spans="2:2">
      <c r="B4872" s="21"/>
    </row>
    <row r="4873" spans="2:2">
      <c r="B4873" s="21"/>
    </row>
    <row r="4874" spans="2:2">
      <c r="B4874" s="21"/>
    </row>
    <row r="4875" spans="2:2">
      <c r="B4875" s="21"/>
    </row>
    <row r="4876" spans="2:2">
      <c r="B4876" s="21"/>
    </row>
    <row r="4877" spans="2:2">
      <c r="B4877" s="21"/>
    </row>
    <row r="4878" spans="2:2">
      <c r="B4878" s="21"/>
    </row>
    <row r="4879" spans="2:2">
      <c r="B4879" s="21"/>
    </row>
    <row r="4880" spans="2:2">
      <c r="B4880" s="21"/>
    </row>
    <row r="4881" spans="2:2">
      <c r="B4881" s="21"/>
    </row>
    <row r="4882" spans="2:2">
      <c r="B4882" s="21"/>
    </row>
    <row r="4883" spans="2:2">
      <c r="B4883" s="21"/>
    </row>
    <row r="4884" spans="2:2">
      <c r="B4884" s="21"/>
    </row>
    <row r="4885" spans="2:2">
      <c r="B4885" s="21"/>
    </row>
    <row r="4886" spans="2:2">
      <c r="B4886" s="21"/>
    </row>
    <row r="4887" spans="2:2">
      <c r="B4887" s="21"/>
    </row>
    <row r="4888" spans="2:2">
      <c r="B4888" s="21"/>
    </row>
    <row r="4889" spans="2:2">
      <c r="B4889" s="21"/>
    </row>
    <row r="4890" spans="2:2">
      <c r="B4890" s="21"/>
    </row>
    <row r="4891" spans="2:2">
      <c r="B4891" s="21"/>
    </row>
    <row r="4892" spans="2:2">
      <c r="B4892" s="21"/>
    </row>
    <row r="4893" spans="2:2">
      <c r="B4893" s="21"/>
    </row>
    <row r="4894" spans="2:2">
      <c r="B4894" s="21"/>
    </row>
    <row r="4895" spans="2:2">
      <c r="B4895" s="21"/>
    </row>
    <row r="4896" spans="2:2">
      <c r="B4896" s="21"/>
    </row>
    <row r="4897" spans="2:2">
      <c r="B4897" s="21"/>
    </row>
    <row r="4898" spans="2:2">
      <c r="B4898" s="21"/>
    </row>
    <row r="4899" spans="2:2">
      <c r="B4899" s="21"/>
    </row>
    <row r="4900" spans="2:2">
      <c r="B4900" s="21"/>
    </row>
    <row r="4901" spans="2:2">
      <c r="B4901" s="21"/>
    </row>
    <row r="4902" spans="2:2">
      <c r="B4902" s="21"/>
    </row>
    <row r="4903" spans="2:2">
      <c r="B4903" s="21"/>
    </row>
    <row r="4904" spans="2:2">
      <c r="B4904" s="21"/>
    </row>
    <row r="4905" spans="2:2">
      <c r="B4905" s="21"/>
    </row>
    <row r="4906" spans="2:2">
      <c r="B4906" s="21"/>
    </row>
    <row r="4907" spans="2:2">
      <c r="B4907" s="21"/>
    </row>
    <row r="4908" spans="2:2">
      <c r="B4908" s="21"/>
    </row>
    <row r="4909" spans="2:2">
      <c r="B4909" s="21"/>
    </row>
    <row r="4910" spans="2:2">
      <c r="B4910" s="21"/>
    </row>
    <row r="4911" spans="2:2">
      <c r="B4911" s="21"/>
    </row>
    <row r="4912" spans="2:2">
      <c r="B4912" s="21"/>
    </row>
    <row r="4913" spans="2:2">
      <c r="B4913" s="21"/>
    </row>
    <row r="4914" spans="2:2">
      <c r="B4914" s="21"/>
    </row>
    <row r="4915" spans="2:2">
      <c r="B4915" s="21"/>
    </row>
    <row r="4916" spans="2:2">
      <c r="B4916" s="21"/>
    </row>
    <row r="4917" spans="2:2">
      <c r="B4917" s="21"/>
    </row>
    <row r="4918" spans="2:2">
      <c r="B4918" s="21"/>
    </row>
    <row r="4919" spans="2:2">
      <c r="B4919" s="21"/>
    </row>
    <row r="4920" spans="2:2">
      <c r="B4920" s="21"/>
    </row>
    <row r="4921" spans="2:2">
      <c r="B4921" s="21"/>
    </row>
    <row r="4922" spans="2:2">
      <c r="B4922" s="21"/>
    </row>
    <row r="4923" spans="2:2">
      <c r="B4923" s="21"/>
    </row>
    <row r="4924" spans="2:2">
      <c r="B4924" s="21"/>
    </row>
    <row r="4925" spans="2:2">
      <c r="B4925" s="21"/>
    </row>
    <row r="4926" spans="2:2">
      <c r="B4926" s="21"/>
    </row>
    <row r="4927" spans="2:2">
      <c r="B4927" s="21"/>
    </row>
    <row r="4928" spans="2:2">
      <c r="B4928" s="21"/>
    </row>
    <row r="4929" spans="2:2">
      <c r="B4929" s="21"/>
    </row>
    <row r="4930" spans="2:2">
      <c r="B4930" s="21"/>
    </row>
    <row r="4931" spans="2:2">
      <c r="B4931" s="21"/>
    </row>
    <row r="4932" spans="2:2">
      <c r="B4932" s="21"/>
    </row>
    <row r="4933" spans="2:2">
      <c r="B4933" s="21"/>
    </row>
    <row r="4934" spans="2:2">
      <c r="B4934" s="21"/>
    </row>
    <row r="4935" spans="2:2">
      <c r="B4935" s="21"/>
    </row>
    <row r="4936" spans="2:2">
      <c r="B4936" s="21"/>
    </row>
    <row r="4937" spans="2:2">
      <c r="B4937" s="21"/>
    </row>
    <row r="4938" spans="2:2">
      <c r="B4938" s="21"/>
    </row>
    <row r="4939" spans="2:2">
      <c r="B4939" s="21"/>
    </row>
    <row r="4940" spans="2:2">
      <c r="B4940" s="21"/>
    </row>
    <row r="4941" spans="2:2">
      <c r="B4941" s="21"/>
    </row>
    <row r="4942" spans="2:2">
      <c r="B4942" s="21"/>
    </row>
    <row r="4943" spans="2:2">
      <c r="B4943" s="21"/>
    </row>
    <row r="4944" spans="2:2">
      <c r="B4944" s="21"/>
    </row>
    <row r="4945" spans="2:2">
      <c r="B4945" s="21"/>
    </row>
    <row r="4946" spans="2:2">
      <c r="B4946" s="21"/>
    </row>
    <row r="4947" spans="2:2">
      <c r="B4947" s="21"/>
    </row>
    <row r="4948" spans="2:2">
      <c r="B4948" s="21"/>
    </row>
    <row r="4949" spans="2:2">
      <c r="B4949" s="21"/>
    </row>
    <row r="4950" spans="2:2">
      <c r="B4950" s="21"/>
    </row>
    <row r="4951" spans="2:2">
      <c r="B4951" s="21"/>
    </row>
    <row r="4952" spans="2:2">
      <c r="B4952" s="21"/>
    </row>
    <row r="4953" spans="2:2">
      <c r="B4953" s="21"/>
    </row>
    <row r="4954" spans="2:2">
      <c r="B4954" s="21"/>
    </row>
    <row r="4955" spans="2:2">
      <c r="B4955" s="21"/>
    </row>
    <row r="4956" spans="2:2">
      <c r="B4956" s="21"/>
    </row>
    <row r="4957" spans="2:2">
      <c r="B4957" s="21"/>
    </row>
    <row r="4958" spans="2:2">
      <c r="B4958" s="21"/>
    </row>
    <row r="4959" spans="2:2">
      <c r="B4959" s="21"/>
    </row>
    <row r="4960" spans="2:2">
      <c r="B4960" s="21"/>
    </row>
    <row r="4961" spans="2:2">
      <c r="B4961" s="21"/>
    </row>
    <row r="4962" spans="2:2">
      <c r="B4962" s="21"/>
    </row>
    <row r="4963" spans="2:2">
      <c r="B4963" s="21"/>
    </row>
    <row r="4964" spans="2:2">
      <c r="B4964" s="21"/>
    </row>
    <row r="4965" spans="2:2">
      <c r="B4965" s="21"/>
    </row>
    <row r="4966" spans="2:2">
      <c r="B4966" s="21"/>
    </row>
    <row r="4967" spans="2:2">
      <c r="B4967" s="21"/>
    </row>
    <row r="4968" spans="2:2">
      <c r="B4968" s="21"/>
    </row>
    <row r="4969" spans="2:2">
      <c r="B4969" s="21"/>
    </row>
    <row r="4970" spans="2:2">
      <c r="B4970" s="21"/>
    </row>
    <row r="4971" spans="2:2">
      <c r="B4971" s="21"/>
    </row>
    <row r="4972" spans="2:2">
      <c r="B4972" s="21"/>
    </row>
    <row r="4973" spans="2:2">
      <c r="B4973" s="21"/>
    </row>
    <row r="4974" spans="2:2">
      <c r="B4974" s="21"/>
    </row>
    <row r="4975" spans="2:2">
      <c r="B4975" s="21"/>
    </row>
    <row r="4976" spans="2:2">
      <c r="B4976" s="21"/>
    </row>
    <row r="4977" spans="2:2">
      <c r="B4977" s="21"/>
    </row>
    <row r="4978" spans="2:2">
      <c r="B4978" s="21"/>
    </row>
    <row r="4979" spans="2:2">
      <c r="B4979" s="21"/>
    </row>
    <row r="4980" spans="2:2">
      <c r="B4980" s="21"/>
    </row>
    <row r="4981" spans="2:2">
      <c r="B4981" s="21"/>
    </row>
    <row r="4982" spans="2:2">
      <c r="B4982" s="21"/>
    </row>
    <row r="4983" spans="2:2">
      <c r="B4983" s="21"/>
    </row>
    <row r="4984" spans="2:2">
      <c r="B4984" s="21"/>
    </row>
    <row r="4985" spans="2:2">
      <c r="B4985" s="21"/>
    </row>
    <row r="4986" spans="2:2">
      <c r="B4986" s="21"/>
    </row>
    <row r="4987" spans="2:2">
      <c r="B4987" s="21"/>
    </row>
    <row r="4988" spans="2:2">
      <c r="B4988" s="21"/>
    </row>
    <row r="4989" spans="2:2">
      <c r="B4989" s="21"/>
    </row>
    <row r="4990" spans="2:2">
      <c r="B4990" s="21"/>
    </row>
    <row r="4991" spans="2:2">
      <c r="B4991" s="21"/>
    </row>
    <row r="4992" spans="2:2">
      <c r="B4992" s="21"/>
    </row>
    <row r="4993" spans="2:2">
      <c r="B4993" s="21"/>
    </row>
    <row r="4994" spans="2:2">
      <c r="B4994" s="21"/>
    </row>
    <row r="4995" spans="2:2">
      <c r="B4995" s="21"/>
    </row>
    <row r="4996" spans="2:2">
      <c r="B4996" s="21"/>
    </row>
    <row r="4997" spans="2:2">
      <c r="B4997" s="21"/>
    </row>
    <row r="4998" spans="2:2">
      <c r="B4998" s="21"/>
    </row>
    <row r="4999" spans="2:2">
      <c r="B4999" s="21"/>
    </row>
    <row r="5000" spans="2:2">
      <c r="B5000" s="21"/>
    </row>
    <row r="5001" spans="2:2">
      <c r="B5001" s="21"/>
    </row>
    <row r="5002" spans="2:2">
      <c r="B5002" s="21"/>
    </row>
    <row r="5003" spans="2:2">
      <c r="B5003" s="21"/>
    </row>
    <row r="5004" spans="2:2">
      <c r="B5004" s="21"/>
    </row>
    <row r="5005" spans="2:2">
      <c r="B5005" s="21"/>
    </row>
    <row r="5006" spans="2:2">
      <c r="B5006" s="21"/>
    </row>
    <row r="5007" spans="2:2">
      <c r="B5007" s="21"/>
    </row>
    <row r="5008" spans="2:2">
      <c r="B5008" s="21"/>
    </row>
    <row r="5009" spans="2:2">
      <c r="B5009" s="21"/>
    </row>
    <row r="5010" spans="2:2">
      <c r="B5010" s="21"/>
    </row>
    <row r="5011" spans="2:2">
      <c r="B5011" s="21"/>
    </row>
    <row r="5012" spans="2:2">
      <c r="B5012" s="21"/>
    </row>
    <row r="5013" spans="2:2">
      <c r="B5013" s="21"/>
    </row>
    <row r="5014" spans="2:2">
      <c r="B5014" s="21"/>
    </row>
    <row r="5015" spans="2:2">
      <c r="B5015" s="21"/>
    </row>
    <row r="5016" spans="2:2">
      <c r="B5016" s="21"/>
    </row>
    <row r="5017" spans="2:2">
      <c r="B5017" s="21"/>
    </row>
    <row r="5018" spans="2:2">
      <c r="B5018" s="21"/>
    </row>
    <row r="5019" spans="2:2">
      <c r="B5019" s="21"/>
    </row>
    <row r="5020" spans="2:2">
      <c r="B5020" s="21"/>
    </row>
    <row r="5021" spans="2:2">
      <c r="B5021" s="21"/>
    </row>
    <row r="5022" spans="2:2">
      <c r="B5022" s="21"/>
    </row>
    <row r="5023" spans="2:2">
      <c r="B5023" s="21"/>
    </row>
    <row r="5024" spans="2:2">
      <c r="B5024" s="21"/>
    </row>
    <row r="5025" spans="2:2">
      <c r="B5025" s="21"/>
    </row>
    <row r="5026" spans="2:2">
      <c r="B5026" s="21"/>
    </row>
    <row r="5027" spans="2:2">
      <c r="B5027" s="21"/>
    </row>
    <row r="5028" spans="2:2">
      <c r="B5028" s="21"/>
    </row>
    <row r="5029" spans="2:2">
      <c r="B5029" s="21"/>
    </row>
    <row r="5030" spans="2:2">
      <c r="B5030" s="21"/>
    </row>
    <row r="5031" spans="2:2">
      <c r="B5031" s="21"/>
    </row>
    <row r="5032" spans="2:2">
      <c r="B5032" s="21"/>
    </row>
    <row r="5033" spans="2:2">
      <c r="B5033" s="21"/>
    </row>
    <row r="5034" spans="2:2">
      <c r="B5034" s="21"/>
    </row>
    <row r="5035" spans="2:2">
      <c r="B5035" s="21"/>
    </row>
    <row r="5036" spans="2:2">
      <c r="B5036" s="21"/>
    </row>
    <row r="5037" spans="2:2">
      <c r="B5037" s="21"/>
    </row>
    <row r="5038" spans="2:2">
      <c r="B5038" s="21"/>
    </row>
    <row r="5039" spans="2:2">
      <c r="B5039" s="21"/>
    </row>
    <row r="5040" spans="2:2">
      <c r="B5040" s="21"/>
    </row>
    <row r="5041" spans="2:2">
      <c r="B5041" s="21"/>
    </row>
    <row r="5042" spans="2:2">
      <c r="B5042" s="21"/>
    </row>
    <row r="5043" spans="2:2">
      <c r="B5043" s="21"/>
    </row>
    <row r="5044" spans="2:2">
      <c r="B5044" s="21"/>
    </row>
    <row r="5045" spans="2:2">
      <c r="B5045" s="21"/>
    </row>
    <row r="5046" spans="2:2">
      <c r="B5046" s="21"/>
    </row>
    <row r="5047" spans="2:2">
      <c r="B5047" s="21"/>
    </row>
    <row r="5048" spans="2:2">
      <c r="B5048" s="21"/>
    </row>
    <row r="5049" spans="2:2">
      <c r="B5049" s="21"/>
    </row>
    <row r="5050" spans="2:2">
      <c r="B5050" s="21"/>
    </row>
    <row r="5051" spans="2:2">
      <c r="B5051" s="21"/>
    </row>
    <row r="5052" spans="2:2">
      <c r="B5052" s="21"/>
    </row>
    <row r="5053" spans="2:2">
      <c r="B5053" s="21"/>
    </row>
    <row r="5054" spans="2:2">
      <c r="B5054" s="21"/>
    </row>
    <row r="5055" spans="2:2">
      <c r="B5055" s="21"/>
    </row>
    <row r="5056" spans="2:2">
      <c r="B5056" s="21"/>
    </row>
    <row r="5057" spans="2:2">
      <c r="B5057" s="21"/>
    </row>
    <row r="5058" spans="2:2">
      <c r="B5058" s="21"/>
    </row>
    <row r="5059" spans="2:2">
      <c r="B5059" s="21"/>
    </row>
    <row r="5060" spans="2:2">
      <c r="B5060" s="21"/>
    </row>
    <row r="5061" spans="2:2">
      <c r="B5061" s="21"/>
    </row>
    <row r="5062" spans="2:2">
      <c r="B5062" s="21"/>
    </row>
    <row r="5063" spans="2:2">
      <c r="B5063" s="21"/>
    </row>
    <row r="5064" spans="2:2">
      <c r="B5064" s="21"/>
    </row>
    <row r="5065" spans="2:2">
      <c r="B5065" s="21"/>
    </row>
    <row r="5066" spans="2:2">
      <c r="B5066" s="21"/>
    </row>
    <row r="5067" spans="2:2">
      <c r="B5067" s="21"/>
    </row>
    <row r="5068" spans="2:2">
      <c r="B5068" s="21"/>
    </row>
    <row r="5069" spans="2:2">
      <c r="B5069" s="21"/>
    </row>
    <row r="5070" spans="2:2">
      <c r="B5070" s="21"/>
    </row>
    <row r="5071" spans="2:2">
      <c r="B5071" s="21"/>
    </row>
    <row r="5072" spans="2:2">
      <c r="B5072" s="21"/>
    </row>
    <row r="5073" spans="2:2">
      <c r="B5073" s="21"/>
    </row>
    <row r="5074" spans="2:2">
      <c r="B5074" s="21"/>
    </row>
    <row r="5075" spans="2:2">
      <c r="B5075" s="21"/>
    </row>
    <row r="5076" spans="2:2">
      <c r="B5076" s="21"/>
    </row>
    <row r="5077" spans="2:2">
      <c r="B5077" s="21"/>
    </row>
    <row r="5078" spans="2:2">
      <c r="B5078" s="21"/>
    </row>
    <row r="5079" spans="2:2">
      <c r="B5079" s="21"/>
    </row>
    <row r="5080" spans="2:2">
      <c r="B5080" s="21"/>
    </row>
    <row r="5081" spans="2:2">
      <c r="B5081" s="21"/>
    </row>
    <row r="5082" spans="2:2">
      <c r="B5082" s="21"/>
    </row>
    <row r="5083" spans="2:2">
      <c r="B5083" s="21"/>
    </row>
    <row r="5084" spans="2:2">
      <c r="B5084" s="21"/>
    </row>
    <row r="5085" spans="2:2">
      <c r="B5085" s="21"/>
    </row>
    <row r="5086" spans="2:2">
      <c r="B5086" s="21"/>
    </row>
    <row r="5087" spans="2:2">
      <c r="B5087" s="21"/>
    </row>
    <row r="5088" spans="2:2">
      <c r="B5088" s="21"/>
    </row>
    <row r="5089" spans="2:2">
      <c r="B5089" s="21"/>
    </row>
    <row r="5090" spans="2:2">
      <c r="B5090" s="21"/>
    </row>
    <row r="5091" spans="2:2">
      <c r="B5091" s="21"/>
    </row>
    <row r="5092" spans="2:2">
      <c r="B5092" s="21"/>
    </row>
    <row r="5093" spans="2:2">
      <c r="B5093" s="21"/>
    </row>
    <row r="5094" spans="2:2">
      <c r="B5094" s="21"/>
    </row>
    <row r="5095" spans="2:2">
      <c r="B5095" s="21"/>
    </row>
    <row r="5096" spans="2:2">
      <c r="B5096" s="21"/>
    </row>
    <row r="5097" spans="2:2">
      <c r="B5097" s="21"/>
    </row>
    <row r="5098" spans="2:2">
      <c r="B5098" s="21"/>
    </row>
    <row r="5099" spans="2:2">
      <c r="B5099" s="21"/>
    </row>
    <row r="5100" spans="2:2">
      <c r="B5100" s="21"/>
    </row>
    <row r="5101" spans="2:2">
      <c r="B5101" s="21"/>
    </row>
    <row r="5102" spans="2:2">
      <c r="B5102" s="21"/>
    </row>
    <row r="5103" spans="2:2">
      <c r="B5103" s="21"/>
    </row>
    <row r="5104" spans="2:2">
      <c r="B5104" s="21"/>
    </row>
    <row r="5105" spans="2:2">
      <c r="B5105" s="21"/>
    </row>
    <row r="5106" spans="2:2">
      <c r="B5106" s="21"/>
    </row>
    <row r="5107" spans="2:2">
      <c r="B5107" s="21"/>
    </row>
    <row r="5108" spans="2:2">
      <c r="B5108" s="21"/>
    </row>
    <row r="5109" spans="2:2">
      <c r="B5109" s="21"/>
    </row>
    <row r="5110" spans="2:2">
      <c r="B5110" s="21"/>
    </row>
    <row r="5111" spans="2:2">
      <c r="B5111" s="21"/>
    </row>
    <row r="5112" spans="2:2">
      <c r="B5112" s="21"/>
    </row>
    <row r="5113" spans="2:2">
      <c r="B5113" s="21"/>
    </row>
    <row r="5114" spans="2:2">
      <c r="B5114" s="21"/>
    </row>
    <row r="5115" spans="2:2">
      <c r="B5115" s="21"/>
    </row>
    <row r="5116" spans="2:2">
      <c r="B5116" s="21"/>
    </row>
    <row r="5117" spans="2:2">
      <c r="B5117" s="21"/>
    </row>
    <row r="5118" spans="2:2">
      <c r="B5118" s="21"/>
    </row>
    <row r="5119" spans="2:2">
      <c r="B5119" s="21"/>
    </row>
    <row r="5120" spans="2:2">
      <c r="B5120" s="21"/>
    </row>
    <row r="5121" spans="2:2">
      <c r="B5121" s="21"/>
    </row>
    <row r="5122" spans="2:2">
      <c r="B5122" s="21"/>
    </row>
    <row r="5123" spans="2:2">
      <c r="B5123" s="21"/>
    </row>
    <row r="5124" spans="2:2">
      <c r="B5124" s="21"/>
    </row>
    <row r="5125" spans="2:2">
      <c r="B5125" s="21"/>
    </row>
    <row r="5126" spans="2:2">
      <c r="B5126" s="21"/>
    </row>
    <row r="5127" spans="2:2">
      <c r="B5127" s="21"/>
    </row>
    <row r="5128" spans="2:2">
      <c r="B5128" s="21"/>
    </row>
    <row r="5129" spans="2:2">
      <c r="B5129" s="21"/>
    </row>
    <row r="5130" spans="2:2">
      <c r="B5130" s="21"/>
    </row>
    <row r="5131" spans="2:2">
      <c r="B5131" s="21"/>
    </row>
    <row r="5132" spans="2:2">
      <c r="B5132" s="21"/>
    </row>
    <row r="5133" spans="2:2">
      <c r="B5133" s="21"/>
    </row>
    <row r="5134" spans="2:2">
      <c r="B5134" s="21"/>
    </row>
    <row r="5135" spans="2:2">
      <c r="B5135" s="21"/>
    </row>
    <row r="5136" spans="2:2">
      <c r="B5136" s="21"/>
    </row>
    <row r="5137" spans="2:2">
      <c r="B5137" s="21"/>
    </row>
    <row r="5138" spans="2:2">
      <c r="B5138" s="21"/>
    </row>
    <row r="5139" spans="2:2">
      <c r="B5139" s="21"/>
    </row>
    <row r="5140" spans="2:2">
      <c r="B5140" s="21"/>
    </row>
    <row r="5141" spans="2:2">
      <c r="B5141" s="21"/>
    </row>
    <row r="5142" spans="2:2">
      <c r="B5142" s="21"/>
    </row>
    <row r="5143" spans="2:2">
      <c r="B5143" s="21"/>
    </row>
    <row r="5144" spans="2:2">
      <c r="B5144" s="21"/>
    </row>
    <row r="5145" spans="2:2">
      <c r="B5145" s="21"/>
    </row>
    <row r="5146" spans="2:2">
      <c r="B5146" s="21"/>
    </row>
    <row r="5147" spans="2:2">
      <c r="B5147" s="21"/>
    </row>
    <row r="5148" spans="2:2">
      <c r="B5148" s="21"/>
    </row>
    <row r="5149" spans="2:2">
      <c r="B5149" s="21"/>
    </row>
    <row r="5150" spans="2:2">
      <c r="B5150" s="21"/>
    </row>
    <row r="5151" spans="2:2">
      <c r="B5151" s="21"/>
    </row>
    <row r="5152" spans="2:2">
      <c r="B5152" s="21"/>
    </row>
    <row r="5153" spans="2:2">
      <c r="B5153" s="21"/>
    </row>
    <row r="5154" spans="2:2">
      <c r="B5154" s="21"/>
    </row>
    <row r="5155" spans="2:2">
      <c r="B5155" s="21"/>
    </row>
    <row r="5156" spans="2:2">
      <c r="B5156" s="21"/>
    </row>
    <row r="5157" spans="2:2">
      <c r="B5157" s="21"/>
    </row>
    <row r="5158" spans="2:2">
      <c r="B5158" s="21"/>
    </row>
    <row r="5159" spans="2:2">
      <c r="B5159" s="21"/>
    </row>
    <row r="5160" spans="2:2">
      <c r="B5160" s="21"/>
    </row>
    <row r="5161" spans="2:2">
      <c r="B5161" s="21"/>
    </row>
    <row r="5162" spans="2:2">
      <c r="B5162" s="21"/>
    </row>
    <row r="5163" spans="2:2">
      <c r="B5163" s="21"/>
    </row>
    <row r="5164" spans="2:2">
      <c r="B5164" s="21"/>
    </row>
    <row r="5165" spans="2:2">
      <c r="B5165" s="21"/>
    </row>
    <row r="5166" spans="2:2">
      <c r="B5166" s="21"/>
    </row>
    <row r="5167" spans="2:2">
      <c r="B5167" s="21"/>
    </row>
    <row r="5168" spans="2:2">
      <c r="B5168" s="21"/>
    </row>
    <row r="5169" spans="2:2">
      <c r="B5169" s="21"/>
    </row>
    <row r="5170" spans="2:2">
      <c r="B5170" s="21"/>
    </row>
    <row r="5171" spans="2:2">
      <c r="B5171" s="21"/>
    </row>
    <row r="5172" spans="2:2">
      <c r="B5172" s="21"/>
    </row>
    <row r="5173" spans="2:2">
      <c r="B5173" s="21"/>
    </row>
    <row r="5174" spans="2:2">
      <c r="B5174" s="21"/>
    </row>
    <row r="5175" spans="2:2">
      <c r="B5175" s="21"/>
    </row>
    <row r="5176" spans="2:2">
      <c r="B5176" s="21"/>
    </row>
    <row r="5177" spans="2:2">
      <c r="B5177" s="21"/>
    </row>
    <row r="5178" spans="2:2">
      <c r="B5178" s="21"/>
    </row>
    <row r="5179" spans="2:2">
      <c r="B5179" s="21"/>
    </row>
    <row r="5180" spans="2:2">
      <c r="B5180" s="21"/>
    </row>
    <row r="5181" spans="2:2">
      <c r="B5181" s="21"/>
    </row>
    <row r="5182" spans="2:2">
      <c r="B5182" s="21"/>
    </row>
    <row r="5183" spans="2:2">
      <c r="B5183" s="21"/>
    </row>
    <row r="5184" spans="2:2">
      <c r="B5184" s="21"/>
    </row>
    <row r="5185" spans="2:2">
      <c r="B5185" s="21"/>
    </row>
    <row r="5186" spans="2:2">
      <c r="B5186" s="21"/>
    </row>
    <row r="5187" spans="2:2">
      <c r="B5187" s="21"/>
    </row>
    <row r="5188" spans="2:2">
      <c r="B5188" s="21"/>
    </row>
    <row r="5189" spans="2:2">
      <c r="B5189" s="21"/>
    </row>
    <row r="5190" spans="2:2">
      <c r="B5190" s="21"/>
    </row>
    <row r="5191" spans="2:2">
      <c r="B5191" s="21"/>
    </row>
    <row r="5192" spans="2:2">
      <c r="B5192" s="21"/>
    </row>
    <row r="5193" spans="2:2">
      <c r="B5193" s="21"/>
    </row>
    <row r="5194" spans="2:2">
      <c r="B5194" s="21"/>
    </row>
    <row r="5195" spans="2:2">
      <c r="B5195" s="21"/>
    </row>
    <row r="5196" spans="2:2">
      <c r="B5196" s="21"/>
    </row>
    <row r="5197" spans="2:2">
      <c r="B5197" s="21"/>
    </row>
    <row r="5198" spans="2:2">
      <c r="B5198" s="21"/>
    </row>
    <row r="5199" spans="2:2">
      <c r="B5199" s="21"/>
    </row>
    <row r="5200" spans="2:2">
      <c r="B5200" s="21"/>
    </row>
    <row r="5201" spans="2:2">
      <c r="B5201" s="21"/>
    </row>
    <row r="5202" spans="2:2">
      <c r="B5202" s="21"/>
    </row>
    <row r="5203" spans="2:2">
      <c r="B5203" s="21"/>
    </row>
    <row r="5204" spans="2:2">
      <c r="B5204" s="21"/>
    </row>
    <row r="5205" spans="2:2">
      <c r="B5205" s="21"/>
    </row>
    <row r="5206" spans="2:2">
      <c r="B5206" s="21"/>
    </row>
    <row r="5207" spans="2:2">
      <c r="B5207" s="21"/>
    </row>
    <row r="5208" spans="2:2">
      <c r="B5208" s="21"/>
    </row>
    <row r="5209" spans="2:2">
      <c r="B5209" s="21"/>
    </row>
    <row r="5210" spans="2:2">
      <c r="B5210" s="21"/>
    </row>
    <row r="5211" spans="2:2">
      <c r="B5211" s="21"/>
    </row>
    <row r="5212" spans="2:2">
      <c r="B5212" s="21"/>
    </row>
    <row r="5213" spans="2:2">
      <c r="B5213" s="21"/>
    </row>
    <row r="5214" spans="2:2">
      <c r="B5214" s="21"/>
    </row>
    <row r="5215" spans="2:2">
      <c r="B5215" s="21"/>
    </row>
    <row r="5216" spans="2:2">
      <c r="B5216" s="21"/>
    </row>
    <row r="5217" spans="2:2">
      <c r="B5217" s="21"/>
    </row>
    <row r="5218" spans="2:2">
      <c r="B5218" s="21"/>
    </row>
    <row r="5219" spans="2:2">
      <c r="B5219" s="21"/>
    </row>
    <row r="5220" spans="2:2">
      <c r="B5220" s="21"/>
    </row>
    <row r="5221" spans="2:2">
      <c r="B5221" s="21"/>
    </row>
    <row r="5222" spans="2:2">
      <c r="B5222" s="21"/>
    </row>
    <row r="5223" spans="2:2">
      <c r="B5223" s="21"/>
    </row>
    <row r="5224" spans="2:2">
      <c r="B5224" s="21"/>
    </row>
    <row r="5225" spans="2:2">
      <c r="B5225" s="21"/>
    </row>
    <row r="5226" spans="2:2">
      <c r="B5226" s="21"/>
    </row>
    <row r="5227" spans="2:2">
      <c r="B5227" s="21"/>
    </row>
    <row r="5228" spans="2:2">
      <c r="B5228" s="21"/>
    </row>
    <row r="5229" spans="2:2">
      <c r="B5229" s="21"/>
    </row>
    <row r="5230" spans="2:2">
      <c r="B5230" s="21"/>
    </row>
    <row r="5231" spans="2:2">
      <c r="B5231" s="21"/>
    </row>
    <row r="5232" spans="2:2">
      <c r="B5232" s="21"/>
    </row>
    <row r="5233" spans="2:2">
      <c r="B5233" s="21"/>
    </row>
    <row r="5234" spans="2:2">
      <c r="B5234" s="21"/>
    </row>
    <row r="5235" spans="2:2">
      <c r="B5235" s="21"/>
    </row>
    <row r="5236" spans="2:2">
      <c r="B5236" s="21"/>
    </row>
    <row r="5237" spans="2:2">
      <c r="B5237" s="21"/>
    </row>
    <row r="5238" spans="2:2">
      <c r="B5238" s="21"/>
    </row>
    <row r="5239" spans="2:2">
      <c r="B5239" s="21"/>
    </row>
    <row r="5240" spans="2:2">
      <c r="B5240" s="21"/>
    </row>
    <row r="5241" spans="2:2">
      <c r="B5241" s="21"/>
    </row>
    <row r="5242" spans="2:2">
      <c r="B5242" s="21"/>
    </row>
    <row r="5243" spans="2:2">
      <c r="B5243" s="21"/>
    </row>
    <row r="5244" spans="2:2">
      <c r="B5244" s="21"/>
    </row>
    <row r="5245" spans="2:2">
      <c r="B5245" s="21"/>
    </row>
    <row r="5246" spans="2:2">
      <c r="B5246" s="21"/>
    </row>
    <row r="5247" spans="2:2">
      <c r="B5247" s="21"/>
    </row>
    <row r="5248" spans="2:2">
      <c r="B5248" s="21"/>
    </row>
    <row r="5249" spans="2:2">
      <c r="B5249" s="21"/>
    </row>
    <row r="5250" spans="2:2">
      <c r="B5250" s="21"/>
    </row>
    <row r="5251" spans="2:2">
      <c r="B5251" s="21"/>
    </row>
    <row r="5252" spans="2:2">
      <c r="B5252" s="21"/>
    </row>
    <row r="5253" spans="2:2">
      <c r="B5253" s="21"/>
    </row>
    <row r="5254" spans="2:2">
      <c r="B5254" s="21"/>
    </row>
    <row r="5255" spans="2:2">
      <c r="B5255" s="21"/>
    </row>
    <row r="5256" spans="2:2">
      <c r="B5256" s="21"/>
    </row>
    <row r="5257" spans="2:2">
      <c r="B5257" s="21"/>
    </row>
    <row r="5258" spans="2:2">
      <c r="B5258" s="21"/>
    </row>
    <row r="5259" spans="2:2">
      <c r="B5259" s="21"/>
    </row>
    <row r="5260" spans="2:2">
      <c r="B5260" s="21"/>
    </row>
    <row r="5261" spans="2:2">
      <c r="B5261" s="21"/>
    </row>
    <row r="5262" spans="2:2">
      <c r="B5262" s="21"/>
    </row>
    <row r="5263" spans="2:2">
      <c r="B5263" s="21"/>
    </row>
    <row r="5264" spans="2:2">
      <c r="B5264" s="21"/>
    </row>
    <row r="5265" spans="2:2">
      <c r="B5265" s="21"/>
    </row>
    <row r="5266" spans="2:2">
      <c r="B5266" s="21"/>
    </row>
    <row r="5267" spans="2:2">
      <c r="B5267" s="21"/>
    </row>
    <row r="5268" spans="2:2">
      <c r="B5268" s="21"/>
    </row>
    <row r="5269" spans="2:2">
      <c r="B5269" s="21"/>
    </row>
    <row r="5270" spans="2:2">
      <c r="B5270" s="21"/>
    </row>
    <row r="5271" spans="2:2">
      <c r="B5271" s="21"/>
    </row>
    <row r="5272" spans="2:2">
      <c r="B5272" s="21"/>
    </row>
    <row r="5273" spans="2:2">
      <c r="B5273" s="21"/>
    </row>
    <row r="5274" spans="2:2">
      <c r="B5274" s="21"/>
    </row>
    <row r="5275" spans="2:2">
      <c r="B5275" s="21"/>
    </row>
    <row r="5276" spans="2:2">
      <c r="B5276" s="21"/>
    </row>
    <row r="5277" spans="2:2">
      <c r="B5277" s="21"/>
    </row>
    <row r="5278" spans="2:2">
      <c r="B5278" s="21"/>
    </row>
    <row r="5279" spans="2:2">
      <c r="B5279" s="21"/>
    </row>
    <row r="5280" spans="2:2">
      <c r="B5280" s="21"/>
    </row>
    <row r="5281" spans="2:2">
      <c r="B5281" s="21"/>
    </row>
    <row r="5282" spans="2:2">
      <c r="B5282" s="21"/>
    </row>
    <row r="5283" spans="2:2">
      <c r="B5283" s="21"/>
    </row>
    <row r="5284" spans="2:2">
      <c r="B5284" s="21"/>
    </row>
    <row r="5285" spans="2:2">
      <c r="B5285" s="21"/>
    </row>
    <row r="5286" spans="2:2">
      <c r="B5286" s="21"/>
    </row>
    <row r="5287" spans="2:2">
      <c r="B5287" s="21"/>
    </row>
    <row r="5288" spans="2:2">
      <c r="B5288" s="21"/>
    </row>
    <row r="5289" spans="2:2">
      <c r="B5289" s="21"/>
    </row>
    <row r="5290" spans="2:2">
      <c r="B5290" s="21"/>
    </row>
    <row r="5291" spans="2:2">
      <c r="B5291" s="21"/>
    </row>
    <row r="5292" spans="2:2">
      <c r="B5292" s="21"/>
    </row>
    <row r="5293" spans="2:2">
      <c r="B5293" s="21"/>
    </row>
    <row r="5294" spans="2:2">
      <c r="B5294" s="21"/>
    </row>
    <row r="5295" spans="2:2">
      <c r="B5295" s="21"/>
    </row>
    <row r="5296" spans="2:2">
      <c r="B5296" s="21"/>
    </row>
    <row r="5297" spans="2:2">
      <c r="B5297" s="21"/>
    </row>
    <row r="5298" spans="2:2">
      <c r="B5298" s="21"/>
    </row>
    <row r="5299" spans="2:2">
      <c r="B5299" s="21"/>
    </row>
    <row r="5300" spans="2:2">
      <c r="B5300" s="21"/>
    </row>
    <row r="5301" spans="2:2">
      <c r="B5301" s="21"/>
    </row>
    <row r="5302" spans="2:2">
      <c r="B5302" s="21"/>
    </row>
    <row r="5303" spans="2:2">
      <c r="B5303" s="21"/>
    </row>
    <row r="5304" spans="2:2">
      <c r="B5304" s="21"/>
    </row>
    <row r="5305" spans="2:2">
      <c r="B5305" s="21"/>
    </row>
    <row r="5306" spans="2:2">
      <c r="B5306" s="21"/>
    </row>
    <row r="5307" spans="2:2">
      <c r="B5307" s="21"/>
    </row>
    <row r="5308" spans="2:2">
      <c r="B5308" s="21"/>
    </row>
    <row r="5309" spans="2:2">
      <c r="B5309" s="21"/>
    </row>
    <row r="5310" spans="2:2">
      <c r="B5310" s="21"/>
    </row>
    <row r="5311" spans="2:2">
      <c r="B5311" s="21"/>
    </row>
    <row r="5312" spans="2:2">
      <c r="B5312" s="21"/>
    </row>
    <row r="5313" spans="2:2">
      <c r="B5313" s="21"/>
    </row>
    <row r="5314" spans="2:2">
      <c r="B5314" s="21"/>
    </row>
    <row r="5315" spans="2:2">
      <c r="B5315" s="21"/>
    </row>
    <row r="5316" spans="2:2">
      <c r="B5316" s="21"/>
    </row>
    <row r="5317" spans="2:2">
      <c r="B5317" s="21"/>
    </row>
    <row r="5318" spans="2:2">
      <c r="B5318" s="21"/>
    </row>
    <row r="5319" spans="2:2">
      <c r="B5319" s="21"/>
    </row>
    <row r="5320" spans="2:2">
      <c r="B5320" s="21"/>
    </row>
    <row r="5321" spans="2:2">
      <c r="B5321" s="21"/>
    </row>
    <row r="5322" spans="2:2">
      <c r="B5322" s="21"/>
    </row>
    <row r="5323" spans="2:2">
      <c r="B5323" s="21"/>
    </row>
    <row r="5324" spans="2:2">
      <c r="B5324" s="21"/>
    </row>
    <row r="5325" spans="2:2">
      <c r="B5325" s="21"/>
    </row>
    <row r="5326" spans="2:2">
      <c r="B5326" s="21"/>
    </row>
    <row r="5327" spans="2:2">
      <c r="B5327" s="21"/>
    </row>
    <row r="5328" spans="2:2">
      <c r="B5328" s="21"/>
    </row>
    <row r="5329" spans="2:2">
      <c r="B5329" s="21"/>
    </row>
    <row r="5330" spans="2:2">
      <c r="B5330" s="21"/>
    </row>
    <row r="5331" spans="2:2">
      <c r="B5331" s="21"/>
    </row>
    <row r="5332" spans="2:2">
      <c r="B5332" s="21"/>
    </row>
    <row r="5333" spans="2:2">
      <c r="B5333" s="21"/>
    </row>
    <row r="5334" spans="2:2">
      <c r="B5334" s="21"/>
    </row>
    <row r="5335" spans="2:2">
      <c r="B5335" s="21"/>
    </row>
    <row r="5336" spans="2:2">
      <c r="B5336" s="21"/>
    </row>
    <row r="5337" spans="2:2">
      <c r="B5337" s="21"/>
    </row>
    <row r="5338" spans="2:2">
      <c r="B5338" s="21"/>
    </row>
    <row r="5339" spans="2:2">
      <c r="B5339" s="21"/>
    </row>
    <row r="5340" spans="2:2">
      <c r="B5340" s="21"/>
    </row>
    <row r="5341" spans="2:2">
      <c r="B5341" s="21"/>
    </row>
    <row r="5342" spans="2:2">
      <c r="B5342" s="21"/>
    </row>
    <row r="5343" spans="2:2">
      <c r="B5343" s="21"/>
    </row>
    <row r="5344" spans="2:2">
      <c r="B5344" s="21"/>
    </row>
    <row r="5345" spans="2:2">
      <c r="B5345" s="21"/>
    </row>
    <row r="5346" spans="2:2">
      <c r="B5346" s="21"/>
    </row>
    <row r="5347" spans="2:2">
      <c r="B5347" s="21"/>
    </row>
    <row r="5348" spans="2:2">
      <c r="B5348" s="21"/>
    </row>
    <row r="5349" spans="2:2">
      <c r="B5349" s="21"/>
    </row>
    <row r="5350" spans="2:2">
      <c r="B5350" s="21"/>
    </row>
    <row r="5351" spans="2:2">
      <c r="B5351" s="21"/>
    </row>
    <row r="5352" spans="2:2">
      <c r="B5352" s="21"/>
    </row>
    <row r="5353" spans="2:2">
      <c r="B5353" s="21"/>
    </row>
    <row r="5354" spans="2:2">
      <c r="B5354" s="21"/>
    </row>
    <row r="5355" spans="2:2">
      <c r="B5355" s="21"/>
    </row>
    <row r="5356" spans="2:2">
      <c r="B5356" s="21"/>
    </row>
    <row r="5357" spans="2:2">
      <c r="B5357" s="21"/>
    </row>
    <row r="5358" spans="2:2">
      <c r="B5358" s="21"/>
    </row>
    <row r="5359" spans="2:2">
      <c r="B5359" s="21"/>
    </row>
    <row r="5360" spans="2:2">
      <c r="B5360" s="21"/>
    </row>
    <row r="5361" spans="2:2">
      <c r="B5361" s="21"/>
    </row>
    <row r="5362" spans="2:2">
      <c r="B5362" s="21"/>
    </row>
    <row r="5363" spans="2:2">
      <c r="B5363" s="21"/>
    </row>
    <row r="5364" spans="2:2">
      <c r="B5364" s="21"/>
    </row>
    <row r="5365" spans="2:2">
      <c r="B5365" s="21"/>
    </row>
    <row r="5366" spans="2:2">
      <c r="B5366" s="21"/>
    </row>
    <row r="5367" spans="2:2">
      <c r="B5367" s="21"/>
    </row>
    <row r="5368" spans="2:2">
      <c r="B5368" s="21"/>
    </row>
    <row r="5369" spans="2:2">
      <c r="B5369" s="21"/>
    </row>
    <row r="5370" spans="2:2">
      <c r="B5370" s="21"/>
    </row>
    <row r="5371" spans="2:2">
      <c r="B5371" s="21"/>
    </row>
    <row r="5372" spans="2:2">
      <c r="B5372" s="21"/>
    </row>
    <row r="5373" spans="2:2">
      <c r="B5373" s="21"/>
    </row>
    <row r="5374" spans="2:2">
      <c r="B5374" s="21"/>
    </row>
    <row r="5375" spans="2:2">
      <c r="B5375" s="21"/>
    </row>
    <row r="5376" spans="2:2">
      <c r="B5376" s="21"/>
    </row>
    <row r="5377" spans="2:2">
      <c r="B5377" s="21"/>
    </row>
    <row r="5378" spans="2:2">
      <c r="B5378" s="21"/>
    </row>
    <row r="5379" spans="2:2">
      <c r="B5379" s="21"/>
    </row>
    <row r="5380" spans="2:2">
      <c r="B5380" s="21"/>
    </row>
    <row r="5381" spans="2:2">
      <c r="B5381" s="21"/>
    </row>
    <row r="5382" spans="2:2">
      <c r="B5382" s="21"/>
    </row>
    <row r="5383" spans="2:2">
      <c r="B5383" s="21"/>
    </row>
    <row r="5384" spans="2:2">
      <c r="B5384" s="21"/>
    </row>
    <row r="5385" spans="2:2">
      <c r="B5385" s="21"/>
    </row>
    <row r="5386" spans="2:2">
      <c r="B5386" s="21"/>
    </row>
    <row r="5387" spans="2:2">
      <c r="B5387" s="21"/>
    </row>
    <row r="5388" spans="2:2">
      <c r="B5388" s="21"/>
    </row>
    <row r="5389" spans="2:2">
      <c r="B5389" s="21"/>
    </row>
    <row r="5390" spans="2:2">
      <c r="B5390" s="21"/>
    </row>
    <row r="5391" spans="2:2">
      <c r="B5391" s="21"/>
    </row>
    <row r="5392" spans="2:2">
      <c r="B5392" s="21"/>
    </row>
    <row r="5393" spans="2:2">
      <c r="B5393" s="21"/>
    </row>
    <row r="5394" spans="2:2">
      <c r="B5394" s="21"/>
    </row>
    <row r="5395" spans="2:2">
      <c r="B5395" s="21"/>
    </row>
    <row r="5396" spans="2:2">
      <c r="B5396" s="21"/>
    </row>
    <row r="5397" spans="2:2">
      <c r="B5397" s="21"/>
    </row>
    <row r="5398" spans="2:2">
      <c r="B5398" s="21"/>
    </row>
    <row r="5399" spans="2:2">
      <c r="B5399" s="21"/>
    </row>
    <row r="5400" spans="2:2">
      <c r="B5400" s="21"/>
    </row>
    <row r="5401" spans="2:2">
      <c r="B5401" s="21"/>
    </row>
    <row r="5402" spans="2:2">
      <c r="B5402" s="21"/>
    </row>
    <row r="5403" spans="2:2">
      <c r="B5403" s="21"/>
    </row>
    <row r="5404" spans="2:2">
      <c r="B5404" s="21"/>
    </row>
    <row r="5405" spans="2:2">
      <c r="B5405" s="21"/>
    </row>
    <row r="5406" spans="2:2">
      <c r="B5406" s="21"/>
    </row>
    <row r="5407" spans="2:2">
      <c r="B5407" s="21"/>
    </row>
    <row r="5408" spans="2:2">
      <c r="B5408" s="21"/>
    </row>
    <row r="5409" spans="2:2">
      <c r="B5409" s="21"/>
    </row>
    <row r="5410" spans="2:2">
      <c r="B5410" s="21"/>
    </row>
    <row r="5411" spans="2:2">
      <c r="B5411" s="21"/>
    </row>
    <row r="5412" spans="2:2">
      <c r="B5412" s="21"/>
    </row>
    <row r="5413" spans="2:2">
      <c r="B5413" s="21"/>
    </row>
    <row r="5414" spans="2:2">
      <c r="B5414" s="21"/>
    </row>
    <row r="5415" spans="2:2">
      <c r="B5415" s="21"/>
    </row>
    <row r="5416" spans="2:2">
      <c r="B5416" s="21"/>
    </row>
    <row r="5417" spans="2:2">
      <c r="B5417" s="21"/>
    </row>
    <row r="5418" spans="2:2">
      <c r="B5418" s="21"/>
    </row>
    <row r="5419" spans="2:2">
      <c r="B5419" s="21"/>
    </row>
    <row r="5420" spans="2:2">
      <c r="B5420" s="21"/>
    </row>
    <row r="5421" spans="2:2">
      <c r="B5421" s="21"/>
    </row>
    <row r="5422" spans="2:2">
      <c r="B5422" s="21"/>
    </row>
    <row r="5423" spans="2:2">
      <c r="B5423" s="21"/>
    </row>
    <row r="5424" spans="2:2">
      <c r="B5424" s="21"/>
    </row>
    <row r="5425" spans="2:2">
      <c r="B5425" s="21"/>
    </row>
    <row r="5426" spans="2:2">
      <c r="B5426" s="21"/>
    </row>
    <row r="5427" spans="2:2">
      <c r="B5427" s="21"/>
    </row>
    <row r="5428" spans="2:2">
      <c r="B5428" s="21"/>
    </row>
    <row r="5429" spans="2:2">
      <c r="B5429" s="21"/>
    </row>
    <row r="5430" spans="2:2">
      <c r="B5430" s="21"/>
    </row>
    <row r="5431" spans="2:2">
      <c r="B5431" s="21"/>
    </row>
    <row r="5432" spans="2:2">
      <c r="B5432" s="21"/>
    </row>
    <row r="5433" spans="2:2">
      <c r="B5433" s="21"/>
    </row>
    <row r="5434" spans="2:2">
      <c r="B5434" s="21"/>
    </row>
    <row r="5435" spans="2:2">
      <c r="B5435" s="21"/>
    </row>
    <row r="5436" spans="2:2">
      <c r="B5436" s="21"/>
    </row>
    <row r="5437" spans="2:2">
      <c r="B5437" s="21"/>
    </row>
    <row r="5438" spans="2:2">
      <c r="B5438" s="21"/>
    </row>
    <row r="5439" spans="2:2">
      <c r="B5439" s="21"/>
    </row>
    <row r="5440" spans="2:2">
      <c r="B5440" s="21"/>
    </row>
    <row r="5441" spans="2:2">
      <c r="B5441" s="21"/>
    </row>
    <row r="5442" spans="2:2">
      <c r="B5442" s="21"/>
    </row>
    <row r="5443" spans="2:2">
      <c r="B5443" s="21"/>
    </row>
    <row r="5444" spans="2:2">
      <c r="B5444" s="21"/>
    </row>
    <row r="5445" spans="2:2">
      <c r="B5445" s="21"/>
    </row>
    <row r="5446" spans="2:2">
      <c r="B5446" s="21"/>
    </row>
    <row r="5447" spans="2:2">
      <c r="B5447" s="21"/>
    </row>
    <row r="5448" spans="2:2">
      <c r="B5448" s="21"/>
    </row>
    <row r="5449" spans="2:2">
      <c r="B5449" s="21"/>
    </row>
    <row r="5450" spans="2:2">
      <c r="B5450" s="21"/>
    </row>
    <row r="5451" spans="2:2">
      <c r="B5451" s="21"/>
    </row>
    <row r="5452" spans="2:2">
      <c r="B5452" s="21"/>
    </row>
    <row r="5453" spans="2:2">
      <c r="B5453" s="21"/>
    </row>
    <row r="5454" spans="2:2">
      <c r="B5454" s="21"/>
    </row>
    <row r="5455" spans="2:2">
      <c r="B5455" s="21"/>
    </row>
    <row r="5456" spans="2:2">
      <c r="B5456" s="21"/>
    </row>
    <row r="5457" spans="2:2">
      <c r="B5457" s="21"/>
    </row>
    <row r="5458" spans="2:2">
      <c r="B5458" s="21"/>
    </row>
    <row r="5459" spans="2:2">
      <c r="B5459" s="21"/>
    </row>
    <row r="5460" spans="2:2">
      <c r="B5460" s="21"/>
    </row>
    <row r="5461" spans="2:2">
      <c r="B5461" s="21"/>
    </row>
    <row r="5462" spans="2:2">
      <c r="B5462" s="21"/>
    </row>
    <row r="5463" spans="2:2">
      <c r="B5463" s="21"/>
    </row>
    <row r="5464" spans="2:2">
      <c r="B5464" s="21"/>
    </row>
    <row r="5465" spans="2:2">
      <c r="B5465" s="21"/>
    </row>
    <row r="5466" spans="2:2">
      <c r="B5466" s="21"/>
    </row>
    <row r="5467" spans="2:2">
      <c r="B5467" s="21"/>
    </row>
    <row r="5468" spans="2:2">
      <c r="B5468" s="21"/>
    </row>
    <row r="5469" spans="2:2">
      <c r="B5469" s="21"/>
    </row>
    <row r="5470" spans="2:2">
      <c r="B5470" s="21"/>
    </row>
    <row r="5471" spans="2:2">
      <c r="B5471" s="21"/>
    </row>
    <row r="5472" spans="2:2">
      <c r="B5472" s="21"/>
    </row>
    <row r="5473" spans="2:2">
      <c r="B5473" s="21"/>
    </row>
    <row r="5474" spans="2:2">
      <c r="B5474" s="21"/>
    </row>
    <row r="5475" spans="2:2">
      <c r="B5475" s="21"/>
    </row>
    <row r="5476" spans="2:2">
      <c r="B5476" s="21"/>
    </row>
    <row r="5477" spans="2:2">
      <c r="B5477" s="21"/>
    </row>
    <row r="5478" spans="2:2">
      <c r="B5478" s="21"/>
    </row>
    <row r="5479" spans="2:2">
      <c r="B5479" s="21"/>
    </row>
    <row r="5480" spans="2:2">
      <c r="B5480" s="21"/>
    </row>
    <row r="5481" spans="2:2">
      <c r="B5481" s="21"/>
    </row>
    <row r="5482" spans="2:2">
      <c r="B5482" s="21"/>
    </row>
    <row r="5483" spans="2:2">
      <c r="B5483" s="21"/>
    </row>
    <row r="5484" spans="2:2">
      <c r="B5484" s="21"/>
    </row>
    <row r="5485" spans="2:2">
      <c r="B5485" s="21"/>
    </row>
    <row r="5486" spans="2:2">
      <c r="B5486" s="21"/>
    </row>
    <row r="5487" spans="2:2">
      <c r="B5487" s="21"/>
    </row>
    <row r="5488" spans="2:2">
      <c r="B5488" s="21"/>
    </row>
    <row r="5489" spans="2:2">
      <c r="B5489" s="21"/>
    </row>
    <row r="5490" spans="2:2">
      <c r="B5490" s="21"/>
    </row>
    <row r="5491" spans="2:2">
      <c r="B5491" s="21"/>
    </row>
    <row r="5492" spans="2:2">
      <c r="B5492" s="21"/>
    </row>
    <row r="5493" spans="2:2">
      <c r="B5493" s="21"/>
    </row>
    <row r="5494" spans="2:2">
      <c r="B5494" s="21"/>
    </row>
    <row r="5495" spans="2:2">
      <c r="B5495" s="21"/>
    </row>
    <row r="5496" spans="2:2">
      <c r="B5496" s="21"/>
    </row>
    <row r="5497" spans="2:2">
      <c r="B5497" s="21"/>
    </row>
    <row r="5498" spans="2:2">
      <c r="B5498" s="21"/>
    </row>
    <row r="5499" spans="2:2">
      <c r="B5499" s="21"/>
    </row>
    <row r="5500" spans="2:2">
      <c r="B5500" s="21"/>
    </row>
    <row r="5501" spans="2:2">
      <c r="B5501" s="21"/>
    </row>
    <row r="5502" spans="2:2">
      <c r="B5502" s="21"/>
    </row>
    <row r="5503" spans="2:2">
      <c r="B5503" s="21"/>
    </row>
    <row r="5504" spans="2:2">
      <c r="B5504" s="21"/>
    </row>
    <row r="5505" spans="2:2">
      <c r="B5505" s="21"/>
    </row>
    <row r="5506" spans="2:2">
      <c r="B5506" s="21"/>
    </row>
    <row r="5507" spans="2:2">
      <c r="B5507" s="21"/>
    </row>
    <row r="5508" spans="2:2">
      <c r="B5508" s="21"/>
    </row>
    <row r="5509" spans="2:2">
      <c r="B5509" s="21"/>
    </row>
    <row r="5510" spans="2:2">
      <c r="B5510" s="21"/>
    </row>
    <row r="5511" spans="2:2">
      <c r="B5511" s="21"/>
    </row>
    <row r="5512" spans="2:2">
      <c r="B5512" s="21"/>
    </row>
    <row r="5513" spans="2:2">
      <c r="B5513" s="21"/>
    </row>
    <row r="5514" spans="2:2">
      <c r="B5514" s="21"/>
    </row>
    <row r="5515" spans="2:2">
      <c r="B5515" s="21"/>
    </row>
    <row r="5516" spans="2:2">
      <c r="B5516" s="21"/>
    </row>
    <row r="5517" spans="2:2">
      <c r="B5517" s="21"/>
    </row>
    <row r="5518" spans="2:2">
      <c r="B5518" s="21"/>
    </row>
    <row r="5519" spans="2:2">
      <c r="B5519" s="21"/>
    </row>
    <row r="5520" spans="2:2">
      <c r="B5520" s="21"/>
    </row>
    <row r="5521" spans="2:2">
      <c r="B5521" s="21"/>
    </row>
    <row r="5522" spans="2:2">
      <c r="B5522" s="21"/>
    </row>
    <row r="5523" spans="2:2">
      <c r="B5523" s="21"/>
    </row>
    <row r="5524" spans="2:2">
      <c r="B5524" s="21"/>
    </row>
    <row r="5525" spans="2:2">
      <c r="B5525" s="21"/>
    </row>
    <row r="5526" spans="2:2">
      <c r="B5526" s="21"/>
    </row>
    <row r="5527" spans="2:2">
      <c r="B5527" s="21"/>
    </row>
    <row r="5528" spans="2:2">
      <c r="B5528" s="21"/>
    </row>
    <row r="5529" spans="2:2">
      <c r="B5529" s="21"/>
    </row>
    <row r="5530" spans="2:2">
      <c r="B5530" s="21"/>
    </row>
    <row r="5531" spans="2:2">
      <c r="B5531" s="21"/>
    </row>
    <row r="5532" spans="2:2">
      <c r="B5532" s="21"/>
    </row>
    <row r="5533" spans="2:2">
      <c r="B5533" s="21"/>
    </row>
    <row r="5534" spans="2:2">
      <c r="B5534" s="21"/>
    </row>
    <row r="5535" spans="2:2">
      <c r="B5535" s="21"/>
    </row>
    <row r="5536" spans="2:2">
      <c r="B5536" s="21"/>
    </row>
    <row r="5537" spans="2:2">
      <c r="B5537" s="21"/>
    </row>
    <row r="5538" spans="2:2">
      <c r="B5538" s="21"/>
    </row>
    <row r="5539" spans="2:2">
      <c r="B5539" s="21"/>
    </row>
    <row r="5540" spans="2:2">
      <c r="B5540" s="21"/>
    </row>
    <row r="5541" spans="2:2">
      <c r="B5541" s="21"/>
    </row>
    <row r="5542" spans="2:2">
      <c r="B5542" s="21"/>
    </row>
    <row r="5543" spans="2:2">
      <c r="B5543" s="21"/>
    </row>
    <row r="5544" spans="2:2">
      <c r="B5544" s="21"/>
    </row>
    <row r="5545" spans="2:2">
      <c r="B5545" s="21"/>
    </row>
    <row r="5546" spans="2:2">
      <c r="B5546" s="21"/>
    </row>
    <row r="5547" spans="2:2">
      <c r="B5547" s="21"/>
    </row>
    <row r="5548" spans="2:2">
      <c r="B5548" s="21"/>
    </row>
    <row r="5549" spans="2:2">
      <c r="B5549" s="21"/>
    </row>
    <row r="5550" spans="2:2">
      <c r="B5550" s="21"/>
    </row>
    <row r="5551" spans="2:2">
      <c r="B5551" s="21"/>
    </row>
    <row r="5552" spans="2:2">
      <c r="B5552" s="21"/>
    </row>
    <row r="5553" spans="2:2">
      <c r="B5553" s="21"/>
    </row>
    <row r="5554" spans="2:2">
      <c r="B5554" s="21"/>
    </row>
    <row r="5555" spans="2:2">
      <c r="B5555" s="21"/>
    </row>
    <row r="5556" spans="2:2">
      <c r="B5556" s="21"/>
    </row>
    <row r="5557" spans="2:2">
      <c r="B5557" s="21"/>
    </row>
    <row r="5558" spans="2:2">
      <c r="B5558" s="21"/>
    </row>
    <row r="5559" spans="2:2">
      <c r="B5559" s="21"/>
    </row>
    <row r="5560" spans="2:2">
      <c r="B5560" s="21"/>
    </row>
    <row r="5561" spans="2:2">
      <c r="B5561" s="21"/>
    </row>
    <row r="5562" spans="2:2">
      <c r="B5562" s="21"/>
    </row>
    <row r="5563" spans="2:2">
      <c r="B5563" s="21"/>
    </row>
    <row r="5564" spans="2:2">
      <c r="B5564" s="21"/>
    </row>
    <row r="5565" spans="2:2">
      <c r="B5565" s="21"/>
    </row>
    <row r="5566" spans="2:2">
      <c r="B5566" s="21"/>
    </row>
    <row r="5567" spans="2:2">
      <c r="B5567" s="21"/>
    </row>
    <row r="5568" spans="2:2">
      <c r="B5568" s="21"/>
    </row>
    <row r="5569" spans="2:2">
      <c r="B5569" s="21"/>
    </row>
    <row r="5570" spans="2:2">
      <c r="B5570" s="21"/>
    </row>
    <row r="5571" spans="2:2">
      <c r="B5571" s="21"/>
    </row>
    <row r="5572" spans="2:2">
      <c r="B5572" s="21"/>
    </row>
    <row r="5573" spans="2:2">
      <c r="B5573" s="21"/>
    </row>
    <row r="5574" spans="2:2">
      <c r="B5574" s="21"/>
    </row>
    <row r="5575" spans="2:2">
      <c r="B5575" s="21"/>
    </row>
    <row r="5576" spans="2:2">
      <c r="B5576" s="21"/>
    </row>
    <row r="5577" spans="2:2">
      <c r="B5577" s="21"/>
    </row>
    <row r="5578" spans="2:2">
      <c r="B5578" s="21"/>
    </row>
    <row r="5579" spans="2:2">
      <c r="B5579" s="21"/>
    </row>
    <row r="5580" spans="2:2">
      <c r="B5580" s="21"/>
    </row>
    <row r="5581" spans="2:2">
      <c r="B5581" s="21"/>
    </row>
    <row r="5582" spans="2:2">
      <c r="B5582" s="21"/>
    </row>
    <row r="5583" spans="2:2">
      <c r="B5583" s="21"/>
    </row>
    <row r="5584" spans="2:2">
      <c r="B5584" s="21"/>
    </row>
    <row r="5585" spans="2:2">
      <c r="B5585" s="21"/>
    </row>
    <row r="5586" spans="2:2">
      <c r="B5586" s="21"/>
    </row>
    <row r="5587" spans="2:2">
      <c r="B5587" s="21"/>
    </row>
    <row r="5588" spans="2:2">
      <c r="B5588" s="21"/>
    </row>
    <row r="5589" spans="2:2">
      <c r="B5589" s="21"/>
    </row>
    <row r="5590" spans="2:2">
      <c r="B5590" s="21"/>
    </row>
    <row r="5591" spans="2:2">
      <c r="B5591" s="21"/>
    </row>
    <row r="5592" spans="2:2">
      <c r="B5592" s="21"/>
    </row>
    <row r="5593" spans="2:2">
      <c r="B5593" s="21"/>
    </row>
    <row r="5594" spans="2:2">
      <c r="B5594" s="21"/>
    </row>
    <row r="5595" spans="2:2">
      <c r="B5595" s="21"/>
    </row>
    <row r="5596" spans="2:2">
      <c r="B5596" s="21"/>
    </row>
    <row r="5597" spans="2:2">
      <c r="B5597" s="21"/>
    </row>
    <row r="5598" spans="2:2">
      <c r="B5598" s="21"/>
    </row>
    <row r="5599" spans="2:2">
      <c r="B5599" s="21"/>
    </row>
    <row r="5600" spans="2:2">
      <c r="B5600" s="21"/>
    </row>
    <row r="5601" spans="2:2">
      <c r="B5601" s="21"/>
    </row>
    <row r="5602" spans="2:2">
      <c r="B5602" s="21"/>
    </row>
    <row r="5603" spans="2:2">
      <c r="B5603" s="21"/>
    </row>
    <row r="5604" spans="2:2">
      <c r="B5604" s="21"/>
    </row>
    <row r="5605" spans="2:2">
      <c r="B5605" s="21"/>
    </row>
    <row r="5606" spans="2:2">
      <c r="B5606" s="21"/>
    </row>
    <row r="5607" spans="2:2">
      <c r="B5607" s="21"/>
    </row>
    <row r="5608" spans="2:2">
      <c r="B5608" s="21"/>
    </row>
    <row r="5609" spans="2:2">
      <c r="B5609" s="21"/>
    </row>
    <row r="5610" spans="2:2">
      <c r="B5610" s="21"/>
    </row>
    <row r="5611" spans="2:2">
      <c r="B5611" s="21"/>
    </row>
    <row r="5612" spans="2:2">
      <c r="B5612" s="21"/>
    </row>
    <row r="5613" spans="2:2">
      <c r="B5613" s="21"/>
    </row>
    <row r="5614" spans="2:2">
      <c r="B5614" s="21"/>
    </row>
    <row r="5615" spans="2:2">
      <c r="B5615" s="21"/>
    </row>
    <row r="5616" spans="2:2">
      <c r="B5616" s="21"/>
    </row>
    <row r="5617" spans="2:2">
      <c r="B5617" s="21"/>
    </row>
    <row r="5618" spans="2:2">
      <c r="B5618" s="21"/>
    </row>
    <row r="5619" spans="2:2">
      <c r="B5619" s="21"/>
    </row>
    <row r="5620" spans="2:2">
      <c r="B5620" s="21"/>
    </row>
    <row r="5621" spans="2:2">
      <c r="B5621" s="21"/>
    </row>
    <row r="5622" spans="2:2">
      <c r="B5622" s="21"/>
    </row>
    <row r="5623" spans="2:2">
      <c r="B5623" s="21"/>
    </row>
    <row r="5624" spans="2:2">
      <c r="B5624" s="21"/>
    </row>
    <row r="5625" spans="2:2">
      <c r="B5625" s="21"/>
    </row>
    <row r="5626" spans="2:2">
      <c r="B5626" s="21"/>
    </row>
    <row r="5627" spans="2:2">
      <c r="B5627" s="21"/>
    </row>
    <row r="5628" spans="2:2">
      <c r="B5628" s="21"/>
    </row>
    <row r="5629" spans="2:2">
      <c r="B5629" s="21"/>
    </row>
    <row r="5630" spans="2:2">
      <c r="B5630" s="21"/>
    </row>
    <row r="5631" spans="2:2">
      <c r="B5631" s="21"/>
    </row>
    <row r="5632" spans="2:2">
      <c r="B5632" s="21"/>
    </row>
    <row r="5633" spans="2:2">
      <c r="B5633" s="21"/>
    </row>
    <row r="5634" spans="2:2">
      <c r="B5634" s="21"/>
    </row>
    <row r="5635" spans="2:2">
      <c r="B5635" s="21"/>
    </row>
    <row r="5636" spans="2:2">
      <c r="B5636" s="21"/>
    </row>
    <row r="5637" spans="2:2">
      <c r="B5637" s="21"/>
    </row>
    <row r="5638" spans="2:2">
      <c r="B5638" s="21"/>
    </row>
    <row r="5639" spans="2:2">
      <c r="B5639" s="21"/>
    </row>
    <row r="5640" spans="2:2">
      <c r="B5640" s="21"/>
    </row>
    <row r="5641" spans="2:2">
      <c r="B5641" s="21"/>
    </row>
    <row r="5642" spans="2:2">
      <c r="B5642" s="21"/>
    </row>
    <row r="5643" spans="2:2">
      <c r="B5643" s="21"/>
    </row>
    <row r="5644" spans="2:2">
      <c r="B5644" s="21"/>
    </row>
    <row r="5645" spans="2:2">
      <c r="B5645" s="21"/>
    </row>
    <row r="5646" spans="2:2">
      <c r="B5646" s="21"/>
    </row>
    <row r="5647" spans="2:2">
      <c r="B5647" s="21"/>
    </row>
    <row r="5648" spans="2:2">
      <c r="B5648" s="21"/>
    </row>
    <row r="5649" spans="2:2">
      <c r="B5649" s="21"/>
    </row>
    <row r="5650" spans="2:2">
      <c r="B5650" s="21"/>
    </row>
    <row r="5651" spans="2:2">
      <c r="B5651" s="21"/>
    </row>
    <row r="5652" spans="2:2">
      <c r="B5652" s="21"/>
    </row>
    <row r="5653" spans="2:2">
      <c r="B5653" s="21"/>
    </row>
    <row r="5654" spans="2:2">
      <c r="B5654" s="21"/>
    </row>
    <row r="5655" spans="2:2">
      <c r="B5655" s="21"/>
    </row>
    <row r="5656" spans="2:2">
      <c r="B5656" s="21"/>
    </row>
    <row r="5657" spans="2:2">
      <c r="B5657" s="21"/>
    </row>
    <row r="5658" spans="2:2">
      <c r="B5658" s="21"/>
    </row>
    <row r="5659" spans="2:2">
      <c r="B5659" s="21"/>
    </row>
    <row r="5660" spans="2:2">
      <c r="B5660" s="21"/>
    </row>
    <row r="5661" spans="2:2">
      <c r="B5661" s="21"/>
    </row>
    <row r="5662" spans="2:2">
      <c r="B5662" s="21"/>
    </row>
    <row r="5663" spans="2:2">
      <c r="B5663" s="21"/>
    </row>
    <row r="5664" spans="2:2">
      <c r="B5664" s="21"/>
    </row>
    <row r="5665" spans="2:2">
      <c r="B5665" s="21"/>
    </row>
    <row r="5666" spans="2:2">
      <c r="B5666" s="21"/>
    </row>
    <row r="5667" spans="2:2">
      <c r="B5667" s="21"/>
    </row>
    <row r="5668" spans="2:2">
      <c r="B5668" s="21"/>
    </row>
    <row r="5669" spans="2:2">
      <c r="B5669" s="21"/>
    </row>
    <row r="5670" spans="2:2">
      <c r="B5670" s="21"/>
    </row>
    <row r="5671" spans="2:2">
      <c r="B5671" s="21"/>
    </row>
    <row r="5672" spans="2:2">
      <c r="B5672" s="21"/>
    </row>
    <row r="5673" spans="2:2">
      <c r="B5673" s="21"/>
    </row>
    <row r="5674" spans="2:2">
      <c r="B5674" s="21"/>
    </row>
    <row r="5675" spans="2:2">
      <c r="B5675" s="21"/>
    </row>
    <row r="5676" spans="2:2">
      <c r="B5676" s="21"/>
    </row>
    <row r="5677" spans="2:2">
      <c r="B5677" s="21"/>
    </row>
    <row r="5678" spans="2:2">
      <c r="B5678" s="21"/>
    </row>
    <row r="5679" spans="2:2">
      <c r="B5679" s="21"/>
    </row>
    <row r="5680" spans="2:2">
      <c r="B5680" s="21"/>
    </row>
    <row r="5681" spans="2:2">
      <c r="B5681" s="21"/>
    </row>
    <row r="5682" spans="2:2">
      <c r="B5682" s="21"/>
    </row>
    <row r="5683" spans="2:2">
      <c r="B5683" s="21"/>
    </row>
    <row r="5684" spans="2:2">
      <c r="B5684" s="21"/>
    </row>
    <row r="5685" spans="2:2">
      <c r="B5685" s="21"/>
    </row>
    <row r="5686" spans="2:2">
      <c r="B5686" s="21"/>
    </row>
    <row r="5687" spans="2:2">
      <c r="B5687" s="21"/>
    </row>
    <row r="5688" spans="2:2">
      <c r="B5688" s="21"/>
    </row>
    <row r="5689" spans="2:2">
      <c r="B5689" s="21"/>
    </row>
    <row r="5690" spans="2:2">
      <c r="B5690" s="21"/>
    </row>
    <row r="5691" spans="2:2">
      <c r="B5691" s="21"/>
    </row>
    <row r="5692" spans="2:2">
      <c r="B5692" s="21"/>
    </row>
    <row r="5693" spans="2:2">
      <c r="B5693" s="21"/>
    </row>
    <row r="5694" spans="2:2">
      <c r="B5694" s="21"/>
    </row>
    <row r="5695" spans="2:2">
      <c r="B5695" s="21"/>
    </row>
    <row r="5696" spans="2:2">
      <c r="B5696" s="21"/>
    </row>
    <row r="5697" spans="2:2">
      <c r="B5697" s="21"/>
    </row>
    <row r="5698" spans="2:2">
      <c r="B5698" s="21"/>
    </row>
    <row r="5699" spans="2:2">
      <c r="B5699" s="21"/>
    </row>
    <row r="5700" spans="2:2">
      <c r="B5700" s="21"/>
    </row>
    <row r="5701" spans="2:2">
      <c r="B5701" s="21"/>
    </row>
    <row r="5702" spans="2:2">
      <c r="B5702" s="21"/>
    </row>
    <row r="5703" spans="2:2">
      <c r="B5703" s="21"/>
    </row>
    <row r="5704" spans="2:2">
      <c r="B5704" s="21"/>
    </row>
    <row r="5705" spans="2:2">
      <c r="B5705" s="21"/>
    </row>
    <row r="5706" spans="2:2">
      <c r="B5706" s="21"/>
    </row>
    <row r="5707" spans="2:2">
      <c r="B5707" s="21"/>
    </row>
    <row r="5708" spans="2:2">
      <c r="B5708" s="21"/>
    </row>
    <row r="5709" spans="2:2">
      <c r="B5709" s="21"/>
    </row>
    <row r="5710" spans="2:2">
      <c r="B5710" s="21"/>
    </row>
    <row r="5711" spans="2:2">
      <c r="B5711" s="21"/>
    </row>
    <row r="5712" spans="2:2">
      <c r="B5712" s="21"/>
    </row>
    <row r="5713" spans="2:2">
      <c r="B5713" s="21"/>
    </row>
    <row r="5714" spans="2:2">
      <c r="B5714" s="21"/>
    </row>
    <row r="5715" spans="2:2">
      <c r="B5715" s="21"/>
    </row>
    <row r="5716" spans="2:2">
      <c r="B5716" s="21"/>
    </row>
    <row r="5717" spans="2:2">
      <c r="B5717" s="21"/>
    </row>
    <row r="5718" spans="2:2">
      <c r="B5718" s="21"/>
    </row>
    <row r="5719" spans="2:2">
      <c r="B5719" s="21"/>
    </row>
    <row r="5720" spans="2:2">
      <c r="B5720" s="21"/>
    </row>
    <row r="5721" spans="2:2">
      <c r="B5721" s="21"/>
    </row>
    <row r="5722" spans="2:2">
      <c r="B5722" s="21"/>
    </row>
    <row r="5723" spans="2:2">
      <c r="B5723" s="21"/>
    </row>
    <row r="5724" spans="2:2">
      <c r="B5724" s="21"/>
    </row>
    <row r="5725" spans="2:2">
      <c r="B5725" s="21"/>
    </row>
    <row r="5726" spans="2:2">
      <c r="B5726" s="21"/>
    </row>
    <row r="5727" spans="2:2">
      <c r="B5727" s="21"/>
    </row>
    <row r="5728" spans="2:2">
      <c r="B5728" s="21"/>
    </row>
    <row r="5729" spans="2:2">
      <c r="B5729" s="21"/>
    </row>
    <row r="5730" spans="2:2">
      <c r="B5730" s="21"/>
    </row>
    <row r="5731" spans="2:2">
      <c r="B5731" s="21"/>
    </row>
    <row r="5732" spans="2:2">
      <c r="B5732" s="21"/>
    </row>
    <row r="5733" spans="2:2">
      <c r="B5733" s="21"/>
    </row>
    <row r="5734" spans="2:2">
      <c r="B5734" s="21"/>
    </row>
    <row r="5735" spans="2:2">
      <c r="B5735" s="21"/>
    </row>
    <row r="5736" spans="2:2">
      <c r="B5736" s="21"/>
    </row>
    <row r="5737" spans="2:2">
      <c r="B5737" s="21"/>
    </row>
    <row r="5738" spans="2:2">
      <c r="B5738" s="21"/>
    </row>
    <row r="5739" spans="2:2">
      <c r="B5739" s="21"/>
    </row>
    <row r="5740" spans="2:2">
      <c r="B5740" s="21"/>
    </row>
    <row r="5741" spans="2:2">
      <c r="B5741" s="21"/>
    </row>
    <row r="5742" spans="2:2">
      <c r="B5742" s="21"/>
    </row>
    <row r="5743" spans="2:2">
      <c r="B5743" s="21"/>
    </row>
    <row r="5744" spans="2:2">
      <c r="B5744" s="21"/>
    </row>
    <row r="5745" spans="2:2">
      <c r="B5745" s="21"/>
    </row>
    <row r="5746" spans="2:2">
      <c r="B5746" s="21"/>
    </row>
    <row r="5747" spans="2:2">
      <c r="B5747" s="21"/>
    </row>
    <row r="5748" spans="2:2">
      <c r="B5748" s="21"/>
    </row>
    <row r="5749" spans="2:2">
      <c r="B5749" s="21"/>
    </row>
    <row r="5750" spans="2:2">
      <c r="B5750" s="21"/>
    </row>
    <row r="5751" spans="2:2">
      <c r="B5751" s="21"/>
    </row>
    <row r="5752" spans="2:2">
      <c r="B5752" s="21"/>
    </row>
    <row r="5753" spans="2:2">
      <c r="B5753" s="21"/>
    </row>
    <row r="5754" spans="2:2">
      <c r="B5754" s="21"/>
    </row>
    <row r="5755" spans="2:2">
      <c r="B5755" s="21"/>
    </row>
    <row r="5756" spans="2:2">
      <c r="B5756" s="21"/>
    </row>
    <row r="5757" spans="2:2">
      <c r="B5757" s="21"/>
    </row>
    <row r="5758" spans="2:2">
      <c r="B5758" s="21"/>
    </row>
    <row r="5759" spans="2:2">
      <c r="B5759" s="21"/>
    </row>
    <row r="5760" spans="2:2">
      <c r="B5760" s="21"/>
    </row>
    <row r="5761" spans="2:2">
      <c r="B5761" s="21"/>
    </row>
    <row r="5762" spans="2:2">
      <c r="B5762" s="21"/>
    </row>
    <row r="5763" spans="2:2">
      <c r="B5763" s="21"/>
    </row>
    <row r="5764" spans="2:2">
      <c r="B5764" s="21"/>
    </row>
    <row r="5765" spans="2:2">
      <c r="B5765" s="21"/>
    </row>
    <row r="5766" spans="2:2">
      <c r="B5766" s="21"/>
    </row>
    <row r="5767" spans="2:2">
      <c r="B5767" s="21"/>
    </row>
    <row r="5768" spans="2:2">
      <c r="B5768" s="21"/>
    </row>
    <row r="5769" spans="2:2">
      <c r="B5769" s="21"/>
    </row>
    <row r="5770" spans="2:2">
      <c r="B5770" s="21"/>
    </row>
    <row r="5771" spans="2:2">
      <c r="B5771" s="21"/>
    </row>
    <row r="5772" spans="2:2">
      <c r="B5772" s="21"/>
    </row>
    <row r="5773" spans="2:2">
      <c r="B5773" s="21"/>
    </row>
    <row r="5774" spans="2:2">
      <c r="B5774" s="21"/>
    </row>
    <row r="5775" spans="2:2">
      <c r="B5775" s="21"/>
    </row>
    <row r="5776" spans="2:2">
      <c r="B5776" s="21"/>
    </row>
    <row r="5777" spans="2:2">
      <c r="B5777" s="21"/>
    </row>
    <row r="5778" spans="2:2">
      <c r="B5778" s="21"/>
    </row>
    <row r="5779" spans="2:2">
      <c r="B5779" s="21"/>
    </row>
    <row r="5780" spans="2:2">
      <c r="B5780" s="21"/>
    </row>
    <row r="5781" spans="2:2">
      <c r="B5781" s="21"/>
    </row>
    <row r="5782" spans="2:2">
      <c r="B5782" s="21"/>
    </row>
    <row r="5783" spans="2:2">
      <c r="B5783" s="21"/>
    </row>
    <row r="5784" spans="2:2">
      <c r="B5784" s="21"/>
    </row>
    <row r="5785" spans="2:2">
      <c r="B5785" s="21"/>
    </row>
    <row r="5786" spans="2:2">
      <c r="B5786" s="21"/>
    </row>
    <row r="5787" spans="2:2">
      <c r="B5787" s="21"/>
    </row>
    <row r="5788" spans="2:2">
      <c r="B5788" s="21"/>
    </row>
    <row r="5789" spans="2:2">
      <c r="B5789" s="21"/>
    </row>
    <row r="5790" spans="2:2">
      <c r="B5790" s="21"/>
    </row>
    <row r="5791" spans="2:2">
      <c r="B5791" s="21"/>
    </row>
    <row r="5792" spans="2:2">
      <c r="B5792" s="21"/>
    </row>
    <row r="5793" spans="2:2">
      <c r="B5793" s="21"/>
    </row>
    <row r="5794" spans="2:2">
      <c r="B5794" s="21"/>
    </row>
    <row r="5795" spans="2:2">
      <c r="B5795" s="21"/>
    </row>
    <row r="5796" spans="2:2">
      <c r="B5796" s="21"/>
    </row>
    <row r="5797" spans="2:2">
      <c r="B5797" s="21"/>
    </row>
    <row r="5798" spans="2:2">
      <c r="B5798" s="21"/>
    </row>
    <row r="5799" spans="2:2">
      <c r="B5799" s="21"/>
    </row>
    <row r="5800" spans="2:2">
      <c r="B5800" s="21"/>
    </row>
    <row r="5801" spans="2:2">
      <c r="B5801" s="21"/>
    </row>
    <row r="5802" spans="2:2">
      <c r="B5802" s="21"/>
    </row>
    <row r="5803" spans="2:2">
      <c r="B5803" s="21"/>
    </row>
    <row r="5804" spans="2:2">
      <c r="B5804" s="21"/>
    </row>
    <row r="5805" spans="2:2">
      <c r="B5805" s="21"/>
    </row>
    <row r="5806" spans="2:2">
      <c r="B5806" s="21"/>
    </row>
    <row r="5807" spans="2:2">
      <c r="B5807" s="21"/>
    </row>
    <row r="5808" spans="2:2">
      <c r="B5808" s="21"/>
    </row>
    <row r="5809" spans="2:2">
      <c r="B5809" s="21"/>
    </row>
    <row r="5810" spans="2:2">
      <c r="B5810" s="21"/>
    </row>
    <row r="5811" spans="2:2">
      <c r="B5811" s="21"/>
    </row>
    <row r="5812" spans="2:2">
      <c r="B5812" s="21"/>
    </row>
    <row r="5813" spans="2:2">
      <c r="B5813" s="21"/>
    </row>
    <row r="5814" spans="2:2">
      <c r="B5814" s="21"/>
    </row>
    <row r="5815" spans="2:2">
      <c r="B5815" s="21"/>
    </row>
    <row r="5816" spans="2:2">
      <c r="B5816" s="21"/>
    </row>
    <row r="5817" spans="2:2">
      <c r="B5817" s="21"/>
    </row>
    <row r="5818" spans="2:2">
      <c r="B5818" s="21"/>
    </row>
    <row r="5819" spans="2:2">
      <c r="B5819" s="21"/>
    </row>
    <row r="5820" spans="2:2">
      <c r="B5820" s="21"/>
    </row>
    <row r="5821" spans="2:2">
      <c r="B5821" s="21"/>
    </row>
    <row r="5822" spans="2:2">
      <c r="B5822" s="21"/>
    </row>
    <row r="5823" spans="2:2">
      <c r="B5823" s="21"/>
    </row>
    <row r="5824" spans="2:2">
      <c r="B5824" s="21"/>
    </row>
    <row r="5825" spans="2:2">
      <c r="B5825" s="21"/>
    </row>
    <row r="5826" spans="2:2">
      <c r="B5826" s="21"/>
    </row>
    <row r="5827" spans="2:2">
      <c r="B5827" s="21"/>
    </row>
    <row r="5828" spans="2:2">
      <c r="B5828" s="21"/>
    </row>
    <row r="5829" spans="2:2">
      <c r="B5829" s="21"/>
    </row>
    <row r="5830" spans="2:2">
      <c r="B5830" s="21"/>
    </row>
    <row r="5831" spans="2:2">
      <c r="B5831" s="21"/>
    </row>
    <row r="5832" spans="2:2">
      <c r="B5832" s="21"/>
    </row>
    <row r="5833" spans="2:2">
      <c r="B5833" s="21"/>
    </row>
    <row r="5834" spans="2:2">
      <c r="B5834" s="21"/>
    </row>
    <row r="5835" spans="2:2">
      <c r="B5835" s="21"/>
    </row>
    <row r="5836" spans="2:2">
      <c r="B5836" s="21"/>
    </row>
    <row r="5837" spans="2:2">
      <c r="B5837" s="21"/>
    </row>
    <row r="5838" spans="2:2">
      <c r="B5838" s="21"/>
    </row>
    <row r="5839" spans="2:2">
      <c r="B5839" s="21"/>
    </row>
    <row r="5840" spans="2:2">
      <c r="B5840" s="21"/>
    </row>
    <row r="5841" spans="2:2">
      <c r="B5841" s="21"/>
    </row>
    <row r="5842" spans="2:2">
      <c r="B5842" s="21"/>
    </row>
    <row r="5843" spans="2:2">
      <c r="B5843" s="21"/>
    </row>
    <row r="5844" spans="2:2">
      <c r="B5844" s="21"/>
    </row>
    <row r="5845" spans="2:2">
      <c r="B5845" s="21"/>
    </row>
    <row r="5846" spans="2:2">
      <c r="B5846" s="21"/>
    </row>
    <row r="5847" spans="2:2">
      <c r="B5847" s="21"/>
    </row>
    <row r="5848" spans="2:2">
      <c r="B5848" s="21"/>
    </row>
    <row r="5849" spans="2:2">
      <c r="B5849" s="21"/>
    </row>
    <row r="5850" spans="2:2">
      <c r="B5850" s="21"/>
    </row>
    <row r="5851" spans="2:2">
      <c r="B5851" s="21"/>
    </row>
    <row r="5852" spans="2:2">
      <c r="B5852" s="21"/>
    </row>
    <row r="5853" spans="2:2">
      <c r="B5853" s="21"/>
    </row>
    <row r="5854" spans="2:2">
      <c r="B5854" s="21"/>
    </row>
    <row r="5855" spans="2:2">
      <c r="B5855" s="21"/>
    </row>
    <row r="5856" spans="2:2">
      <c r="B5856" s="21"/>
    </row>
    <row r="5857" spans="2:2">
      <c r="B5857" s="21"/>
    </row>
    <row r="5858" spans="2:2">
      <c r="B5858" s="21"/>
    </row>
    <row r="5859" spans="2:2">
      <c r="B5859" s="21"/>
    </row>
    <row r="5860" spans="2:2">
      <c r="B5860" s="21"/>
    </row>
    <row r="5861" spans="2:2">
      <c r="B5861" s="21"/>
    </row>
    <row r="5862" spans="2:2">
      <c r="B5862" s="21"/>
    </row>
    <row r="5863" spans="2:2">
      <c r="B5863" s="21"/>
    </row>
    <row r="5864" spans="2:2">
      <c r="B5864" s="21"/>
    </row>
    <row r="5865" spans="2:2">
      <c r="B5865" s="21"/>
    </row>
    <row r="5866" spans="2:2">
      <c r="B5866" s="21"/>
    </row>
    <row r="5867" spans="2:2">
      <c r="B5867" s="21"/>
    </row>
    <row r="5868" spans="2:2">
      <c r="B5868" s="21"/>
    </row>
    <row r="5869" spans="2:2">
      <c r="B5869" s="21"/>
    </row>
    <row r="5870" spans="2:2">
      <c r="B5870" s="21"/>
    </row>
    <row r="5871" spans="2:2">
      <c r="B5871" s="21"/>
    </row>
    <row r="5872" spans="2:2">
      <c r="B5872" s="21"/>
    </row>
    <row r="5873" spans="2:2">
      <c r="B5873" s="21"/>
    </row>
    <row r="5874" spans="2:2">
      <c r="B5874" s="21"/>
    </row>
    <row r="5875" spans="2:2">
      <c r="B5875" s="21"/>
    </row>
    <row r="5876" spans="2:2">
      <c r="B5876" s="21"/>
    </row>
    <row r="5877" spans="2:2">
      <c r="B5877" s="21"/>
    </row>
    <row r="5878" spans="2:2">
      <c r="B5878" s="21"/>
    </row>
    <row r="5879" spans="2:2">
      <c r="B5879" s="21"/>
    </row>
    <row r="5880" spans="2:2">
      <c r="B5880" s="21"/>
    </row>
    <row r="5881" spans="2:2">
      <c r="B5881" s="21"/>
    </row>
    <row r="5882" spans="2:2">
      <c r="B5882" s="21"/>
    </row>
    <row r="5883" spans="2:2">
      <c r="B5883" s="21"/>
    </row>
    <row r="5884" spans="2:2">
      <c r="B5884" s="21"/>
    </row>
    <row r="5885" spans="2:2">
      <c r="B5885" s="21"/>
    </row>
    <row r="5886" spans="2:2">
      <c r="B5886" s="21"/>
    </row>
    <row r="5887" spans="2:2">
      <c r="B5887" s="21"/>
    </row>
    <row r="5888" spans="2:2">
      <c r="B5888" s="21"/>
    </row>
    <row r="5889" spans="2:2">
      <c r="B5889" s="21"/>
    </row>
    <row r="5890" spans="2:2">
      <c r="B5890" s="21"/>
    </row>
    <row r="5891" spans="2:2">
      <c r="B5891" s="21"/>
    </row>
    <row r="5892" spans="2:2">
      <c r="B5892" s="21"/>
    </row>
    <row r="5893" spans="2:2">
      <c r="B5893" s="21"/>
    </row>
    <row r="5894" spans="2:2">
      <c r="B5894" s="21"/>
    </row>
    <row r="5895" spans="2:2">
      <c r="B5895" s="21"/>
    </row>
    <row r="5896" spans="2:2">
      <c r="B5896" s="21"/>
    </row>
    <row r="5897" spans="2:2">
      <c r="B5897" s="21"/>
    </row>
    <row r="5898" spans="2:2">
      <c r="B5898" s="21"/>
    </row>
    <row r="5899" spans="2:2">
      <c r="B5899" s="21"/>
    </row>
    <row r="5900" spans="2:2">
      <c r="B5900" s="21"/>
    </row>
    <row r="5901" spans="2:2">
      <c r="B5901" s="21"/>
    </row>
    <row r="5902" spans="2:2">
      <c r="B5902" s="21"/>
    </row>
    <row r="5903" spans="2:2">
      <c r="B5903" s="21"/>
    </row>
    <row r="5904" spans="2:2">
      <c r="B5904" s="21"/>
    </row>
    <row r="5905" spans="2:2">
      <c r="B5905" s="21"/>
    </row>
    <row r="5906" spans="2:2">
      <c r="B5906" s="21"/>
    </row>
    <row r="5907" spans="2:2">
      <c r="B5907" s="21"/>
    </row>
    <row r="5908" spans="2:2">
      <c r="B5908" s="21"/>
    </row>
    <row r="5909" spans="2:2">
      <c r="B5909" s="21"/>
    </row>
    <row r="5910" spans="2:2">
      <c r="B5910" s="21"/>
    </row>
    <row r="5911" spans="2:2">
      <c r="B5911" s="21"/>
    </row>
    <row r="5912" spans="2:2">
      <c r="B5912" s="21"/>
    </row>
    <row r="5913" spans="2:2">
      <c r="B5913" s="21"/>
    </row>
    <row r="5914" spans="2:2">
      <c r="B5914" s="21"/>
    </row>
    <row r="5915" spans="2:2">
      <c r="B5915" s="21"/>
    </row>
    <row r="5916" spans="2:2">
      <c r="B5916" s="21"/>
    </row>
    <row r="5917" spans="2:2">
      <c r="B5917" s="21"/>
    </row>
    <row r="5918" spans="2:2">
      <c r="B5918" s="21"/>
    </row>
    <row r="5919" spans="2:2">
      <c r="B5919" s="21"/>
    </row>
    <row r="5920" spans="2:2">
      <c r="B5920" s="21"/>
    </row>
    <row r="5921" spans="2:2">
      <c r="B5921" s="21"/>
    </row>
    <row r="5922" spans="2:2">
      <c r="B5922" s="21"/>
    </row>
    <row r="5923" spans="2:2">
      <c r="B5923" s="21"/>
    </row>
    <row r="5924" spans="2:2">
      <c r="B5924" s="21"/>
    </row>
    <row r="5925" spans="2:2">
      <c r="B5925" s="21"/>
    </row>
    <row r="5926" spans="2:2">
      <c r="B5926" s="21"/>
    </row>
    <row r="5927" spans="2:2">
      <c r="B5927" s="21"/>
    </row>
    <row r="5928" spans="2:2">
      <c r="B5928" s="21"/>
    </row>
    <row r="5929" spans="2:2">
      <c r="B5929" s="21"/>
    </row>
    <row r="5930" spans="2:2">
      <c r="B5930" s="21"/>
    </row>
    <row r="5931" spans="2:2">
      <c r="B5931" s="21"/>
    </row>
    <row r="5932" spans="2:2">
      <c r="B5932" s="21"/>
    </row>
    <row r="5933" spans="2:2">
      <c r="B5933" s="21"/>
    </row>
    <row r="5934" spans="2:2">
      <c r="B5934" s="21"/>
    </row>
    <row r="5935" spans="2:2">
      <c r="B5935" s="21"/>
    </row>
    <row r="5936" spans="2:2">
      <c r="B5936" s="21"/>
    </row>
    <row r="5937" spans="2:2">
      <c r="B5937" s="21"/>
    </row>
    <row r="5938" spans="2:2">
      <c r="B5938" s="21"/>
    </row>
    <row r="5939" spans="2:2">
      <c r="B5939" s="21"/>
    </row>
    <row r="5940" spans="2:2">
      <c r="B5940" s="21"/>
    </row>
    <row r="5941" spans="2:2">
      <c r="B5941" s="21"/>
    </row>
    <row r="5942" spans="2:2">
      <c r="B5942" s="21"/>
    </row>
    <row r="5943" spans="2:2">
      <c r="B5943" s="21"/>
    </row>
    <row r="5944" spans="2:2">
      <c r="B5944" s="21"/>
    </row>
    <row r="5945" spans="2:2">
      <c r="B5945" s="21"/>
    </row>
    <row r="5946" spans="2:2">
      <c r="B5946" s="21"/>
    </row>
    <row r="5947" spans="2:2">
      <c r="B5947" s="21"/>
    </row>
    <row r="5948" spans="2:2">
      <c r="B5948" s="21"/>
    </row>
    <row r="5949" spans="2:2">
      <c r="B5949" s="21"/>
    </row>
    <row r="5950" spans="2:2">
      <c r="B5950" s="21"/>
    </row>
    <row r="5951" spans="2:2">
      <c r="B5951" s="21"/>
    </row>
    <row r="5952" spans="2:2">
      <c r="B5952" s="21"/>
    </row>
    <row r="5953" spans="2:2">
      <c r="B5953" s="21"/>
    </row>
    <row r="5954" spans="2:2">
      <c r="B5954" s="21"/>
    </row>
    <row r="5955" spans="2:2">
      <c r="B5955" s="21"/>
    </row>
    <row r="5956" spans="2:2">
      <c r="B5956" s="21"/>
    </row>
    <row r="5957" spans="2:2">
      <c r="B5957" s="21"/>
    </row>
    <row r="5958" spans="2:2">
      <c r="B5958" s="21"/>
    </row>
    <row r="5959" spans="2:2">
      <c r="B5959" s="21"/>
    </row>
    <row r="5960" spans="2:2">
      <c r="B5960" s="21"/>
    </row>
    <row r="5961" spans="2:2">
      <c r="B5961" s="21"/>
    </row>
    <row r="5962" spans="2:2">
      <c r="B5962" s="21"/>
    </row>
    <row r="5963" spans="2:2">
      <c r="B5963" s="21"/>
    </row>
    <row r="5964" spans="2:2">
      <c r="B5964" s="21"/>
    </row>
    <row r="5965" spans="2:2">
      <c r="B5965" s="21"/>
    </row>
    <row r="5966" spans="2:2">
      <c r="B5966" s="21"/>
    </row>
    <row r="5967" spans="2:2">
      <c r="B5967" s="21"/>
    </row>
    <row r="5968" spans="2:2">
      <c r="B5968" s="21"/>
    </row>
    <row r="5969" spans="2:2">
      <c r="B5969" s="21"/>
    </row>
    <row r="5970" spans="2:2">
      <c r="B5970" s="21"/>
    </row>
    <row r="5971" spans="2:2">
      <c r="B5971" s="21"/>
    </row>
    <row r="5972" spans="2:2">
      <c r="B5972" s="21"/>
    </row>
    <row r="5973" spans="2:2">
      <c r="B5973" s="21"/>
    </row>
    <row r="5974" spans="2:2">
      <c r="B5974" s="21"/>
    </row>
    <row r="5975" spans="2:2">
      <c r="B5975" s="21"/>
    </row>
    <row r="5976" spans="2:2">
      <c r="B5976" s="21"/>
    </row>
    <row r="5977" spans="2:2">
      <c r="B5977" s="21"/>
    </row>
    <row r="5978" spans="2:2">
      <c r="B5978" s="21"/>
    </row>
    <row r="5979" spans="2:2">
      <c r="B5979" s="21"/>
    </row>
    <row r="5980" spans="2:2">
      <c r="B5980" s="21"/>
    </row>
    <row r="5981" spans="2:2">
      <c r="B5981" s="21"/>
    </row>
    <row r="5982" spans="2:2">
      <c r="B5982" s="21"/>
    </row>
    <row r="5983" spans="2:2">
      <c r="B5983" s="21"/>
    </row>
    <row r="5984" spans="2:2">
      <c r="B5984" s="21"/>
    </row>
    <row r="5985" spans="2:2">
      <c r="B5985" s="21"/>
    </row>
    <row r="5986" spans="2:2">
      <c r="B5986" s="21"/>
    </row>
    <row r="5987" spans="2:2">
      <c r="B5987" s="21"/>
    </row>
    <row r="5988" spans="2:2">
      <c r="B5988" s="21"/>
    </row>
    <row r="5989" spans="2:2">
      <c r="B5989" s="21"/>
    </row>
    <row r="5990" spans="2:2">
      <c r="B5990" s="21"/>
    </row>
    <row r="5991" spans="2:2">
      <c r="B5991" s="21"/>
    </row>
    <row r="5992" spans="2:2">
      <c r="B5992" s="21"/>
    </row>
    <row r="5993" spans="2:2">
      <c r="B5993" s="21"/>
    </row>
    <row r="5994" spans="2:2">
      <c r="B5994" s="21"/>
    </row>
    <row r="5995" spans="2:2">
      <c r="B5995" s="21"/>
    </row>
    <row r="5996" spans="2:2">
      <c r="B5996" s="21"/>
    </row>
    <row r="5997" spans="2:2">
      <c r="B5997" s="21"/>
    </row>
    <row r="5998" spans="2:2">
      <c r="B5998" s="21"/>
    </row>
    <row r="5999" spans="2:2">
      <c r="B5999" s="21"/>
    </row>
    <row r="6000" spans="2:2">
      <c r="B6000" s="21"/>
    </row>
    <row r="6001" spans="2:2">
      <c r="B6001" s="21"/>
    </row>
    <row r="6002" spans="2:2">
      <c r="B6002" s="21"/>
    </row>
    <row r="6003" spans="2:2">
      <c r="B6003" s="21"/>
    </row>
    <row r="6004" spans="2:2">
      <c r="B6004" s="21"/>
    </row>
    <row r="6005" spans="2:2">
      <c r="B6005" s="21"/>
    </row>
    <row r="6006" spans="2:2">
      <c r="B6006" s="21"/>
    </row>
    <row r="6007" spans="2:2">
      <c r="B6007" s="21"/>
    </row>
    <row r="6008" spans="2:2">
      <c r="B6008" s="21"/>
    </row>
    <row r="6009" spans="2:2">
      <c r="B6009" s="21"/>
    </row>
    <row r="6010" spans="2:2">
      <c r="B6010" s="21"/>
    </row>
    <row r="6011" spans="2:2">
      <c r="B6011" s="21"/>
    </row>
    <row r="6012" spans="2:2">
      <c r="B6012" s="21"/>
    </row>
    <row r="6013" spans="2:2">
      <c r="B6013" s="21"/>
    </row>
    <row r="6014" spans="2:2">
      <c r="B6014" s="21"/>
    </row>
    <row r="6015" spans="2:2">
      <c r="B6015" s="21"/>
    </row>
    <row r="6016" spans="2:2">
      <c r="B6016" s="21"/>
    </row>
    <row r="6017" spans="2:2">
      <c r="B6017" s="21"/>
    </row>
    <row r="6018" spans="2:2">
      <c r="B6018" s="21"/>
    </row>
    <row r="6019" spans="2:2">
      <c r="B6019" s="21"/>
    </row>
    <row r="6020" spans="2:2">
      <c r="B6020" s="21"/>
    </row>
    <row r="6021" spans="2:2">
      <c r="B6021" s="21"/>
    </row>
    <row r="6022" spans="2:2">
      <c r="B6022" s="21"/>
    </row>
    <row r="6023" spans="2:2">
      <c r="B6023" s="21"/>
    </row>
    <row r="6024" spans="2:2">
      <c r="B6024" s="21"/>
    </row>
    <row r="6025" spans="2:2">
      <c r="B6025" s="21"/>
    </row>
    <row r="6026" spans="2:2">
      <c r="B6026" s="21"/>
    </row>
    <row r="6027" spans="2:2">
      <c r="B6027" s="21"/>
    </row>
    <row r="6028" spans="2:2">
      <c r="B6028" s="21"/>
    </row>
    <row r="6029" spans="2:2">
      <c r="B6029" s="21"/>
    </row>
    <row r="6030" spans="2:2">
      <c r="B6030" s="21"/>
    </row>
    <row r="6031" spans="2:2">
      <c r="B6031" s="21"/>
    </row>
    <row r="6032" spans="2:2">
      <c r="B6032" s="21"/>
    </row>
    <row r="6033" spans="2:2">
      <c r="B6033" s="21"/>
    </row>
    <row r="6034" spans="2:2">
      <c r="B6034" s="21"/>
    </row>
    <row r="6035" spans="2:2">
      <c r="B6035" s="21"/>
    </row>
    <row r="6036" spans="2:2">
      <c r="B6036" s="21"/>
    </row>
    <row r="6037" spans="2:2">
      <c r="B6037" s="21"/>
    </row>
    <row r="6038" spans="2:2">
      <c r="B6038" s="21"/>
    </row>
    <row r="6039" spans="2:2">
      <c r="B6039" s="21"/>
    </row>
    <row r="6040" spans="2:2">
      <c r="B6040" s="21"/>
    </row>
    <row r="6041" spans="2:2">
      <c r="B6041" s="21"/>
    </row>
    <row r="6042" spans="2:2">
      <c r="B6042" s="21"/>
    </row>
    <row r="6043" spans="2:2">
      <c r="B6043" s="21"/>
    </row>
    <row r="6044" spans="2:2">
      <c r="B6044" s="21"/>
    </row>
    <row r="6045" spans="2:2">
      <c r="B6045" s="21"/>
    </row>
    <row r="6046" spans="2:2">
      <c r="B6046" s="21"/>
    </row>
    <row r="6047" spans="2:2">
      <c r="B6047" s="21"/>
    </row>
    <row r="6048" spans="2:2">
      <c r="B6048" s="21"/>
    </row>
    <row r="6049" spans="2:2">
      <c r="B6049" s="21"/>
    </row>
    <row r="6050" spans="2:2">
      <c r="B6050" s="21"/>
    </row>
    <row r="6051" spans="2:2">
      <c r="B6051" s="21"/>
    </row>
    <row r="6052" spans="2:2">
      <c r="B6052" s="21"/>
    </row>
    <row r="6053" spans="2:2">
      <c r="B6053" s="21"/>
    </row>
    <row r="6054" spans="2:2">
      <c r="B6054" s="21"/>
    </row>
    <row r="6055" spans="2:2">
      <c r="B6055" s="21"/>
    </row>
    <row r="6056" spans="2:2">
      <c r="B6056" s="21"/>
    </row>
    <row r="6057" spans="2:2">
      <c r="B6057" s="21"/>
    </row>
    <row r="6058" spans="2:2">
      <c r="B6058" s="21"/>
    </row>
    <row r="6059" spans="2:2">
      <c r="B6059" s="21"/>
    </row>
    <row r="6060" spans="2:2">
      <c r="B6060" s="21"/>
    </row>
    <row r="6061" spans="2:2">
      <c r="B6061" s="21"/>
    </row>
    <row r="6062" spans="2:2">
      <c r="B6062" s="21"/>
    </row>
    <row r="6063" spans="2:2">
      <c r="B6063" s="21"/>
    </row>
    <row r="6064" spans="2:2">
      <c r="B6064" s="21"/>
    </row>
    <row r="6065" spans="2:2">
      <c r="B6065" s="21"/>
    </row>
    <row r="6066" spans="2:2">
      <c r="B6066" s="21"/>
    </row>
    <row r="6067" spans="2:2">
      <c r="B6067" s="21"/>
    </row>
    <row r="6068" spans="2:2">
      <c r="B6068" s="21"/>
    </row>
    <row r="6069" spans="2:2">
      <c r="B6069" s="21"/>
    </row>
    <row r="6070" spans="2:2">
      <c r="B6070" s="21"/>
    </row>
    <row r="6071" spans="2:2">
      <c r="B6071" s="21"/>
    </row>
    <row r="6072" spans="2:2">
      <c r="B6072" s="21"/>
    </row>
    <row r="6073" spans="2:2">
      <c r="B6073" s="21"/>
    </row>
    <row r="6074" spans="2:2">
      <c r="B6074" s="21"/>
    </row>
    <row r="6075" spans="2:2">
      <c r="B6075" s="21"/>
    </row>
    <row r="6076" spans="2:2">
      <c r="B6076" s="21"/>
    </row>
    <row r="6077" spans="2:2">
      <c r="B6077" s="21"/>
    </row>
    <row r="6078" spans="2:2">
      <c r="B6078" s="21"/>
    </row>
    <row r="6079" spans="2:2">
      <c r="B6079" s="21"/>
    </row>
    <row r="6080" spans="2:2">
      <c r="B6080" s="21"/>
    </row>
    <row r="6081" spans="2:2">
      <c r="B6081" s="21"/>
    </row>
    <row r="6082" spans="2:2">
      <c r="B6082" s="21"/>
    </row>
    <row r="6083" spans="2:2">
      <c r="B6083" s="21"/>
    </row>
    <row r="6084" spans="2:2">
      <c r="B6084" s="21"/>
    </row>
    <row r="6085" spans="2:2">
      <c r="B6085" s="21"/>
    </row>
    <row r="6086" spans="2:2">
      <c r="B6086" s="21"/>
    </row>
    <row r="6087" spans="2:2">
      <c r="B6087" s="21"/>
    </row>
    <row r="6088" spans="2:2">
      <c r="B6088" s="21"/>
    </row>
    <row r="6089" spans="2:2">
      <c r="B6089" s="21"/>
    </row>
    <row r="6090" spans="2:2">
      <c r="B6090" s="21"/>
    </row>
    <row r="6091" spans="2:2">
      <c r="B6091" s="21"/>
    </row>
    <row r="6092" spans="2:2">
      <c r="B6092" s="21"/>
    </row>
    <row r="6093" spans="2:2">
      <c r="B6093" s="21"/>
    </row>
    <row r="6094" spans="2:2">
      <c r="B6094" s="21"/>
    </row>
    <row r="6095" spans="2:2">
      <c r="B6095" s="21"/>
    </row>
    <row r="6096" spans="2:2">
      <c r="B6096" s="21"/>
    </row>
    <row r="6097" spans="2:2">
      <c r="B6097" s="21"/>
    </row>
    <row r="6098" spans="2:2">
      <c r="B6098" s="21"/>
    </row>
    <row r="6099" spans="2:2">
      <c r="B6099" s="21"/>
    </row>
    <row r="6100" spans="2:2">
      <c r="B6100" s="21"/>
    </row>
    <row r="6101" spans="2:2">
      <c r="B6101" s="21"/>
    </row>
    <row r="6102" spans="2:2">
      <c r="B6102" s="21"/>
    </row>
    <row r="6103" spans="2:2">
      <c r="B6103" s="21"/>
    </row>
    <row r="6104" spans="2:2">
      <c r="B6104" s="21"/>
    </row>
    <row r="6105" spans="2:2">
      <c r="B6105" s="21"/>
    </row>
    <row r="6106" spans="2:2">
      <c r="B6106" s="21"/>
    </row>
    <row r="6107" spans="2:2">
      <c r="B6107" s="21"/>
    </row>
    <row r="6108" spans="2:2">
      <c r="B6108" s="21"/>
    </row>
    <row r="6109" spans="2:2">
      <c r="B6109" s="21"/>
    </row>
    <row r="6110" spans="2:2">
      <c r="B6110" s="21"/>
    </row>
    <row r="6111" spans="2:2">
      <c r="B6111" s="21"/>
    </row>
    <row r="6112" spans="2:2">
      <c r="B6112" s="21"/>
    </row>
    <row r="6113" spans="2:2">
      <c r="B6113" s="21"/>
    </row>
    <row r="6114" spans="2:2">
      <c r="B6114" s="21"/>
    </row>
    <row r="6115" spans="2:2">
      <c r="B6115" s="21"/>
    </row>
    <row r="6116" spans="2:2">
      <c r="B6116" s="21"/>
    </row>
    <row r="6117" spans="2:2">
      <c r="B6117" s="21"/>
    </row>
    <row r="6118" spans="2:2">
      <c r="B6118" s="21"/>
    </row>
    <row r="6119" spans="2:2">
      <c r="B6119" s="21"/>
    </row>
    <row r="6120" spans="2:2">
      <c r="B6120" s="21"/>
    </row>
    <row r="6121" spans="2:2">
      <c r="B6121" s="21"/>
    </row>
    <row r="6122" spans="2:2">
      <c r="B6122" s="21"/>
    </row>
    <row r="6123" spans="2:2">
      <c r="B6123" s="21"/>
    </row>
    <row r="6124" spans="2:2">
      <c r="B6124" s="21"/>
    </row>
    <row r="6125" spans="2:2">
      <c r="B6125" s="21"/>
    </row>
    <row r="6126" spans="2:2">
      <c r="B6126" s="21"/>
    </row>
    <row r="6127" spans="2:2">
      <c r="B6127" s="21"/>
    </row>
    <row r="6128" spans="2:2">
      <c r="B6128" s="21"/>
    </row>
    <row r="6129" spans="2:2">
      <c r="B6129" s="21"/>
    </row>
    <row r="6130" spans="2:2">
      <c r="B6130" s="21"/>
    </row>
    <row r="6131" spans="2:2">
      <c r="B6131" s="21"/>
    </row>
    <row r="6132" spans="2:2">
      <c r="B6132" s="21"/>
    </row>
    <row r="6133" spans="2:2">
      <c r="B6133" s="21"/>
    </row>
    <row r="6134" spans="2:2">
      <c r="B6134" s="21"/>
    </row>
    <row r="6135" spans="2:2">
      <c r="B6135" s="21"/>
    </row>
    <row r="6136" spans="2:2">
      <c r="B6136" s="21"/>
    </row>
    <row r="6137" spans="2:2">
      <c r="B6137" s="21"/>
    </row>
    <row r="6138" spans="2:2">
      <c r="B6138" s="21"/>
    </row>
    <row r="6139" spans="2:2">
      <c r="B6139" s="21"/>
    </row>
    <row r="6140" spans="2:2">
      <c r="B6140" s="21"/>
    </row>
    <row r="6141" spans="2:2">
      <c r="B6141" s="21"/>
    </row>
    <row r="6142" spans="2:2">
      <c r="B6142" s="21"/>
    </row>
    <row r="6143" spans="2:2">
      <c r="B6143" s="21"/>
    </row>
    <row r="6144" spans="2:2">
      <c r="B6144" s="21"/>
    </row>
    <row r="6145" spans="2:2">
      <c r="B6145" s="21"/>
    </row>
    <row r="6146" spans="2:2">
      <c r="B6146" s="21"/>
    </row>
    <row r="6147" spans="2:2">
      <c r="B6147" s="21"/>
    </row>
    <row r="6148" spans="2:2">
      <c r="B6148" s="21"/>
    </row>
    <row r="6149" spans="2:2">
      <c r="B6149" s="21"/>
    </row>
    <row r="6150" spans="2:2">
      <c r="B6150" s="21"/>
    </row>
    <row r="6151" spans="2:2">
      <c r="B6151" s="21"/>
    </row>
    <row r="6152" spans="2:2">
      <c r="B6152" s="21"/>
    </row>
    <row r="6153" spans="2:2">
      <c r="B6153" s="21"/>
    </row>
    <row r="6154" spans="2:2">
      <c r="B6154" s="21"/>
    </row>
    <row r="6155" spans="2:2">
      <c r="B6155" s="21"/>
    </row>
    <row r="6156" spans="2:2">
      <c r="B6156" s="21"/>
    </row>
    <row r="6157" spans="2:2">
      <c r="B6157" s="21"/>
    </row>
    <row r="6158" spans="2:2">
      <c r="B6158" s="21"/>
    </row>
    <row r="6159" spans="2:2">
      <c r="B6159" s="21"/>
    </row>
    <row r="6160" spans="2:2">
      <c r="B6160" s="21"/>
    </row>
    <row r="6161" spans="2:2">
      <c r="B6161" s="21"/>
    </row>
    <row r="6162" spans="2:2">
      <c r="B6162" s="21"/>
    </row>
    <row r="6163" spans="2:2">
      <c r="B6163" s="21"/>
    </row>
    <row r="6164" spans="2:2">
      <c r="B6164" s="21"/>
    </row>
    <row r="6165" spans="2:2">
      <c r="B6165" s="21"/>
    </row>
    <row r="6166" spans="2:2">
      <c r="B6166" s="21"/>
    </row>
    <row r="6167" spans="2:2">
      <c r="B6167" s="21"/>
    </row>
    <row r="6168" spans="2:2">
      <c r="B6168" s="21"/>
    </row>
    <row r="6169" spans="2:2">
      <c r="B6169" s="21"/>
    </row>
    <row r="6170" spans="2:2">
      <c r="B6170" s="21"/>
    </row>
    <row r="6171" spans="2:2">
      <c r="B6171" s="21"/>
    </row>
    <row r="6172" spans="2:2">
      <c r="B6172" s="21"/>
    </row>
    <row r="6173" spans="2:2">
      <c r="B6173" s="21"/>
    </row>
    <row r="6174" spans="2:2">
      <c r="B6174" s="21"/>
    </row>
    <row r="6175" spans="2:2">
      <c r="B6175" s="21"/>
    </row>
    <row r="6176" spans="2:2">
      <c r="B6176" s="21"/>
    </row>
    <row r="6177" spans="2:2">
      <c r="B6177" s="21"/>
    </row>
    <row r="6178" spans="2:2">
      <c r="B6178" s="21"/>
    </row>
    <row r="6179" spans="2:2">
      <c r="B6179" s="21"/>
    </row>
    <row r="6180" spans="2:2">
      <c r="B6180" s="21"/>
    </row>
    <row r="6181" spans="2:2">
      <c r="B6181" s="21"/>
    </row>
    <row r="6182" spans="2:2">
      <c r="B6182" s="21"/>
    </row>
    <row r="6183" spans="2:2">
      <c r="B6183" s="21"/>
    </row>
    <row r="6184" spans="2:2">
      <c r="B6184" s="21"/>
    </row>
    <row r="6185" spans="2:2">
      <c r="B6185" s="21"/>
    </row>
    <row r="6186" spans="2:2">
      <c r="B6186" s="21"/>
    </row>
    <row r="6187" spans="2:2">
      <c r="B6187" s="21"/>
    </row>
    <row r="6188" spans="2:2">
      <c r="B6188" s="21"/>
    </row>
    <row r="6189" spans="2:2">
      <c r="B6189" s="21"/>
    </row>
    <row r="6190" spans="2:2">
      <c r="B6190" s="21"/>
    </row>
    <row r="6191" spans="2:2">
      <c r="B6191" s="21"/>
    </row>
    <row r="6192" spans="2:2">
      <c r="B6192" s="21"/>
    </row>
    <row r="6193" spans="2:2">
      <c r="B6193" s="21"/>
    </row>
    <row r="6194" spans="2:2">
      <c r="B6194" s="21"/>
    </row>
    <row r="6195" spans="2:2">
      <c r="B6195" s="21"/>
    </row>
    <row r="6196" spans="2:2">
      <c r="B6196" s="21"/>
    </row>
    <row r="6197" spans="2:2">
      <c r="B6197" s="21"/>
    </row>
    <row r="6198" spans="2:2">
      <c r="B6198" s="21"/>
    </row>
    <row r="6199" spans="2:2">
      <c r="B6199" s="21"/>
    </row>
    <row r="6200" spans="2:2">
      <c r="B6200" s="21"/>
    </row>
    <row r="6201" spans="2:2">
      <c r="B6201" s="21"/>
    </row>
    <row r="6202" spans="2:2">
      <c r="B6202" s="21"/>
    </row>
    <row r="6203" spans="2:2">
      <c r="B6203" s="21"/>
    </row>
    <row r="6204" spans="2:2">
      <c r="B6204" s="21"/>
    </row>
    <row r="6205" spans="2:2">
      <c r="B6205" s="21"/>
    </row>
    <row r="6206" spans="2:2">
      <c r="B6206" s="21"/>
    </row>
    <row r="6207" spans="2:2">
      <c r="B6207" s="21"/>
    </row>
    <row r="6208" spans="2:2">
      <c r="B6208" s="21"/>
    </row>
    <row r="6209" spans="2:2">
      <c r="B6209" s="21"/>
    </row>
    <row r="6210" spans="2:2">
      <c r="B6210" s="21"/>
    </row>
    <row r="6211" spans="2:2">
      <c r="B6211" s="21"/>
    </row>
    <row r="6212" spans="2:2">
      <c r="B6212" s="21"/>
    </row>
    <row r="6213" spans="2:2">
      <c r="B6213" s="21"/>
    </row>
    <row r="6214" spans="2:2">
      <c r="B6214" s="21"/>
    </row>
    <row r="6215" spans="2:2">
      <c r="B6215" s="21"/>
    </row>
    <row r="6216" spans="2:2">
      <c r="B6216" s="21"/>
    </row>
    <row r="6217" spans="2:2">
      <c r="B6217" s="21"/>
    </row>
    <row r="6218" spans="2:2">
      <c r="B6218" s="21"/>
    </row>
    <row r="6219" spans="2:2">
      <c r="B6219" s="21"/>
    </row>
    <row r="6220" spans="2:2">
      <c r="B6220" s="21"/>
    </row>
    <row r="6221" spans="2:2">
      <c r="B6221" s="21"/>
    </row>
    <row r="6222" spans="2:2">
      <c r="B6222" s="21"/>
    </row>
    <row r="6223" spans="2:2">
      <c r="B6223" s="21"/>
    </row>
    <row r="6224" spans="2:2">
      <c r="B6224" s="21"/>
    </row>
    <row r="6225" spans="2:2">
      <c r="B6225" s="21"/>
    </row>
    <row r="6226" spans="2:2">
      <c r="B6226" s="21"/>
    </row>
    <row r="6227" spans="2:2">
      <c r="B6227" s="21"/>
    </row>
    <row r="6228" spans="2:2">
      <c r="B6228" s="21"/>
    </row>
    <row r="6229" spans="2:2">
      <c r="B6229" s="21"/>
    </row>
    <row r="6230" spans="2:2">
      <c r="B6230" s="21"/>
    </row>
    <row r="6231" spans="2:2">
      <c r="B6231" s="21"/>
    </row>
    <row r="6232" spans="2:2">
      <c r="B6232" s="21"/>
    </row>
    <row r="6233" spans="2:2">
      <c r="B6233" s="21"/>
    </row>
    <row r="6234" spans="2:2">
      <c r="B6234" s="21"/>
    </row>
    <row r="6235" spans="2:2">
      <c r="B6235" s="21"/>
    </row>
    <row r="6236" spans="2:2">
      <c r="B6236" s="21"/>
    </row>
    <row r="6237" spans="2:2">
      <c r="B6237" s="21"/>
    </row>
    <row r="6238" spans="2:2">
      <c r="B6238" s="21"/>
    </row>
    <row r="6239" spans="2:2">
      <c r="B6239" s="21"/>
    </row>
    <row r="6240" spans="2:2">
      <c r="B6240" s="21"/>
    </row>
    <row r="6241" spans="2:2">
      <c r="B6241" s="21"/>
    </row>
    <row r="6242" spans="2:2">
      <c r="B6242" s="21"/>
    </row>
    <row r="6243" spans="2:2">
      <c r="B6243" s="21"/>
    </row>
    <row r="6244" spans="2:2">
      <c r="B6244" s="21"/>
    </row>
    <row r="6245" spans="2:2">
      <c r="B6245" s="21"/>
    </row>
    <row r="6246" spans="2:2">
      <c r="B6246" s="21"/>
    </row>
    <row r="6247" spans="2:2">
      <c r="B6247" s="21"/>
    </row>
    <row r="6248" spans="2:2">
      <c r="B6248" s="21"/>
    </row>
    <row r="6249" spans="2:2">
      <c r="B6249" s="21"/>
    </row>
    <row r="6250" spans="2:2">
      <c r="B6250" s="21"/>
    </row>
    <row r="6251" spans="2:2">
      <c r="B6251" s="21"/>
    </row>
    <row r="6252" spans="2:2">
      <c r="B6252" s="21"/>
    </row>
    <row r="6253" spans="2:2">
      <c r="B6253" s="21"/>
    </row>
    <row r="6254" spans="2:2">
      <c r="B6254" s="21"/>
    </row>
    <row r="6255" spans="2:2">
      <c r="B6255" s="21"/>
    </row>
    <row r="6256" spans="2:2">
      <c r="B6256" s="21"/>
    </row>
    <row r="6257" spans="2:2">
      <c r="B6257" s="21"/>
    </row>
    <row r="6258" spans="2:2">
      <c r="B6258" s="21"/>
    </row>
    <row r="6259" spans="2:2">
      <c r="B6259" s="21"/>
    </row>
    <row r="6260" spans="2:2">
      <c r="B6260" s="21"/>
    </row>
    <row r="6261" spans="2:2">
      <c r="B6261" s="21"/>
    </row>
    <row r="6262" spans="2:2">
      <c r="B6262" s="21"/>
    </row>
    <row r="6263" spans="2:2">
      <c r="B6263" s="21"/>
    </row>
    <row r="6264" spans="2:2">
      <c r="B6264" s="21"/>
    </row>
    <row r="6265" spans="2:2">
      <c r="B6265" s="21"/>
    </row>
    <row r="6266" spans="2:2">
      <c r="B6266" s="21"/>
    </row>
    <row r="6267" spans="2:2">
      <c r="B6267" s="21"/>
    </row>
    <row r="6268" spans="2:2">
      <c r="B6268" s="21"/>
    </row>
    <row r="6269" spans="2:2">
      <c r="B6269" s="21"/>
    </row>
    <row r="6270" spans="2:2">
      <c r="B6270" s="21"/>
    </row>
    <row r="6271" spans="2:2">
      <c r="B6271" s="21"/>
    </row>
    <row r="6272" spans="2:2">
      <c r="B6272" s="21"/>
    </row>
    <row r="6273" spans="2:2">
      <c r="B6273" s="21"/>
    </row>
    <row r="6274" spans="2:2">
      <c r="B6274" s="21"/>
    </row>
    <row r="6275" spans="2:2">
      <c r="B6275" s="21"/>
    </row>
    <row r="6276" spans="2:2">
      <c r="B6276" s="21"/>
    </row>
    <row r="6277" spans="2:2">
      <c r="B6277" s="21"/>
    </row>
    <row r="6278" spans="2:2">
      <c r="B6278" s="21"/>
    </row>
    <row r="6279" spans="2:2">
      <c r="B6279" s="21"/>
    </row>
    <row r="6280" spans="2:2">
      <c r="B6280" s="21"/>
    </row>
    <row r="6281" spans="2:2">
      <c r="B6281" s="21"/>
    </row>
    <row r="6282" spans="2:2">
      <c r="B6282" s="21"/>
    </row>
    <row r="6283" spans="2:2">
      <c r="B6283" s="21"/>
    </row>
    <row r="6284" spans="2:2">
      <c r="B6284" s="21"/>
    </row>
    <row r="6285" spans="2:2">
      <c r="B6285" s="21"/>
    </row>
    <row r="6286" spans="2:2">
      <c r="B6286" s="21"/>
    </row>
    <row r="6287" spans="2:2">
      <c r="B6287" s="21"/>
    </row>
    <row r="6288" spans="2:2">
      <c r="B6288" s="21"/>
    </row>
    <row r="6289" spans="2:2">
      <c r="B6289" s="21"/>
    </row>
    <row r="6290" spans="2:2">
      <c r="B6290" s="21"/>
    </row>
    <row r="6291" spans="2:2">
      <c r="B6291" s="21"/>
    </row>
    <row r="6292" spans="2:2">
      <c r="B6292" s="21"/>
    </row>
    <row r="6293" spans="2:2">
      <c r="B6293" s="21"/>
    </row>
    <row r="6294" spans="2:2">
      <c r="B6294" s="21"/>
    </row>
    <row r="6295" spans="2:2">
      <c r="B6295" s="21"/>
    </row>
    <row r="6296" spans="2:2">
      <c r="B6296" s="21"/>
    </row>
    <row r="6297" spans="2:2">
      <c r="B6297" s="21"/>
    </row>
    <row r="6298" spans="2:2">
      <c r="B6298" s="21"/>
    </row>
    <row r="6299" spans="2:2">
      <c r="B6299" s="21"/>
    </row>
    <row r="6300" spans="2:2">
      <c r="B6300" s="21"/>
    </row>
    <row r="6301" spans="2:2">
      <c r="B6301" s="21"/>
    </row>
    <row r="6302" spans="2:2">
      <c r="B6302" s="21"/>
    </row>
    <row r="6303" spans="2:2">
      <c r="B6303" s="21"/>
    </row>
    <row r="6304" spans="2:2">
      <c r="B6304" s="21"/>
    </row>
    <row r="6305" spans="2:2">
      <c r="B6305" s="21"/>
    </row>
    <row r="6306" spans="2:2">
      <c r="B6306" s="21"/>
    </row>
    <row r="6307" spans="2:2">
      <c r="B6307" s="21"/>
    </row>
    <row r="6308" spans="2:2">
      <c r="B6308" s="21"/>
    </row>
    <row r="6309" spans="2:2">
      <c r="B6309" s="21"/>
    </row>
    <row r="6310" spans="2:2">
      <c r="B6310" s="21"/>
    </row>
    <row r="6311" spans="2:2">
      <c r="B6311" s="21"/>
    </row>
    <row r="6312" spans="2:2">
      <c r="B6312" s="21"/>
    </row>
    <row r="6313" spans="2:2">
      <c r="B6313" s="21"/>
    </row>
    <row r="6314" spans="2:2">
      <c r="B6314" s="21"/>
    </row>
    <row r="6315" spans="2:2">
      <c r="B6315" s="21"/>
    </row>
    <row r="6316" spans="2:2">
      <c r="B6316" s="21"/>
    </row>
    <row r="6317" spans="2:2">
      <c r="B6317" s="21"/>
    </row>
    <row r="6318" spans="2:2">
      <c r="B6318" s="21"/>
    </row>
    <row r="6319" spans="2:2">
      <c r="B6319" s="21"/>
    </row>
    <row r="6320" spans="2:2">
      <c r="B6320" s="21"/>
    </row>
    <row r="6321" spans="2:2">
      <c r="B6321" s="21"/>
    </row>
    <row r="6322" spans="2:2">
      <c r="B6322" s="21"/>
    </row>
    <row r="6323" spans="2:2">
      <c r="B6323" s="21"/>
    </row>
    <row r="6324" spans="2:2">
      <c r="B6324" s="21"/>
    </row>
    <row r="6325" spans="2:2">
      <c r="B6325" s="21"/>
    </row>
    <row r="6326" spans="2:2">
      <c r="B6326" s="21"/>
    </row>
    <row r="6327" spans="2:2">
      <c r="B6327" s="21"/>
    </row>
    <row r="6328" spans="2:2">
      <c r="B6328" s="21"/>
    </row>
    <row r="6329" spans="2:2">
      <c r="B6329" s="21"/>
    </row>
    <row r="6330" spans="2:2">
      <c r="B6330" s="21"/>
    </row>
    <row r="6331" spans="2:2">
      <c r="B6331" s="21"/>
    </row>
    <row r="6332" spans="2:2">
      <c r="B6332" s="21"/>
    </row>
    <row r="6333" spans="2:2">
      <c r="B6333" s="21"/>
    </row>
    <row r="6334" spans="2:2">
      <c r="B6334" s="21"/>
    </row>
    <row r="6335" spans="2:2">
      <c r="B6335" s="21"/>
    </row>
    <row r="6336" spans="2:2">
      <c r="B6336" s="21"/>
    </row>
    <row r="6337" spans="2:2">
      <c r="B6337" s="21"/>
    </row>
    <row r="6338" spans="2:2">
      <c r="B6338" s="21"/>
    </row>
    <row r="6339" spans="2:2">
      <c r="B6339" s="21"/>
    </row>
    <row r="6340" spans="2:2">
      <c r="B6340" s="21"/>
    </row>
    <row r="6341" spans="2:2">
      <c r="B6341" s="21"/>
    </row>
    <row r="6342" spans="2:2">
      <c r="B6342" s="21"/>
    </row>
    <row r="6343" spans="2:2">
      <c r="B6343" s="21"/>
    </row>
    <row r="6344" spans="2:2">
      <c r="B6344" s="21"/>
    </row>
    <row r="6345" spans="2:2">
      <c r="B6345" s="21"/>
    </row>
    <row r="6346" spans="2:2">
      <c r="B6346" s="21"/>
    </row>
    <row r="6347" spans="2:2">
      <c r="B6347" s="21"/>
    </row>
    <row r="6348" spans="2:2">
      <c r="B6348" s="21"/>
    </row>
    <row r="6349" spans="2:2">
      <c r="B6349" s="21"/>
    </row>
    <row r="6350" spans="2:2">
      <c r="B6350" s="21"/>
    </row>
    <row r="6351" spans="2:2">
      <c r="B6351" s="21"/>
    </row>
    <row r="6352" spans="2:2">
      <c r="B6352" s="21"/>
    </row>
    <row r="6353" spans="2:2">
      <c r="B6353" s="21"/>
    </row>
    <row r="6354" spans="2:2">
      <c r="B6354" s="21"/>
    </row>
    <row r="6355" spans="2:2">
      <c r="B6355" s="21"/>
    </row>
    <row r="6356" spans="2:2">
      <c r="B6356" s="21"/>
    </row>
    <row r="6357" spans="2:2">
      <c r="B6357" s="21"/>
    </row>
    <row r="6358" spans="2:2">
      <c r="B6358" s="21"/>
    </row>
    <row r="6359" spans="2:2">
      <c r="B6359" s="21"/>
    </row>
    <row r="6360" spans="2:2">
      <c r="B6360" s="21"/>
    </row>
    <row r="6361" spans="2:2">
      <c r="B6361" s="21"/>
    </row>
    <row r="6362" spans="2:2">
      <c r="B6362" s="21"/>
    </row>
    <row r="6363" spans="2:2">
      <c r="B6363" s="21"/>
    </row>
    <row r="6364" spans="2:2">
      <c r="B6364" s="21"/>
    </row>
    <row r="6365" spans="2:2">
      <c r="B6365" s="21"/>
    </row>
    <row r="6366" spans="2:2">
      <c r="B6366" s="21"/>
    </row>
    <row r="6367" spans="2:2">
      <c r="B6367" s="21"/>
    </row>
    <row r="6368" spans="2:2">
      <c r="B6368" s="21"/>
    </row>
    <row r="6369" spans="2:2">
      <c r="B6369" s="21"/>
    </row>
    <row r="6370" spans="2:2">
      <c r="B6370" s="21"/>
    </row>
    <row r="6371" spans="2:2">
      <c r="B6371" s="21"/>
    </row>
    <row r="6372" spans="2:2">
      <c r="B6372" s="21"/>
    </row>
    <row r="6373" spans="2:2">
      <c r="B6373" s="21"/>
    </row>
    <row r="6374" spans="2:2">
      <c r="B6374" s="21"/>
    </row>
    <row r="6375" spans="2:2">
      <c r="B6375" s="21"/>
    </row>
    <row r="6376" spans="2:2">
      <c r="B6376" s="21"/>
    </row>
    <row r="6377" spans="2:2">
      <c r="B6377" s="21"/>
    </row>
    <row r="6378" spans="2:2">
      <c r="B6378" s="21"/>
    </row>
    <row r="6379" spans="2:2">
      <c r="B6379" s="21"/>
    </row>
    <row r="6380" spans="2:2">
      <c r="B6380" s="21"/>
    </row>
    <row r="6381" spans="2:2">
      <c r="B6381" s="21"/>
    </row>
    <row r="6382" spans="2:2">
      <c r="B6382" s="21"/>
    </row>
    <row r="6383" spans="2:2">
      <c r="B6383" s="21"/>
    </row>
    <row r="6384" spans="2:2">
      <c r="B6384" s="21"/>
    </row>
    <row r="6385" spans="2:2">
      <c r="B6385" s="21"/>
    </row>
    <row r="6386" spans="2:2">
      <c r="B6386" s="21"/>
    </row>
    <row r="6387" spans="2:2">
      <c r="B6387" s="21"/>
    </row>
    <row r="6388" spans="2:2">
      <c r="B6388" s="21"/>
    </row>
    <row r="6389" spans="2:2">
      <c r="B6389" s="21"/>
    </row>
    <row r="6390" spans="2:2">
      <c r="B6390" s="21"/>
    </row>
    <row r="6391" spans="2:2">
      <c r="B6391" s="21"/>
    </row>
    <row r="6392" spans="2:2">
      <c r="B6392" s="21"/>
    </row>
    <row r="6393" spans="2:2">
      <c r="B6393" s="21"/>
    </row>
    <row r="6394" spans="2:2">
      <c r="B6394" s="21"/>
    </row>
    <row r="6395" spans="2:2">
      <c r="B6395" s="21"/>
    </row>
    <row r="6396" spans="2:2">
      <c r="B6396" s="21"/>
    </row>
    <row r="6397" spans="2:2">
      <c r="B6397" s="21"/>
    </row>
    <row r="6398" spans="2:2">
      <c r="B6398" s="21"/>
    </row>
    <row r="6399" spans="2:2">
      <c r="B6399" s="21"/>
    </row>
    <row r="6400" spans="2:2">
      <c r="B6400" s="21"/>
    </row>
    <row r="6401" spans="2:2">
      <c r="B6401" s="21"/>
    </row>
    <row r="6402" spans="2:2">
      <c r="B6402" s="21"/>
    </row>
    <row r="6403" spans="2:2">
      <c r="B6403" s="21"/>
    </row>
    <row r="6404" spans="2:2">
      <c r="B6404" s="21"/>
    </row>
    <row r="6405" spans="2:2">
      <c r="B6405" s="21"/>
    </row>
    <row r="6406" spans="2:2">
      <c r="B6406" s="21"/>
    </row>
    <row r="6407" spans="2:2">
      <c r="B6407" s="21"/>
    </row>
    <row r="6408" spans="2:2">
      <c r="B6408" s="21"/>
    </row>
    <row r="6409" spans="2:2">
      <c r="B6409" s="21"/>
    </row>
    <row r="6410" spans="2:2">
      <c r="B6410" s="21"/>
    </row>
    <row r="6411" spans="2:2">
      <c r="B6411" s="21"/>
    </row>
    <row r="6412" spans="2:2">
      <c r="B6412" s="21"/>
    </row>
    <row r="6413" spans="2:2">
      <c r="B6413" s="21"/>
    </row>
    <row r="6414" spans="2:2">
      <c r="B6414" s="21"/>
    </row>
    <row r="6415" spans="2:2">
      <c r="B6415" s="21"/>
    </row>
    <row r="6416" spans="2:2">
      <c r="B6416" s="21"/>
    </row>
    <row r="6417" spans="2:2">
      <c r="B6417" s="21"/>
    </row>
    <row r="6418" spans="2:2">
      <c r="B6418" s="21"/>
    </row>
    <row r="6419" spans="2:2">
      <c r="B6419" s="21"/>
    </row>
    <row r="6420" spans="2:2">
      <c r="B6420" s="21"/>
    </row>
    <row r="6421" spans="2:2">
      <c r="B6421" s="21"/>
    </row>
    <row r="6422" spans="2:2">
      <c r="B6422" s="21"/>
    </row>
    <row r="6423" spans="2:2">
      <c r="B6423" s="21"/>
    </row>
    <row r="6424" spans="2:2">
      <c r="B6424" s="21"/>
    </row>
    <row r="6425" spans="2:2">
      <c r="B6425" s="21"/>
    </row>
    <row r="6426" spans="2:2">
      <c r="B6426" s="21"/>
    </row>
    <row r="6427" spans="2:2">
      <c r="B6427" s="21"/>
    </row>
    <row r="6428" spans="2:2">
      <c r="B6428" s="21"/>
    </row>
    <row r="6429" spans="2:2">
      <c r="B6429" s="21"/>
    </row>
    <row r="6430" spans="2:2">
      <c r="B6430" s="21"/>
    </row>
    <row r="6431" spans="2:2">
      <c r="B6431" s="21"/>
    </row>
    <row r="6432" spans="2:2">
      <c r="B6432" s="21"/>
    </row>
    <row r="6433" spans="2:2">
      <c r="B6433" s="21"/>
    </row>
    <row r="6434" spans="2:2">
      <c r="B6434" s="21"/>
    </row>
    <row r="6435" spans="2:2">
      <c r="B6435" s="21"/>
    </row>
    <row r="6436" spans="2:2">
      <c r="B6436" s="21"/>
    </row>
    <row r="6437" spans="2:2">
      <c r="B6437" s="21"/>
    </row>
    <row r="6438" spans="2:2">
      <c r="B6438" s="21"/>
    </row>
    <row r="6439" spans="2:2">
      <c r="B6439" s="21"/>
    </row>
    <row r="6440" spans="2:2">
      <c r="B6440" s="21"/>
    </row>
    <row r="6441" spans="2:2">
      <c r="B6441" s="21"/>
    </row>
    <row r="6442" spans="2:2">
      <c r="B6442" s="21"/>
    </row>
    <row r="6443" spans="2:2">
      <c r="B6443" s="21"/>
    </row>
    <row r="6444" spans="2:2">
      <c r="B6444" s="21"/>
    </row>
    <row r="6445" spans="2:2">
      <c r="B6445" s="21"/>
    </row>
    <row r="6446" spans="2:2">
      <c r="B6446" s="21"/>
    </row>
    <row r="6447" spans="2:2">
      <c r="B6447" s="21"/>
    </row>
    <row r="6448" spans="2:2">
      <c r="B6448" s="21"/>
    </row>
    <row r="6449" spans="2:2">
      <c r="B6449" s="21"/>
    </row>
    <row r="6450" spans="2:2">
      <c r="B6450" s="21"/>
    </row>
    <row r="6451" spans="2:2">
      <c r="B6451" s="21"/>
    </row>
    <row r="6452" spans="2:2">
      <c r="B6452" s="21"/>
    </row>
    <row r="6453" spans="2:2">
      <c r="B6453" s="21"/>
    </row>
    <row r="6454" spans="2:2">
      <c r="B6454" s="21"/>
    </row>
    <row r="6455" spans="2:2">
      <c r="B6455" s="21"/>
    </row>
    <row r="6456" spans="2:2">
      <c r="B6456" s="21"/>
    </row>
    <row r="6457" spans="2:2">
      <c r="B6457" s="21"/>
    </row>
    <row r="6458" spans="2:2">
      <c r="B6458" s="21"/>
    </row>
    <row r="6459" spans="2:2">
      <c r="B6459" s="21"/>
    </row>
    <row r="6460" spans="2:2">
      <c r="B6460" s="21"/>
    </row>
    <row r="6461" spans="2:2">
      <c r="B6461" s="21"/>
    </row>
    <row r="6462" spans="2:2">
      <c r="B6462" s="21"/>
    </row>
    <row r="6463" spans="2:2">
      <c r="B6463" s="21"/>
    </row>
    <row r="6464" spans="2:2">
      <c r="B6464" s="21"/>
    </row>
    <row r="6465" spans="2:2">
      <c r="B6465" s="21"/>
    </row>
    <row r="6466" spans="2:2">
      <c r="B6466" s="21"/>
    </row>
    <row r="6467" spans="2:2">
      <c r="B6467" s="21"/>
    </row>
    <row r="6468" spans="2:2">
      <c r="B6468" s="21"/>
    </row>
    <row r="6469" spans="2:2">
      <c r="B6469" s="21"/>
    </row>
    <row r="6470" spans="2:2">
      <c r="B6470" s="21"/>
    </row>
    <row r="6471" spans="2:2">
      <c r="B6471" s="21"/>
    </row>
    <row r="6472" spans="2:2">
      <c r="B6472" s="21"/>
    </row>
    <row r="6473" spans="2:2">
      <c r="B6473" s="21"/>
    </row>
    <row r="6474" spans="2:2">
      <c r="B6474" s="21"/>
    </row>
    <row r="6475" spans="2:2">
      <c r="B6475" s="21"/>
    </row>
    <row r="6476" spans="2:2">
      <c r="B6476" s="21"/>
    </row>
    <row r="6477" spans="2:2">
      <c r="B6477" s="21"/>
    </row>
    <row r="6478" spans="2:2">
      <c r="B6478" s="21"/>
    </row>
    <row r="6479" spans="2:2">
      <c r="B6479" s="21"/>
    </row>
    <row r="6480" spans="2:2">
      <c r="B6480" s="21"/>
    </row>
    <row r="6481" spans="2:2">
      <c r="B6481" s="21"/>
    </row>
    <row r="6482" spans="2:2">
      <c r="B6482" s="21"/>
    </row>
    <row r="6483" spans="2:2">
      <c r="B6483" s="21"/>
    </row>
    <row r="6484" spans="2:2">
      <c r="B6484" s="21"/>
    </row>
    <row r="6485" spans="2:2">
      <c r="B6485" s="21"/>
    </row>
    <row r="6486" spans="2:2">
      <c r="B6486" s="21"/>
    </row>
    <row r="6487" spans="2:2">
      <c r="B6487" s="21"/>
    </row>
    <row r="6488" spans="2:2">
      <c r="B6488" s="21"/>
    </row>
    <row r="6489" spans="2:2">
      <c r="B6489" s="21"/>
    </row>
    <row r="6490" spans="2:2">
      <c r="B6490" s="21"/>
    </row>
    <row r="6491" spans="2:2">
      <c r="B6491" s="21"/>
    </row>
    <row r="6492" spans="2:2">
      <c r="B6492" s="21"/>
    </row>
    <row r="6493" spans="2:2">
      <c r="B6493" s="21"/>
    </row>
    <row r="6494" spans="2:2">
      <c r="B6494" s="21"/>
    </row>
    <row r="6495" spans="2:2">
      <c r="B6495" s="21"/>
    </row>
    <row r="6496" spans="2:2">
      <c r="B6496" s="21"/>
    </row>
    <row r="6497" spans="2:2">
      <c r="B6497" s="21"/>
    </row>
    <row r="6498" spans="2:2">
      <c r="B6498" s="21"/>
    </row>
    <row r="6499" spans="2:2">
      <c r="B6499" s="21"/>
    </row>
    <row r="6500" spans="2:2">
      <c r="B6500" s="21"/>
    </row>
    <row r="6501" spans="2:2">
      <c r="B6501" s="21"/>
    </row>
    <row r="6502" spans="2:2">
      <c r="B6502" s="21"/>
    </row>
    <row r="6503" spans="2:2">
      <c r="B6503" s="21"/>
    </row>
    <row r="6504" spans="2:2">
      <c r="B6504" s="21"/>
    </row>
    <row r="6505" spans="2:2">
      <c r="B6505" s="21"/>
    </row>
    <row r="6506" spans="2:2">
      <c r="B6506" s="21"/>
    </row>
    <row r="6507" spans="2:2">
      <c r="B6507" s="21"/>
    </row>
    <row r="6508" spans="2:2">
      <c r="B6508" s="21"/>
    </row>
    <row r="6509" spans="2:2">
      <c r="B6509" s="21"/>
    </row>
    <row r="6510" spans="2:2">
      <c r="B6510" s="21"/>
    </row>
    <row r="6511" spans="2:2">
      <c r="B6511" s="21"/>
    </row>
    <row r="6512" spans="2:2">
      <c r="B6512" s="21"/>
    </row>
    <row r="6513" spans="2:2">
      <c r="B6513" s="21"/>
    </row>
    <row r="6514" spans="2:2">
      <c r="B6514" s="21"/>
    </row>
    <row r="6515" spans="2:2">
      <c r="B6515" s="21"/>
    </row>
    <row r="6516" spans="2:2">
      <c r="B6516" s="21"/>
    </row>
    <row r="6517" spans="2:2">
      <c r="B6517" s="21"/>
    </row>
    <row r="6518" spans="2:2">
      <c r="B6518" s="21"/>
    </row>
    <row r="6519" spans="2:2">
      <c r="B6519" s="21"/>
    </row>
    <row r="6520" spans="2:2">
      <c r="B6520" s="21"/>
    </row>
    <row r="6521" spans="2:2">
      <c r="B6521" s="21"/>
    </row>
    <row r="6522" spans="2:2">
      <c r="B6522" s="21"/>
    </row>
    <row r="6523" spans="2:2">
      <c r="B6523" s="21"/>
    </row>
    <row r="6524" spans="2:2">
      <c r="B6524" s="21"/>
    </row>
    <row r="6525" spans="2:2">
      <c r="B6525" s="21"/>
    </row>
    <row r="6526" spans="2:2">
      <c r="B6526" s="21"/>
    </row>
    <row r="6527" spans="2:2">
      <c r="B6527" s="21"/>
    </row>
    <row r="6528" spans="2:2">
      <c r="B6528" s="21"/>
    </row>
    <row r="6529" spans="2:2">
      <c r="B6529" s="21"/>
    </row>
    <row r="6530" spans="2:2">
      <c r="B6530" s="21"/>
    </row>
    <row r="6531" spans="2:2">
      <c r="B6531" s="21"/>
    </row>
    <row r="6532" spans="2:2">
      <c r="B6532" s="21"/>
    </row>
    <row r="6533" spans="2:2">
      <c r="B6533" s="21"/>
    </row>
    <row r="6534" spans="2:2">
      <c r="B6534" s="21"/>
    </row>
    <row r="6535" spans="2:2">
      <c r="B6535" s="21"/>
    </row>
    <row r="6536" spans="2:2">
      <c r="B6536" s="21"/>
    </row>
    <row r="6537" spans="2:2">
      <c r="B6537" s="21"/>
    </row>
    <row r="6538" spans="2:2">
      <c r="B6538" s="21"/>
    </row>
    <row r="6539" spans="2:2">
      <c r="B6539" s="21"/>
    </row>
    <row r="6540" spans="2:2">
      <c r="B6540" s="21"/>
    </row>
    <row r="6541" spans="2:2">
      <c r="B6541" s="21"/>
    </row>
    <row r="6542" spans="2:2">
      <c r="B6542" s="21"/>
    </row>
    <row r="6543" spans="2:2">
      <c r="B6543" s="21"/>
    </row>
    <row r="6544" spans="2:2">
      <c r="B6544" s="21"/>
    </row>
    <row r="6545" spans="2:2">
      <c r="B6545" s="21"/>
    </row>
    <row r="6546" spans="2:2">
      <c r="B6546" s="21"/>
    </row>
    <row r="6547" spans="2:2">
      <c r="B6547" s="21"/>
    </row>
    <row r="6548" spans="2:2">
      <c r="B6548" s="21"/>
    </row>
    <row r="6549" spans="2:2">
      <c r="B6549" s="21"/>
    </row>
    <row r="6550" spans="2:2">
      <c r="B6550" s="21"/>
    </row>
    <row r="6551" spans="2:2">
      <c r="B6551" s="21"/>
    </row>
    <row r="6552" spans="2:2">
      <c r="B6552" s="21"/>
    </row>
    <row r="6553" spans="2:2">
      <c r="B6553" s="21"/>
    </row>
    <row r="6554" spans="2:2">
      <c r="B6554" s="21"/>
    </row>
    <row r="6555" spans="2:2">
      <c r="B6555" s="21"/>
    </row>
    <row r="6556" spans="2:2">
      <c r="B6556" s="21"/>
    </row>
    <row r="6557" spans="2:2">
      <c r="B6557" s="21"/>
    </row>
    <row r="6558" spans="2:2">
      <c r="B6558" s="21"/>
    </row>
    <row r="6559" spans="2:2">
      <c r="B6559" s="21"/>
    </row>
    <row r="6560" spans="2:2">
      <c r="B6560" s="21"/>
    </row>
    <row r="6561" spans="2:2">
      <c r="B6561" s="21"/>
    </row>
    <row r="6562" spans="2:2">
      <c r="B6562" s="21"/>
    </row>
    <row r="6563" spans="2:2">
      <c r="B6563" s="21"/>
    </row>
    <row r="6564" spans="2:2">
      <c r="B6564" s="21"/>
    </row>
    <row r="6565" spans="2:2">
      <c r="B6565" s="21"/>
    </row>
    <row r="6566" spans="2:2">
      <c r="B6566" s="21"/>
    </row>
    <row r="6567" spans="2:2">
      <c r="B6567" s="21"/>
    </row>
    <row r="6568" spans="2:2">
      <c r="B6568" s="21"/>
    </row>
    <row r="6569" spans="2:2">
      <c r="B6569" s="21"/>
    </row>
    <row r="6570" spans="2:2">
      <c r="B6570" s="21"/>
    </row>
    <row r="6571" spans="2:2">
      <c r="B6571" s="21"/>
    </row>
    <row r="6572" spans="2:2">
      <c r="B6572" s="21"/>
    </row>
    <row r="6573" spans="2:2">
      <c r="B6573" s="21"/>
    </row>
    <row r="6574" spans="2:2">
      <c r="B6574" s="21"/>
    </row>
    <row r="6575" spans="2:2">
      <c r="B6575" s="21"/>
    </row>
    <row r="6576" spans="2:2">
      <c r="B6576" s="21"/>
    </row>
    <row r="6577" spans="2:2">
      <c r="B6577" s="21"/>
    </row>
    <row r="6578" spans="2:2">
      <c r="B6578" s="21"/>
    </row>
    <row r="6579" spans="2:2">
      <c r="B6579" s="21"/>
    </row>
    <row r="6580" spans="2:2">
      <c r="B6580" s="21"/>
    </row>
    <row r="6581" spans="2:2">
      <c r="B6581" s="21"/>
    </row>
    <row r="6582" spans="2:2">
      <c r="B6582" s="21"/>
    </row>
    <row r="6583" spans="2:2">
      <c r="B6583" s="21"/>
    </row>
    <row r="6584" spans="2:2">
      <c r="B6584" s="21"/>
    </row>
    <row r="6585" spans="2:2">
      <c r="B6585" s="21"/>
    </row>
    <row r="6586" spans="2:2">
      <c r="B6586" s="21"/>
    </row>
    <row r="6587" spans="2:2">
      <c r="B6587" s="21"/>
    </row>
    <row r="6588" spans="2:2">
      <c r="B6588" s="21"/>
    </row>
    <row r="6589" spans="2:2">
      <c r="B6589" s="21"/>
    </row>
    <row r="6590" spans="2:2">
      <c r="B6590" s="21"/>
    </row>
    <row r="6591" spans="2:2">
      <c r="B6591" s="21"/>
    </row>
    <row r="6592" spans="2:2">
      <c r="B6592" s="21"/>
    </row>
    <row r="6593" spans="2:2">
      <c r="B6593" s="21"/>
    </row>
    <row r="6594" spans="2:2">
      <c r="B6594" s="21"/>
    </row>
    <row r="6595" spans="2:2">
      <c r="B6595" s="21"/>
    </row>
    <row r="6596" spans="2:2">
      <c r="B6596" s="21"/>
    </row>
    <row r="6597" spans="2:2">
      <c r="B6597" s="21"/>
    </row>
    <row r="6598" spans="2:2">
      <c r="B6598" s="21"/>
    </row>
    <row r="6599" spans="2:2">
      <c r="B6599" s="21"/>
    </row>
    <row r="6600" spans="2:2">
      <c r="B6600" s="21"/>
    </row>
    <row r="6601" spans="2:2">
      <c r="B6601" s="21"/>
    </row>
    <row r="6602" spans="2:2">
      <c r="B6602" s="21"/>
    </row>
    <row r="6603" spans="2:2">
      <c r="B6603" s="21"/>
    </row>
    <row r="6604" spans="2:2">
      <c r="B6604" s="21"/>
    </row>
    <row r="6605" spans="2:2">
      <c r="B6605" s="21"/>
    </row>
    <row r="6606" spans="2:2">
      <c r="B6606" s="21"/>
    </row>
    <row r="6607" spans="2:2">
      <c r="B6607" s="21"/>
    </row>
    <row r="6608" spans="2:2">
      <c r="B6608" s="21"/>
    </row>
    <row r="6609" spans="2:2">
      <c r="B6609" s="21"/>
    </row>
    <row r="6610" spans="2:2">
      <c r="B6610" s="21"/>
    </row>
    <row r="6611" spans="2:2">
      <c r="B6611" s="21"/>
    </row>
    <row r="6612" spans="2:2">
      <c r="B6612" s="21"/>
    </row>
    <row r="6613" spans="2:2">
      <c r="B6613" s="21"/>
    </row>
    <row r="6614" spans="2:2">
      <c r="B6614" s="21"/>
    </row>
    <row r="6615" spans="2:2">
      <c r="B6615" s="21"/>
    </row>
    <row r="6616" spans="2:2">
      <c r="B6616" s="21"/>
    </row>
    <row r="6617" spans="2:2">
      <c r="B6617" s="21"/>
    </row>
    <row r="6618" spans="2:2">
      <c r="B6618" s="21"/>
    </row>
    <row r="6619" spans="2:2">
      <c r="B6619" s="21"/>
    </row>
    <row r="6620" spans="2:2">
      <c r="B6620" s="21"/>
    </row>
    <row r="6621" spans="2:2">
      <c r="B6621" s="21"/>
    </row>
    <row r="6622" spans="2:2">
      <c r="B6622" s="21"/>
    </row>
    <row r="6623" spans="2:2">
      <c r="B6623" s="21"/>
    </row>
    <row r="6624" spans="2:2">
      <c r="B6624" s="21"/>
    </row>
    <row r="6625" spans="2:2">
      <c r="B6625" s="21"/>
    </row>
    <row r="6626" spans="2:2">
      <c r="B6626" s="21"/>
    </row>
    <row r="6627" spans="2:2">
      <c r="B6627" s="21"/>
    </row>
    <row r="6628" spans="2:2">
      <c r="B6628" s="21"/>
    </row>
    <row r="6629" spans="2:2">
      <c r="B6629" s="21"/>
    </row>
    <row r="6630" spans="2:2">
      <c r="B6630" s="21"/>
    </row>
    <row r="6631" spans="2:2">
      <c r="B6631" s="21"/>
    </row>
    <row r="6632" spans="2:2">
      <c r="B6632" s="21"/>
    </row>
    <row r="6633" spans="2:2">
      <c r="B6633" s="21"/>
    </row>
    <row r="6634" spans="2:2">
      <c r="B6634" s="21"/>
    </row>
    <row r="6635" spans="2:2">
      <c r="B6635" s="21"/>
    </row>
    <row r="6636" spans="2:2">
      <c r="B6636" s="21"/>
    </row>
    <row r="6637" spans="2:2">
      <c r="B6637" s="21"/>
    </row>
    <row r="6638" spans="2:2">
      <c r="B6638" s="21"/>
    </row>
    <row r="6639" spans="2:2">
      <c r="B6639" s="21"/>
    </row>
    <row r="6640" spans="2:2">
      <c r="B6640" s="21"/>
    </row>
    <row r="6641" spans="2:2">
      <c r="B6641" s="21"/>
    </row>
    <row r="6642" spans="2:2">
      <c r="B6642" s="21"/>
    </row>
    <row r="6643" spans="2:2">
      <c r="B6643" s="21"/>
    </row>
    <row r="6644" spans="2:2">
      <c r="B6644" s="21"/>
    </row>
    <row r="6645" spans="2:2">
      <c r="B6645" s="21"/>
    </row>
    <row r="6646" spans="2:2">
      <c r="B6646" s="21"/>
    </row>
    <row r="6647" spans="2:2">
      <c r="B6647" s="21"/>
    </row>
    <row r="6648" spans="2:2">
      <c r="B6648" s="21"/>
    </row>
    <row r="6649" spans="2:2">
      <c r="B6649" s="21"/>
    </row>
    <row r="6650" spans="2:2">
      <c r="B6650" s="21"/>
    </row>
    <row r="6651" spans="2:2">
      <c r="B6651" s="21"/>
    </row>
    <row r="6652" spans="2:2">
      <c r="B6652" s="21"/>
    </row>
    <row r="6653" spans="2:2">
      <c r="B6653" s="21"/>
    </row>
    <row r="6654" spans="2:2">
      <c r="B6654" s="21"/>
    </row>
    <row r="6655" spans="2:2">
      <c r="B6655" s="21"/>
    </row>
    <row r="6656" spans="2:2">
      <c r="B6656" s="21"/>
    </row>
    <row r="6657" spans="2:2">
      <c r="B6657" s="21"/>
    </row>
    <row r="6658" spans="2:2">
      <c r="B6658" s="21"/>
    </row>
    <row r="6659" spans="2:2">
      <c r="B6659" s="21"/>
    </row>
    <row r="6660" spans="2:2">
      <c r="B6660" s="21"/>
    </row>
    <row r="6661" spans="2:2">
      <c r="B6661" s="21"/>
    </row>
    <row r="6662" spans="2:2">
      <c r="B6662" s="21"/>
    </row>
    <row r="6663" spans="2:2">
      <c r="B6663" s="21"/>
    </row>
    <row r="6664" spans="2:2">
      <c r="B6664" s="21"/>
    </row>
    <row r="6665" spans="2:2">
      <c r="B6665" s="21"/>
    </row>
    <row r="6666" spans="2:2">
      <c r="B6666" s="21"/>
    </row>
    <row r="6667" spans="2:2">
      <c r="B6667" s="21"/>
    </row>
    <row r="6668" spans="2:2">
      <c r="B6668" s="21"/>
    </row>
    <row r="6669" spans="2:2">
      <c r="B6669" s="21"/>
    </row>
    <row r="6670" spans="2:2">
      <c r="B6670" s="21"/>
    </row>
    <row r="6671" spans="2:2">
      <c r="B6671" s="21"/>
    </row>
    <row r="6672" spans="2:2">
      <c r="B6672" s="21"/>
    </row>
    <row r="6673" spans="2:2">
      <c r="B6673" s="21"/>
    </row>
    <row r="6674" spans="2:2">
      <c r="B6674" s="21"/>
    </row>
    <row r="6675" spans="2:2">
      <c r="B6675" s="21"/>
    </row>
    <row r="6676" spans="2:2">
      <c r="B6676" s="21"/>
    </row>
    <row r="6677" spans="2:2">
      <c r="B6677" s="21"/>
    </row>
    <row r="6678" spans="2:2">
      <c r="B6678" s="21"/>
    </row>
    <row r="6679" spans="2:2">
      <c r="B6679" s="21"/>
    </row>
    <row r="6680" spans="2:2">
      <c r="B6680" s="21"/>
    </row>
    <row r="6681" spans="2:2">
      <c r="B6681" s="21"/>
    </row>
    <row r="6682" spans="2:2">
      <c r="B6682" s="21"/>
    </row>
    <row r="6683" spans="2:2">
      <c r="B6683" s="21"/>
    </row>
    <row r="6684" spans="2:2">
      <c r="B6684" s="21"/>
    </row>
    <row r="6685" spans="2:2">
      <c r="B6685" s="21"/>
    </row>
    <row r="6686" spans="2:2">
      <c r="B6686" s="21"/>
    </row>
    <row r="6687" spans="2:2">
      <c r="B6687" s="21"/>
    </row>
    <row r="6688" spans="2:2">
      <c r="B6688" s="21"/>
    </row>
    <row r="6689" spans="2:2">
      <c r="B6689" s="21"/>
    </row>
    <row r="6690" spans="2:2">
      <c r="B6690" s="21"/>
    </row>
    <row r="6691" spans="2:2">
      <c r="B6691" s="21"/>
    </row>
    <row r="6692" spans="2:2">
      <c r="B6692" s="21"/>
    </row>
    <row r="6693" spans="2:2">
      <c r="B6693" s="21"/>
    </row>
    <row r="6694" spans="2:2">
      <c r="B6694" s="21"/>
    </row>
    <row r="6695" spans="2:2">
      <c r="B6695" s="21"/>
    </row>
    <row r="6696" spans="2:2">
      <c r="B6696" s="21"/>
    </row>
    <row r="6697" spans="2:2">
      <c r="B6697" s="21"/>
    </row>
    <row r="6698" spans="2:2">
      <c r="B6698" s="21"/>
    </row>
    <row r="6699" spans="2:2">
      <c r="B6699" s="21"/>
    </row>
    <row r="6700" spans="2:2">
      <c r="B6700" s="21"/>
    </row>
    <row r="6701" spans="2:2">
      <c r="B6701" s="21"/>
    </row>
    <row r="6702" spans="2:2">
      <c r="B6702" s="21"/>
    </row>
    <row r="6703" spans="2:2">
      <c r="B6703" s="21"/>
    </row>
    <row r="6704" spans="2:2">
      <c r="B6704" s="21"/>
    </row>
    <row r="6705" spans="2:2">
      <c r="B6705" s="21"/>
    </row>
    <row r="6706" spans="2:2">
      <c r="B6706" s="21"/>
    </row>
    <row r="6707" spans="2:2">
      <c r="B6707" s="21"/>
    </row>
    <row r="6708" spans="2:2">
      <c r="B6708" s="21"/>
    </row>
    <row r="6709" spans="2:2">
      <c r="B6709" s="21"/>
    </row>
    <row r="6710" spans="2:2">
      <c r="B6710" s="21"/>
    </row>
    <row r="6711" spans="2:2">
      <c r="B6711" s="21"/>
    </row>
    <row r="6712" spans="2:2">
      <c r="B6712" s="21"/>
    </row>
    <row r="6713" spans="2:2">
      <c r="B6713" s="21"/>
    </row>
    <row r="6714" spans="2:2">
      <c r="B6714" s="21"/>
    </row>
    <row r="6715" spans="2:2">
      <c r="B6715" s="21"/>
    </row>
    <row r="6716" spans="2:2">
      <c r="B6716" s="21"/>
    </row>
    <row r="6717" spans="2:2">
      <c r="B6717" s="21"/>
    </row>
    <row r="6718" spans="2:2">
      <c r="B6718" s="21"/>
    </row>
    <row r="6719" spans="2:2">
      <c r="B6719" s="21"/>
    </row>
    <row r="6720" spans="2:2">
      <c r="B6720" s="21"/>
    </row>
    <row r="6721" spans="2:2">
      <c r="B6721" s="21"/>
    </row>
    <row r="6722" spans="2:2">
      <c r="B6722" s="21"/>
    </row>
    <row r="6723" spans="2:2">
      <c r="B6723" s="21"/>
    </row>
    <row r="6724" spans="2:2">
      <c r="B6724" s="21"/>
    </row>
    <row r="6725" spans="2:2">
      <c r="B6725" s="21"/>
    </row>
    <row r="6726" spans="2:2">
      <c r="B6726" s="21"/>
    </row>
    <row r="6727" spans="2:2">
      <c r="B6727" s="21"/>
    </row>
    <row r="6728" spans="2:2">
      <c r="B6728" s="21"/>
    </row>
    <row r="6729" spans="2:2">
      <c r="B6729" s="21"/>
    </row>
    <row r="6730" spans="2:2">
      <c r="B6730" s="21"/>
    </row>
    <row r="6731" spans="2:2">
      <c r="B6731" s="21"/>
    </row>
    <row r="6732" spans="2:2">
      <c r="B6732" s="21"/>
    </row>
    <row r="6733" spans="2:2">
      <c r="B6733" s="21"/>
    </row>
    <row r="6734" spans="2:2">
      <c r="B6734" s="21"/>
    </row>
    <row r="6735" spans="2:2">
      <c r="B6735" s="21"/>
    </row>
    <row r="6736" spans="2:2">
      <c r="B6736" s="21"/>
    </row>
    <row r="6737" spans="2:2">
      <c r="B6737" s="21"/>
    </row>
    <row r="6738" spans="2:2">
      <c r="B6738" s="21"/>
    </row>
    <row r="6739" spans="2:2">
      <c r="B6739" s="21"/>
    </row>
    <row r="6740" spans="2:2">
      <c r="B6740" s="21"/>
    </row>
    <row r="6741" spans="2:2">
      <c r="B6741" s="21"/>
    </row>
    <row r="6742" spans="2:2">
      <c r="B6742" s="21"/>
    </row>
    <row r="6743" spans="2:2">
      <c r="B6743" s="21"/>
    </row>
    <row r="6744" spans="2:2">
      <c r="B6744" s="21"/>
    </row>
    <row r="6745" spans="2:2">
      <c r="B6745" s="21"/>
    </row>
    <row r="6746" spans="2:2">
      <c r="B6746" s="21"/>
    </row>
    <row r="6747" spans="2:2">
      <c r="B6747" s="21"/>
    </row>
    <row r="6748" spans="2:2">
      <c r="B6748" s="21"/>
    </row>
    <row r="6749" spans="2:2">
      <c r="B6749" s="21"/>
    </row>
    <row r="6750" spans="2:2">
      <c r="B6750" s="21"/>
    </row>
    <row r="6751" spans="2:2">
      <c r="B6751" s="21"/>
    </row>
    <row r="6752" spans="2:2">
      <c r="B6752" s="21"/>
    </row>
    <row r="6753" spans="2:2">
      <c r="B6753" s="21"/>
    </row>
    <row r="6754" spans="2:2">
      <c r="B6754" s="21"/>
    </row>
    <row r="6755" spans="2:2">
      <c r="B6755" s="21"/>
    </row>
    <row r="6756" spans="2:2">
      <c r="B6756" s="21"/>
    </row>
    <row r="6757" spans="2:2">
      <c r="B6757" s="21"/>
    </row>
    <row r="6758" spans="2:2">
      <c r="B6758" s="21"/>
    </row>
    <row r="6759" spans="2:2">
      <c r="B6759" s="21"/>
    </row>
    <row r="6760" spans="2:2">
      <c r="B6760" s="21"/>
    </row>
    <row r="6761" spans="2:2">
      <c r="B6761" s="21"/>
    </row>
    <row r="6762" spans="2:2">
      <c r="B6762" s="21"/>
    </row>
    <row r="6763" spans="2:2">
      <c r="B6763" s="21"/>
    </row>
    <row r="6764" spans="2:2">
      <c r="B6764" s="21"/>
    </row>
    <row r="6765" spans="2:2">
      <c r="B6765" s="21"/>
    </row>
    <row r="6766" spans="2:2">
      <c r="B6766" s="21"/>
    </row>
    <row r="6767" spans="2:2">
      <c r="B6767" s="21"/>
    </row>
    <row r="6768" spans="2:2">
      <c r="B6768" s="21"/>
    </row>
    <row r="6769" spans="2:2">
      <c r="B6769" s="21"/>
    </row>
    <row r="6770" spans="2:2">
      <c r="B6770" s="21"/>
    </row>
    <row r="6771" spans="2:2">
      <c r="B6771" s="21"/>
    </row>
    <row r="6772" spans="2:2">
      <c r="B6772" s="21"/>
    </row>
    <row r="6773" spans="2:2">
      <c r="B6773" s="21"/>
    </row>
    <row r="6774" spans="2:2">
      <c r="B6774" s="21"/>
    </row>
    <row r="6775" spans="2:2">
      <c r="B6775" s="21"/>
    </row>
    <row r="6776" spans="2:2">
      <c r="B6776" s="21"/>
    </row>
    <row r="6777" spans="2:2">
      <c r="B6777" s="21"/>
    </row>
    <row r="6778" spans="2:2">
      <c r="B6778" s="21"/>
    </row>
    <row r="6779" spans="2:2">
      <c r="B6779" s="21"/>
    </row>
    <row r="6780" spans="2:2">
      <c r="B6780" s="21"/>
    </row>
    <row r="6781" spans="2:2">
      <c r="B6781" s="21"/>
    </row>
    <row r="6782" spans="2:2">
      <c r="B6782" s="21"/>
    </row>
    <row r="6783" spans="2:2">
      <c r="B6783" s="21"/>
    </row>
    <row r="6784" spans="2:2">
      <c r="B6784" s="21"/>
    </row>
    <row r="6785" spans="2:2">
      <c r="B6785" s="21"/>
    </row>
    <row r="6786" spans="2:2">
      <c r="B6786" s="21"/>
    </row>
    <row r="6787" spans="2:2">
      <c r="B6787" s="21"/>
    </row>
    <row r="6788" spans="2:2">
      <c r="B6788" s="21"/>
    </row>
    <row r="6789" spans="2:2">
      <c r="B6789" s="21"/>
    </row>
    <row r="6790" spans="2:2">
      <c r="B6790" s="21"/>
    </row>
    <row r="6791" spans="2:2">
      <c r="B6791" s="21"/>
    </row>
    <row r="6792" spans="2:2">
      <c r="B6792" s="21"/>
    </row>
    <row r="6793" spans="2:2">
      <c r="B6793" s="21"/>
    </row>
    <row r="6794" spans="2:2">
      <c r="B6794" s="21"/>
    </row>
    <row r="6795" spans="2:2">
      <c r="B6795" s="21"/>
    </row>
    <row r="6796" spans="2:2">
      <c r="B6796" s="21"/>
    </row>
    <row r="6797" spans="2:2">
      <c r="B6797" s="21"/>
    </row>
    <row r="6798" spans="2:2">
      <c r="B6798" s="21"/>
    </row>
    <row r="6799" spans="2:2">
      <c r="B6799" s="21"/>
    </row>
    <row r="6800" spans="2:2">
      <c r="B6800" s="21"/>
    </row>
    <row r="6801" spans="2:2">
      <c r="B6801" s="21"/>
    </row>
    <row r="6802" spans="2:2">
      <c r="B6802" s="21"/>
    </row>
    <row r="6803" spans="2:2">
      <c r="B6803" s="21"/>
    </row>
    <row r="6804" spans="2:2">
      <c r="B6804" s="21"/>
    </row>
    <row r="6805" spans="2:2">
      <c r="B6805" s="21"/>
    </row>
    <row r="6806" spans="2:2">
      <c r="B6806" s="21"/>
    </row>
    <row r="6807" spans="2:2">
      <c r="B6807" s="21"/>
    </row>
    <row r="6808" spans="2:2">
      <c r="B6808" s="21"/>
    </row>
    <row r="6809" spans="2:2">
      <c r="B6809" s="21"/>
    </row>
    <row r="6810" spans="2:2">
      <c r="B6810" s="21"/>
    </row>
    <row r="6811" spans="2:2">
      <c r="B6811" s="21"/>
    </row>
    <row r="6812" spans="2:2">
      <c r="B6812" s="21"/>
    </row>
    <row r="6813" spans="2:2">
      <c r="B6813" s="21"/>
    </row>
    <row r="6814" spans="2:2">
      <c r="B6814" s="21"/>
    </row>
    <row r="6815" spans="2:2">
      <c r="B6815" s="21"/>
    </row>
    <row r="6816" spans="2:2">
      <c r="B6816" s="21"/>
    </row>
    <row r="6817" spans="2:2">
      <c r="B6817" s="21"/>
    </row>
    <row r="6818" spans="2:2">
      <c r="B6818" s="21"/>
    </row>
    <row r="6819" spans="2:2">
      <c r="B6819" s="21"/>
    </row>
    <row r="6820" spans="2:2">
      <c r="B6820" s="21"/>
    </row>
    <row r="6821" spans="2:2">
      <c r="B6821" s="21"/>
    </row>
    <row r="6822" spans="2:2">
      <c r="B6822" s="21"/>
    </row>
    <row r="6823" spans="2:2">
      <c r="B6823" s="21"/>
    </row>
    <row r="6824" spans="2:2">
      <c r="B6824" s="21"/>
    </row>
    <row r="6825" spans="2:2">
      <c r="B6825" s="21"/>
    </row>
    <row r="6826" spans="2:2">
      <c r="B6826" s="21"/>
    </row>
    <row r="6827" spans="2:2">
      <c r="B6827" s="21"/>
    </row>
    <row r="6828" spans="2:2">
      <c r="B6828" s="21"/>
    </row>
    <row r="6829" spans="2:2">
      <c r="B6829" s="21"/>
    </row>
    <row r="6830" spans="2:2">
      <c r="B6830" s="21"/>
    </row>
    <row r="6831" spans="2:2">
      <c r="B6831" s="21"/>
    </row>
    <row r="6832" spans="2:2">
      <c r="B6832" s="21"/>
    </row>
    <row r="6833" spans="2:2">
      <c r="B6833" s="21"/>
    </row>
    <row r="6834" spans="2:2">
      <c r="B6834" s="21"/>
    </row>
    <row r="6835" spans="2:2">
      <c r="B6835" s="21"/>
    </row>
    <row r="6836" spans="2:2">
      <c r="B6836" s="21"/>
    </row>
    <row r="6837" spans="2:2">
      <c r="B6837" s="21"/>
    </row>
    <row r="6838" spans="2:2">
      <c r="B6838" s="21"/>
    </row>
    <row r="6839" spans="2:2">
      <c r="B6839" s="21"/>
    </row>
    <row r="6840" spans="2:2">
      <c r="B6840" s="21"/>
    </row>
    <row r="6841" spans="2:2">
      <c r="B6841" s="21"/>
    </row>
    <row r="6842" spans="2:2">
      <c r="B6842" s="21"/>
    </row>
    <row r="6843" spans="2:2">
      <c r="B6843" s="21"/>
    </row>
    <row r="6844" spans="2:2">
      <c r="B6844" s="21"/>
    </row>
    <row r="6845" spans="2:2">
      <c r="B6845" s="21"/>
    </row>
    <row r="6846" spans="2:2">
      <c r="B6846" s="21"/>
    </row>
    <row r="6847" spans="2:2">
      <c r="B6847" s="21"/>
    </row>
    <row r="6848" spans="2:2">
      <c r="B6848" s="21"/>
    </row>
    <row r="6849" spans="2:2">
      <c r="B6849" s="21"/>
    </row>
    <row r="6850" spans="2:2">
      <c r="B6850" s="21"/>
    </row>
    <row r="6851" spans="2:2">
      <c r="B6851" s="21"/>
    </row>
    <row r="6852" spans="2:2">
      <c r="B6852" s="21"/>
    </row>
    <row r="6853" spans="2:2">
      <c r="B6853" s="21"/>
    </row>
    <row r="6854" spans="2:2">
      <c r="B6854" s="21"/>
    </row>
    <row r="6855" spans="2:2">
      <c r="B6855" s="21"/>
    </row>
    <row r="6856" spans="2:2">
      <c r="B6856" s="21"/>
    </row>
    <row r="6857" spans="2:2">
      <c r="B6857" s="21"/>
    </row>
    <row r="6858" spans="2:2">
      <c r="B6858" s="21"/>
    </row>
    <row r="6859" spans="2:2">
      <c r="B6859" s="21"/>
    </row>
    <row r="6860" spans="2:2">
      <c r="B6860" s="21"/>
    </row>
    <row r="6861" spans="2:2">
      <c r="B6861" s="21"/>
    </row>
    <row r="6862" spans="2:2">
      <c r="B6862" s="21"/>
    </row>
    <row r="6863" spans="2:2">
      <c r="B6863" s="21"/>
    </row>
    <row r="6864" spans="2:2">
      <c r="B6864" s="21"/>
    </row>
    <row r="6865" spans="2:2">
      <c r="B6865" s="21"/>
    </row>
    <row r="6866" spans="2:2">
      <c r="B6866" s="21"/>
    </row>
    <row r="6867" spans="2:2">
      <c r="B6867" s="21"/>
    </row>
    <row r="6868" spans="2:2">
      <c r="B6868" s="21"/>
    </row>
    <row r="6869" spans="2:2">
      <c r="B6869" s="21"/>
    </row>
    <row r="6870" spans="2:2">
      <c r="B6870" s="21"/>
    </row>
    <row r="6871" spans="2:2">
      <c r="B6871" s="21"/>
    </row>
    <row r="6872" spans="2:2">
      <c r="B6872" s="21"/>
    </row>
    <row r="6873" spans="2:2">
      <c r="B6873" s="21"/>
    </row>
    <row r="6874" spans="2:2">
      <c r="B6874" s="21"/>
    </row>
    <row r="6875" spans="2:2">
      <c r="B6875" s="21"/>
    </row>
    <row r="6876" spans="2:2">
      <c r="B6876" s="21"/>
    </row>
    <row r="6877" spans="2:2">
      <c r="B6877" s="21"/>
    </row>
    <row r="6878" spans="2:2">
      <c r="B6878" s="21"/>
    </row>
    <row r="6879" spans="2:2">
      <c r="B6879" s="21"/>
    </row>
    <row r="6880" spans="2:2">
      <c r="B6880" s="21"/>
    </row>
    <row r="6881" spans="2:2">
      <c r="B6881" s="21"/>
    </row>
    <row r="6882" spans="2:2">
      <c r="B6882" s="21"/>
    </row>
    <row r="6883" spans="2:2">
      <c r="B6883" s="21"/>
    </row>
    <row r="6884" spans="2:2">
      <c r="B6884" s="21"/>
    </row>
    <row r="6885" spans="2:2">
      <c r="B6885" s="21"/>
    </row>
    <row r="6886" spans="2:2">
      <c r="B6886" s="21"/>
    </row>
    <row r="6887" spans="2:2">
      <c r="B6887" s="21"/>
    </row>
    <row r="6888" spans="2:2">
      <c r="B6888" s="21"/>
    </row>
    <row r="6889" spans="2:2">
      <c r="B6889" s="21"/>
    </row>
    <row r="6890" spans="2:2">
      <c r="B6890" s="21"/>
    </row>
    <row r="6891" spans="2:2">
      <c r="B6891" s="21"/>
    </row>
    <row r="6892" spans="2:2">
      <c r="B6892" s="21"/>
    </row>
    <row r="6893" spans="2:2">
      <c r="B6893" s="21"/>
    </row>
    <row r="6894" spans="2:2">
      <c r="B6894" s="21"/>
    </row>
    <row r="6895" spans="2:2">
      <c r="B6895" s="21"/>
    </row>
    <row r="6896" spans="2:2">
      <c r="B6896" s="21"/>
    </row>
    <row r="6897" spans="2:2">
      <c r="B6897" s="21"/>
    </row>
    <row r="6898" spans="2:2">
      <c r="B6898" s="21"/>
    </row>
    <row r="6899" spans="2:2">
      <c r="B6899" s="21"/>
    </row>
    <row r="6900" spans="2:2">
      <c r="B6900" s="21"/>
    </row>
    <row r="6901" spans="2:2">
      <c r="B6901" s="21"/>
    </row>
    <row r="6902" spans="2:2">
      <c r="B6902" s="21"/>
    </row>
    <row r="6903" spans="2:2">
      <c r="B6903" s="21"/>
    </row>
    <row r="6904" spans="2:2">
      <c r="B6904" s="21"/>
    </row>
    <row r="6905" spans="2:2">
      <c r="B6905" s="21"/>
    </row>
    <row r="6906" spans="2:2">
      <c r="B6906" s="21"/>
    </row>
    <row r="6907" spans="2:2">
      <c r="B6907" s="21"/>
    </row>
    <row r="6908" spans="2:2">
      <c r="B6908" s="21"/>
    </row>
    <row r="6909" spans="2:2">
      <c r="B6909" s="21"/>
    </row>
    <row r="6910" spans="2:2">
      <c r="B6910" s="21"/>
    </row>
    <row r="6911" spans="2:2">
      <c r="B6911" s="21"/>
    </row>
    <row r="6912" spans="2:2">
      <c r="B6912" s="21"/>
    </row>
    <row r="6913" spans="2:2">
      <c r="B6913" s="21"/>
    </row>
    <row r="6914" spans="2:2">
      <c r="B6914" s="21"/>
    </row>
    <row r="6915" spans="2:2">
      <c r="B6915" s="21"/>
    </row>
    <row r="6916" spans="2:2">
      <c r="B6916" s="21"/>
    </row>
    <row r="6917" spans="2:2">
      <c r="B6917" s="21"/>
    </row>
    <row r="6918" spans="2:2">
      <c r="B6918" s="21"/>
    </row>
    <row r="6919" spans="2:2">
      <c r="B6919" s="21"/>
    </row>
    <row r="6920" spans="2:2">
      <c r="B6920" s="21"/>
    </row>
    <row r="6921" spans="2:2">
      <c r="B6921" s="21"/>
    </row>
    <row r="6922" spans="2:2">
      <c r="B6922" s="21"/>
    </row>
    <row r="6923" spans="2:2">
      <c r="B6923" s="21"/>
    </row>
    <row r="6924" spans="2:2">
      <c r="B6924" s="21"/>
    </row>
    <row r="6925" spans="2:2">
      <c r="B6925" s="21"/>
    </row>
    <row r="6926" spans="2:2">
      <c r="B6926" s="21"/>
    </row>
    <row r="6927" spans="2:2">
      <c r="B6927" s="21"/>
    </row>
    <row r="6928" spans="2:2">
      <c r="B6928" s="21"/>
    </row>
    <row r="6929" spans="2:2">
      <c r="B6929" s="21"/>
    </row>
    <row r="6930" spans="2:2">
      <c r="B6930" s="21"/>
    </row>
    <row r="6931" spans="2:2">
      <c r="B6931" s="21"/>
    </row>
    <row r="6932" spans="2:2">
      <c r="B6932" s="21"/>
    </row>
    <row r="6933" spans="2:2">
      <c r="B6933" s="21"/>
    </row>
    <row r="6934" spans="2:2">
      <c r="B6934" s="21"/>
    </row>
    <row r="6935" spans="2:2">
      <c r="B6935" s="21"/>
    </row>
    <row r="6936" spans="2:2">
      <c r="B6936" s="21"/>
    </row>
    <row r="6937" spans="2:2">
      <c r="B6937" s="21"/>
    </row>
    <row r="6938" spans="2:2">
      <c r="B6938" s="21"/>
    </row>
    <row r="6939" spans="2:2">
      <c r="B6939" s="21"/>
    </row>
    <row r="6940" spans="2:2">
      <c r="B6940" s="21"/>
    </row>
    <row r="6941" spans="2:2">
      <c r="B6941" s="21"/>
    </row>
    <row r="6942" spans="2:2">
      <c r="B6942" s="21"/>
    </row>
    <row r="6943" spans="2:2">
      <c r="B6943" s="21"/>
    </row>
    <row r="6944" spans="2:2">
      <c r="B6944" s="21"/>
    </row>
    <row r="6945" spans="2:2">
      <c r="B6945" s="21"/>
    </row>
    <row r="6946" spans="2:2">
      <c r="B6946" s="21"/>
    </row>
    <row r="6947" spans="2:2">
      <c r="B6947" s="21"/>
    </row>
    <row r="6948" spans="2:2">
      <c r="B6948" s="21"/>
    </row>
    <row r="6949" spans="2:2">
      <c r="B6949" s="21"/>
    </row>
    <row r="6950" spans="2:2">
      <c r="B6950" s="21"/>
    </row>
    <row r="6951" spans="2:2">
      <c r="B6951" s="21"/>
    </row>
    <row r="6952" spans="2:2">
      <c r="B6952" s="21"/>
    </row>
    <row r="6953" spans="2:2">
      <c r="B6953" s="21"/>
    </row>
    <row r="6954" spans="2:2">
      <c r="B6954" s="21"/>
    </row>
    <row r="6955" spans="2:2">
      <c r="B6955" s="21"/>
    </row>
    <row r="6956" spans="2:2">
      <c r="B6956" s="21"/>
    </row>
    <row r="6957" spans="2:2">
      <c r="B6957" s="21"/>
    </row>
    <row r="6958" spans="2:2">
      <c r="B6958" s="21"/>
    </row>
    <row r="6959" spans="2:2">
      <c r="B6959" s="21"/>
    </row>
    <row r="6960" spans="2:2">
      <c r="B6960" s="21"/>
    </row>
    <row r="6961" spans="2:2">
      <c r="B6961" s="21"/>
    </row>
    <row r="6962" spans="2:2">
      <c r="B6962" s="21"/>
    </row>
    <row r="6963" spans="2:2">
      <c r="B6963" s="21"/>
    </row>
    <row r="6964" spans="2:2">
      <c r="B6964" s="21"/>
    </row>
    <row r="6965" spans="2:2">
      <c r="B6965" s="21"/>
    </row>
    <row r="6966" spans="2:2">
      <c r="B6966" s="21"/>
    </row>
    <row r="6967" spans="2:2">
      <c r="B6967" s="21"/>
    </row>
    <row r="6968" spans="2:2">
      <c r="B6968" s="21"/>
    </row>
    <row r="6969" spans="2:2">
      <c r="B6969" s="21"/>
    </row>
    <row r="6970" spans="2:2">
      <c r="B6970" s="21"/>
    </row>
    <row r="6971" spans="2:2">
      <c r="B6971" s="21"/>
    </row>
    <row r="6972" spans="2:2">
      <c r="B6972" s="21"/>
    </row>
    <row r="6973" spans="2:2">
      <c r="B6973" s="21"/>
    </row>
    <row r="6974" spans="2:2">
      <c r="B6974" s="21"/>
    </row>
    <row r="6975" spans="2:2">
      <c r="B6975" s="21"/>
    </row>
    <row r="6976" spans="2:2">
      <c r="B6976" s="21"/>
    </row>
    <row r="6977" spans="2:2">
      <c r="B6977" s="21"/>
    </row>
    <row r="6978" spans="2:2">
      <c r="B6978" s="21"/>
    </row>
    <row r="6979" spans="2:2">
      <c r="B6979" s="21"/>
    </row>
    <row r="6980" spans="2:2">
      <c r="B6980" s="21"/>
    </row>
    <row r="6981" spans="2:2">
      <c r="B6981" s="21"/>
    </row>
    <row r="6982" spans="2:2">
      <c r="B6982" s="21"/>
    </row>
    <row r="6983" spans="2:2">
      <c r="B6983" s="21"/>
    </row>
    <row r="6984" spans="2:2">
      <c r="B6984" s="21"/>
    </row>
    <row r="6985" spans="2:2">
      <c r="B6985" s="21"/>
    </row>
    <row r="6986" spans="2:2">
      <c r="B6986" s="21"/>
    </row>
    <row r="6987" spans="2:2">
      <c r="B6987" s="21"/>
    </row>
    <row r="6988" spans="2:2">
      <c r="B6988" s="21"/>
    </row>
    <row r="6989" spans="2:2">
      <c r="B6989" s="21"/>
    </row>
    <row r="6990" spans="2:2">
      <c r="B6990" s="21"/>
    </row>
    <row r="6991" spans="2:2">
      <c r="B6991" s="21"/>
    </row>
    <row r="6992" spans="2:2">
      <c r="B6992" s="21"/>
    </row>
    <row r="6993" spans="2:2">
      <c r="B6993" s="21"/>
    </row>
    <row r="6994" spans="2:2">
      <c r="B6994" s="21"/>
    </row>
    <row r="6995" spans="2:2">
      <c r="B6995" s="21"/>
    </row>
    <row r="6996" spans="2:2">
      <c r="B6996" s="21"/>
    </row>
    <row r="6997" spans="2:2">
      <c r="B6997" s="21"/>
    </row>
    <row r="6998" spans="2:2">
      <c r="B6998" s="21"/>
    </row>
    <row r="6999" spans="2:2">
      <c r="B6999" s="21"/>
    </row>
    <row r="7000" spans="2:2">
      <c r="B7000" s="21"/>
    </row>
    <row r="7001" spans="2:2">
      <c r="B7001" s="21"/>
    </row>
    <row r="7002" spans="2:2">
      <c r="B7002" s="21"/>
    </row>
    <row r="7003" spans="2:2">
      <c r="B7003" s="21"/>
    </row>
    <row r="7004" spans="2:2">
      <c r="B7004" s="21"/>
    </row>
    <row r="7005" spans="2:2">
      <c r="B7005" s="21"/>
    </row>
    <row r="7006" spans="2:2">
      <c r="B7006" s="21"/>
    </row>
    <row r="7007" spans="2:2">
      <c r="B7007" s="21"/>
    </row>
    <row r="7008" spans="2:2">
      <c r="B7008" s="21"/>
    </row>
    <row r="7009" spans="2:2">
      <c r="B7009" s="21"/>
    </row>
    <row r="7010" spans="2:2">
      <c r="B7010" s="21"/>
    </row>
    <row r="7011" spans="2:2">
      <c r="B7011" s="21"/>
    </row>
    <row r="7012" spans="2:2">
      <c r="B7012" s="21"/>
    </row>
    <row r="7013" spans="2:2">
      <c r="B7013" s="21"/>
    </row>
    <row r="7014" spans="2:2">
      <c r="B7014" s="21"/>
    </row>
    <row r="7015" spans="2:2">
      <c r="B7015" s="21"/>
    </row>
    <row r="7016" spans="2:2">
      <c r="B7016" s="21"/>
    </row>
    <row r="7017" spans="2:2">
      <c r="B7017" s="21"/>
    </row>
    <row r="7018" spans="2:2">
      <c r="B7018" s="21"/>
    </row>
    <row r="7019" spans="2:2">
      <c r="B7019" s="21"/>
    </row>
    <row r="7020" spans="2:2">
      <c r="B7020" s="21"/>
    </row>
    <row r="7021" spans="2:2">
      <c r="B7021" s="21"/>
    </row>
    <row r="7022" spans="2:2">
      <c r="B7022" s="21"/>
    </row>
    <row r="7023" spans="2:2">
      <c r="B7023" s="21"/>
    </row>
    <row r="7024" spans="2:2">
      <c r="B7024" s="21"/>
    </row>
    <row r="7025" spans="2:2">
      <c r="B7025" s="21"/>
    </row>
    <row r="7026" spans="2:2">
      <c r="B7026" s="21"/>
    </row>
    <row r="7027" spans="2:2">
      <c r="B7027" s="21"/>
    </row>
    <row r="7028" spans="2:2">
      <c r="B7028" s="21"/>
    </row>
    <row r="7029" spans="2:2">
      <c r="B7029" s="21"/>
    </row>
    <row r="7030" spans="2:2">
      <c r="B7030" s="21"/>
    </row>
    <row r="7031" spans="2:2">
      <c r="B7031" s="21"/>
    </row>
    <row r="7032" spans="2:2">
      <c r="B7032" s="21"/>
    </row>
    <row r="7033" spans="2:2">
      <c r="B7033" s="21"/>
    </row>
    <row r="7034" spans="2:2">
      <c r="B7034" s="21"/>
    </row>
    <row r="7035" spans="2:2">
      <c r="B7035" s="21"/>
    </row>
    <row r="7036" spans="2:2">
      <c r="B7036" s="21"/>
    </row>
    <row r="7037" spans="2:2">
      <c r="B7037" s="21"/>
    </row>
    <row r="7038" spans="2:2">
      <c r="B7038" s="21"/>
    </row>
    <row r="7039" spans="2:2">
      <c r="B7039" s="21"/>
    </row>
    <row r="7040" spans="2:2">
      <c r="B7040" s="21"/>
    </row>
    <row r="7041" spans="2:2">
      <c r="B7041" s="21"/>
    </row>
    <row r="7042" spans="2:2">
      <c r="B7042" s="21"/>
    </row>
    <row r="7043" spans="2:2">
      <c r="B7043" s="21"/>
    </row>
    <row r="7044" spans="2:2">
      <c r="B7044" s="21"/>
    </row>
    <row r="7045" spans="2:2">
      <c r="B7045" s="21"/>
    </row>
    <row r="7046" spans="2:2">
      <c r="B7046" s="21"/>
    </row>
    <row r="7047" spans="2:2">
      <c r="B7047" s="21"/>
    </row>
    <row r="7048" spans="2:2">
      <c r="B7048" s="21"/>
    </row>
    <row r="7049" spans="2:2">
      <c r="B7049" s="21"/>
    </row>
    <row r="7050" spans="2:2">
      <c r="B7050" s="21"/>
    </row>
    <row r="7051" spans="2:2">
      <c r="B7051" s="21"/>
    </row>
    <row r="7052" spans="2:2">
      <c r="B7052" s="21"/>
    </row>
    <row r="7053" spans="2:2">
      <c r="B7053" s="21"/>
    </row>
    <row r="7054" spans="2:2">
      <c r="B7054" s="21"/>
    </row>
    <row r="7055" spans="2:2">
      <c r="B7055" s="21"/>
    </row>
    <row r="7056" spans="2:2">
      <c r="B7056" s="21"/>
    </row>
    <row r="7057" spans="2:2">
      <c r="B7057" s="21"/>
    </row>
    <row r="7058" spans="2:2">
      <c r="B7058" s="21"/>
    </row>
    <row r="7059" spans="2:2">
      <c r="B7059" s="21"/>
    </row>
    <row r="7060" spans="2:2">
      <c r="B7060" s="21"/>
    </row>
    <row r="7061" spans="2:2">
      <c r="B7061" s="21"/>
    </row>
    <row r="7062" spans="2:2">
      <c r="B7062" s="21"/>
    </row>
    <row r="7063" spans="2:2">
      <c r="B7063" s="21"/>
    </row>
    <row r="7064" spans="2:2">
      <c r="B7064" s="21"/>
    </row>
    <row r="7065" spans="2:2">
      <c r="B7065" s="21"/>
    </row>
    <row r="7066" spans="2:2">
      <c r="B7066" s="21"/>
    </row>
    <row r="7067" spans="2:2">
      <c r="B7067" s="21"/>
    </row>
    <row r="7068" spans="2:2">
      <c r="B7068" s="21"/>
    </row>
    <row r="7069" spans="2:2">
      <c r="B7069" s="21"/>
    </row>
    <row r="7070" spans="2:2">
      <c r="B7070" s="21"/>
    </row>
    <row r="7071" spans="2:2">
      <c r="B7071" s="21"/>
    </row>
    <row r="7072" spans="2:2">
      <c r="B7072" s="21"/>
    </row>
    <row r="7073" spans="2:2">
      <c r="B7073" s="21"/>
    </row>
    <row r="7074" spans="2:2">
      <c r="B7074" s="21"/>
    </row>
    <row r="7075" spans="2:2">
      <c r="B7075" s="21"/>
    </row>
    <row r="7076" spans="2:2">
      <c r="B7076" s="21"/>
    </row>
    <row r="7077" spans="2:2">
      <c r="B7077" s="21"/>
    </row>
    <row r="7078" spans="2:2">
      <c r="B7078" s="21"/>
    </row>
    <row r="7079" spans="2:2">
      <c r="B7079" s="21"/>
    </row>
    <row r="7080" spans="2:2">
      <c r="B7080" s="21"/>
    </row>
    <row r="7081" spans="2:2">
      <c r="B7081" s="21"/>
    </row>
    <row r="7082" spans="2:2">
      <c r="B7082" s="21"/>
    </row>
    <row r="7083" spans="2:2">
      <c r="B7083" s="21"/>
    </row>
    <row r="7084" spans="2:2">
      <c r="B7084" s="21"/>
    </row>
    <row r="7085" spans="2:2">
      <c r="B7085" s="21"/>
    </row>
    <row r="7086" spans="2:2">
      <c r="B7086" s="21"/>
    </row>
    <row r="7087" spans="2:2">
      <c r="B7087" s="21"/>
    </row>
    <row r="7088" spans="2:2">
      <c r="B7088" s="21"/>
    </row>
    <row r="7089" spans="2:2">
      <c r="B7089" s="21"/>
    </row>
    <row r="7090" spans="2:2">
      <c r="B7090" s="21"/>
    </row>
    <row r="7091" spans="2:2">
      <c r="B7091" s="21"/>
    </row>
    <row r="7092" spans="2:2">
      <c r="B7092" s="21"/>
    </row>
    <row r="7093" spans="2:2">
      <c r="B7093" s="21"/>
    </row>
    <row r="7094" spans="2:2">
      <c r="B7094" s="21"/>
    </row>
    <row r="7095" spans="2:2">
      <c r="B7095" s="21"/>
    </row>
    <row r="7096" spans="2:2">
      <c r="B7096" s="21"/>
    </row>
    <row r="7097" spans="2:2">
      <c r="B7097" s="21"/>
    </row>
    <row r="7098" spans="2:2">
      <c r="B7098" s="21"/>
    </row>
    <row r="7099" spans="2:2">
      <c r="B7099" s="21"/>
    </row>
    <row r="7100" spans="2:2">
      <c r="B7100" s="21"/>
    </row>
    <row r="7101" spans="2:2">
      <c r="B7101" s="21"/>
    </row>
    <row r="7102" spans="2:2">
      <c r="B7102" s="21"/>
    </row>
    <row r="7103" spans="2:2">
      <c r="B7103" s="21"/>
    </row>
    <row r="7104" spans="2:2">
      <c r="B7104" s="21"/>
    </row>
    <row r="7105" spans="2:2">
      <c r="B7105" s="21"/>
    </row>
    <row r="7106" spans="2:2">
      <c r="B7106" s="21"/>
    </row>
    <row r="7107" spans="2:2">
      <c r="B7107" s="21"/>
    </row>
    <row r="7108" spans="2:2">
      <c r="B7108" s="21"/>
    </row>
    <row r="7109" spans="2:2">
      <c r="B7109" s="21"/>
    </row>
    <row r="7110" spans="2:2">
      <c r="B7110" s="21"/>
    </row>
    <row r="7111" spans="2:2">
      <c r="B7111" s="21"/>
    </row>
    <row r="7112" spans="2:2">
      <c r="B7112" s="21"/>
    </row>
    <row r="7113" spans="2:2">
      <c r="B7113" s="21"/>
    </row>
    <row r="7114" spans="2:2">
      <c r="B7114" s="21"/>
    </row>
    <row r="7115" spans="2:2">
      <c r="B7115" s="21"/>
    </row>
    <row r="7116" spans="2:2">
      <c r="B7116" s="21"/>
    </row>
    <row r="7117" spans="2:2">
      <c r="B7117" s="21"/>
    </row>
    <row r="7118" spans="2:2">
      <c r="B7118" s="21"/>
    </row>
    <row r="7119" spans="2:2">
      <c r="B7119" s="21"/>
    </row>
    <row r="7120" spans="2:2">
      <c r="B7120" s="21"/>
    </row>
    <row r="7121" spans="2:2">
      <c r="B7121" s="21"/>
    </row>
    <row r="7122" spans="2:2">
      <c r="B7122" s="21"/>
    </row>
    <row r="7123" spans="2:2">
      <c r="B7123" s="21"/>
    </row>
    <row r="7124" spans="2:2">
      <c r="B7124" s="21"/>
    </row>
    <row r="7125" spans="2:2">
      <c r="B7125" s="21"/>
    </row>
    <row r="7126" spans="2:2">
      <c r="B7126" s="21"/>
    </row>
    <row r="7127" spans="2:2">
      <c r="B7127" s="21"/>
    </row>
    <row r="7128" spans="2:2">
      <c r="B7128" s="21"/>
    </row>
    <row r="7129" spans="2:2">
      <c r="B7129" s="21"/>
    </row>
    <row r="7130" spans="2:2">
      <c r="B7130" s="21"/>
    </row>
    <row r="7131" spans="2:2">
      <c r="B7131" s="21"/>
    </row>
    <row r="7132" spans="2:2">
      <c r="B7132" s="21"/>
    </row>
    <row r="7133" spans="2:2">
      <c r="B7133" s="21"/>
    </row>
    <row r="7134" spans="2:2">
      <c r="B7134" s="21"/>
    </row>
    <row r="7135" spans="2:2">
      <c r="B7135" s="21"/>
    </row>
    <row r="7136" spans="2:2">
      <c r="B7136" s="21"/>
    </row>
    <row r="7137" spans="2:2">
      <c r="B7137" s="21"/>
    </row>
    <row r="7138" spans="2:2">
      <c r="B7138" s="21"/>
    </row>
    <row r="7139" spans="2:2">
      <c r="B7139" s="21"/>
    </row>
    <row r="7140" spans="2:2">
      <c r="B7140" s="21"/>
    </row>
    <row r="7141" spans="2:2">
      <c r="B7141" s="21"/>
    </row>
    <row r="7142" spans="2:2">
      <c r="B7142" s="21"/>
    </row>
    <row r="7143" spans="2:2">
      <c r="B7143" s="21"/>
    </row>
    <row r="7144" spans="2:2">
      <c r="B7144" s="21"/>
    </row>
    <row r="7145" spans="2:2">
      <c r="B7145" s="21"/>
    </row>
    <row r="7146" spans="2:2">
      <c r="B7146" s="21"/>
    </row>
    <row r="7147" spans="2:2">
      <c r="B7147" s="21"/>
    </row>
    <row r="7148" spans="2:2">
      <c r="B7148" s="21"/>
    </row>
    <row r="7149" spans="2:2">
      <c r="B7149" s="21"/>
    </row>
    <row r="7150" spans="2:2">
      <c r="B7150" s="21"/>
    </row>
    <row r="7151" spans="2:2">
      <c r="B7151" s="21"/>
    </row>
    <row r="7152" spans="2:2">
      <c r="B7152" s="21"/>
    </row>
    <row r="7153" spans="2:2">
      <c r="B7153" s="21"/>
    </row>
    <row r="7154" spans="2:2">
      <c r="B7154" s="21"/>
    </row>
    <row r="7155" spans="2:2">
      <c r="B7155" s="21"/>
    </row>
    <row r="7156" spans="2:2">
      <c r="B7156" s="21"/>
    </row>
    <row r="7157" spans="2:2">
      <c r="B7157" s="21"/>
    </row>
    <row r="7158" spans="2:2">
      <c r="B7158" s="21"/>
    </row>
    <row r="7159" spans="2:2">
      <c r="B7159" s="21"/>
    </row>
    <row r="7160" spans="2:2">
      <c r="B7160" s="21"/>
    </row>
    <row r="7161" spans="2:2">
      <c r="B7161" s="21"/>
    </row>
    <row r="7162" spans="2:2">
      <c r="B7162" s="21"/>
    </row>
    <row r="7163" spans="2:2">
      <c r="B7163" s="21"/>
    </row>
    <row r="7164" spans="2:2">
      <c r="B7164" s="21"/>
    </row>
    <row r="7165" spans="2:2">
      <c r="B7165" s="21"/>
    </row>
    <row r="7166" spans="2:2">
      <c r="B7166" s="21"/>
    </row>
    <row r="7167" spans="2:2">
      <c r="B7167" s="21"/>
    </row>
    <row r="7168" spans="2:2">
      <c r="B7168" s="21"/>
    </row>
    <row r="7169" spans="2:2">
      <c r="B7169" s="21"/>
    </row>
    <row r="7170" spans="2:2">
      <c r="B7170" s="21"/>
    </row>
    <row r="7171" spans="2:2">
      <c r="B7171" s="21"/>
    </row>
    <row r="7172" spans="2:2">
      <c r="B7172" s="21"/>
    </row>
    <row r="7173" spans="2:2">
      <c r="B7173" s="21"/>
    </row>
    <row r="7174" spans="2:2">
      <c r="B7174" s="21"/>
    </row>
    <row r="7175" spans="2:2">
      <c r="B7175" s="21"/>
    </row>
    <row r="7176" spans="2:2">
      <c r="B7176" s="21"/>
    </row>
    <row r="7177" spans="2:2">
      <c r="B7177" s="21"/>
    </row>
    <row r="7178" spans="2:2">
      <c r="B7178" s="21"/>
    </row>
    <row r="7179" spans="2:2">
      <c r="B7179" s="21"/>
    </row>
    <row r="7180" spans="2:2">
      <c r="B7180" s="21"/>
    </row>
    <row r="7181" spans="2:2">
      <c r="B7181" s="21"/>
    </row>
    <row r="7182" spans="2:2">
      <c r="B7182" s="21"/>
    </row>
    <row r="7183" spans="2:2">
      <c r="B7183" s="21"/>
    </row>
    <row r="7184" spans="2:2">
      <c r="B7184" s="21"/>
    </row>
    <row r="7185" spans="2:2">
      <c r="B7185" s="21"/>
    </row>
    <row r="7186" spans="2:2">
      <c r="B7186" s="21"/>
    </row>
    <row r="7187" spans="2:2">
      <c r="B7187" s="21"/>
    </row>
    <row r="7188" spans="2:2">
      <c r="B7188" s="21"/>
    </row>
    <row r="7189" spans="2:2">
      <c r="B7189" s="21"/>
    </row>
    <row r="7190" spans="2:2">
      <c r="B7190" s="21"/>
    </row>
    <row r="7191" spans="2:2">
      <c r="B7191" s="21"/>
    </row>
    <row r="7192" spans="2:2">
      <c r="B7192" s="21"/>
    </row>
    <row r="7193" spans="2:2">
      <c r="B7193" s="21"/>
    </row>
    <row r="7194" spans="2:2">
      <c r="B7194" s="21"/>
    </row>
    <row r="7195" spans="2:2">
      <c r="B7195" s="21"/>
    </row>
    <row r="7196" spans="2:2">
      <c r="B7196" s="21"/>
    </row>
    <row r="7197" spans="2:2">
      <c r="B7197" s="21"/>
    </row>
    <row r="7198" spans="2:2">
      <c r="B7198" s="21"/>
    </row>
    <row r="7199" spans="2:2">
      <c r="B7199" s="21"/>
    </row>
    <row r="7200" spans="2:2">
      <c r="B7200" s="21"/>
    </row>
    <row r="7201" spans="2:2">
      <c r="B7201" s="21"/>
    </row>
    <row r="7202" spans="2:2">
      <c r="B7202" s="21"/>
    </row>
    <row r="7203" spans="2:2">
      <c r="B7203" s="21"/>
    </row>
    <row r="7204" spans="2:2">
      <c r="B7204" s="21"/>
    </row>
    <row r="7205" spans="2:2">
      <c r="B7205" s="21"/>
    </row>
    <row r="7206" spans="2:2">
      <c r="B7206" s="21"/>
    </row>
    <row r="7207" spans="2:2">
      <c r="B7207" s="21"/>
    </row>
    <row r="7208" spans="2:2">
      <c r="B7208" s="21"/>
    </row>
    <row r="7209" spans="2:2">
      <c r="B7209" s="21"/>
    </row>
    <row r="7210" spans="2:2">
      <c r="B7210" s="21"/>
    </row>
    <row r="7211" spans="2:2">
      <c r="B7211" s="21"/>
    </row>
    <row r="7212" spans="2:2">
      <c r="B7212" s="21"/>
    </row>
    <row r="7213" spans="2:2">
      <c r="B7213" s="21"/>
    </row>
    <row r="7214" spans="2:2">
      <c r="B7214" s="21"/>
    </row>
    <row r="7215" spans="2:2">
      <c r="B7215" s="21"/>
    </row>
    <row r="7216" spans="2:2">
      <c r="B7216" s="21"/>
    </row>
    <row r="7217" spans="2:2">
      <c r="B7217" s="21"/>
    </row>
    <row r="7218" spans="2:2">
      <c r="B7218" s="21"/>
    </row>
    <row r="7219" spans="2:2">
      <c r="B7219" s="21"/>
    </row>
    <row r="7220" spans="2:2">
      <c r="B7220" s="21"/>
    </row>
    <row r="7221" spans="2:2">
      <c r="B7221" s="21"/>
    </row>
    <row r="7222" spans="2:2">
      <c r="B7222" s="21"/>
    </row>
    <row r="7223" spans="2:2">
      <c r="B7223" s="21"/>
    </row>
    <row r="7224" spans="2:2">
      <c r="B7224" s="21"/>
    </row>
    <row r="7225" spans="2:2">
      <c r="B7225" s="21"/>
    </row>
    <row r="7226" spans="2:2">
      <c r="B7226" s="21"/>
    </row>
    <row r="7227" spans="2:2">
      <c r="B7227" s="21"/>
    </row>
    <row r="7228" spans="2:2">
      <c r="B7228" s="21"/>
    </row>
    <row r="7229" spans="2:2">
      <c r="B7229" s="21"/>
    </row>
    <row r="7230" spans="2:2">
      <c r="B7230" s="21"/>
    </row>
    <row r="7231" spans="2:2">
      <c r="B7231" s="21"/>
    </row>
    <row r="7232" spans="2:2">
      <c r="B7232" s="21"/>
    </row>
    <row r="7233" spans="2:2">
      <c r="B7233" s="21"/>
    </row>
    <row r="7234" spans="2:2">
      <c r="B7234" s="21"/>
    </row>
    <row r="7235" spans="2:2">
      <c r="B7235" s="21"/>
    </row>
    <row r="7236" spans="2:2">
      <c r="B7236" s="21"/>
    </row>
    <row r="7237" spans="2:2">
      <c r="B7237" s="21"/>
    </row>
    <row r="7238" spans="2:2">
      <c r="B7238" s="21"/>
    </row>
    <row r="7239" spans="2:2">
      <c r="B7239" s="21"/>
    </row>
    <row r="7240" spans="2:2">
      <c r="B7240" s="21"/>
    </row>
    <row r="7241" spans="2:2">
      <c r="B7241" s="21"/>
    </row>
    <row r="7242" spans="2:2">
      <c r="B7242" s="21"/>
    </row>
    <row r="7243" spans="2:2">
      <c r="B7243" s="21"/>
    </row>
    <row r="7244" spans="2:2">
      <c r="B7244" s="21"/>
    </row>
    <row r="7245" spans="2:2">
      <c r="B7245" s="21"/>
    </row>
    <row r="7246" spans="2:2">
      <c r="B7246" s="21"/>
    </row>
    <row r="7247" spans="2:2">
      <c r="B7247" s="21"/>
    </row>
    <row r="7248" spans="2:2">
      <c r="B7248" s="21"/>
    </row>
    <row r="7249" spans="2:2">
      <c r="B7249" s="21"/>
    </row>
    <row r="7250" spans="2:2">
      <c r="B7250" s="21"/>
    </row>
    <row r="7251" spans="2:2">
      <c r="B7251" s="21"/>
    </row>
    <row r="7252" spans="2:2">
      <c r="B7252" s="21"/>
    </row>
    <row r="7253" spans="2:2">
      <c r="B7253" s="21"/>
    </row>
    <row r="7254" spans="2:2">
      <c r="B7254" s="21"/>
    </row>
    <row r="7255" spans="2:2">
      <c r="B7255" s="21"/>
    </row>
    <row r="7256" spans="2:2">
      <c r="B7256" s="21"/>
    </row>
    <row r="7257" spans="2:2">
      <c r="B7257" s="21"/>
    </row>
    <row r="7258" spans="2:2">
      <c r="B7258" s="21"/>
    </row>
    <row r="7259" spans="2:2">
      <c r="B7259" s="21"/>
    </row>
    <row r="7260" spans="2:2">
      <c r="B7260" s="21"/>
    </row>
    <row r="7261" spans="2:2">
      <c r="B7261" s="21"/>
    </row>
    <row r="7262" spans="2:2">
      <c r="B7262" s="21"/>
    </row>
    <row r="7263" spans="2:2">
      <c r="B7263" s="21"/>
    </row>
    <row r="7264" spans="2:2">
      <c r="B7264" s="21"/>
    </row>
    <row r="7265" spans="2:2">
      <c r="B7265" s="21"/>
    </row>
    <row r="7266" spans="2:2">
      <c r="B7266" s="21"/>
    </row>
    <row r="7267" spans="2:2">
      <c r="B7267" s="21"/>
    </row>
    <row r="7268" spans="2:2">
      <c r="B7268" s="21"/>
    </row>
    <row r="7269" spans="2:2">
      <c r="B7269" s="21"/>
    </row>
    <row r="7270" spans="2:2">
      <c r="B7270" s="21"/>
    </row>
    <row r="7271" spans="2:2">
      <c r="B7271" s="21"/>
    </row>
    <row r="7272" spans="2:2">
      <c r="B7272" s="21"/>
    </row>
    <row r="7273" spans="2:2">
      <c r="B7273" s="21"/>
    </row>
    <row r="7274" spans="2:2">
      <c r="B7274" s="21"/>
    </row>
    <row r="7275" spans="2:2">
      <c r="B7275" s="21"/>
    </row>
    <row r="7276" spans="2:2">
      <c r="B7276" s="21"/>
    </row>
    <row r="7277" spans="2:2">
      <c r="B7277" s="21"/>
    </row>
    <row r="7278" spans="2:2">
      <c r="B7278" s="21"/>
    </row>
    <row r="7279" spans="2:2">
      <c r="B7279" s="21"/>
    </row>
    <row r="7280" spans="2:2">
      <c r="B7280" s="21"/>
    </row>
    <row r="7281" spans="2:2">
      <c r="B7281" s="21"/>
    </row>
    <row r="7282" spans="2:2">
      <c r="B7282" s="21"/>
    </row>
    <row r="7283" spans="2:2">
      <c r="B7283" s="21"/>
    </row>
    <row r="7284" spans="2:2">
      <c r="B7284" s="21"/>
    </row>
    <row r="7285" spans="2:2">
      <c r="B7285" s="21"/>
    </row>
    <row r="7286" spans="2:2">
      <c r="B7286" s="21"/>
    </row>
    <row r="7287" spans="2:2">
      <c r="B7287" s="21"/>
    </row>
    <row r="7288" spans="2:2">
      <c r="B7288" s="21"/>
    </row>
    <row r="7289" spans="2:2">
      <c r="B7289" s="21"/>
    </row>
    <row r="7290" spans="2:2">
      <c r="B7290" s="21"/>
    </row>
    <row r="7291" spans="2:2">
      <c r="B7291" s="21"/>
    </row>
    <row r="7292" spans="2:2">
      <c r="B7292" s="21"/>
    </row>
    <row r="7293" spans="2:2">
      <c r="B7293" s="21"/>
    </row>
    <row r="7294" spans="2:2">
      <c r="B7294" s="21"/>
    </row>
    <row r="7295" spans="2:2">
      <c r="B7295" s="21"/>
    </row>
    <row r="7296" spans="2:2">
      <c r="B7296" s="21"/>
    </row>
    <row r="7297" spans="2:2">
      <c r="B7297" s="21"/>
    </row>
    <row r="7298" spans="2:2">
      <c r="B7298" s="21"/>
    </row>
    <row r="7299" spans="2:2">
      <c r="B7299" s="21"/>
    </row>
    <row r="7300" spans="2:2">
      <c r="B7300" s="21"/>
    </row>
    <row r="7301" spans="2:2">
      <c r="B7301" s="21"/>
    </row>
    <row r="7302" spans="2:2">
      <c r="B7302" s="21"/>
    </row>
    <row r="7303" spans="2:2">
      <c r="B7303" s="21"/>
    </row>
    <row r="7304" spans="2:2">
      <c r="B7304" s="21"/>
    </row>
    <row r="7305" spans="2:2">
      <c r="B7305" s="21"/>
    </row>
    <row r="7306" spans="2:2">
      <c r="B7306" s="21"/>
    </row>
    <row r="7307" spans="2:2">
      <c r="B7307" s="21"/>
    </row>
    <row r="7308" spans="2:2">
      <c r="B7308" s="21"/>
    </row>
    <row r="7309" spans="2:2">
      <c r="B7309" s="21"/>
    </row>
    <row r="7310" spans="2:2">
      <c r="B7310" s="21"/>
    </row>
    <row r="7311" spans="2:2">
      <c r="B7311" s="21"/>
    </row>
    <row r="7312" spans="2:2">
      <c r="B7312" s="21"/>
    </row>
    <row r="7313" spans="2:2">
      <c r="B7313" s="21"/>
    </row>
    <row r="7314" spans="2:2">
      <c r="B7314" s="21"/>
    </row>
    <row r="7315" spans="2:2">
      <c r="B7315" s="21"/>
    </row>
    <row r="7316" spans="2:2">
      <c r="B7316" s="21"/>
    </row>
    <row r="7317" spans="2:2">
      <c r="B7317" s="21"/>
    </row>
    <row r="7318" spans="2:2">
      <c r="B7318" s="21"/>
    </row>
    <row r="7319" spans="2:2">
      <c r="B7319" s="21"/>
    </row>
    <row r="7320" spans="2:2">
      <c r="B7320" s="21"/>
    </row>
    <row r="7321" spans="2:2">
      <c r="B7321" s="21"/>
    </row>
    <row r="7322" spans="2:2">
      <c r="B7322" s="21"/>
    </row>
    <row r="7323" spans="2:2">
      <c r="B7323" s="21"/>
    </row>
    <row r="7324" spans="2:2">
      <c r="B7324" s="21"/>
    </row>
    <row r="7325" spans="2:2">
      <c r="B7325" s="21"/>
    </row>
    <row r="7326" spans="2:2">
      <c r="B7326" s="21"/>
    </row>
    <row r="7327" spans="2:2">
      <c r="B7327" s="21"/>
    </row>
    <row r="7328" spans="2:2">
      <c r="B7328" s="21"/>
    </row>
    <row r="7329" spans="2:2">
      <c r="B7329" s="21"/>
    </row>
    <row r="7330" spans="2:2">
      <c r="B7330" s="21"/>
    </row>
    <row r="7331" spans="2:2">
      <c r="B7331" s="21"/>
    </row>
    <row r="7332" spans="2:2">
      <c r="B7332" s="21"/>
    </row>
    <row r="7333" spans="2:2">
      <c r="B7333" s="21"/>
    </row>
    <row r="7334" spans="2:2">
      <c r="B7334" s="21"/>
    </row>
    <row r="7335" spans="2:2">
      <c r="B7335" s="21"/>
    </row>
    <row r="7336" spans="2:2">
      <c r="B7336" s="21"/>
    </row>
    <row r="7337" spans="2:2">
      <c r="B7337" s="21"/>
    </row>
    <row r="7338" spans="2:2">
      <c r="B7338" s="21"/>
    </row>
    <row r="7339" spans="2:2">
      <c r="B7339" s="21"/>
    </row>
    <row r="7340" spans="2:2">
      <c r="B7340" s="21"/>
    </row>
    <row r="7341" spans="2:2">
      <c r="B7341" s="21"/>
    </row>
    <row r="7342" spans="2:2">
      <c r="B7342" s="21"/>
    </row>
    <row r="7343" spans="2:2">
      <c r="B7343" s="21"/>
    </row>
    <row r="7344" spans="2:2">
      <c r="B7344" s="21"/>
    </row>
    <row r="7345" spans="2:2">
      <c r="B7345" s="21"/>
    </row>
    <row r="7346" spans="2:2">
      <c r="B7346" s="21"/>
    </row>
    <row r="7347" spans="2:2">
      <c r="B7347" s="21"/>
    </row>
    <row r="7348" spans="2:2">
      <c r="B7348" s="21"/>
    </row>
    <row r="7349" spans="2:2">
      <c r="B7349" s="21"/>
    </row>
    <row r="7350" spans="2:2">
      <c r="B7350" s="21"/>
    </row>
    <row r="7351" spans="2:2">
      <c r="B7351" s="21"/>
    </row>
    <row r="7352" spans="2:2">
      <c r="B7352" s="21"/>
    </row>
    <row r="7353" spans="2:2">
      <c r="B7353" s="21"/>
    </row>
    <row r="7354" spans="2:2">
      <c r="B7354" s="21"/>
    </row>
    <row r="7355" spans="2:2">
      <c r="B7355" s="21"/>
    </row>
    <row r="7356" spans="2:2">
      <c r="B7356" s="21"/>
    </row>
    <row r="7357" spans="2:2">
      <c r="B7357" s="21"/>
    </row>
    <row r="7358" spans="2:2">
      <c r="B7358" s="21"/>
    </row>
    <row r="7359" spans="2:2">
      <c r="B7359" s="21"/>
    </row>
    <row r="7360" spans="2:2">
      <c r="B7360" s="21"/>
    </row>
    <row r="7361" spans="2:2">
      <c r="B7361" s="21"/>
    </row>
    <row r="7362" spans="2:2">
      <c r="B7362" s="21"/>
    </row>
    <row r="7363" spans="2:2">
      <c r="B7363" s="21"/>
    </row>
    <row r="7364" spans="2:2">
      <c r="B7364" s="21"/>
    </row>
    <row r="7365" spans="2:2">
      <c r="B7365" s="21"/>
    </row>
    <row r="7366" spans="2:2">
      <c r="B7366" s="21"/>
    </row>
    <row r="7367" spans="2:2">
      <c r="B7367" s="21"/>
    </row>
    <row r="7368" spans="2:2">
      <c r="B7368" s="21"/>
    </row>
    <row r="7369" spans="2:2">
      <c r="B7369" s="21"/>
    </row>
    <row r="7370" spans="2:2">
      <c r="B7370" s="21"/>
    </row>
    <row r="7371" spans="2:2">
      <c r="B7371" s="21"/>
    </row>
    <row r="7372" spans="2:2">
      <c r="B7372" s="21"/>
    </row>
    <row r="7373" spans="2:2">
      <c r="B7373" s="21"/>
    </row>
    <row r="7374" spans="2:2">
      <c r="B7374" s="21"/>
    </row>
    <row r="7375" spans="2:2">
      <c r="B7375" s="21"/>
    </row>
    <row r="7376" spans="2:2">
      <c r="B7376" s="21"/>
    </row>
    <row r="7377" spans="2:2">
      <c r="B7377" s="21"/>
    </row>
    <row r="7378" spans="2:2">
      <c r="B7378" s="21"/>
    </row>
    <row r="7379" spans="2:2">
      <c r="B7379" s="21"/>
    </row>
    <row r="7380" spans="2:2">
      <c r="B7380" s="21"/>
    </row>
    <row r="7381" spans="2:2">
      <c r="B7381" s="21"/>
    </row>
    <row r="7382" spans="2:2">
      <c r="B7382" s="21"/>
    </row>
    <row r="7383" spans="2:2">
      <c r="B7383" s="21"/>
    </row>
    <row r="7384" spans="2:2">
      <c r="B7384" s="21"/>
    </row>
    <row r="7385" spans="2:2">
      <c r="B7385" s="21"/>
    </row>
    <row r="7386" spans="2:2">
      <c r="B7386" s="21"/>
    </row>
    <row r="7387" spans="2:2">
      <c r="B7387" s="21"/>
    </row>
    <row r="7388" spans="2:2">
      <c r="B7388" s="21"/>
    </row>
    <row r="7389" spans="2:2">
      <c r="B7389" s="21"/>
    </row>
    <row r="7390" spans="2:2">
      <c r="B7390" s="21"/>
    </row>
    <row r="7391" spans="2:2">
      <c r="B7391" s="21"/>
    </row>
    <row r="7392" spans="2:2">
      <c r="B7392" s="21"/>
    </row>
    <row r="7393" spans="2:2">
      <c r="B7393" s="21"/>
    </row>
    <row r="7394" spans="2:2">
      <c r="B7394" s="21"/>
    </row>
    <row r="7395" spans="2:2">
      <c r="B7395" s="21"/>
    </row>
    <row r="7396" spans="2:2">
      <c r="B7396" s="21"/>
    </row>
    <row r="7397" spans="2:2">
      <c r="B7397" s="21"/>
    </row>
    <row r="7398" spans="2:2">
      <c r="B7398" s="21"/>
    </row>
    <row r="7399" spans="2:2">
      <c r="B7399" s="21"/>
    </row>
    <row r="7400" spans="2:2">
      <c r="B7400" s="21"/>
    </row>
    <row r="7401" spans="2:2">
      <c r="B7401" s="21"/>
    </row>
    <row r="7402" spans="2:2">
      <c r="B7402" s="21"/>
    </row>
    <row r="7403" spans="2:2">
      <c r="B7403" s="21"/>
    </row>
    <row r="7404" spans="2:2">
      <c r="B7404" s="21"/>
    </row>
    <row r="7405" spans="2:2">
      <c r="B7405" s="21"/>
    </row>
    <row r="7406" spans="2:2">
      <c r="B7406" s="21"/>
    </row>
    <row r="7407" spans="2:2">
      <c r="B7407" s="21"/>
    </row>
    <row r="7408" spans="2:2">
      <c r="B7408" s="21"/>
    </row>
    <row r="7409" spans="2:2">
      <c r="B7409" s="21"/>
    </row>
    <row r="7410" spans="2:2">
      <c r="B7410" s="21"/>
    </row>
    <row r="7411" spans="2:2">
      <c r="B7411" s="21"/>
    </row>
    <row r="7412" spans="2:2">
      <c r="B7412" s="21"/>
    </row>
    <row r="7413" spans="2:2">
      <c r="B7413" s="21"/>
    </row>
    <row r="7414" spans="2:2">
      <c r="B7414" s="21"/>
    </row>
    <row r="7415" spans="2:2">
      <c r="B7415" s="21"/>
    </row>
    <row r="7416" spans="2:2">
      <c r="B7416" s="21"/>
    </row>
    <row r="7417" spans="2:2">
      <c r="B7417" s="21"/>
    </row>
    <row r="7418" spans="2:2">
      <c r="B7418" s="21"/>
    </row>
    <row r="7419" spans="2:2">
      <c r="B7419" s="21"/>
    </row>
    <row r="7420" spans="2:2">
      <c r="B7420" s="21"/>
    </row>
    <row r="7421" spans="2:2">
      <c r="B7421" s="21"/>
    </row>
    <row r="7422" spans="2:2">
      <c r="B7422" s="21"/>
    </row>
    <row r="7423" spans="2:2">
      <c r="B7423" s="21"/>
    </row>
    <row r="7424" spans="2:2">
      <c r="B7424" s="21"/>
    </row>
    <row r="7425" spans="2:2">
      <c r="B7425" s="21"/>
    </row>
    <row r="7426" spans="2:2">
      <c r="B7426" s="21"/>
    </row>
    <row r="7427" spans="2:2">
      <c r="B7427" s="21"/>
    </row>
    <row r="7428" spans="2:2">
      <c r="B7428" s="21"/>
    </row>
    <row r="7429" spans="2:2">
      <c r="B7429" s="21"/>
    </row>
    <row r="7430" spans="2:2">
      <c r="B7430" s="21"/>
    </row>
    <row r="7431" spans="2:2">
      <c r="B7431" s="21"/>
    </row>
    <row r="7432" spans="2:2">
      <c r="B7432" s="21"/>
    </row>
    <row r="7433" spans="2:2">
      <c r="B7433" s="21"/>
    </row>
    <row r="7434" spans="2:2">
      <c r="B7434" s="21"/>
    </row>
    <row r="7435" spans="2:2">
      <c r="B7435" s="21"/>
    </row>
    <row r="7436" spans="2:2">
      <c r="B7436" s="21"/>
    </row>
    <row r="7437" spans="2:2">
      <c r="B7437" s="21"/>
    </row>
    <row r="7438" spans="2:2">
      <c r="B7438" s="21"/>
    </row>
    <row r="7439" spans="2:2">
      <c r="B7439" s="21"/>
    </row>
    <row r="7440" spans="2:2">
      <c r="B7440" s="21"/>
    </row>
    <row r="7441" spans="2:2">
      <c r="B7441" s="21"/>
    </row>
    <row r="7442" spans="2:2">
      <c r="B7442" s="21"/>
    </row>
    <row r="7443" spans="2:2">
      <c r="B7443" s="21"/>
    </row>
    <row r="7444" spans="2:2">
      <c r="B7444" s="21"/>
    </row>
    <row r="7445" spans="2:2">
      <c r="B7445" s="21"/>
    </row>
    <row r="7446" spans="2:2">
      <c r="B7446" s="21"/>
    </row>
    <row r="7447" spans="2:2">
      <c r="B7447" s="21"/>
    </row>
    <row r="7448" spans="2:2">
      <c r="B7448" s="21"/>
    </row>
    <row r="7449" spans="2:2">
      <c r="B7449" s="21"/>
    </row>
    <row r="7450" spans="2:2">
      <c r="B7450" s="21"/>
    </row>
    <row r="7451" spans="2:2">
      <c r="B7451" s="21"/>
    </row>
    <row r="7452" spans="2:2">
      <c r="B7452" s="21"/>
    </row>
    <row r="7453" spans="2:2">
      <c r="B7453" s="21"/>
    </row>
    <row r="7454" spans="2:2">
      <c r="B7454" s="21"/>
    </row>
    <row r="7455" spans="2:2">
      <c r="B7455" s="21"/>
    </row>
    <row r="7456" spans="2:2">
      <c r="B7456" s="21"/>
    </row>
    <row r="7457" spans="2:2">
      <c r="B7457" s="21"/>
    </row>
    <row r="7458" spans="2:2">
      <c r="B7458" s="21"/>
    </row>
    <row r="7459" spans="2:2">
      <c r="B7459" s="21"/>
    </row>
    <row r="7460" spans="2:2">
      <c r="B7460" s="21"/>
    </row>
    <row r="7461" spans="2:2">
      <c r="B7461" s="21"/>
    </row>
    <row r="7462" spans="2:2">
      <c r="B7462" s="21"/>
    </row>
    <row r="7463" spans="2:2">
      <c r="B7463" s="21"/>
    </row>
    <row r="7464" spans="2:2">
      <c r="B7464" s="21"/>
    </row>
    <row r="7465" spans="2:2">
      <c r="B7465" s="21"/>
    </row>
    <row r="7466" spans="2:2">
      <c r="B7466" s="21"/>
    </row>
    <row r="7467" spans="2:2">
      <c r="B7467" s="21"/>
    </row>
    <row r="7468" spans="2:2">
      <c r="B7468" s="21"/>
    </row>
    <row r="7469" spans="2:2">
      <c r="B7469" s="21"/>
    </row>
    <row r="7470" spans="2:2">
      <c r="B7470" s="21"/>
    </row>
    <row r="7471" spans="2:2">
      <c r="B7471" s="21"/>
    </row>
    <row r="7472" spans="2:2">
      <c r="B7472" s="21"/>
    </row>
    <row r="7473" spans="2:2">
      <c r="B7473" s="21"/>
    </row>
    <row r="7474" spans="2:2">
      <c r="B7474" s="21"/>
    </row>
    <row r="7475" spans="2:2">
      <c r="B7475" s="21"/>
    </row>
    <row r="7476" spans="2:2">
      <c r="B7476" s="21"/>
    </row>
    <row r="7477" spans="2:2">
      <c r="B7477" s="21"/>
    </row>
    <row r="7478" spans="2:2">
      <c r="B7478" s="21"/>
    </row>
    <row r="7479" spans="2:2">
      <c r="B7479" s="21"/>
    </row>
    <row r="7480" spans="2:2">
      <c r="B7480" s="21"/>
    </row>
    <row r="7481" spans="2:2">
      <c r="B7481" s="21"/>
    </row>
    <row r="7482" spans="2:2">
      <c r="B7482" s="21"/>
    </row>
    <row r="7483" spans="2:2">
      <c r="B7483" s="21"/>
    </row>
    <row r="7484" spans="2:2">
      <c r="B7484" s="21"/>
    </row>
    <row r="7485" spans="2:2">
      <c r="B7485" s="21"/>
    </row>
    <row r="7486" spans="2:2">
      <c r="B7486" s="21"/>
    </row>
    <row r="7487" spans="2:2">
      <c r="B7487" s="21"/>
    </row>
    <row r="7488" spans="2:2">
      <c r="B7488" s="21"/>
    </row>
    <row r="7489" spans="2:2">
      <c r="B7489" s="21"/>
    </row>
    <row r="7490" spans="2:2">
      <c r="B7490" s="21"/>
    </row>
    <row r="7491" spans="2:2">
      <c r="B7491" s="21"/>
    </row>
    <row r="7492" spans="2:2">
      <c r="B7492" s="21"/>
    </row>
    <row r="7493" spans="2:2">
      <c r="B7493" s="21"/>
    </row>
    <row r="7494" spans="2:2">
      <c r="B7494" s="21"/>
    </row>
    <row r="7495" spans="2:2">
      <c r="B7495" s="21"/>
    </row>
    <row r="7496" spans="2:2">
      <c r="B7496" s="21"/>
    </row>
    <row r="7497" spans="2:2">
      <c r="B7497" s="21"/>
    </row>
    <row r="7498" spans="2:2">
      <c r="B7498" s="21"/>
    </row>
    <row r="7499" spans="2:2">
      <c r="B7499" s="21"/>
    </row>
    <row r="7500" spans="2:2">
      <c r="B7500" s="21"/>
    </row>
    <row r="7501" spans="2:2">
      <c r="B7501" s="21"/>
    </row>
    <row r="7502" spans="2:2">
      <c r="B7502" s="21"/>
    </row>
    <row r="7503" spans="2:2">
      <c r="B7503" s="21"/>
    </row>
    <row r="7504" spans="2:2">
      <c r="B7504" s="21"/>
    </row>
    <row r="7505" spans="2:2">
      <c r="B7505" s="21"/>
    </row>
    <row r="7506" spans="2:2">
      <c r="B7506" s="21"/>
    </row>
    <row r="7507" spans="2:2">
      <c r="B7507" s="21"/>
    </row>
    <row r="7508" spans="2:2">
      <c r="B7508" s="21"/>
    </row>
    <row r="7509" spans="2:2">
      <c r="B7509" s="21"/>
    </row>
    <row r="7510" spans="2:2">
      <c r="B7510" s="21"/>
    </row>
    <row r="7511" spans="2:2">
      <c r="B7511" s="21"/>
    </row>
    <row r="7512" spans="2:2">
      <c r="B7512" s="21"/>
    </row>
    <row r="7513" spans="2:2">
      <c r="B7513" s="21"/>
    </row>
    <row r="7514" spans="2:2">
      <c r="B7514" s="21"/>
    </row>
    <row r="7515" spans="2:2">
      <c r="B7515" s="21"/>
    </row>
    <row r="7516" spans="2:2">
      <c r="B7516" s="21"/>
    </row>
    <row r="7517" spans="2:2">
      <c r="B7517" s="21"/>
    </row>
    <row r="7518" spans="2:2">
      <c r="B7518" s="21"/>
    </row>
    <row r="7519" spans="2:2">
      <c r="B7519" s="21"/>
    </row>
    <row r="7520" spans="2:2">
      <c r="B7520" s="21"/>
    </row>
    <row r="7521" spans="2:2">
      <c r="B7521" s="21"/>
    </row>
    <row r="7522" spans="2:2">
      <c r="B7522" s="21"/>
    </row>
    <row r="7523" spans="2:2">
      <c r="B7523" s="21"/>
    </row>
    <row r="7524" spans="2:2">
      <c r="B7524" s="21"/>
    </row>
    <row r="7525" spans="2:2">
      <c r="B7525" s="21"/>
    </row>
    <row r="7526" spans="2:2">
      <c r="B7526" s="21"/>
    </row>
    <row r="7527" spans="2:2">
      <c r="B7527" s="21"/>
    </row>
    <row r="7528" spans="2:2">
      <c r="B7528" s="21"/>
    </row>
    <row r="7529" spans="2:2">
      <c r="B7529" s="21"/>
    </row>
    <row r="7530" spans="2:2">
      <c r="B7530" s="21"/>
    </row>
    <row r="7531" spans="2:2">
      <c r="B7531" s="21"/>
    </row>
    <row r="7532" spans="2:2">
      <c r="B7532" s="21"/>
    </row>
    <row r="7533" spans="2:2">
      <c r="B7533" s="21"/>
    </row>
    <row r="7534" spans="2:2">
      <c r="B7534" s="21"/>
    </row>
    <row r="7535" spans="2:2">
      <c r="B7535" s="21"/>
    </row>
    <row r="7536" spans="2:2">
      <c r="B7536" s="21"/>
    </row>
    <row r="7537" spans="2:2">
      <c r="B7537" s="21"/>
    </row>
    <row r="7538" spans="2:2">
      <c r="B7538" s="21"/>
    </row>
    <row r="7539" spans="2:2">
      <c r="B7539" s="21"/>
    </row>
    <row r="7540" spans="2:2">
      <c r="B7540" s="21"/>
    </row>
    <row r="7541" spans="2:2">
      <c r="B7541" s="21"/>
    </row>
    <row r="7542" spans="2:2">
      <c r="B7542" s="21"/>
    </row>
    <row r="7543" spans="2:2">
      <c r="B7543" s="21"/>
    </row>
    <row r="7544" spans="2:2">
      <c r="B7544" s="21"/>
    </row>
    <row r="7545" spans="2:2">
      <c r="B7545" s="21"/>
    </row>
    <row r="7546" spans="2:2">
      <c r="B7546" s="21"/>
    </row>
    <row r="7547" spans="2:2">
      <c r="B7547" s="21"/>
    </row>
    <row r="7548" spans="2:2">
      <c r="B7548" s="21"/>
    </row>
    <row r="7549" spans="2:2">
      <c r="B7549" s="21"/>
    </row>
    <row r="7550" spans="2:2">
      <c r="B7550" s="21"/>
    </row>
    <row r="7551" spans="2:2">
      <c r="B7551" s="21"/>
    </row>
    <row r="7552" spans="2:2">
      <c r="B7552" s="21"/>
    </row>
    <row r="7553" spans="2:2">
      <c r="B7553" s="21"/>
    </row>
    <row r="7554" spans="2:2">
      <c r="B7554" s="21"/>
    </row>
    <row r="7555" spans="2:2">
      <c r="B7555" s="21"/>
    </row>
    <row r="7556" spans="2:2">
      <c r="B7556" s="21"/>
    </row>
    <row r="7557" spans="2:2">
      <c r="B7557" s="21"/>
    </row>
    <row r="7558" spans="2:2">
      <c r="B7558" s="21"/>
    </row>
    <row r="7559" spans="2:2">
      <c r="B7559" s="21"/>
    </row>
    <row r="7560" spans="2:2">
      <c r="B7560" s="21"/>
    </row>
    <row r="7561" spans="2:2">
      <c r="B7561" s="21"/>
    </row>
    <row r="7562" spans="2:2">
      <c r="B7562" s="21"/>
    </row>
    <row r="7563" spans="2:2">
      <c r="B7563" s="21"/>
    </row>
    <row r="7564" spans="2:2">
      <c r="B7564" s="21"/>
    </row>
    <row r="7565" spans="2:2">
      <c r="B7565" s="21"/>
    </row>
    <row r="7566" spans="2:2">
      <c r="B7566" s="21"/>
    </row>
    <row r="7567" spans="2:2">
      <c r="B7567" s="21"/>
    </row>
    <row r="7568" spans="2:2">
      <c r="B7568" s="21"/>
    </row>
    <row r="7569" spans="2:2">
      <c r="B7569" s="21"/>
    </row>
    <row r="7570" spans="2:2">
      <c r="B7570" s="21"/>
    </row>
    <row r="7571" spans="2:2">
      <c r="B7571" s="21"/>
    </row>
    <row r="7572" spans="2:2">
      <c r="B7572" s="21"/>
    </row>
    <row r="7573" spans="2:2">
      <c r="B7573" s="21"/>
    </row>
    <row r="7574" spans="2:2">
      <c r="B7574" s="21"/>
    </row>
    <row r="7575" spans="2:2">
      <c r="B7575" s="21"/>
    </row>
    <row r="7576" spans="2:2">
      <c r="B7576" s="21"/>
    </row>
    <row r="7577" spans="2:2">
      <c r="B7577" s="21"/>
    </row>
    <row r="7578" spans="2:2">
      <c r="B7578" s="21"/>
    </row>
    <row r="7579" spans="2:2">
      <c r="B7579" s="21"/>
    </row>
    <row r="7580" spans="2:2">
      <c r="B7580" s="21"/>
    </row>
    <row r="7581" spans="2:2">
      <c r="B7581" s="21"/>
    </row>
    <row r="7582" spans="2:2">
      <c r="B7582" s="21"/>
    </row>
    <row r="7583" spans="2:2">
      <c r="B7583" s="21"/>
    </row>
    <row r="7584" spans="2:2">
      <c r="B7584" s="21"/>
    </row>
    <row r="7585" spans="2:2">
      <c r="B7585" s="21"/>
    </row>
    <row r="7586" spans="2:2">
      <c r="B7586" s="21"/>
    </row>
    <row r="7587" spans="2:2">
      <c r="B7587" s="21"/>
    </row>
    <row r="7588" spans="2:2">
      <c r="B7588" s="21"/>
    </row>
    <row r="7589" spans="2:2">
      <c r="B7589" s="21"/>
    </row>
    <row r="7590" spans="2:2">
      <c r="B7590" s="21"/>
    </row>
    <row r="7591" spans="2:2">
      <c r="B7591" s="21"/>
    </row>
    <row r="7592" spans="2:2">
      <c r="B7592" s="21"/>
    </row>
    <row r="7593" spans="2:2">
      <c r="B7593" s="21"/>
    </row>
    <row r="7594" spans="2:2">
      <c r="B7594" s="21"/>
    </row>
    <row r="7595" spans="2:2">
      <c r="B7595" s="21"/>
    </row>
    <row r="7596" spans="2:2">
      <c r="B7596" s="21"/>
    </row>
    <row r="7597" spans="2:2">
      <c r="B7597" s="21"/>
    </row>
    <row r="7598" spans="2:2">
      <c r="B7598" s="21"/>
    </row>
    <row r="7599" spans="2:2">
      <c r="B7599" s="21"/>
    </row>
    <row r="7600" spans="2:2">
      <c r="B7600" s="21"/>
    </row>
    <row r="7601" spans="2:2">
      <c r="B7601" s="21"/>
    </row>
    <row r="7602" spans="2:2">
      <c r="B7602" s="21"/>
    </row>
    <row r="7603" spans="2:2">
      <c r="B7603" s="21"/>
    </row>
    <row r="7604" spans="2:2">
      <c r="B7604" s="21"/>
    </row>
    <row r="7605" spans="2:2">
      <c r="B7605" s="21"/>
    </row>
    <row r="7606" spans="2:2">
      <c r="B7606" s="21"/>
    </row>
    <row r="7607" spans="2:2">
      <c r="B7607" s="21"/>
    </row>
    <row r="7608" spans="2:2">
      <c r="B7608" s="21"/>
    </row>
    <row r="7609" spans="2:2">
      <c r="B7609" s="21"/>
    </row>
    <row r="7610" spans="2:2">
      <c r="B7610" s="21"/>
    </row>
    <row r="7611" spans="2:2">
      <c r="B7611" s="21"/>
    </row>
    <row r="7612" spans="2:2">
      <c r="B7612" s="21"/>
    </row>
    <row r="7613" spans="2:2">
      <c r="B7613" s="21"/>
    </row>
    <row r="7614" spans="2:2">
      <c r="B7614" s="21"/>
    </row>
    <row r="7615" spans="2:2">
      <c r="B7615" s="21"/>
    </row>
    <row r="7616" spans="2:2">
      <c r="B7616" s="21"/>
    </row>
    <row r="7617" spans="2:2">
      <c r="B7617" s="21"/>
    </row>
    <row r="7618" spans="2:2">
      <c r="B7618" s="21"/>
    </row>
    <row r="7619" spans="2:2">
      <c r="B7619" s="21"/>
    </row>
    <row r="7620" spans="2:2">
      <c r="B7620" s="21"/>
    </row>
    <row r="7621" spans="2:2">
      <c r="B7621" s="21"/>
    </row>
    <row r="7622" spans="2:2">
      <c r="B7622" s="21"/>
    </row>
    <row r="7623" spans="2:2">
      <c r="B7623" s="21"/>
    </row>
    <row r="7624" spans="2:2">
      <c r="B7624" s="21"/>
    </row>
    <row r="7625" spans="2:2">
      <c r="B7625" s="21"/>
    </row>
    <row r="7626" spans="2:2">
      <c r="B7626" s="21"/>
    </row>
    <row r="7627" spans="2:2">
      <c r="B7627" s="21"/>
    </row>
    <row r="7628" spans="2:2">
      <c r="B7628" s="21"/>
    </row>
    <row r="7629" spans="2:2">
      <c r="B7629" s="21"/>
    </row>
    <row r="7630" spans="2:2">
      <c r="B7630" s="21"/>
    </row>
    <row r="7631" spans="2:2">
      <c r="B7631" s="21"/>
    </row>
    <row r="7632" spans="2:2">
      <c r="B7632" s="21"/>
    </row>
    <row r="7633" spans="2:2">
      <c r="B7633" s="21"/>
    </row>
    <row r="7634" spans="2:2">
      <c r="B7634" s="21"/>
    </row>
    <row r="7635" spans="2:2">
      <c r="B7635" s="21"/>
    </row>
    <row r="7636" spans="2:2">
      <c r="B7636" s="21"/>
    </row>
    <row r="7637" spans="2:2">
      <c r="B7637" s="21"/>
    </row>
    <row r="7638" spans="2:2">
      <c r="B7638" s="21"/>
    </row>
    <row r="7639" spans="2:2">
      <c r="B7639" s="21"/>
    </row>
    <row r="7640" spans="2:2">
      <c r="B7640" s="21"/>
    </row>
    <row r="7641" spans="2:2">
      <c r="B7641" s="21"/>
    </row>
    <row r="7642" spans="2:2">
      <c r="B7642" s="21"/>
    </row>
    <row r="7643" spans="2:2">
      <c r="B7643" s="21"/>
    </row>
    <row r="7644" spans="2:2">
      <c r="B7644" s="21"/>
    </row>
    <row r="7645" spans="2:2">
      <c r="B7645" s="21"/>
    </row>
    <row r="7646" spans="2:2">
      <c r="B7646" s="21"/>
    </row>
    <row r="7647" spans="2:2">
      <c r="B7647" s="21"/>
    </row>
    <row r="7648" spans="2:2">
      <c r="B7648" s="21"/>
    </row>
    <row r="7649" spans="2:2">
      <c r="B7649" s="21"/>
    </row>
    <row r="7650" spans="2:2">
      <c r="B7650" s="21"/>
    </row>
    <row r="7651" spans="2:2">
      <c r="B7651" s="21"/>
    </row>
    <row r="7652" spans="2:2">
      <c r="B7652" s="21"/>
    </row>
    <row r="7653" spans="2:2">
      <c r="B7653" s="21"/>
    </row>
    <row r="7654" spans="2:2">
      <c r="B7654" s="21"/>
    </row>
    <row r="7655" spans="2:2">
      <c r="B7655" s="21"/>
    </row>
    <row r="7656" spans="2:2">
      <c r="B7656" s="21"/>
    </row>
    <row r="7657" spans="2:2">
      <c r="B7657" s="21"/>
    </row>
    <row r="7658" spans="2:2">
      <c r="B7658" s="21"/>
    </row>
    <row r="7659" spans="2:2">
      <c r="B7659" s="21"/>
    </row>
    <row r="7660" spans="2:2">
      <c r="B7660" s="21"/>
    </row>
    <row r="7661" spans="2:2">
      <c r="B7661" s="21"/>
    </row>
    <row r="7662" spans="2:2">
      <c r="B7662" s="21"/>
    </row>
    <row r="7663" spans="2:2">
      <c r="B7663" s="21"/>
    </row>
    <row r="7664" spans="2:2">
      <c r="B7664" s="21"/>
    </row>
    <row r="7665" spans="2:2">
      <c r="B7665" s="21"/>
    </row>
    <row r="7666" spans="2:2">
      <c r="B7666" s="21"/>
    </row>
    <row r="7667" spans="2:2">
      <c r="B7667" s="21"/>
    </row>
    <row r="7668" spans="2:2">
      <c r="B7668" s="21"/>
    </row>
    <row r="7669" spans="2:2">
      <c r="B7669" s="21"/>
    </row>
    <row r="7670" spans="2:2">
      <c r="B7670" s="21"/>
    </row>
    <row r="7671" spans="2:2">
      <c r="B7671" s="21"/>
    </row>
    <row r="7672" spans="2:2">
      <c r="B7672" s="21"/>
    </row>
    <row r="7673" spans="2:2">
      <c r="B7673" s="21"/>
    </row>
    <row r="7674" spans="2:2">
      <c r="B7674" s="21"/>
    </row>
    <row r="7675" spans="2:2">
      <c r="B7675" s="21"/>
    </row>
    <row r="7676" spans="2:2">
      <c r="B7676" s="21"/>
    </row>
    <row r="7677" spans="2:2">
      <c r="B7677" s="21"/>
    </row>
    <row r="7678" spans="2:2">
      <c r="B7678" s="21"/>
    </row>
    <row r="7679" spans="2:2">
      <c r="B7679" s="21"/>
    </row>
    <row r="7680" spans="2:2">
      <c r="B7680" s="21"/>
    </row>
    <row r="7681" spans="2:2">
      <c r="B7681" s="21"/>
    </row>
    <row r="7682" spans="2:2">
      <c r="B7682" s="21"/>
    </row>
    <row r="7683" spans="2:2">
      <c r="B7683" s="21"/>
    </row>
    <row r="7684" spans="2:2">
      <c r="B7684" s="21"/>
    </row>
    <row r="7685" spans="2:2">
      <c r="B7685" s="21"/>
    </row>
    <row r="7686" spans="2:2">
      <c r="B7686" s="21"/>
    </row>
    <row r="7687" spans="2:2">
      <c r="B7687" s="21"/>
    </row>
    <row r="7688" spans="2:2">
      <c r="B7688" s="21"/>
    </row>
    <row r="7689" spans="2:2">
      <c r="B7689" s="21"/>
    </row>
    <row r="7690" spans="2:2">
      <c r="B7690" s="21"/>
    </row>
    <row r="7691" spans="2:2">
      <c r="B7691" s="21"/>
    </row>
    <row r="7692" spans="2:2">
      <c r="B7692" s="21"/>
    </row>
    <row r="7693" spans="2:2">
      <c r="B7693" s="21"/>
    </row>
    <row r="7694" spans="2:2">
      <c r="B7694" s="21"/>
    </row>
    <row r="7695" spans="2:2">
      <c r="B7695" s="21"/>
    </row>
    <row r="7696" spans="2:2">
      <c r="B7696" s="21"/>
    </row>
    <row r="7697" spans="2:2">
      <c r="B7697" s="21"/>
    </row>
    <row r="7698" spans="2:2">
      <c r="B7698" s="21"/>
    </row>
    <row r="7699" spans="2:2">
      <c r="B7699" s="21"/>
    </row>
    <row r="7700" spans="2:2">
      <c r="B7700" s="21"/>
    </row>
    <row r="7701" spans="2:2">
      <c r="B7701" s="21"/>
    </row>
    <row r="7702" spans="2:2">
      <c r="B7702" s="21"/>
    </row>
    <row r="7703" spans="2:2">
      <c r="B7703" s="21"/>
    </row>
    <row r="7704" spans="2:2">
      <c r="B7704" s="21"/>
    </row>
    <row r="7705" spans="2:2">
      <c r="B7705" s="21"/>
    </row>
    <row r="7706" spans="2:2">
      <c r="B7706" s="21"/>
    </row>
    <row r="7707" spans="2:2">
      <c r="B7707" s="21"/>
    </row>
    <row r="7708" spans="2:2">
      <c r="B7708" s="21"/>
    </row>
    <row r="7709" spans="2:2">
      <c r="B7709" s="21"/>
    </row>
    <row r="7710" spans="2:2">
      <c r="B7710" s="21"/>
    </row>
    <row r="7711" spans="2:2">
      <c r="B7711" s="21"/>
    </row>
    <row r="7712" spans="2:2">
      <c r="B7712" s="21"/>
    </row>
    <row r="7713" spans="2:2">
      <c r="B7713" s="21"/>
    </row>
    <row r="7714" spans="2:2">
      <c r="B7714" s="21"/>
    </row>
    <row r="7715" spans="2:2">
      <c r="B7715" s="21"/>
    </row>
    <row r="7716" spans="2:2">
      <c r="B7716" s="21"/>
    </row>
    <row r="7717" spans="2:2">
      <c r="B7717" s="21"/>
    </row>
    <row r="7718" spans="2:2">
      <c r="B7718" s="21"/>
    </row>
    <row r="7719" spans="2:2">
      <c r="B7719" s="21"/>
    </row>
    <row r="7720" spans="2:2">
      <c r="B7720" s="21"/>
    </row>
    <row r="7721" spans="2:2">
      <c r="B7721" s="21"/>
    </row>
    <row r="7722" spans="2:2">
      <c r="B7722" s="21"/>
    </row>
    <row r="7723" spans="2:2">
      <c r="B7723" s="21"/>
    </row>
    <row r="7724" spans="2:2">
      <c r="B7724" s="21"/>
    </row>
    <row r="7725" spans="2:2">
      <c r="B7725" s="21"/>
    </row>
    <row r="7726" spans="2:2">
      <c r="B7726" s="21"/>
    </row>
    <row r="7727" spans="2:2">
      <c r="B7727" s="21"/>
    </row>
    <row r="7728" spans="2:2">
      <c r="B7728" s="21"/>
    </row>
    <row r="7729" spans="2:2">
      <c r="B7729" s="21"/>
    </row>
    <row r="7730" spans="2:2">
      <c r="B7730" s="21"/>
    </row>
    <row r="7731" spans="2:2">
      <c r="B7731" s="21"/>
    </row>
    <row r="7732" spans="2:2">
      <c r="B7732" s="21"/>
    </row>
    <row r="7733" spans="2:2">
      <c r="B7733" s="21"/>
    </row>
    <row r="7734" spans="2:2">
      <c r="B7734" s="21"/>
    </row>
    <row r="7735" spans="2:2">
      <c r="B7735" s="21"/>
    </row>
    <row r="7736" spans="2:2">
      <c r="B7736" s="21"/>
    </row>
    <row r="7737" spans="2:2">
      <c r="B7737" s="21"/>
    </row>
    <row r="7738" spans="2:2">
      <c r="B7738" s="21"/>
    </row>
    <row r="7739" spans="2:2">
      <c r="B7739" s="21"/>
    </row>
    <row r="7740" spans="2:2">
      <c r="B7740" s="21"/>
    </row>
    <row r="7741" spans="2:2">
      <c r="B7741" s="21"/>
    </row>
    <row r="7742" spans="2:2">
      <c r="B7742" s="21"/>
    </row>
    <row r="7743" spans="2:2">
      <c r="B7743" s="21"/>
    </row>
    <row r="7744" spans="2:2">
      <c r="B7744" s="21"/>
    </row>
    <row r="7745" spans="2:2">
      <c r="B7745" s="21"/>
    </row>
    <row r="7746" spans="2:2">
      <c r="B7746" s="21"/>
    </row>
    <row r="7747" spans="2:2">
      <c r="B7747" s="21"/>
    </row>
    <row r="7748" spans="2:2">
      <c r="B7748" s="21"/>
    </row>
    <row r="7749" spans="2:2">
      <c r="B7749" s="21"/>
    </row>
    <row r="7750" spans="2:2">
      <c r="B7750" s="21"/>
    </row>
    <row r="7751" spans="2:2">
      <c r="B7751" s="21"/>
    </row>
    <row r="7752" spans="2:2">
      <c r="B7752" s="21"/>
    </row>
    <row r="7753" spans="2:2">
      <c r="B7753" s="21"/>
    </row>
    <row r="7754" spans="2:2">
      <c r="B7754" s="21"/>
    </row>
    <row r="7755" spans="2:2">
      <c r="B7755" s="21"/>
    </row>
    <row r="7756" spans="2:2">
      <c r="B7756" s="21"/>
    </row>
    <row r="7757" spans="2:2">
      <c r="B7757" s="21"/>
    </row>
    <row r="7758" spans="2:2">
      <c r="B7758" s="21"/>
    </row>
    <row r="7759" spans="2:2">
      <c r="B7759" s="21"/>
    </row>
    <row r="7760" spans="2:2">
      <c r="B7760" s="21"/>
    </row>
    <row r="7761" spans="2:2">
      <c r="B7761" s="21"/>
    </row>
    <row r="7762" spans="2:2">
      <c r="B7762" s="21"/>
    </row>
    <row r="7763" spans="2:2">
      <c r="B7763" s="21"/>
    </row>
    <row r="7764" spans="2:2">
      <c r="B7764" s="21"/>
    </row>
    <row r="7765" spans="2:2">
      <c r="B7765" s="21"/>
    </row>
    <row r="7766" spans="2:2">
      <c r="B7766" s="21"/>
    </row>
    <row r="7767" spans="2:2">
      <c r="B7767" s="21"/>
    </row>
    <row r="7768" spans="2:2">
      <c r="B7768" s="21"/>
    </row>
    <row r="7769" spans="2:2">
      <c r="B7769" s="21"/>
    </row>
    <row r="7770" spans="2:2">
      <c r="B7770" s="21"/>
    </row>
    <row r="7771" spans="2:2">
      <c r="B7771" s="21"/>
    </row>
    <row r="7772" spans="2:2">
      <c r="B7772" s="21"/>
    </row>
    <row r="7773" spans="2:2">
      <c r="B7773" s="21"/>
    </row>
    <row r="7774" spans="2:2">
      <c r="B7774" s="21"/>
    </row>
    <row r="7775" spans="2:2">
      <c r="B7775" s="21"/>
    </row>
    <row r="7776" spans="2:2">
      <c r="B7776" s="21"/>
    </row>
    <row r="7777" spans="2:2">
      <c r="B7777" s="21"/>
    </row>
    <row r="7778" spans="2:2">
      <c r="B7778" s="21"/>
    </row>
    <row r="7779" spans="2:2">
      <c r="B7779" s="21"/>
    </row>
    <row r="7780" spans="2:2">
      <c r="B7780" s="21"/>
    </row>
    <row r="7781" spans="2:2">
      <c r="B7781" s="21"/>
    </row>
    <row r="7782" spans="2:2">
      <c r="B7782" s="21"/>
    </row>
    <row r="7783" spans="2:2">
      <c r="B7783" s="21"/>
    </row>
    <row r="7784" spans="2:2">
      <c r="B7784" s="21"/>
    </row>
    <row r="7785" spans="2:2">
      <c r="B7785" s="21"/>
    </row>
    <row r="7786" spans="2:2">
      <c r="B7786" s="21"/>
    </row>
    <row r="7787" spans="2:2">
      <c r="B7787" s="21"/>
    </row>
    <row r="7788" spans="2:2">
      <c r="B7788" s="21"/>
    </row>
    <row r="7789" spans="2:2">
      <c r="B7789" s="21"/>
    </row>
    <row r="7790" spans="2:2">
      <c r="B7790" s="21"/>
    </row>
    <row r="7791" spans="2:2">
      <c r="B7791" s="21"/>
    </row>
    <row r="7792" spans="2:2">
      <c r="B7792" s="21"/>
    </row>
    <row r="7793" spans="2:2">
      <c r="B7793" s="21"/>
    </row>
    <row r="7794" spans="2:2">
      <c r="B7794" s="21"/>
    </row>
    <row r="7795" spans="2:2">
      <c r="B7795" s="21"/>
    </row>
    <row r="7796" spans="2:2">
      <c r="B7796" s="21"/>
    </row>
    <row r="7797" spans="2:2">
      <c r="B7797" s="21"/>
    </row>
    <row r="7798" spans="2:2">
      <c r="B7798" s="21"/>
    </row>
    <row r="7799" spans="2:2">
      <c r="B7799" s="21"/>
    </row>
    <row r="7800" spans="2:2">
      <c r="B7800" s="21"/>
    </row>
    <row r="7801" spans="2:2">
      <c r="B7801" s="21"/>
    </row>
    <row r="7802" spans="2:2">
      <c r="B7802" s="21"/>
    </row>
    <row r="7803" spans="2:2">
      <c r="B7803" s="21"/>
    </row>
    <row r="7804" spans="2:2">
      <c r="B7804" s="21"/>
    </row>
    <row r="7805" spans="2:2">
      <c r="B7805" s="21"/>
    </row>
    <row r="7806" spans="2:2">
      <c r="B7806" s="21"/>
    </row>
    <row r="7807" spans="2:2">
      <c r="B7807" s="21"/>
    </row>
    <row r="7808" spans="2:2">
      <c r="B7808" s="21"/>
    </row>
    <row r="7809" spans="2:2">
      <c r="B7809" s="21"/>
    </row>
    <row r="7810" spans="2:2">
      <c r="B7810" s="21"/>
    </row>
    <row r="7811" spans="2:2">
      <c r="B7811" s="21"/>
    </row>
    <row r="7812" spans="2:2">
      <c r="B7812" s="21"/>
    </row>
    <row r="7813" spans="2:2">
      <c r="B7813" s="21"/>
    </row>
    <row r="7814" spans="2:2">
      <c r="B7814" s="21"/>
    </row>
    <row r="7815" spans="2:2">
      <c r="B7815" s="21"/>
    </row>
    <row r="7816" spans="2:2">
      <c r="B7816" s="21"/>
    </row>
    <row r="7817" spans="2:2">
      <c r="B7817" s="21"/>
    </row>
    <row r="7818" spans="2:2">
      <c r="B7818" s="21"/>
    </row>
    <row r="7819" spans="2:2">
      <c r="B7819" s="21"/>
    </row>
    <row r="7820" spans="2:2">
      <c r="B7820" s="21"/>
    </row>
    <row r="7821" spans="2:2">
      <c r="B7821" s="21"/>
    </row>
    <row r="7822" spans="2:2">
      <c r="B7822" s="21"/>
    </row>
    <row r="7823" spans="2:2">
      <c r="B7823" s="21"/>
    </row>
    <row r="7824" spans="2:2">
      <c r="B7824" s="21"/>
    </row>
    <row r="7825" spans="2:2">
      <c r="B7825" s="21"/>
    </row>
    <row r="7826" spans="2:2">
      <c r="B7826" s="21"/>
    </row>
    <row r="7827" spans="2:2">
      <c r="B7827" s="21"/>
    </row>
    <row r="7828" spans="2:2">
      <c r="B7828" s="21"/>
    </row>
    <row r="7829" spans="2:2">
      <c r="B7829" s="21"/>
    </row>
    <row r="7830" spans="2:2">
      <c r="B7830" s="21"/>
    </row>
    <row r="7831" spans="2:2">
      <c r="B7831" s="21"/>
    </row>
    <row r="7832" spans="2:2">
      <c r="B7832" s="21"/>
    </row>
    <row r="7833" spans="2:2">
      <c r="B7833" s="21"/>
    </row>
    <row r="7834" spans="2:2">
      <c r="B7834" s="21"/>
    </row>
    <row r="7835" spans="2:2">
      <c r="B7835" s="21"/>
    </row>
    <row r="7836" spans="2:2">
      <c r="B7836" s="21"/>
    </row>
    <row r="7837" spans="2:2">
      <c r="B7837" s="21"/>
    </row>
    <row r="7838" spans="2:2">
      <c r="B7838" s="21"/>
    </row>
    <row r="7839" spans="2:2">
      <c r="B7839" s="21"/>
    </row>
    <row r="7840" spans="2:2">
      <c r="B7840" s="21"/>
    </row>
    <row r="7841" spans="2:2">
      <c r="B7841" s="21"/>
    </row>
    <row r="7842" spans="2:2">
      <c r="B7842" s="21"/>
    </row>
    <row r="7843" spans="2:2">
      <c r="B7843" s="21"/>
    </row>
    <row r="7844" spans="2:2">
      <c r="B7844" s="21"/>
    </row>
    <row r="7845" spans="2:2">
      <c r="B7845" s="21"/>
    </row>
    <row r="7846" spans="2:2">
      <c r="B7846" s="21"/>
    </row>
    <row r="7847" spans="2:2">
      <c r="B7847" s="21"/>
    </row>
    <row r="7848" spans="2:2">
      <c r="B7848" s="21"/>
    </row>
    <row r="7849" spans="2:2">
      <c r="B7849" s="21"/>
    </row>
    <row r="7850" spans="2:2">
      <c r="B7850" s="21"/>
    </row>
    <row r="7851" spans="2:2">
      <c r="B7851" s="21"/>
    </row>
    <row r="7852" spans="2:2">
      <c r="B7852" s="21"/>
    </row>
    <row r="7853" spans="2:2">
      <c r="B7853" s="21"/>
    </row>
    <row r="7854" spans="2:2">
      <c r="B7854" s="21"/>
    </row>
    <row r="7855" spans="2:2">
      <c r="B7855" s="21"/>
    </row>
    <row r="7856" spans="2:2">
      <c r="B7856" s="21"/>
    </row>
    <row r="7857" spans="2:2">
      <c r="B7857" s="21"/>
    </row>
    <row r="7858" spans="2:2">
      <c r="B7858" s="21"/>
    </row>
    <row r="7859" spans="2:2">
      <c r="B7859" s="21"/>
    </row>
    <row r="7860" spans="2:2">
      <c r="B7860" s="21"/>
    </row>
    <row r="7861" spans="2:2">
      <c r="B7861" s="21"/>
    </row>
    <row r="7862" spans="2:2">
      <c r="B7862" s="21"/>
    </row>
    <row r="7863" spans="2:2">
      <c r="B7863" s="21"/>
    </row>
    <row r="7864" spans="2:2">
      <c r="B7864" s="21"/>
    </row>
    <row r="7865" spans="2:2">
      <c r="B7865" s="21"/>
    </row>
    <row r="7866" spans="2:2">
      <c r="B7866" s="21"/>
    </row>
    <row r="7867" spans="2:2">
      <c r="B7867" s="21"/>
    </row>
    <row r="7868" spans="2:2">
      <c r="B7868" s="21"/>
    </row>
    <row r="7869" spans="2:2">
      <c r="B7869" s="21"/>
    </row>
    <row r="7870" spans="2:2">
      <c r="B7870" s="21"/>
    </row>
    <row r="7871" spans="2:2">
      <c r="B7871" s="21"/>
    </row>
    <row r="7872" spans="2:2">
      <c r="B7872" s="21"/>
    </row>
    <row r="7873" spans="2:2">
      <c r="B7873" s="21"/>
    </row>
    <row r="7874" spans="2:2">
      <c r="B7874" s="21"/>
    </row>
    <row r="7875" spans="2:2">
      <c r="B7875" s="21"/>
    </row>
    <row r="7876" spans="2:2">
      <c r="B7876" s="21"/>
    </row>
    <row r="7877" spans="2:2">
      <c r="B7877" s="21"/>
    </row>
    <row r="7878" spans="2:2">
      <c r="B7878" s="21"/>
    </row>
    <row r="7879" spans="2:2">
      <c r="B7879" s="21"/>
    </row>
    <row r="7880" spans="2:2">
      <c r="B7880" s="21"/>
    </row>
    <row r="7881" spans="2:2">
      <c r="B7881" s="21"/>
    </row>
    <row r="7882" spans="2:2">
      <c r="B7882" s="21"/>
    </row>
    <row r="7883" spans="2:2">
      <c r="B7883" s="21"/>
    </row>
    <row r="7884" spans="2:2">
      <c r="B7884" s="21"/>
    </row>
    <row r="7885" spans="2:2">
      <c r="B7885" s="21"/>
    </row>
    <row r="7886" spans="2:2">
      <c r="B7886" s="21"/>
    </row>
    <row r="7887" spans="2:2">
      <c r="B7887" s="21"/>
    </row>
    <row r="7888" spans="2:2">
      <c r="B7888" s="21"/>
    </row>
    <row r="7889" spans="2:2">
      <c r="B7889" s="21"/>
    </row>
    <row r="7890" spans="2:2">
      <c r="B7890" s="21"/>
    </row>
    <row r="7891" spans="2:2">
      <c r="B7891" s="21"/>
    </row>
    <row r="7892" spans="2:2">
      <c r="B7892" s="21"/>
    </row>
    <row r="7893" spans="2:2">
      <c r="B7893" s="21"/>
    </row>
    <row r="7894" spans="2:2">
      <c r="B7894" s="21"/>
    </row>
    <row r="7895" spans="2:2">
      <c r="B7895" s="21"/>
    </row>
    <row r="7896" spans="2:2">
      <c r="B7896" s="21"/>
    </row>
    <row r="7897" spans="2:2">
      <c r="B7897" s="21"/>
    </row>
    <row r="7898" spans="2:2">
      <c r="B7898" s="21"/>
    </row>
    <row r="7899" spans="2:2">
      <c r="B7899" s="21"/>
    </row>
    <row r="7900" spans="2:2">
      <c r="B7900" s="21"/>
    </row>
    <row r="7901" spans="2:2">
      <c r="B7901" s="21"/>
    </row>
    <row r="7902" spans="2:2">
      <c r="B7902" s="21"/>
    </row>
    <row r="7903" spans="2:2">
      <c r="B7903" s="21"/>
    </row>
    <row r="7904" spans="2:2">
      <c r="B7904" s="21"/>
    </row>
    <row r="7905" spans="2:2">
      <c r="B7905" s="21"/>
    </row>
    <row r="7906" spans="2:2">
      <c r="B7906" s="21"/>
    </row>
    <row r="7907" spans="2:2">
      <c r="B7907" s="21"/>
    </row>
    <row r="7908" spans="2:2">
      <c r="B7908" s="21"/>
    </row>
    <row r="7909" spans="2:2">
      <c r="B7909" s="21"/>
    </row>
    <row r="7910" spans="2:2">
      <c r="B7910" s="21"/>
    </row>
    <row r="7911" spans="2:2">
      <c r="B7911" s="21"/>
    </row>
    <row r="7912" spans="2:2">
      <c r="B7912" s="21"/>
    </row>
    <row r="7913" spans="2:2">
      <c r="B7913" s="21"/>
    </row>
    <row r="7914" spans="2:2">
      <c r="B7914" s="21"/>
    </row>
    <row r="7915" spans="2:2">
      <c r="B7915" s="21"/>
    </row>
    <row r="7916" spans="2:2">
      <c r="B7916" s="21"/>
    </row>
    <row r="7917" spans="2:2">
      <c r="B7917" s="21"/>
    </row>
    <row r="7918" spans="2:2">
      <c r="B7918" s="21"/>
    </row>
    <row r="7919" spans="2:2">
      <c r="B7919" s="21"/>
    </row>
    <row r="7920" spans="2:2">
      <c r="B7920" s="21"/>
    </row>
    <row r="7921" spans="2:2">
      <c r="B7921" s="21"/>
    </row>
    <row r="7922" spans="2:2">
      <c r="B7922" s="21"/>
    </row>
    <row r="7923" spans="2:2">
      <c r="B7923" s="21"/>
    </row>
    <row r="7924" spans="2:2">
      <c r="B7924" s="21"/>
    </row>
    <row r="7925" spans="2:2">
      <c r="B7925" s="21"/>
    </row>
    <row r="7926" spans="2:2">
      <c r="B7926" s="21"/>
    </row>
    <row r="7927" spans="2:2">
      <c r="B7927" s="21"/>
    </row>
    <row r="7928" spans="2:2">
      <c r="B7928" s="21"/>
    </row>
    <row r="7929" spans="2:2">
      <c r="B7929" s="21"/>
    </row>
    <row r="7930" spans="2:2">
      <c r="B7930" s="21"/>
    </row>
    <row r="7931" spans="2:2">
      <c r="B7931" s="21"/>
    </row>
    <row r="7932" spans="2:2">
      <c r="B7932" s="21"/>
    </row>
    <row r="7933" spans="2:2">
      <c r="B7933" s="21"/>
    </row>
    <row r="7934" spans="2:2">
      <c r="B7934" s="21"/>
    </row>
    <row r="7935" spans="2:2">
      <c r="B7935" s="21"/>
    </row>
    <row r="7936" spans="2:2">
      <c r="B7936" s="21"/>
    </row>
    <row r="7937" spans="2:2">
      <c r="B7937" s="21"/>
    </row>
    <row r="7938" spans="2:2">
      <c r="B7938" s="21"/>
    </row>
    <row r="7939" spans="2:2">
      <c r="B7939" s="21"/>
    </row>
    <row r="7940" spans="2:2">
      <c r="B7940" s="21"/>
    </row>
    <row r="7941" spans="2:2">
      <c r="B7941" s="21"/>
    </row>
    <row r="7942" spans="2:2">
      <c r="B7942" s="21"/>
    </row>
    <row r="7943" spans="2:2">
      <c r="B7943" s="21"/>
    </row>
    <row r="7944" spans="2:2">
      <c r="B7944" s="21"/>
    </row>
    <row r="7945" spans="2:2">
      <c r="B7945" s="21"/>
    </row>
    <row r="7946" spans="2:2">
      <c r="B7946" s="21"/>
    </row>
    <row r="7947" spans="2:2">
      <c r="B7947" s="21"/>
    </row>
    <row r="7948" spans="2:2">
      <c r="B7948" s="21"/>
    </row>
    <row r="7949" spans="2:2">
      <c r="B7949" s="21"/>
    </row>
    <row r="7950" spans="2:2">
      <c r="B7950" s="21"/>
    </row>
    <row r="7951" spans="2:2">
      <c r="B7951" s="21"/>
    </row>
    <row r="7952" spans="2:2">
      <c r="B7952" s="21"/>
    </row>
    <row r="7953" spans="2:2">
      <c r="B7953" s="21"/>
    </row>
    <row r="7954" spans="2:2">
      <c r="B7954" s="21"/>
    </row>
    <row r="7955" spans="2:2">
      <c r="B7955" s="21"/>
    </row>
    <row r="7956" spans="2:2">
      <c r="B7956" s="21"/>
    </row>
    <row r="7957" spans="2:2">
      <c r="B7957" s="21"/>
    </row>
    <row r="7958" spans="2:2">
      <c r="B7958" s="21"/>
    </row>
    <row r="7959" spans="2:2">
      <c r="B7959" s="21"/>
    </row>
    <row r="7960" spans="2:2">
      <c r="B7960" s="21"/>
    </row>
    <row r="7961" spans="2:2">
      <c r="B7961" s="21"/>
    </row>
    <row r="7962" spans="2:2">
      <c r="B7962" s="21"/>
    </row>
    <row r="7963" spans="2:2">
      <c r="B7963" s="21"/>
    </row>
    <row r="7964" spans="2:2">
      <c r="B7964" s="21"/>
    </row>
    <row r="7965" spans="2:2">
      <c r="B7965" s="21"/>
    </row>
    <row r="7966" spans="2:2">
      <c r="B7966" s="21"/>
    </row>
    <row r="7967" spans="2:2">
      <c r="B7967" s="21"/>
    </row>
    <row r="7968" spans="2:2">
      <c r="B7968" s="21"/>
    </row>
    <row r="7969" spans="2:2">
      <c r="B7969" s="21"/>
    </row>
    <row r="7970" spans="2:2">
      <c r="B7970" s="21"/>
    </row>
    <row r="7971" spans="2:2">
      <c r="B7971" s="21"/>
    </row>
    <row r="7972" spans="2:2">
      <c r="B7972" s="21"/>
    </row>
    <row r="7973" spans="2:2">
      <c r="B7973" s="21"/>
    </row>
    <row r="7974" spans="2:2">
      <c r="B7974" s="21"/>
    </row>
    <row r="7975" spans="2:2">
      <c r="B7975" s="21"/>
    </row>
    <row r="7976" spans="2:2">
      <c r="B7976" s="21"/>
    </row>
    <row r="7977" spans="2:2">
      <c r="B7977" s="21"/>
    </row>
    <row r="7978" spans="2:2">
      <c r="B7978" s="21"/>
    </row>
    <row r="7979" spans="2:2">
      <c r="B7979" s="21"/>
    </row>
    <row r="7980" spans="2:2">
      <c r="B7980" s="21"/>
    </row>
    <row r="7981" spans="2:2">
      <c r="B7981" s="21"/>
    </row>
    <row r="7982" spans="2:2">
      <c r="B7982" s="21"/>
    </row>
    <row r="7983" spans="2:2">
      <c r="B7983" s="21"/>
    </row>
    <row r="7984" spans="2:2">
      <c r="B7984" s="21"/>
    </row>
    <row r="7985" spans="2:2">
      <c r="B7985" s="21"/>
    </row>
    <row r="7986" spans="2:2">
      <c r="B7986" s="21"/>
    </row>
    <row r="7987" spans="2:2">
      <c r="B7987" s="21"/>
    </row>
    <row r="7988" spans="2:2">
      <c r="B7988" s="21"/>
    </row>
    <row r="7989" spans="2:2">
      <c r="B7989" s="21"/>
    </row>
    <row r="7990" spans="2:2">
      <c r="B7990" s="21"/>
    </row>
    <row r="7991" spans="2:2">
      <c r="B7991" s="21"/>
    </row>
    <row r="7992" spans="2:2">
      <c r="B7992" s="21"/>
    </row>
    <row r="7993" spans="2:2">
      <c r="B7993" s="21"/>
    </row>
    <row r="7994" spans="2:2">
      <c r="B7994" s="21"/>
    </row>
    <row r="7995" spans="2:2">
      <c r="B7995" s="21"/>
    </row>
    <row r="7996" spans="2:2">
      <c r="B7996" s="21"/>
    </row>
    <row r="7997" spans="2:2">
      <c r="B7997" s="21"/>
    </row>
    <row r="7998" spans="2:2">
      <c r="B7998" s="21"/>
    </row>
    <row r="7999" spans="2:2">
      <c r="B7999" s="21"/>
    </row>
    <row r="8000" spans="2:2">
      <c r="B8000" s="21"/>
    </row>
    <row r="8001" spans="2:2">
      <c r="B8001" s="21"/>
    </row>
    <row r="8002" spans="2:2">
      <c r="B8002" s="21"/>
    </row>
    <row r="8003" spans="2:2">
      <c r="B8003" s="21"/>
    </row>
    <row r="8004" spans="2:2">
      <c r="B8004" s="21"/>
    </row>
    <row r="8005" spans="2:2">
      <c r="B8005" s="21"/>
    </row>
    <row r="8006" spans="2:2">
      <c r="B8006" s="21"/>
    </row>
    <row r="8007" spans="2:2">
      <c r="B8007" s="21"/>
    </row>
    <row r="8008" spans="2:2">
      <c r="B8008" s="21"/>
    </row>
    <row r="8009" spans="2:2">
      <c r="B8009" s="21"/>
    </row>
    <row r="8010" spans="2:2">
      <c r="B8010" s="21"/>
    </row>
    <row r="8011" spans="2:2">
      <c r="B8011" s="21"/>
    </row>
    <row r="8012" spans="2:2">
      <c r="B8012" s="21"/>
    </row>
    <row r="8013" spans="2:2">
      <c r="B8013" s="21"/>
    </row>
    <row r="8014" spans="2:2">
      <c r="B8014" s="21"/>
    </row>
    <row r="8015" spans="2:2">
      <c r="B8015" s="21"/>
    </row>
    <row r="8016" spans="2:2">
      <c r="B8016" s="21"/>
    </row>
    <row r="8017" spans="2:2">
      <c r="B8017" s="21"/>
    </row>
    <row r="8018" spans="2:2">
      <c r="B8018" s="21"/>
    </row>
    <row r="8019" spans="2:2">
      <c r="B8019" s="21"/>
    </row>
    <row r="8020" spans="2:2">
      <c r="B8020" s="21"/>
    </row>
    <row r="8021" spans="2:2">
      <c r="B8021" s="21"/>
    </row>
    <row r="8022" spans="2:2">
      <c r="B8022" s="21"/>
    </row>
    <row r="8023" spans="2:2">
      <c r="B8023" s="21"/>
    </row>
    <row r="8024" spans="2:2">
      <c r="B8024" s="21"/>
    </row>
    <row r="8025" spans="2:2">
      <c r="B8025" s="21"/>
    </row>
    <row r="8026" spans="2:2">
      <c r="B8026" s="21"/>
    </row>
    <row r="8027" spans="2:2">
      <c r="B8027" s="21"/>
    </row>
    <row r="8028" spans="2:2">
      <c r="B8028" s="21"/>
    </row>
    <row r="8029" spans="2:2">
      <c r="B8029" s="21"/>
    </row>
    <row r="8030" spans="2:2">
      <c r="B8030" s="21"/>
    </row>
    <row r="8031" spans="2:2">
      <c r="B8031" s="21"/>
    </row>
    <row r="8032" spans="2:2">
      <c r="B8032" s="21"/>
    </row>
    <row r="8033" spans="2:2">
      <c r="B8033" s="21"/>
    </row>
    <row r="8034" spans="2:2">
      <c r="B8034" s="21"/>
    </row>
    <row r="8035" spans="2:2">
      <c r="B8035" s="21"/>
    </row>
    <row r="8036" spans="2:2">
      <c r="B8036" s="21"/>
    </row>
    <row r="8037" spans="2:2">
      <c r="B8037" s="21"/>
    </row>
    <row r="8038" spans="2:2">
      <c r="B8038" s="21"/>
    </row>
    <row r="8039" spans="2:2">
      <c r="B8039" s="21"/>
    </row>
    <row r="8040" spans="2:2">
      <c r="B8040" s="21"/>
    </row>
    <row r="8041" spans="2:2">
      <c r="B8041" s="21"/>
    </row>
    <row r="8042" spans="2:2">
      <c r="B8042" s="21"/>
    </row>
    <row r="8043" spans="2:2">
      <c r="B8043" s="21"/>
    </row>
    <row r="8044" spans="2:2">
      <c r="B8044" s="21"/>
    </row>
    <row r="8045" spans="2:2">
      <c r="B8045" s="21"/>
    </row>
    <row r="8046" spans="2:2">
      <c r="B8046" s="21"/>
    </row>
    <row r="8047" spans="2:2">
      <c r="B8047" s="21"/>
    </row>
    <row r="8048" spans="2:2">
      <c r="B8048" s="21"/>
    </row>
    <row r="8049" spans="2:2">
      <c r="B8049" s="21"/>
    </row>
    <row r="8050" spans="2:2">
      <c r="B8050" s="21"/>
    </row>
    <row r="8051" spans="2:2">
      <c r="B8051" s="21"/>
    </row>
    <row r="8052" spans="2:2">
      <c r="B8052" s="21"/>
    </row>
    <row r="8053" spans="2:2">
      <c r="B8053" s="21"/>
    </row>
    <row r="8054" spans="2:2">
      <c r="B8054" s="21"/>
    </row>
    <row r="8055" spans="2:2">
      <c r="B8055" s="21"/>
    </row>
    <row r="8056" spans="2:2">
      <c r="B8056" s="21"/>
    </row>
    <row r="8057" spans="2:2">
      <c r="B8057" s="21"/>
    </row>
    <row r="8058" spans="2:2">
      <c r="B8058" s="21"/>
    </row>
    <row r="8059" spans="2:2">
      <c r="B8059" s="21"/>
    </row>
    <row r="8060" spans="2:2">
      <c r="B8060" s="21"/>
    </row>
    <row r="8061" spans="2:2">
      <c r="B8061" s="21"/>
    </row>
    <row r="8062" spans="2:2">
      <c r="B8062" s="21"/>
    </row>
    <row r="8063" spans="2:2">
      <c r="B8063" s="21"/>
    </row>
    <row r="8064" spans="2:2">
      <c r="B8064" s="21"/>
    </row>
    <row r="8065" spans="2:2">
      <c r="B8065" s="21"/>
    </row>
    <row r="8066" spans="2:2">
      <c r="B8066" s="21"/>
    </row>
    <row r="8067" spans="2:2">
      <c r="B8067" s="21"/>
    </row>
    <row r="8068" spans="2:2">
      <c r="B8068" s="21"/>
    </row>
    <row r="8069" spans="2:2">
      <c r="B8069" s="21"/>
    </row>
    <row r="8070" spans="2:2">
      <c r="B8070" s="21"/>
    </row>
    <row r="8071" spans="2:2">
      <c r="B8071" s="21"/>
    </row>
    <row r="8072" spans="2:2">
      <c r="B8072" s="21"/>
    </row>
    <row r="8073" spans="2:2">
      <c r="B8073" s="21"/>
    </row>
    <row r="8074" spans="2:2">
      <c r="B8074" s="21"/>
    </row>
    <row r="8075" spans="2:2">
      <c r="B8075" s="21"/>
    </row>
    <row r="8076" spans="2:2">
      <c r="B8076" s="21"/>
    </row>
    <row r="8077" spans="2:2">
      <c r="B8077" s="21"/>
    </row>
    <row r="8078" spans="2:2">
      <c r="B8078" s="21"/>
    </row>
    <row r="8079" spans="2:2">
      <c r="B8079" s="21"/>
    </row>
    <row r="8080" spans="2:2">
      <c r="B8080" s="21"/>
    </row>
    <row r="8081" spans="2:2">
      <c r="B8081" s="21"/>
    </row>
    <row r="8082" spans="2:2">
      <c r="B8082" s="21"/>
    </row>
    <row r="8083" spans="2:2">
      <c r="B8083" s="21"/>
    </row>
    <row r="8084" spans="2:2">
      <c r="B8084" s="21"/>
    </row>
    <row r="8085" spans="2:2">
      <c r="B8085" s="21"/>
    </row>
    <row r="8086" spans="2:2">
      <c r="B8086" s="21"/>
    </row>
    <row r="8087" spans="2:2">
      <c r="B8087" s="21"/>
    </row>
    <row r="8088" spans="2:2">
      <c r="B8088" s="21"/>
    </row>
    <row r="8089" spans="2:2">
      <c r="B8089" s="21"/>
    </row>
    <row r="8090" spans="2:2">
      <c r="B8090" s="21"/>
    </row>
    <row r="8091" spans="2:2">
      <c r="B8091" s="21"/>
    </row>
    <row r="8092" spans="2:2">
      <c r="B8092" s="21"/>
    </row>
    <row r="8093" spans="2:2">
      <c r="B8093" s="21"/>
    </row>
    <row r="8094" spans="2:2">
      <c r="B8094" s="21"/>
    </row>
    <row r="8095" spans="2:2">
      <c r="B8095" s="21"/>
    </row>
    <row r="8096" spans="2:2">
      <c r="B8096" s="21"/>
    </row>
    <row r="8097" spans="2:2">
      <c r="B8097" s="21"/>
    </row>
    <row r="8098" spans="2:2">
      <c r="B8098" s="21"/>
    </row>
    <row r="8099" spans="2:2">
      <c r="B8099" s="21"/>
    </row>
    <row r="8100" spans="2:2">
      <c r="B8100" s="21"/>
    </row>
    <row r="8101" spans="2:2">
      <c r="B8101" s="21"/>
    </row>
    <row r="8102" spans="2:2">
      <c r="B8102" s="21"/>
    </row>
    <row r="8103" spans="2:2">
      <c r="B8103" s="21"/>
    </row>
    <row r="8104" spans="2:2">
      <c r="B8104" s="21"/>
    </row>
    <row r="8105" spans="2:2">
      <c r="B8105" s="21"/>
    </row>
    <row r="8106" spans="2:2">
      <c r="B8106" s="21"/>
    </row>
    <row r="8107" spans="2:2">
      <c r="B8107" s="21"/>
    </row>
    <row r="8108" spans="2:2">
      <c r="B8108" s="21"/>
    </row>
    <row r="8109" spans="2:2">
      <c r="B8109" s="21"/>
    </row>
    <row r="8110" spans="2:2">
      <c r="B8110" s="21"/>
    </row>
    <row r="8111" spans="2:2">
      <c r="B8111" s="21"/>
    </row>
    <row r="8112" spans="2:2">
      <c r="B8112" s="21"/>
    </row>
    <row r="8113" spans="2:2">
      <c r="B8113" s="21"/>
    </row>
    <row r="8114" spans="2:2">
      <c r="B8114" s="21"/>
    </row>
    <row r="8115" spans="2:2">
      <c r="B8115" s="21"/>
    </row>
    <row r="8116" spans="2:2">
      <c r="B8116" s="21"/>
    </row>
    <row r="8117" spans="2:2">
      <c r="B8117" s="21"/>
    </row>
    <row r="8118" spans="2:2">
      <c r="B8118" s="21"/>
    </row>
    <row r="8119" spans="2:2">
      <c r="B8119" s="21"/>
    </row>
    <row r="8120" spans="2:2">
      <c r="B8120" s="21"/>
    </row>
    <row r="8121" spans="2:2">
      <c r="B8121" s="21"/>
    </row>
    <row r="8122" spans="2:2">
      <c r="B8122" s="21"/>
    </row>
    <row r="8123" spans="2:2">
      <c r="B8123" s="21"/>
    </row>
    <row r="8124" spans="2:2">
      <c r="B8124" s="21"/>
    </row>
    <row r="8125" spans="2:2">
      <c r="B8125" s="21"/>
    </row>
    <row r="8126" spans="2:2">
      <c r="B8126" s="21"/>
    </row>
    <row r="8127" spans="2:2">
      <c r="B8127" s="21"/>
    </row>
    <row r="8128" spans="2:2">
      <c r="B8128" s="21"/>
    </row>
    <row r="8129" spans="2:2">
      <c r="B8129" s="21"/>
    </row>
    <row r="8130" spans="2:2">
      <c r="B8130" s="21"/>
    </row>
    <row r="8131" spans="2:2">
      <c r="B8131" s="21"/>
    </row>
    <row r="8132" spans="2:2">
      <c r="B8132" s="21"/>
    </row>
    <row r="8133" spans="2:2">
      <c r="B8133" s="21"/>
    </row>
    <row r="8134" spans="2:2">
      <c r="B8134" s="21"/>
    </row>
    <row r="8135" spans="2:2">
      <c r="B8135" s="21"/>
    </row>
    <row r="8136" spans="2:2">
      <c r="B8136" s="21"/>
    </row>
    <row r="8137" spans="2:2">
      <c r="B8137" s="21"/>
    </row>
    <row r="8138" spans="2:2">
      <c r="B8138" s="21"/>
    </row>
    <row r="8139" spans="2:2">
      <c r="B8139" s="21"/>
    </row>
    <row r="8140" spans="2:2">
      <c r="B8140" s="21"/>
    </row>
    <row r="8141" spans="2:2">
      <c r="B8141" s="21"/>
    </row>
    <row r="8142" spans="2:2">
      <c r="B8142" s="21"/>
    </row>
    <row r="8143" spans="2:2">
      <c r="B8143" s="21"/>
    </row>
    <row r="8144" spans="2:2">
      <c r="B8144" s="21"/>
    </row>
    <row r="8145" spans="2:2">
      <c r="B8145" s="21"/>
    </row>
    <row r="8146" spans="2:2">
      <c r="B8146" s="21"/>
    </row>
    <row r="8147" spans="2:2">
      <c r="B8147" s="21"/>
    </row>
    <row r="8148" spans="2:2">
      <c r="B8148" s="21"/>
    </row>
    <row r="8149" spans="2:2">
      <c r="B8149" s="21"/>
    </row>
    <row r="8150" spans="2:2">
      <c r="B8150" s="21"/>
    </row>
    <row r="8151" spans="2:2">
      <c r="B8151" s="21"/>
    </row>
    <row r="8152" spans="2:2">
      <c r="B8152" s="21"/>
    </row>
    <row r="8153" spans="2:2">
      <c r="B8153" s="21"/>
    </row>
    <row r="8154" spans="2:2">
      <c r="B8154" s="21"/>
    </row>
    <row r="8155" spans="2:2">
      <c r="B8155" s="21"/>
    </row>
    <row r="8156" spans="2:2">
      <c r="B8156" s="21"/>
    </row>
    <row r="8157" spans="2:2">
      <c r="B8157" s="21"/>
    </row>
    <row r="8158" spans="2:2">
      <c r="B8158" s="21"/>
    </row>
    <row r="8159" spans="2:2">
      <c r="B8159" s="21"/>
    </row>
    <row r="8160" spans="2:2">
      <c r="B8160" s="21"/>
    </row>
    <row r="8161" spans="2:2">
      <c r="B8161" s="21"/>
    </row>
    <row r="8162" spans="2:2">
      <c r="B8162" s="21"/>
    </row>
    <row r="8163" spans="2:2">
      <c r="B8163" s="21"/>
    </row>
    <row r="8164" spans="2:2">
      <c r="B8164" s="21"/>
    </row>
    <row r="8165" spans="2:2">
      <c r="B8165" s="21"/>
    </row>
    <row r="8166" spans="2:2">
      <c r="B8166" s="21"/>
    </row>
    <row r="8167" spans="2:2">
      <c r="B8167" s="21"/>
    </row>
    <row r="8168" spans="2:2">
      <c r="B8168" s="21"/>
    </row>
    <row r="8169" spans="2:2">
      <c r="B8169" s="21"/>
    </row>
    <row r="8170" spans="2:2">
      <c r="B8170" s="21"/>
    </row>
    <row r="8171" spans="2:2">
      <c r="B8171" s="21"/>
    </row>
    <row r="8172" spans="2:2">
      <c r="B8172" s="21"/>
    </row>
    <row r="8173" spans="2:2">
      <c r="B8173" s="21"/>
    </row>
    <row r="8174" spans="2:2">
      <c r="B8174" s="21"/>
    </row>
    <row r="8175" spans="2:2">
      <c r="B8175" s="21"/>
    </row>
    <row r="8176" spans="2:2">
      <c r="B8176" s="21"/>
    </row>
    <row r="8177" spans="2:2">
      <c r="B8177" s="21"/>
    </row>
    <row r="8178" spans="2:2">
      <c r="B8178" s="21"/>
    </row>
    <row r="8179" spans="2:2">
      <c r="B8179" s="21"/>
    </row>
    <row r="8180" spans="2:2">
      <c r="B8180" s="21"/>
    </row>
    <row r="8181" spans="2:2">
      <c r="B8181" s="21"/>
    </row>
    <row r="8182" spans="2:2">
      <c r="B8182" s="21"/>
    </row>
    <row r="8183" spans="2:2">
      <c r="B8183" s="21"/>
    </row>
    <row r="8184" spans="2:2">
      <c r="B8184" s="21"/>
    </row>
    <row r="8185" spans="2:2">
      <c r="B8185" s="21"/>
    </row>
    <row r="8186" spans="2:2">
      <c r="B8186" s="21"/>
    </row>
    <row r="8187" spans="2:2">
      <c r="B8187" s="21"/>
    </row>
    <row r="8188" spans="2:2">
      <c r="B8188" s="21"/>
    </row>
    <row r="8189" spans="2:2">
      <c r="B8189" s="21"/>
    </row>
    <row r="8190" spans="2:2">
      <c r="B8190" s="21"/>
    </row>
    <row r="8191" spans="2:2">
      <c r="B8191" s="21"/>
    </row>
    <row r="8192" spans="2:2">
      <c r="B8192" s="21"/>
    </row>
    <row r="8193" spans="2:2">
      <c r="B8193" s="21"/>
    </row>
    <row r="8194" spans="2:2">
      <c r="B8194" s="21"/>
    </row>
    <row r="8195" spans="2:2">
      <c r="B8195" s="21"/>
    </row>
    <row r="8196" spans="2:2">
      <c r="B8196" s="21"/>
    </row>
    <row r="8197" spans="2:2">
      <c r="B8197" s="21"/>
    </row>
    <row r="8198" spans="2:2">
      <c r="B8198" s="21"/>
    </row>
    <row r="8199" spans="2:2">
      <c r="B8199" s="21"/>
    </row>
    <row r="8200" spans="2:2">
      <c r="B8200" s="21"/>
    </row>
    <row r="8201" spans="2:2">
      <c r="B8201" s="21"/>
    </row>
    <row r="8202" spans="2:2">
      <c r="B8202" s="21"/>
    </row>
    <row r="8203" spans="2:2">
      <c r="B8203" s="21"/>
    </row>
    <row r="8204" spans="2:2">
      <c r="B8204" s="21"/>
    </row>
    <row r="8205" spans="2:2">
      <c r="B8205" s="21"/>
    </row>
    <row r="8206" spans="2:2">
      <c r="B8206" s="21"/>
    </row>
    <row r="8207" spans="2:2">
      <c r="B8207" s="21"/>
    </row>
    <row r="8208" spans="2:2">
      <c r="B8208" s="21"/>
    </row>
    <row r="8209" spans="2:2">
      <c r="B8209" s="21"/>
    </row>
    <row r="8210" spans="2:2">
      <c r="B8210" s="21"/>
    </row>
    <row r="8211" spans="2:2">
      <c r="B8211" s="21"/>
    </row>
    <row r="8212" spans="2:2">
      <c r="B8212" s="21"/>
    </row>
    <row r="8213" spans="2:2">
      <c r="B8213" s="21"/>
    </row>
    <row r="8214" spans="2:2">
      <c r="B8214" s="21"/>
    </row>
    <row r="8215" spans="2:2">
      <c r="B8215" s="21"/>
    </row>
    <row r="8216" spans="2:2">
      <c r="B8216" s="21"/>
    </row>
    <row r="8217" spans="2:2">
      <c r="B8217" s="21"/>
    </row>
    <row r="8218" spans="2:2">
      <c r="B8218" s="21"/>
    </row>
    <row r="8219" spans="2:2">
      <c r="B8219" s="21"/>
    </row>
    <row r="8220" spans="2:2">
      <c r="B8220" s="21"/>
    </row>
    <row r="8221" spans="2:2">
      <c r="B8221" s="21"/>
    </row>
    <row r="8222" spans="2:2">
      <c r="B8222" s="21"/>
    </row>
    <row r="8223" spans="2:2">
      <c r="B8223" s="21"/>
    </row>
    <row r="8224" spans="2:2">
      <c r="B8224" s="21"/>
    </row>
    <row r="8225" spans="2:2">
      <c r="B8225" s="21"/>
    </row>
    <row r="8226" spans="2:2">
      <c r="B8226" s="21"/>
    </row>
    <row r="8227" spans="2:2">
      <c r="B8227" s="21"/>
    </row>
    <row r="8228" spans="2:2">
      <c r="B8228" s="21"/>
    </row>
    <row r="8229" spans="2:2">
      <c r="B8229" s="21"/>
    </row>
    <row r="8230" spans="2:2">
      <c r="B8230" s="21"/>
    </row>
    <row r="8231" spans="2:2">
      <c r="B8231" s="21"/>
    </row>
    <row r="8232" spans="2:2">
      <c r="B8232" s="21"/>
    </row>
    <row r="8233" spans="2:2">
      <c r="B8233" s="21"/>
    </row>
    <row r="8234" spans="2:2">
      <c r="B8234" s="21"/>
    </row>
    <row r="8235" spans="2:2">
      <c r="B8235" s="21"/>
    </row>
    <row r="8236" spans="2:2">
      <c r="B8236" s="21"/>
    </row>
    <row r="8237" spans="2:2">
      <c r="B8237" s="21"/>
    </row>
    <row r="8238" spans="2:2">
      <c r="B8238" s="21"/>
    </row>
    <row r="8239" spans="2:2">
      <c r="B8239" s="21"/>
    </row>
    <row r="8240" spans="2:2">
      <c r="B8240" s="21"/>
    </row>
    <row r="8241" spans="2:2">
      <c r="B8241" s="21"/>
    </row>
    <row r="8242" spans="2:2">
      <c r="B8242" s="21"/>
    </row>
    <row r="8243" spans="2:2">
      <c r="B8243" s="21"/>
    </row>
    <row r="8244" spans="2:2">
      <c r="B8244" s="21"/>
    </row>
    <row r="8245" spans="2:2">
      <c r="B8245" s="21"/>
    </row>
    <row r="8246" spans="2:2">
      <c r="B8246" s="21"/>
    </row>
    <row r="8247" spans="2:2">
      <c r="B8247" s="21"/>
    </row>
    <row r="8248" spans="2:2">
      <c r="B8248" s="21"/>
    </row>
    <row r="8249" spans="2:2">
      <c r="B8249" s="21"/>
    </row>
    <row r="8250" spans="2:2">
      <c r="B8250" s="21"/>
    </row>
    <row r="8251" spans="2:2">
      <c r="B8251" s="21"/>
    </row>
    <row r="8252" spans="2:2">
      <c r="B8252" s="21"/>
    </row>
    <row r="8253" spans="2:2">
      <c r="B8253" s="21"/>
    </row>
    <row r="8254" spans="2:2">
      <c r="B8254" s="21"/>
    </row>
    <row r="8255" spans="2:2">
      <c r="B8255" s="21"/>
    </row>
    <row r="8256" spans="2:2">
      <c r="B8256" s="21"/>
    </row>
    <row r="8257" spans="2:2">
      <c r="B8257" s="21"/>
    </row>
    <row r="8258" spans="2:2">
      <c r="B8258" s="21"/>
    </row>
    <row r="8259" spans="2:2">
      <c r="B8259" s="21"/>
    </row>
    <row r="8260" spans="2:2">
      <c r="B8260" s="21"/>
    </row>
    <row r="8261" spans="2:2">
      <c r="B8261" s="21"/>
    </row>
    <row r="8262" spans="2:2">
      <c r="B8262" s="21"/>
    </row>
    <row r="8263" spans="2:2">
      <c r="B8263" s="21"/>
    </row>
    <row r="8264" spans="2:2">
      <c r="B8264" s="21"/>
    </row>
    <row r="8265" spans="2:2">
      <c r="B8265" s="21"/>
    </row>
    <row r="8266" spans="2:2">
      <c r="B8266" s="21"/>
    </row>
    <row r="8267" spans="2:2">
      <c r="B8267" s="21"/>
    </row>
    <row r="8268" spans="2:2">
      <c r="B8268" s="21"/>
    </row>
    <row r="8269" spans="2:2">
      <c r="B8269" s="21"/>
    </row>
    <row r="8270" spans="2:2">
      <c r="B8270" s="21"/>
    </row>
    <row r="8271" spans="2:2">
      <c r="B8271" s="21"/>
    </row>
    <row r="8272" spans="2:2">
      <c r="B8272" s="21"/>
    </row>
    <row r="8273" spans="2:2">
      <c r="B8273" s="21"/>
    </row>
    <row r="8274" spans="2:2">
      <c r="B8274" s="21"/>
    </row>
    <row r="8275" spans="2:2">
      <c r="B8275" s="21"/>
    </row>
    <row r="8276" spans="2:2">
      <c r="B8276" s="21"/>
    </row>
    <row r="8277" spans="2:2">
      <c r="B8277" s="21"/>
    </row>
    <row r="8278" spans="2:2">
      <c r="B8278" s="21"/>
    </row>
    <row r="8279" spans="2:2">
      <c r="B8279" s="21"/>
    </row>
    <row r="8280" spans="2:2">
      <c r="B8280" s="21"/>
    </row>
    <row r="8281" spans="2:2">
      <c r="B8281" s="21"/>
    </row>
    <row r="8282" spans="2:2">
      <c r="B8282" s="21"/>
    </row>
    <row r="8283" spans="2:2">
      <c r="B8283" s="21"/>
    </row>
    <row r="8284" spans="2:2">
      <c r="B8284" s="21"/>
    </row>
    <row r="8285" spans="2:2">
      <c r="B8285" s="21"/>
    </row>
    <row r="8286" spans="2:2">
      <c r="B8286" s="21"/>
    </row>
    <row r="8287" spans="2:2">
      <c r="B8287" s="21"/>
    </row>
    <row r="8288" spans="2:2">
      <c r="B8288" s="21"/>
    </row>
    <row r="8289" spans="2:2">
      <c r="B8289" s="21"/>
    </row>
    <row r="8290" spans="2:2">
      <c r="B8290" s="21"/>
    </row>
    <row r="8291" spans="2:2">
      <c r="B8291" s="21"/>
    </row>
    <row r="8292" spans="2:2">
      <c r="B8292" s="21"/>
    </row>
    <row r="8293" spans="2:2">
      <c r="B8293" s="21"/>
    </row>
    <row r="8294" spans="2:2">
      <c r="B8294" s="21"/>
    </row>
    <row r="8295" spans="2:2">
      <c r="B8295" s="21"/>
    </row>
    <row r="8296" spans="2:2">
      <c r="B8296" s="21"/>
    </row>
    <row r="8297" spans="2:2">
      <c r="B8297" s="21"/>
    </row>
    <row r="8298" spans="2:2">
      <c r="B8298" s="21"/>
    </row>
    <row r="8299" spans="2:2">
      <c r="B8299" s="21"/>
    </row>
    <row r="8300" spans="2:2">
      <c r="B8300" s="21"/>
    </row>
    <row r="8301" spans="2:2">
      <c r="B8301" s="21"/>
    </row>
    <row r="8302" spans="2:2">
      <c r="B8302" s="21"/>
    </row>
    <row r="8303" spans="2:2">
      <c r="B8303" s="21"/>
    </row>
    <row r="8304" spans="2:2">
      <c r="B8304" s="21"/>
    </row>
    <row r="8305" spans="2:2">
      <c r="B8305" s="21"/>
    </row>
    <row r="8306" spans="2:2">
      <c r="B8306" s="21"/>
    </row>
    <row r="8307" spans="2:2">
      <c r="B8307" s="21"/>
    </row>
    <row r="8308" spans="2:2">
      <c r="B8308" s="21"/>
    </row>
    <row r="8309" spans="2:2">
      <c r="B8309" s="21"/>
    </row>
    <row r="8310" spans="2:2">
      <c r="B8310" s="21"/>
    </row>
    <row r="8311" spans="2:2">
      <c r="B8311" s="21"/>
    </row>
    <row r="8312" spans="2:2">
      <c r="B8312" s="21"/>
    </row>
    <row r="8313" spans="2:2">
      <c r="B8313" s="21"/>
    </row>
    <row r="8314" spans="2:2">
      <c r="B8314" s="21"/>
    </row>
    <row r="8315" spans="2:2">
      <c r="B8315" s="21"/>
    </row>
    <row r="8316" spans="2:2">
      <c r="B8316" s="21"/>
    </row>
    <row r="8317" spans="2:2">
      <c r="B8317" s="21"/>
    </row>
    <row r="8318" spans="2:2">
      <c r="B8318" s="21"/>
    </row>
    <row r="8319" spans="2:2">
      <c r="B8319" s="21"/>
    </row>
    <row r="8320" spans="2:2">
      <c r="B8320" s="21"/>
    </row>
    <row r="8321" spans="2:2">
      <c r="B8321" s="21"/>
    </row>
    <row r="8322" spans="2:2">
      <c r="B8322" s="21"/>
    </row>
    <row r="8323" spans="2:2">
      <c r="B8323" s="21"/>
    </row>
    <row r="8324" spans="2:2">
      <c r="B8324" s="21"/>
    </row>
    <row r="8325" spans="2:2">
      <c r="B8325" s="21"/>
    </row>
    <row r="8326" spans="2:2">
      <c r="B8326" s="21"/>
    </row>
    <row r="8327" spans="2:2">
      <c r="B8327" s="21"/>
    </row>
    <row r="8328" spans="2:2">
      <c r="B8328" s="21"/>
    </row>
    <row r="8329" spans="2:2">
      <c r="B8329" s="21"/>
    </row>
    <row r="8330" spans="2:2">
      <c r="B8330" s="21"/>
    </row>
    <row r="8331" spans="2:2">
      <c r="B8331" s="21"/>
    </row>
    <row r="8332" spans="2:2">
      <c r="B8332" s="21"/>
    </row>
    <row r="8333" spans="2:2">
      <c r="B8333" s="21"/>
    </row>
    <row r="8334" spans="2:2">
      <c r="B8334" s="21"/>
    </row>
    <row r="8335" spans="2:2">
      <c r="B8335" s="21"/>
    </row>
    <row r="8336" spans="2:2">
      <c r="B8336" s="21"/>
    </row>
    <row r="8337" spans="2:2">
      <c r="B8337" s="21"/>
    </row>
    <row r="8338" spans="2:2">
      <c r="B8338" s="21"/>
    </row>
    <row r="8339" spans="2:2">
      <c r="B8339" s="21"/>
    </row>
    <row r="8340" spans="2:2">
      <c r="B8340" s="21"/>
    </row>
    <row r="8341" spans="2:2">
      <c r="B8341" s="21"/>
    </row>
    <row r="8342" spans="2:2">
      <c r="B8342" s="21"/>
    </row>
    <row r="8343" spans="2:2">
      <c r="B8343" s="21"/>
    </row>
    <row r="8344" spans="2:2">
      <c r="B8344" s="21"/>
    </row>
    <row r="8345" spans="2:2">
      <c r="B8345" s="21"/>
    </row>
    <row r="8346" spans="2:2">
      <c r="B8346" s="21"/>
    </row>
    <row r="8347" spans="2:2">
      <c r="B8347" s="21"/>
    </row>
    <row r="8348" spans="2:2">
      <c r="B8348" s="21"/>
    </row>
    <row r="8349" spans="2:2">
      <c r="B8349" s="21"/>
    </row>
    <row r="8350" spans="2:2">
      <c r="B8350" s="21"/>
    </row>
    <row r="8351" spans="2:2">
      <c r="B8351" s="21"/>
    </row>
    <row r="8352" spans="2:2">
      <c r="B8352" s="21"/>
    </row>
    <row r="8353" spans="2:2">
      <c r="B8353" s="21"/>
    </row>
    <row r="8354" spans="2:2">
      <c r="B8354" s="21"/>
    </row>
    <row r="8355" spans="2:2">
      <c r="B8355" s="21"/>
    </row>
    <row r="8356" spans="2:2">
      <c r="B8356" s="21"/>
    </row>
    <row r="8357" spans="2:2">
      <c r="B8357" s="21"/>
    </row>
    <row r="8358" spans="2:2">
      <c r="B8358" s="21"/>
    </row>
    <row r="8359" spans="2:2">
      <c r="B8359" s="21"/>
    </row>
    <row r="8360" spans="2:2">
      <c r="B8360" s="21"/>
    </row>
    <row r="8361" spans="2:2">
      <c r="B8361" s="21"/>
    </row>
    <row r="8362" spans="2:2">
      <c r="B8362" s="21"/>
    </row>
    <row r="8363" spans="2:2">
      <c r="B8363" s="21"/>
    </row>
    <row r="8364" spans="2:2">
      <c r="B8364" s="21"/>
    </row>
    <row r="8365" spans="2:2">
      <c r="B8365" s="21"/>
    </row>
    <row r="8366" spans="2:2">
      <c r="B8366" s="21"/>
    </row>
    <row r="8367" spans="2:2">
      <c r="B8367" s="21"/>
    </row>
    <row r="8368" spans="2:2">
      <c r="B8368" s="21"/>
    </row>
    <row r="8369" spans="2:2">
      <c r="B8369" s="21"/>
    </row>
    <row r="8370" spans="2:2">
      <c r="B8370" s="21"/>
    </row>
    <row r="8371" spans="2:2">
      <c r="B8371" s="21"/>
    </row>
    <row r="8372" spans="2:2">
      <c r="B8372" s="21"/>
    </row>
    <row r="8373" spans="2:2">
      <c r="B8373" s="21"/>
    </row>
    <row r="8374" spans="2:2">
      <c r="B8374" s="21"/>
    </row>
    <row r="8375" spans="2:2">
      <c r="B8375" s="21"/>
    </row>
    <row r="8376" spans="2:2">
      <c r="B8376" s="21"/>
    </row>
    <row r="8377" spans="2:2">
      <c r="B8377" s="21"/>
    </row>
    <row r="8378" spans="2:2">
      <c r="B8378" s="21"/>
    </row>
    <row r="8379" spans="2:2">
      <c r="B8379" s="21"/>
    </row>
    <row r="8380" spans="2:2">
      <c r="B8380" s="21"/>
    </row>
    <row r="8381" spans="2:2">
      <c r="B8381" s="21"/>
    </row>
    <row r="8382" spans="2:2">
      <c r="B8382" s="21"/>
    </row>
    <row r="8383" spans="2:2">
      <c r="B8383" s="21"/>
    </row>
    <row r="8384" spans="2:2">
      <c r="B8384" s="21"/>
    </row>
    <row r="8385" spans="2:2">
      <c r="B8385" s="21"/>
    </row>
    <row r="8386" spans="2:2">
      <c r="B8386" s="21"/>
    </row>
    <row r="8387" spans="2:2">
      <c r="B8387" s="21"/>
    </row>
    <row r="8388" spans="2:2">
      <c r="B8388" s="21"/>
    </row>
    <row r="8389" spans="2:2">
      <c r="B8389" s="21"/>
    </row>
    <row r="8390" spans="2:2">
      <c r="B8390" s="21"/>
    </row>
    <row r="8391" spans="2:2">
      <c r="B8391" s="21"/>
    </row>
    <row r="8392" spans="2:2">
      <c r="B8392" s="21"/>
    </row>
    <row r="8393" spans="2:2">
      <c r="B8393" s="21"/>
    </row>
    <row r="8394" spans="2:2">
      <c r="B8394" s="21"/>
    </row>
    <row r="8395" spans="2:2">
      <c r="B8395" s="21"/>
    </row>
    <row r="8396" spans="2:2">
      <c r="B8396" s="21"/>
    </row>
    <row r="8397" spans="2:2">
      <c r="B8397" s="21"/>
    </row>
    <row r="8398" spans="2:2">
      <c r="B8398" s="21"/>
    </row>
    <row r="8399" spans="2:2">
      <c r="B8399" s="21"/>
    </row>
    <row r="8400" spans="2:2">
      <c r="B8400" s="21"/>
    </row>
    <row r="8401" spans="2:2">
      <c r="B8401" s="21"/>
    </row>
    <row r="8402" spans="2:2">
      <c r="B8402" s="21"/>
    </row>
    <row r="8403" spans="2:2">
      <c r="B8403" s="21"/>
    </row>
    <row r="8404" spans="2:2">
      <c r="B8404" s="21"/>
    </row>
    <row r="8405" spans="2:2">
      <c r="B8405" s="21"/>
    </row>
    <row r="8406" spans="2:2">
      <c r="B8406" s="21"/>
    </row>
    <row r="8407" spans="2:2">
      <c r="B8407" s="21"/>
    </row>
    <row r="8408" spans="2:2">
      <c r="B8408" s="21"/>
    </row>
    <row r="8409" spans="2:2">
      <c r="B8409" s="21"/>
    </row>
    <row r="8410" spans="2:2">
      <c r="B8410" s="21"/>
    </row>
    <row r="8411" spans="2:2">
      <c r="B8411" s="21"/>
    </row>
    <row r="8412" spans="2:2">
      <c r="B8412" s="21"/>
    </row>
    <row r="8413" spans="2:2">
      <c r="B8413" s="21"/>
    </row>
    <row r="8414" spans="2:2">
      <c r="B8414" s="21"/>
    </row>
    <row r="8415" spans="2:2">
      <c r="B8415" s="21"/>
    </row>
    <row r="8416" spans="2:2">
      <c r="B8416" s="21"/>
    </row>
    <row r="8417" spans="2:2">
      <c r="B8417" s="21"/>
    </row>
    <row r="8418" spans="2:2">
      <c r="B8418" s="21"/>
    </row>
    <row r="8419" spans="2:2">
      <c r="B8419" s="21"/>
    </row>
    <row r="8420" spans="2:2">
      <c r="B8420" s="21"/>
    </row>
    <row r="8421" spans="2:2">
      <c r="B8421" s="21"/>
    </row>
    <row r="8422" spans="2:2">
      <c r="B8422" s="21"/>
    </row>
    <row r="8423" spans="2:2">
      <c r="B8423" s="21"/>
    </row>
    <row r="8424" spans="2:2">
      <c r="B8424" s="21"/>
    </row>
    <row r="8425" spans="2:2">
      <c r="B8425" s="21"/>
    </row>
    <row r="8426" spans="2:2">
      <c r="B8426" s="21"/>
    </row>
    <row r="8427" spans="2:2">
      <c r="B8427" s="21"/>
    </row>
    <row r="8428" spans="2:2">
      <c r="B8428" s="21"/>
    </row>
    <row r="8429" spans="2:2">
      <c r="B8429" s="21"/>
    </row>
    <row r="8430" spans="2:2">
      <c r="B8430" s="21"/>
    </row>
    <row r="8431" spans="2:2">
      <c r="B8431" s="21"/>
    </row>
    <row r="8432" spans="2:2">
      <c r="B8432" s="21"/>
    </row>
    <row r="8433" spans="2:2">
      <c r="B8433" s="21"/>
    </row>
    <row r="8434" spans="2:2">
      <c r="B8434" s="21"/>
    </row>
    <row r="8435" spans="2:2">
      <c r="B8435" s="21"/>
    </row>
    <row r="8436" spans="2:2">
      <c r="B8436" s="21"/>
    </row>
    <row r="8437" spans="2:2">
      <c r="B8437" s="21"/>
    </row>
    <row r="8438" spans="2:2">
      <c r="B8438" s="21"/>
    </row>
    <row r="8439" spans="2:2">
      <c r="B8439" s="21"/>
    </row>
    <row r="8440" spans="2:2">
      <c r="B8440" s="21"/>
    </row>
    <row r="8441" spans="2:2">
      <c r="B8441" s="21"/>
    </row>
    <row r="8442" spans="2:2">
      <c r="B8442" s="21"/>
    </row>
    <row r="8443" spans="2:2">
      <c r="B8443" s="21"/>
    </row>
    <row r="8444" spans="2:2">
      <c r="B8444" s="21"/>
    </row>
    <row r="8445" spans="2:2">
      <c r="B8445" s="21"/>
    </row>
    <row r="8446" spans="2:2">
      <c r="B8446" s="21"/>
    </row>
    <row r="8447" spans="2:2">
      <c r="B8447" s="21"/>
    </row>
    <row r="8448" spans="2:2">
      <c r="B8448" s="21"/>
    </row>
    <row r="8449" spans="2:2">
      <c r="B8449" s="21"/>
    </row>
    <row r="8450" spans="2:2">
      <c r="B8450" s="21"/>
    </row>
    <row r="8451" spans="2:2">
      <c r="B8451" s="21"/>
    </row>
    <row r="8452" spans="2:2">
      <c r="B8452" s="21"/>
    </row>
    <row r="8453" spans="2:2">
      <c r="B8453" s="21"/>
    </row>
    <row r="8454" spans="2:2">
      <c r="B8454" s="21"/>
    </row>
    <row r="8455" spans="2:2">
      <c r="B8455" s="21"/>
    </row>
    <row r="8456" spans="2:2">
      <c r="B8456" s="21"/>
    </row>
    <row r="8457" spans="2:2">
      <c r="B8457" s="21"/>
    </row>
    <row r="8458" spans="2:2">
      <c r="B8458" s="21"/>
    </row>
    <row r="8459" spans="2:2">
      <c r="B8459" s="21"/>
    </row>
    <row r="8460" spans="2:2">
      <c r="B8460" s="21"/>
    </row>
    <row r="8461" spans="2:2">
      <c r="B8461" s="21"/>
    </row>
    <row r="8462" spans="2:2">
      <c r="B8462" s="21"/>
    </row>
    <row r="8463" spans="2:2">
      <c r="B8463" s="21"/>
    </row>
    <row r="8464" spans="2:2">
      <c r="B8464" s="21"/>
    </row>
    <row r="8465" spans="2:2">
      <c r="B8465" s="21"/>
    </row>
    <row r="8466" spans="2:2">
      <c r="B8466" s="21"/>
    </row>
    <row r="8467" spans="2:2">
      <c r="B8467" s="21"/>
    </row>
    <row r="8468" spans="2:2">
      <c r="B8468" s="21"/>
    </row>
    <row r="8469" spans="2:2">
      <c r="B8469" s="21"/>
    </row>
    <row r="8470" spans="2:2">
      <c r="B8470" s="21"/>
    </row>
    <row r="8471" spans="2:2">
      <c r="B8471" s="21"/>
    </row>
    <row r="8472" spans="2:2">
      <c r="B8472" s="21"/>
    </row>
    <row r="8473" spans="2:2">
      <c r="B8473" s="21"/>
    </row>
    <row r="8474" spans="2:2">
      <c r="B8474" s="21"/>
    </row>
    <row r="8475" spans="2:2">
      <c r="B8475" s="21"/>
    </row>
    <row r="8476" spans="2:2">
      <c r="B8476" s="21"/>
    </row>
    <row r="8477" spans="2:2">
      <c r="B8477" s="21"/>
    </row>
    <row r="8478" spans="2:2">
      <c r="B8478" s="21"/>
    </row>
    <row r="8479" spans="2:2">
      <c r="B8479" s="21"/>
    </row>
    <row r="8480" spans="2:2">
      <c r="B8480" s="21"/>
    </row>
    <row r="8481" spans="2:2">
      <c r="B8481" s="21"/>
    </row>
    <row r="8482" spans="2:2">
      <c r="B8482" s="21"/>
    </row>
    <row r="8483" spans="2:2">
      <c r="B8483" s="21"/>
    </row>
    <row r="8484" spans="2:2">
      <c r="B8484" s="21"/>
    </row>
    <row r="8485" spans="2:2">
      <c r="B8485" s="21"/>
    </row>
    <row r="8486" spans="2:2">
      <c r="B8486" s="21"/>
    </row>
    <row r="8487" spans="2:2">
      <c r="B8487" s="21"/>
    </row>
    <row r="8488" spans="2:2">
      <c r="B8488" s="21"/>
    </row>
    <row r="8489" spans="2:2">
      <c r="B8489" s="21"/>
    </row>
    <row r="8490" spans="2:2">
      <c r="B8490" s="21"/>
    </row>
    <row r="8491" spans="2:2">
      <c r="B8491" s="21"/>
    </row>
    <row r="8492" spans="2:2">
      <c r="B8492" s="21"/>
    </row>
    <row r="8493" spans="2:2">
      <c r="B8493" s="21"/>
    </row>
    <row r="8494" spans="2:2">
      <c r="B8494" s="21"/>
    </row>
    <row r="8495" spans="2:2">
      <c r="B8495" s="21"/>
    </row>
    <row r="8496" spans="2:2">
      <c r="B8496" s="21"/>
    </row>
    <row r="8497" spans="2:2">
      <c r="B8497" s="21"/>
    </row>
    <row r="8498" spans="2:2">
      <c r="B8498" s="21"/>
    </row>
    <row r="8499" spans="2:2">
      <c r="B8499" s="21"/>
    </row>
    <row r="8500" spans="2:2">
      <c r="B8500" s="21"/>
    </row>
    <row r="8501" spans="2:2">
      <c r="B8501" s="21"/>
    </row>
    <row r="8502" spans="2:2">
      <c r="B8502" s="21"/>
    </row>
    <row r="8503" spans="2:2">
      <c r="B8503" s="21"/>
    </row>
    <row r="8504" spans="2:2">
      <c r="B8504" s="21"/>
    </row>
    <row r="8505" spans="2:2">
      <c r="B8505" s="21"/>
    </row>
    <row r="8506" spans="2:2">
      <c r="B8506" s="21"/>
    </row>
    <row r="8507" spans="2:2">
      <c r="B8507" s="21"/>
    </row>
    <row r="8508" spans="2:2">
      <c r="B8508" s="21"/>
    </row>
    <row r="8509" spans="2:2">
      <c r="B8509" s="21"/>
    </row>
    <row r="8510" spans="2:2">
      <c r="B8510" s="21"/>
    </row>
    <row r="8511" spans="2:2">
      <c r="B8511" s="21"/>
    </row>
    <row r="8512" spans="2:2">
      <c r="B8512" s="21"/>
    </row>
    <row r="8513" spans="2:2">
      <c r="B8513" s="21"/>
    </row>
    <row r="8514" spans="2:2">
      <c r="B8514" s="21"/>
    </row>
    <row r="8515" spans="2:2">
      <c r="B8515" s="21"/>
    </row>
    <row r="8516" spans="2:2">
      <c r="B8516" s="21"/>
    </row>
    <row r="8517" spans="2:2">
      <c r="B8517" s="21"/>
    </row>
    <row r="8518" spans="2:2">
      <c r="B8518" s="21"/>
    </row>
    <row r="8519" spans="2:2">
      <c r="B8519" s="21"/>
    </row>
    <row r="8520" spans="2:2">
      <c r="B8520" s="21"/>
    </row>
    <row r="8521" spans="2:2">
      <c r="B8521" s="21"/>
    </row>
    <row r="8522" spans="2:2">
      <c r="B8522" s="21"/>
    </row>
    <row r="8523" spans="2:2">
      <c r="B8523" s="21"/>
    </row>
    <row r="8524" spans="2:2">
      <c r="B8524" s="21"/>
    </row>
    <row r="8525" spans="2:2">
      <c r="B8525" s="21"/>
    </row>
    <row r="8526" spans="2:2">
      <c r="B8526" s="21"/>
    </row>
    <row r="8527" spans="2:2">
      <c r="B8527" s="21"/>
    </row>
    <row r="8528" spans="2:2">
      <c r="B8528" s="21"/>
    </row>
    <row r="8529" spans="2:2">
      <c r="B8529" s="21"/>
    </row>
    <row r="8530" spans="2:2">
      <c r="B8530" s="21"/>
    </row>
    <row r="8531" spans="2:2">
      <c r="B8531" s="21"/>
    </row>
    <row r="8532" spans="2:2">
      <c r="B8532" s="21"/>
    </row>
    <row r="8533" spans="2:2">
      <c r="B8533" s="21"/>
    </row>
    <row r="8534" spans="2:2">
      <c r="B8534" s="21"/>
    </row>
    <row r="8535" spans="2:2">
      <c r="B8535" s="21"/>
    </row>
    <row r="8536" spans="2:2">
      <c r="B8536" s="21"/>
    </row>
    <row r="8537" spans="2:2">
      <c r="B8537" s="21"/>
    </row>
    <row r="8538" spans="2:2">
      <c r="B8538" s="21"/>
    </row>
    <row r="8539" spans="2:2">
      <c r="B8539" s="21"/>
    </row>
    <row r="8540" spans="2:2">
      <c r="B8540" s="21"/>
    </row>
    <row r="8541" spans="2:2">
      <c r="B8541" s="21"/>
    </row>
    <row r="8542" spans="2:2">
      <c r="B8542" s="21"/>
    </row>
    <row r="8543" spans="2:2">
      <c r="B8543" s="21"/>
    </row>
    <row r="8544" spans="2:2">
      <c r="B8544" s="21"/>
    </row>
    <row r="8545" spans="2:2">
      <c r="B8545" s="21"/>
    </row>
    <row r="8546" spans="2:2">
      <c r="B8546" s="21"/>
    </row>
    <row r="8547" spans="2:2">
      <c r="B8547" s="21"/>
    </row>
    <row r="8548" spans="2:2">
      <c r="B8548" s="21"/>
    </row>
    <row r="8549" spans="2:2">
      <c r="B8549" s="21"/>
    </row>
    <row r="8550" spans="2:2">
      <c r="B8550" s="21"/>
    </row>
    <row r="8551" spans="2:2">
      <c r="B8551" s="21"/>
    </row>
    <row r="8552" spans="2:2">
      <c r="B8552" s="21"/>
    </row>
    <row r="8553" spans="2:2">
      <c r="B8553" s="21"/>
    </row>
    <row r="8554" spans="2:2">
      <c r="B8554" s="21"/>
    </row>
    <row r="8555" spans="2:2">
      <c r="B8555" s="21"/>
    </row>
    <row r="8556" spans="2:2">
      <c r="B8556" s="21"/>
    </row>
    <row r="8557" spans="2:2">
      <c r="B8557" s="21"/>
    </row>
    <row r="8558" spans="2:2">
      <c r="B8558" s="21"/>
    </row>
    <row r="8559" spans="2:2">
      <c r="B8559" s="21"/>
    </row>
    <row r="8560" spans="2:2">
      <c r="B8560" s="21"/>
    </row>
    <row r="8561" spans="2:2">
      <c r="B8561" s="21"/>
    </row>
    <row r="8562" spans="2:2">
      <c r="B8562" s="21"/>
    </row>
    <row r="8563" spans="2:2">
      <c r="B8563" s="21"/>
    </row>
    <row r="8564" spans="2:2">
      <c r="B8564" s="21"/>
    </row>
    <row r="8565" spans="2:2">
      <c r="B8565" s="21"/>
    </row>
    <row r="8566" spans="2:2">
      <c r="B8566" s="21"/>
    </row>
    <row r="8567" spans="2:2">
      <c r="B8567" s="21"/>
    </row>
    <row r="8568" spans="2:2">
      <c r="B8568" s="21"/>
    </row>
    <row r="8569" spans="2:2">
      <c r="B8569" s="21"/>
    </row>
    <row r="8570" spans="2:2">
      <c r="B8570" s="21"/>
    </row>
    <row r="8571" spans="2:2">
      <c r="B8571" s="21"/>
    </row>
    <row r="8572" spans="2:2">
      <c r="B8572" s="21"/>
    </row>
    <row r="8573" spans="2:2">
      <c r="B8573" s="21"/>
    </row>
    <row r="8574" spans="2:2">
      <c r="B8574" s="21"/>
    </row>
    <row r="8575" spans="2:2">
      <c r="B8575" s="21"/>
    </row>
    <row r="8576" spans="2:2">
      <c r="B8576" s="21"/>
    </row>
    <row r="8577" spans="2:2">
      <c r="B8577" s="21"/>
    </row>
    <row r="8578" spans="2:2">
      <c r="B8578" s="21"/>
    </row>
    <row r="8579" spans="2:2">
      <c r="B8579" s="21"/>
    </row>
    <row r="8580" spans="2:2">
      <c r="B8580" s="21"/>
    </row>
    <row r="8581" spans="2:2">
      <c r="B8581" s="21"/>
    </row>
    <row r="8582" spans="2:2">
      <c r="B8582" s="21"/>
    </row>
    <row r="8583" spans="2:2">
      <c r="B8583" s="21"/>
    </row>
    <row r="8584" spans="2:2">
      <c r="B8584" s="21"/>
    </row>
    <row r="8585" spans="2:2">
      <c r="B8585" s="21"/>
    </row>
    <row r="8586" spans="2:2">
      <c r="B8586" s="21"/>
    </row>
    <row r="8587" spans="2:2">
      <c r="B8587" s="21"/>
    </row>
    <row r="8588" spans="2:2">
      <c r="B8588" s="21"/>
    </row>
    <row r="8589" spans="2:2">
      <c r="B8589" s="21"/>
    </row>
    <row r="8590" spans="2:2">
      <c r="B8590" s="21"/>
    </row>
    <row r="8591" spans="2:2">
      <c r="B8591" s="21"/>
    </row>
    <row r="8592" spans="2:2">
      <c r="B8592" s="21"/>
    </row>
    <row r="8593" spans="2:2">
      <c r="B8593" s="21"/>
    </row>
    <row r="8594" spans="2:2">
      <c r="B8594" s="21"/>
    </row>
    <row r="8595" spans="2:2">
      <c r="B8595" s="21"/>
    </row>
    <row r="8596" spans="2:2">
      <c r="B8596" s="21"/>
    </row>
    <row r="8597" spans="2:2">
      <c r="B8597" s="21"/>
    </row>
    <row r="8598" spans="2:2">
      <c r="B8598" s="21"/>
    </row>
    <row r="8599" spans="2:2">
      <c r="B8599" s="21"/>
    </row>
    <row r="8600" spans="2:2">
      <c r="B8600" s="21"/>
    </row>
    <row r="8601" spans="2:2">
      <c r="B8601" s="21"/>
    </row>
    <row r="8602" spans="2:2">
      <c r="B8602" s="21"/>
    </row>
    <row r="8603" spans="2:2">
      <c r="B8603" s="21"/>
    </row>
    <row r="8604" spans="2:2">
      <c r="B8604" s="21"/>
    </row>
    <row r="8605" spans="2:2">
      <c r="B8605" s="21"/>
    </row>
    <row r="8606" spans="2:2">
      <c r="B8606" s="21"/>
    </row>
    <row r="8607" spans="2:2">
      <c r="B8607" s="21"/>
    </row>
    <row r="8608" spans="2:2">
      <c r="B8608" s="21"/>
    </row>
    <row r="8609" spans="2:2">
      <c r="B8609" s="21"/>
    </row>
    <row r="8610" spans="2:2">
      <c r="B8610" s="21"/>
    </row>
    <row r="8611" spans="2:2">
      <c r="B8611" s="21"/>
    </row>
    <row r="8612" spans="2:2">
      <c r="B8612" s="21"/>
    </row>
    <row r="8613" spans="2:2">
      <c r="B8613" s="21"/>
    </row>
    <row r="8614" spans="2:2">
      <c r="B8614" s="21"/>
    </row>
    <row r="8615" spans="2:2">
      <c r="B8615" s="21"/>
    </row>
    <row r="8616" spans="2:2">
      <c r="B8616" s="21"/>
    </row>
    <row r="8617" spans="2:2">
      <c r="B8617" s="21"/>
    </row>
    <row r="8618" spans="2:2">
      <c r="B8618" s="21"/>
    </row>
    <row r="8619" spans="2:2">
      <c r="B8619" s="21"/>
    </row>
    <row r="8620" spans="2:2">
      <c r="B8620" s="21"/>
    </row>
    <row r="8621" spans="2:2">
      <c r="B8621" s="21"/>
    </row>
    <row r="8622" spans="2:2">
      <c r="B8622" s="21"/>
    </row>
    <row r="8623" spans="2:2">
      <c r="B8623" s="21"/>
    </row>
    <row r="8624" spans="2:2">
      <c r="B8624" s="21"/>
    </row>
    <row r="8625" spans="2:2">
      <c r="B8625" s="21"/>
    </row>
    <row r="8626" spans="2:2">
      <c r="B8626" s="21"/>
    </row>
    <row r="8627" spans="2:2">
      <c r="B8627" s="21"/>
    </row>
    <row r="8628" spans="2:2">
      <c r="B8628" s="21"/>
    </row>
    <row r="8629" spans="2:2">
      <c r="B8629" s="21"/>
    </row>
    <row r="8630" spans="2:2">
      <c r="B8630" s="21"/>
    </row>
    <row r="8631" spans="2:2">
      <c r="B8631" s="21"/>
    </row>
    <row r="8632" spans="2:2">
      <c r="B8632" s="21"/>
    </row>
    <row r="8633" spans="2:2">
      <c r="B8633" s="21"/>
    </row>
    <row r="8634" spans="2:2">
      <c r="B8634" s="21"/>
    </row>
    <row r="8635" spans="2:2">
      <c r="B8635" s="21"/>
    </row>
    <row r="8636" spans="2:2">
      <c r="B8636" s="21"/>
    </row>
    <row r="8637" spans="2:2">
      <c r="B8637" s="21"/>
    </row>
    <row r="8638" spans="2:2">
      <c r="B8638" s="21"/>
    </row>
    <row r="8639" spans="2:2">
      <c r="B8639" s="21"/>
    </row>
    <row r="8640" spans="2:2">
      <c r="B8640" s="21"/>
    </row>
    <row r="8641" spans="2:2">
      <c r="B8641" s="21"/>
    </row>
    <row r="8642" spans="2:2">
      <c r="B8642" s="21"/>
    </row>
    <row r="8643" spans="2:2">
      <c r="B8643" s="21"/>
    </row>
    <row r="8644" spans="2:2">
      <c r="B8644" s="21"/>
    </row>
    <row r="8645" spans="2:2">
      <c r="B8645" s="21"/>
    </row>
    <row r="8646" spans="2:2">
      <c r="B8646" s="21"/>
    </row>
    <row r="8647" spans="2:2">
      <c r="B8647" s="21"/>
    </row>
    <row r="8648" spans="2:2">
      <c r="B8648" s="21"/>
    </row>
    <row r="8649" spans="2:2">
      <c r="B8649" s="21"/>
    </row>
    <row r="8650" spans="2:2">
      <c r="B8650" s="21"/>
    </row>
    <row r="8651" spans="2:2">
      <c r="B8651" s="21"/>
    </row>
    <row r="8652" spans="2:2">
      <c r="B8652" s="21"/>
    </row>
    <row r="8653" spans="2:2">
      <c r="B8653" s="21"/>
    </row>
    <row r="8654" spans="2:2">
      <c r="B8654" s="21"/>
    </row>
    <row r="8655" spans="2:2">
      <c r="B8655" s="21"/>
    </row>
    <row r="8656" spans="2:2">
      <c r="B8656" s="21"/>
    </row>
    <row r="8657" spans="2:2">
      <c r="B8657" s="21"/>
    </row>
    <row r="8658" spans="2:2">
      <c r="B8658" s="21"/>
    </row>
    <row r="8659" spans="2:2">
      <c r="B8659" s="21"/>
    </row>
    <row r="8660" spans="2:2">
      <c r="B8660" s="21"/>
    </row>
    <row r="8661" spans="2:2">
      <c r="B8661" s="21"/>
    </row>
    <row r="8662" spans="2:2">
      <c r="B8662" s="21"/>
    </row>
    <row r="8663" spans="2:2">
      <c r="B8663" s="21"/>
    </row>
    <row r="8664" spans="2:2">
      <c r="B8664" s="21"/>
    </row>
    <row r="8665" spans="2:2">
      <c r="B8665" s="21"/>
    </row>
    <row r="8666" spans="2:2">
      <c r="B8666" s="21"/>
    </row>
    <row r="8667" spans="2:2">
      <c r="B8667" s="21"/>
    </row>
    <row r="8668" spans="2:2">
      <c r="B8668" s="21"/>
    </row>
    <row r="8669" spans="2:2">
      <c r="B8669" s="21"/>
    </row>
    <row r="8670" spans="2:2">
      <c r="B8670" s="21"/>
    </row>
    <row r="8671" spans="2:2">
      <c r="B8671" s="21"/>
    </row>
    <row r="8672" spans="2:2">
      <c r="B8672" s="21"/>
    </row>
    <row r="8673" spans="2:2">
      <c r="B8673" s="21"/>
    </row>
    <row r="8674" spans="2:2">
      <c r="B8674" s="21"/>
    </row>
    <row r="8675" spans="2:2">
      <c r="B8675" s="21"/>
    </row>
    <row r="8676" spans="2:2">
      <c r="B8676" s="21"/>
    </row>
    <row r="8677" spans="2:2">
      <c r="B8677" s="21"/>
    </row>
    <row r="8678" spans="2:2">
      <c r="B8678" s="21"/>
    </row>
    <row r="8679" spans="2:2">
      <c r="B8679" s="21"/>
    </row>
    <row r="8680" spans="2:2">
      <c r="B8680" s="21"/>
    </row>
    <row r="8681" spans="2:2">
      <c r="B8681" s="21"/>
    </row>
    <row r="8682" spans="2:2">
      <c r="B8682" s="21"/>
    </row>
    <row r="8683" spans="2:2">
      <c r="B8683" s="21"/>
    </row>
    <row r="8684" spans="2:2">
      <c r="B8684" s="21"/>
    </row>
    <row r="8685" spans="2:2">
      <c r="B8685" s="21"/>
    </row>
    <row r="8686" spans="2:2">
      <c r="B8686" s="21"/>
    </row>
    <row r="8687" spans="2:2">
      <c r="B8687" s="21"/>
    </row>
    <row r="8688" spans="2:2">
      <c r="B8688" s="21"/>
    </row>
    <row r="8689" spans="2:2">
      <c r="B8689" s="21"/>
    </row>
    <row r="8690" spans="2:2">
      <c r="B8690" s="21"/>
    </row>
    <row r="8691" spans="2:2">
      <c r="B8691" s="21"/>
    </row>
    <row r="8692" spans="2:2">
      <c r="B8692" s="21"/>
    </row>
    <row r="8693" spans="2:2">
      <c r="B8693" s="21"/>
    </row>
    <row r="8694" spans="2:2">
      <c r="B8694" s="21"/>
    </row>
    <row r="8695" spans="2:2">
      <c r="B8695" s="21"/>
    </row>
    <row r="8696" spans="2:2">
      <c r="B8696" s="21"/>
    </row>
    <row r="8697" spans="2:2">
      <c r="B8697" s="21"/>
    </row>
    <row r="8698" spans="2:2">
      <c r="B8698" s="21"/>
    </row>
    <row r="8699" spans="2:2">
      <c r="B8699" s="21"/>
    </row>
    <row r="8700" spans="2:2">
      <c r="B8700" s="21"/>
    </row>
    <row r="8701" spans="2:2">
      <c r="B8701" s="21"/>
    </row>
    <row r="8702" spans="2:2">
      <c r="B8702" s="21"/>
    </row>
    <row r="8703" spans="2:2">
      <c r="B8703" s="21"/>
    </row>
    <row r="8704" spans="2:2">
      <c r="B8704" s="21"/>
    </row>
    <row r="8705" spans="2:2">
      <c r="B8705" s="21"/>
    </row>
    <row r="8706" spans="2:2">
      <c r="B8706" s="21"/>
    </row>
    <row r="8707" spans="2:2">
      <c r="B8707" s="21"/>
    </row>
    <row r="8708" spans="2:2">
      <c r="B8708" s="21"/>
    </row>
    <row r="8709" spans="2:2">
      <c r="B8709" s="21"/>
    </row>
    <row r="8710" spans="2:2">
      <c r="B8710" s="21"/>
    </row>
    <row r="8711" spans="2:2">
      <c r="B8711" s="21"/>
    </row>
    <row r="8712" spans="2:2">
      <c r="B8712" s="21"/>
    </row>
    <row r="8713" spans="2:2">
      <c r="B8713" s="21"/>
    </row>
    <row r="8714" spans="2:2">
      <c r="B8714" s="21"/>
    </row>
    <row r="8715" spans="2:2">
      <c r="B8715" s="21"/>
    </row>
    <row r="8716" spans="2:2">
      <c r="B8716" s="21"/>
    </row>
    <row r="8717" spans="2:2">
      <c r="B8717" s="21"/>
    </row>
    <row r="8718" spans="2:2">
      <c r="B8718" s="21"/>
    </row>
    <row r="8719" spans="2:2">
      <c r="B8719" s="21"/>
    </row>
    <row r="8720" spans="2:2">
      <c r="B8720" s="21"/>
    </row>
    <row r="8721" spans="2:2">
      <c r="B8721" s="21"/>
    </row>
    <row r="8722" spans="2:2">
      <c r="B8722" s="21"/>
    </row>
    <row r="8723" spans="2:2">
      <c r="B8723" s="21"/>
    </row>
    <row r="8724" spans="2:2">
      <c r="B8724" s="21"/>
    </row>
    <row r="8725" spans="2:2">
      <c r="B8725" s="21"/>
    </row>
    <row r="8726" spans="2:2">
      <c r="B8726" s="21"/>
    </row>
    <row r="8727" spans="2:2">
      <c r="B8727" s="21"/>
    </row>
    <row r="8728" spans="2:2">
      <c r="B8728" s="21"/>
    </row>
    <row r="8729" spans="2:2">
      <c r="B8729" s="21"/>
    </row>
    <row r="8730" spans="2:2">
      <c r="B8730" s="21"/>
    </row>
    <row r="8731" spans="2:2">
      <c r="B8731" s="21"/>
    </row>
    <row r="8732" spans="2:2">
      <c r="B8732" s="21"/>
    </row>
    <row r="8733" spans="2:2">
      <c r="B8733" s="21"/>
    </row>
    <row r="8734" spans="2:2">
      <c r="B8734" s="21"/>
    </row>
    <row r="8735" spans="2:2">
      <c r="B8735" s="21"/>
    </row>
    <row r="8736" spans="2:2">
      <c r="B8736" s="21"/>
    </row>
    <row r="8737" spans="2:2">
      <c r="B8737" s="21"/>
    </row>
    <row r="8738" spans="2:2">
      <c r="B8738" s="21"/>
    </row>
    <row r="8739" spans="2:2">
      <c r="B8739" s="21"/>
    </row>
    <row r="8740" spans="2:2">
      <c r="B8740" s="21"/>
    </row>
    <row r="8741" spans="2:2">
      <c r="B8741" s="21"/>
    </row>
    <row r="8742" spans="2:2">
      <c r="B8742" s="21"/>
    </row>
    <row r="8743" spans="2:2">
      <c r="B8743" s="21"/>
    </row>
    <row r="8744" spans="2:2">
      <c r="B8744" s="21"/>
    </row>
    <row r="8745" spans="2:2">
      <c r="B8745" s="21"/>
    </row>
    <row r="8746" spans="2:2">
      <c r="B8746" s="21"/>
    </row>
    <row r="8747" spans="2:2">
      <c r="B8747" s="21"/>
    </row>
    <row r="8748" spans="2:2">
      <c r="B8748" s="21"/>
    </row>
    <row r="8749" spans="2:2">
      <c r="B8749" s="21"/>
    </row>
    <row r="8750" spans="2:2">
      <c r="B8750" s="21"/>
    </row>
    <row r="8751" spans="2:2">
      <c r="B8751" s="21"/>
    </row>
    <row r="8752" spans="2:2">
      <c r="B8752" s="21"/>
    </row>
    <row r="8753" spans="2:2">
      <c r="B8753" s="21"/>
    </row>
    <row r="8754" spans="2:2">
      <c r="B8754" s="21"/>
    </row>
    <row r="8755" spans="2:2">
      <c r="B8755" s="21"/>
    </row>
    <row r="8756" spans="2:2">
      <c r="B8756" s="21"/>
    </row>
    <row r="8757" spans="2:2">
      <c r="B8757" s="21"/>
    </row>
    <row r="8758" spans="2:2">
      <c r="B8758" s="21"/>
    </row>
    <row r="8759" spans="2:2">
      <c r="B8759" s="21"/>
    </row>
    <row r="8760" spans="2:2">
      <c r="B8760" s="21"/>
    </row>
    <row r="8761" spans="2:2">
      <c r="B8761" s="21"/>
    </row>
    <row r="8762" spans="2:2">
      <c r="B8762" s="21"/>
    </row>
    <row r="8763" spans="2:2">
      <c r="B8763" s="21"/>
    </row>
    <row r="8764" spans="2:2">
      <c r="B8764" s="21"/>
    </row>
    <row r="8765" spans="2:2">
      <c r="B8765" s="21"/>
    </row>
    <row r="8766" spans="2:2">
      <c r="B8766" s="21"/>
    </row>
    <row r="8767" spans="2:2">
      <c r="B8767" s="21"/>
    </row>
    <row r="8768" spans="2:2">
      <c r="B8768" s="21"/>
    </row>
    <row r="8769" spans="2:2">
      <c r="B8769" s="21"/>
    </row>
    <row r="8770" spans="2:2">
      <c r="B8770" s="21"/>
    </row>
    <row r="8771" spans="2:2">
      <c r="B8771" s="21"/>
    </row>
    <row r="8772" spans="2:2">
      <c r="B8772" s="21"/>
    </row>
    <row r="8773" spans="2:2">
      <c r="B8773" s="21"/>
    </row>
    <row r="8774" spans="2:2">
      <c r="B8774" s="21"/>
    </row>
    <row r="8775" spans="2:2">
      <c r="B8775" s="21"/>
    </row>
    <row r="8776" spans="2:2">
      <c r="B8776" s="21"/>
    </row>
    <row r="8777" spans="2:2">
      <c r="B8777" s="21"/>
    </row>
    <row r="8778" spans="2:2">
      <c r="B8778" s="21"/>
    </row>
    <row r="8779" spans="2:2">
      <c r="B8779" s="21"/>
    </row>
    <row r="8780" spans="2:2">
      <c r="B8780" s="21"/>
    </row>
    <row r="8781" spans="2:2">
      <c r="B8781" s="21"/>
    </row>
    <row r="8782" spans="2:2">
      <c r="B8782" s="21"/>
    </row>
    <row r="8783" spans="2:2">
      <c r="B8783" s="21"/>
    </row>
    <row r="8784" spans="2:2">
      <c r="B8784" s="21"/>
    </row>
    <row r="8785" spans="2:2">
      <c r="B8785" s="21"/>
    </row>
    <row r="8786" spans="2:2">
      <c r="B8786" s="21"/>
    </row>
    <row r="8787" spans="2:2">
      <c r="B8787" s="21"/>
    </row>
    <row r="8788" spans="2:2">
      <c r="B8788" s="21"/>
    </row>
    <row r="8789" spans="2:2">
      <c r="B8789" s="21"/>
    </row>
    <row r="8790" spans="2:2">
      <c r="B8790" s="21"/>
    </row>
    <row r="8791" spans="2:2">
      <c r="B8791" s="21"/>
    </row>
    <row r="8792" spans="2:2">
      <c r="B8792" s="21"/>
    </row>
    <row r="8793" spans="2:2">
      <c r="B8793" s="21"/>
    </row>
    <row r="8794" spans="2:2">
      <c r="B8794" s="21"/>
    </row>
    <row r="8795" spans="2:2">
      <c r="B8795" s="21"/>
    </row>
    <row r="8796" spans="2:2">
      <c r="B8796" s="21"/>
    </row>
    <row r="8797" spans="2:2">
      <c r="B8797" s="21"/>
    </row>
    <row r="8798" spans="2:2">
      <c r="B8798" s="21"/>
    </row>
    <row r="8799" spans="2:2">
      <c r="B8799" s="21"/>
    </row>
    <row r="8800" spans="2:2">
      <c r="B8800" s="21"/>
    </row>
    <row r="8801" spans="2:2">
      <c r="B8801" s="21"/>
    </row>
    <row r="8802" spans="2:2">
      <c r="B8802" s="21"/>
    </row>
    <row r="8803" spans="2:2">
      <c r="B8803" s="21"/>
    </row>
    <row r="8804" spans="2:2">
      <c r="B8804" s="21"/>
    </row>
    <row r="8805" spans="2:2">
      <c r="B8805" s="21"/>
    </row>
    <row r="8806" spans="2:2">
      <c r="B8806" s="21"/>
    </row>
    <row r="8807" spans="2:2">
      <c r="B8807" s="21"/>
    </row>
    <row r="8808" spans="2:2">
      <c r="B8808" s="21"/>
    </row>
    <row r="8809" spans="2:2">
      <c r="B8809" s="21"/>
    </row>
    <row r="8810" spans="2:2">
      <c r="B8810" s="21"/>
    </row>
    <row r="8811" spans="2:2">
      <c r="B8811" s="21"/>
    </row>
    <row r="8812" spans="2:2">
      <c r="B8812" s="21"/>
    </row>
    <row r="8813" spans="2:2">
      <c r="B8813" s="21"/>
    </row>
    <row r="8814" spans="2:2">
      <c r="B8814" s="21"/>
    </row>
    <row r="8815" spans="2:2">
      <c r="B8815" s="21"/>
    </row>
    <row r="8816" spans="2:2">
      <c r="B8816" s="21"/>
    </row>
    <row r="8817" spans="2:2">
      <c r="B8817" s="21"/>
    </row>
    <row r="8818" spans="2:2">
      <c r="B8818" s="21"/>
    </row>
    <row r="8819" spans="2:2">
      <c r="B8819" s="21"/>
    </row>
    <row r="8820" spans="2:2">
      <c r="B8820" s="21"/>
    </row>
    <row r="8821" spans="2:2">
      <c r="B8821" s="21"/>
    </row>
    <row r="8822" spans="2:2">
      <c r="B8822" s="21"/>
    </row>
    <row r="8823" spans="2:2">
      <c r="B8823" s="21"/>
    </row>
    <row r="8824" spans="2:2">
      <c r="B8824" s="21"/>
    </row>
    <row r="8825" spans="2:2">
      <c r="B8825" s="21"/>
    </row>
    <row r="8826" spans="2:2">
      <c r="B8826" s="21"/>
    </row>
    <row r="8827" spans="2:2">
      <c r="B8827" s="21"/>
    </row>
    <row r="8828" spans="2:2">
      <c r="B8828" s="21"/>
    </row>
    <row r="8829" spans="2:2">
      <c r="B8829" s="21"/>
    </row>
    <row r="8830" spans="2:2">
      <c r="B8830" s="21"/>
    </row>
    <row r="8831" spans="2:2">
      <c r="B8831" s="21"/>
    </row>
    <row r="8832" spans="2:2">
      <c r="B8832" s="21"/>
    </row>
    <row r="8833" spans="2:2">
      <c r="B8833" s="21"/>
    </row>
    <row r="8834" spans="2:2">
      <c r="B8834" s="21"/>
    </row>
    <row r="8835" spans="2:2">
      <c r="B8835" s="21"/>
    </row>
    <row r="8836" spans="2:2">
      <c r="B8836" s="21"/>
    </row>
    <row r="8837" spans="2:2">
      <c r="B8837" s="21"/>
    </row>
    <row r="8838" spans="2:2">
      <c r="B8838" s="21"/>
    </row>
    <row r="8839" spans="2:2">
      <c r="B8839" s="21"/>
    </row>
    <row r="8840" spans="2:2">
      <c r="B8840" s="21"/>
    </row>
    <row r="8841" spans="2:2">
      <c r="B8841" s="21"/>
    </row>
    <row r="8842" spans="2:2">
      <c r="B8842" s="21"/>
    </row>
    <row r="8843" spans="2:2">
      <c r="B8843" s="21"/>
    </row>
    <row r="8844" spans="2:2">
      <c r="B8844" s="21"/>
    </row>
    <row r="8845" spans="2:2">
      <c r="B8845" s="21"/>
    </row>
    <row r="8846" spans="2:2">
      <c r="B8846" s="21"/>
    </row>
    <row r="8847" spans="2:2">
      <c r="B8847" s="21"/>
    </row>
    <row r="8848" spans="2:2">
      <c r="B8848" s="21"/>
    </row>
    <row r="8849" spans="2:2">
      <c r="B8849" s="21"/>
    </row>
    <row r="8850" spans="2:2">
      <c r="B8850" s="21"/>
    </row>
    <row r="8851" spans="2:2">
      <c r="B8851" s="21"/>
    </row>
    <row r="8852" spans="2:2">
      <c r="B8852" s="21"/>
    </row>
    <row r="8853" spans="2:2">
      <c r="B8853" s="21"/>
    </row>
    <row r="8854" spans="2:2">
      <c r="B8854" s="21"/>
    </row>
    <row r="8855" spans="2:2">
      <c r="B8855" s="21"/>
    </row>
    <row r="8856" spans="2:2">
      <c r="B8856" s="21"/>
    </row>
    <row r="8857" spans="2:2">
      <c r="B8857" s="21"/>
    </row>
    <row r="8858" spans="2:2">
      <c r="B8858" s="21"/>
    </row>
    <row r="8859" spans="2:2">
      <c r="B8859" s="21"/>
    </row>
    <row r="8860" spans="2:2">
      <c r="B8860" s="21"/>
    </row>
    <row r="8861" spans="2:2">
      <c r="B8861" s="21"/>
    </row>
    <row r="8862" spans="2:2">
      <c r="B8862" s="21"/>
    </row>
    <row r="8863" spans="2:2">
      <c r="B8863" s="21"/>
    </row>
    <row r="8864" spans="2:2">
      <c r="B8864" s="21"/>
    </row>
    <row r="8865" spans="2:2">
      <c r="B8865" s="21"/>
    </row>
    <row r="8866" spans="2:2">
      <c r="B8866" s="21"/>
    </row>
    <row r="8867" spans="2:2">
      <c r="B8867" s="21"/>
    </row>
    <row r="8868" spans="2:2">
      <c r="B8868" s="21"/>
    </row>
    <row r="8869" spans="2:2">
      <c r="B8869" s="21"/>
    </row>
    <row r="8870" spans="2:2">
      <c r="B8870" s="21"/>
    </row>
    <row r="8871" spans="2:2">
      <c r="B8871" s="21"/>
    </row>
    <row r="8872" spans="2:2">
      <c r="B8872" s="21"/>
    </row>
    <row r="8873" spans="2:2">
      <c r="B8873" s="21"/>
    </row>
    <row r="8874" spans="2:2">
      <c r="B8874" s="21"/>
    </row>
    <row r="8875" spans="2:2">
      <c r="B8875" s="21"/>
    </row>
    <row r="8876" spans="2:2">
      <c r="B8876" s="21"/>
    </row>
    <row r="8877" spans="2:2">
      <c r="B8877" s="21"/>
    </row>
    <row r="8878" spans="2:2">
      <c r="B8878" s="21"/>
    </row>
    <row r="8879" spans="2:2">
      <c r="B8879" s="21"/>
    </row>
    <row r="8880" spans="2:2">
      <c r="B8880" s="21"/>
    </row>
    <row r="8881" spans="2:2">
      <c r="B8881" s="21"/>
    </row>
    <row r="8882" spans="2:2">
      <c r="B8882" s="21"/>
    </row>
    <row r="8883" spans="2:2">
      <c r="B8883" s="21"/>
    </row>
    <row r="8884" spans="2:2">
      <c r="B8884" s="21"/>
    </row>
    <row r="8885" spans="2:2">
      <c r="B8885" s="21"/>
    </row>
    <row r="8886" spans="2:2">
      <c r="B8886" s="21"/>
    </row>
    <row r="8887" spans="2:2">
      <c r="B8887" s="21"/>
    </row>
    <row r="8888" spans="2:2">
      <c r="B8888" s="21"/>
    </row>
    <row r="8889" spans="2:2">
      <c r="B8889" s="21"/>
    </row>
    <row r="8890" spans="2:2">
      <c r="B8890" s="21"/>
    </row>
    <row r="8891" spans="2:2">
      <c r="B8891" s="21"/>
    </row>
    <row r="8892" spans="2:2">
      <c r="B8892" s="21"/>
    </row>
    <row r="8893" spans="2:2">
      <c r="B8893" s="21"/>
    </row>
    <row r="8894" spans="2:2">
      <c r="B8894" s="21"/>
    </row>
    <row r="8895" spans="2:2">
      <c r="B8895" s="21"/>
    </row>
    <row r="8896" spans="2:2">
      <c r="B8896" s="21"/>
    </row>
    <row r="8897" spans="2:2">
      <c r="B8897" s="21"/>
    </row>
    <row r="8898" spans="2:2">
      <c r="B8898" s="21"/>
    </row>
    <row r="8899" spans="2:2">
      <c r="B8899" s="21"/>
    </row>
    <row r="8900" spans="2:2">
      <c r="B8900" s="21"/>
    </row>
    <row r="8901" spans="2:2">
      <c r="B8901" s="21"/>
    </row>
    <row r="8902" spans="2:2">
      <c r="B8902" s="21"/>
    </row>
    <row r="8903" spans="2:2">
      <c r="B8903" s="21"/>
    </row>
    <row r="8904" spans="2:2">
      <c r="B8904" s="21"/>
    </row>
    <row r="8905" spans="2:2">
      <c r="B8905" s="21"/>
    </row>
    <row r="8906" spans="2:2">
      <c r="B8906" s="21"/>
    </row>
    <row r="8907" spans="2:2">
      <c r="B8907" s="21"/>
    </row>
    <row r="8908" spans="2:2">
      <c r="B8908" s="21"/>
    </row>
    <row r="8909" spans="2:2">
      <c r="B8909" s="21"/>
    </row>
    <row r="8910" spans="2:2">
      <c r="B8910" s="21"/>
    </row>
    <row r="8911" spans="2:2">
      <c r="B8911" s="21"/>
    </row>
    <row r="8912" spans="2:2">
      <c r="B8912" s="21"/>
    </row>
    <row r="8913" spans="2:2">
      <c r="B8913" s="21"/>
    </row>
    <row r="8914" spans="2:2">
      <c r="B8914" s="21"/>
    </row>
    <row r="8915" spans="2:2">
      <c r="B8915" s="21"/>
    </row>
    <row r="8916" spans="2:2">
      <c r="B8916" s="21"/>
    </row>
    <row r="8917" spans="2:2">
      <c r="B8917" s="21"/>
    </row>
    <row r="8918" spans="2:2">
      <c r="B8918" s="21"/>
    </row>
    <row r="8919" spans="2:2">
      <c r="B8919" s="21"/>
    </row>
    <row r="8920" spans="2:2">
      <c r="B8920" s="21"/>
    </row>
    <row r="8921" spans="2:2">
      <c r="B8921" s="21"/>
    </row>
    <row r="8922" spans="2:2">
      <c r="B8922" s="21"/>
    </row>
    <row r="8923" spans="2:2">
      <c r="B8923" s="21"/>
    </row>
    <row r="8924" spans="2:2">
      <c r="B8924" s="21"/>
    </row>
    <row r="8925" spans="2:2">
      <c r="B8925" s="21"/>
    </row>
    <row r="8926" spans="2:2">
      <c r="B8926" s="21"/>
    </row>
    <row r="8927" spans="2:2">
      <c r="B8927" s="21"/>
    </row>
    <row r="8928" spans="2:2">
      <c r="B8928" s="21"/>
    </row>
    <row r="8929" spans="2:2">
      <c r="B8929" s="21"/>
    </row>
    <row r="8930" spans="2:2">
      <c r="B8930" s="21"/>
    </row>
    <row r="8931" spans="2:2">
      <c r="B8931" s="21"/>
    </row>
    <row r="8932" spans="2:2">
      <c r="B8932" s="21"/>
    </row>
    <row r="8933" spans="2:2">
      <c r="B8933" s="21"/>
    </row>
    <row r="8934" spans="2:2">
      <c r="B8934" s="21"/>
    </row>
    <row r="8935" spans="2:2">
      <c r="B8935" s="21"/>
    </row>
    <row r="8936" spans="2:2">
      <c r="B8936" s="21"/>
    </row>
    <row r="8937" spans="2:2">
      <c r="B8937" s="21"/>
    </row>
    <row r="8938" spans="2:2">
      <c r="B8938" s="21"/>
    </row>
    <row r="8939" spans="2:2">
      <c r="B8939" s="21"/>
    </row>
    <row r="8940" spans="2:2">
      <c r="B8940" s="21"/>
    </row>
    <row r="8941" spans="2:2">
      <c r="B8941" s="21"/>
    </row>
    <row r="8942" spans="2:2">
      <c r="B8942" s="21"/>
    </row>
    <row r="8943" spans="2:2">
      <c r="B8943" s="21"/>
    </row>
    <row r="8944" spans="2:2">
      <c r="B8944" s="21"/>
    </row>
    <row r="8945" spans="2:2">
      <c r="B8945" s="21"/>
    </row>
    <row r="8946" spans="2:2">
      <c r="B8946" s="21"/>
    </row>
    <row r="8947" spans="2:2">
      <c r="B8947" s="21"/>
    </row>
    <row r="8948" spans="2:2">
      <c r="B8948" s="21"/>
    </row>
    <row r="8949" spans="2:2">
      <c r="B8949" s="21"/>
    </row>
    <row r="8950" spans="2:2">
      <c r="B8950" s="21"/>
    </row>
    <row r="8951" spans="2:2">
      <c r="B8951" s="21"/>
    </row>
    <row r="8952" spans="2:2">
      <c r="B8952" s="21"/>
    </row>
    <row r="8953" spans="2:2">
      <c r="B8953" s="21"/>
    </row>
    <row r="8954" spans="2:2">
      <c r="B8954" s="21"/>
    </row>
    <row r="8955" spans="2:2">
      <c r="B8955" s="21"/>
    </row>
    <row r="8956" spans="2:2">
      <c r="B8956" s="21"/>
    </row>
    <row r="8957" spans="2:2">
      <c r="B8957" s="21"/>
    </row>
    <row r="8958" spans="2:2">
      <c r="B8958" s="21"/>
    </row>
    <row r="8959" spans="2:2">
      <c r="B8959" s="21"/>
    </row>
    <row r="8960" spans="2:2">
      <c r="B8960" s="21"/>
    </row>
    <row r="8961" spans="2:2">
      <c r="B8961" s="21"/>
    </row>
    <row r="8962" spans="2:2">
      <c r="B8962" s="21"/>
    </row>
    <row r="8963" spans="2:2">
      <c r="B8963" s="21"/>
    </row>
    <row r="8964" spans="2:2">
      <c r="B8964" s="21"/>
    </row>
    <row r="8965" spans="2:2">
      <c r="B8965" s="21"/>
    </row>
    <row r="8966" spans="2:2">
      <c r="B8966" s="21"/>
    </row>
    <row r="8967" spans="2:2">
      <c r="B8967" s="21"/>
    </row>
    <row r="8968" spans="2:2">
      <c r="B8968" s="21"/>
    </row>
    <row r="8969" spans="2:2">
      <c r="B8969" s="21"/>
    </row>
    <row r="8970" spans="2:2">
      <c r="B8970" s="21"/>
    </row>
    <row r="8971" spans="2:2">
      <c r="B8971" s="21"/>
    </row>
    <row r="8972" spans="2:2">
      <c r="B8972" s="21"/>
    </row>
    <row r="8973" spans="2:2">
      <c r="B8973" s="21"/>
    </row>
    <row r="8974" spans="2:2">
      <c r="B8974" s="21"/>
    </row>
    <row r="8975" spans="2:2">
      <c r="B8975" s="21"/>
    </row>
    <row r="8976" spans="2:2">
      <c r="B8976" s="21"/>
    </row>
    <row r="8977" spans="2:2">
      <c r="B8977" s="21"/>
    </row>
    <row r="8978" spans="2:2">
      <c r="B8978" s="21"/>
    </row>
    <row r="8979" spans="2:2">
      <c r="B8979" s="21"/>
    </row>
    <row r="8980" spans="2:2">
      <c r="B8980" s="21"/>
    </row>
    <row r="8981" spans="2:2">
      <c r="B8981" s="21"/>
    </row>
    <row r="8982" spans="2:2">
      <c r="B8982" s="21"/>
    </row>
    <row r="8983" spans="2:2">
      <c r="B8983" s="21"/>
    </row>
    <row r="8984" spans="2:2">
      <c r="B8984" s="21"/>
    </row>
    <row r="8985" spans="2:2">
      <c r="B8985" s="21"/>
    </row>
    <row r="8986" spans="2:2">
      <c r="B8986" s="21"/>
    </row>
    <row r="8987" spans="2:2">
      <c r="B8987" s="21"/>
    </row>
    <row r="8988" spans="2:2">
      <c r="B8988" s="21"/>
    </row>
    <row r="8989" spans="2:2">
      <c r="B8989" s="21"/>
    </row>
    <row r="8990" spans="2:2">
      <c r="B8990" s="21"/>
    </row>
    <row r="8991" spans="2:2">
      <c r="B8991" s="21"/>
    </row>
    <row r="8992" spans="2:2">
      <c r="B8992" s="21"/>
    </row>
    <row r="8993" spans="2:2">
      <c r="B8993" s="21"/>
    </row>
    <row r="8994" spans="2:2">
      <c r="B8994" s="21"/>
    </row>
    <row r="8995" spans="2:2">
      <c r="B8995" s="21"/>
    </row>
    <row r="8996" spans="2:2">
      <c r="B8996" s="21"/>
    </row>
    <row r="8997" spans="2:2">
      <c r="B8997" s="21"/>
    </row>
    <row r="8998" spans="2:2">
      <c r="B8998" s="21"/>
    </row>
    <row r="8999" spans="2:2">
      <c r="B8999" s="21"/>
    </row>
    <row r="9000" spans="2:2">
      <c r="B9000" s="21"/>
    </row>
    <row r="9001" spans="2:2">
      <c r="B9001" s="21"/>
    </row>
    <row r="9002" spans="2:2">
      <c r="B9002" s="21"/>
    </row>
    <row r="9003" spans="2:2">
      <c r="B9003" s="21"/>
    </row>
    <row r="9004" spans="2:2">
      <c r="B9004" s="21"/>
    </row>
    <row r="9005" spans="2:2">
      <c r="B9005" s="21"/>
    </row>
    <row r="9006" spans="2:2">
      <c r="B9006" s="21"/>
    </row>
    <row r="9007" spans="2:2">
      <c r="B9007" s="21"/>
    </row>
    <row r="9008" spans="2:2">
      <c r="B9008" s="21"/>
    </row>
    <row r="9009" spans="2:2">
      <c r="B9009" s="21"/>
    </row>
    <row r="9010" spans="2:2">
      <c r="B9010" s="21"/>
    </row>
    <row r="9011" spans="2:2">
      <c r="B9011" s="21"/>
    </row>
    <row r="9012" spans="2:2">
      <c r="B9012" s="21"/>
    </row>
    <row r="9013" spans="2:2">
      <c r="B9013" s="21"/>
    </row>
    <row r="9014" spans="2:2">
      <c r="B9014" s="21"/>
    </row>
    <row r="9015" spans="2:2">
      <c r="B9015" s="21"/>
    </row>
    <row r="9016" spans="2:2">
      <c r="B9016" s="21"/>
    </row>
    <row r="9017" spans="2:2">
      <c r="B9017" s="21"/>
    </row>
    <row r="9018" spans="2:2">
      <c r="B9018" s="21"/>
    </row>
    <row r="9019" spans="2:2">
      <c r="B9019" s="21"/>
    </row>
    <row r="9020" spans="2:2">
      <c r="B9020" s="21"/>
    </row>
    <row r="9021" spans="2:2">
      <c r="B9021" s="21"/>
    </row>
    <row r="9022" spans="2:2">
      <c r="B9022" s="21"/>
    </row>
    <row r="9023" spans="2:2">
      <c r="B9023" s="21"/>
    </row>
    <row r="9024" spans="2:2">
      <c r="B9024" s="21"/>
    </row>
    <row r="9025" spans="2:2">
      <c r="B9025" s="21"/>
    </row>
    <row r="9026" spans="2:2">
      <c r="B9026" s="21"/>
    </row>
    <row r="9027" spans="2:2">
      <c r="B9027" s="21"/>
    </row>
    <row r="9028" spans="2:2">
      <c r="B9028" s="21"/>
    </row>
    <row r="9029" spans="2:2">
      <c r="B9029" s="21"/>
    </row>
    <row r="9030" spans="2:2">
      <c r="B9030" s="21"/>
    </row>
    <row r="9031" spans="2:2">
      <c r="B9031" s="21"/>
    </row>
    <row r="9032" spans="2:2">
      <c r="B9032" s="21"/>
    </row>
    <row r="9033" spans="2:2">
      <c r="B9033" s="21"/>
    </row>
    <row r="9034" spans="2:2">
      <c r="B9034" s="21"/>
    </row>
    <row r="9035" spans="2:2">
      <c r="B9035" s="21"/>
    </row>
    <row r="9036" spans="2:2">
      <c r="B9036" s="21"/>
    </row>
    <row r="9037" spans="2:2">
      <c r="B9037" s="21"/>
    </row>
    <row r="9038" spans="2:2">
      <c r="B9038" s="21"/>
    </row>
    <row r="9039" spans="2:2">
      <c r="B9039" s="21"/>
    </row>
    <row r="9040" spans="2:2">
      <c r="B9040" s="21"/>
    </row>
    <row r="9041" spans="2:2">
      <c r="B9041" s="21"/>
    </row>
    <row r="9042" spans="2:2">
      <c r="B9042" s="21"/>
    </row>
    <row r="9043" spans="2:2">
      <c r="B9043" s="21"/>
    </row>
    <row r="9044" spans="2:2">
      <c r="B9044" s="21"/>
    </row>
    <row r="9045" spans="2:2">
      <c r="B9045" s="21"/>
    </row>
    <row r="9046" spans="2:2">
      <c r="B9046" s="21"/>
    </row>
    <row r="9047" spans="2:2">
      <c r="B9047" s="21"/>
    </row>
    <row r="9048" spans="2:2">
      <c r="B9048" s="21"/>
    </row>
    <row r="9049" spans="2:2">
      <c r="B9049" s="21"/>
    </row>
    <row r="9050" spans="2:2">
      <c r="B9050" s="21"/>
    </row>
    <row r="9051" spans="2:2">
      <c r="B9051" s="21"/>
    </row>
    <row r="9052" spans="2:2">
      <c r="B9052" s="21"/>
    </row>
    <row r="9053" spans="2:2">
      <c r="B9053" s="21"/>
    </row>
    <row r="9054" spans="2:2">
      <c r="B9054" s="21"/>
    </row>
    <row r="9055" spans="2:2">
      <c r="B9055" s="21"/>
    </row>
    <row r="9056" spans="2:2">
      <c r="B9056" s="21"/>
    </row>
    <row r="9057" spans="2:2">
      <c r="B9057" s="21"/>
    </row>
    <row r="9058" spans="2:2">
      <c r="B9058" s="21"/>
    </row>
    <row r="9059" spans="2:2">
      <c r="B9059" s="21"/>
    </row>
    <row r="9060" spans="2:2">
      <c r="B9060" s="21"/>
    </row>
    <row r="9061" spans="2:2">
      <c r="B9061" s="21"/>
    </row>
    <row r="9062" spans="2:2">
      <c r="B9062" s="21"/>
    </row>
    <row r="9063" spans="2:2">
      <c r="B9063" s="21"/>
    </row>
    <row r="9064" spans="2:2">
      <c r="B9064" s="21"/>
    </row>
    <row r="9065" spans="2:2">
      <c r="B9065" s="21"/>
    </row>
    <row r="9066" spans="2:2">
      <c r="B9066" s="21"/>
    </row>
    <row r="9067" spans="2:2">
      <c r="B9067" s="21"/>
    </row>
    <row r="9068" spans="2:2">
      <c r="B9068" s="21"/>
    </row>
    <row r="9069" spans="2:2">
      <c r="B9069" s="21"/>
    </row>
    <row r="9070" spans="2:2">
      <c r="B9070" s="21"/>
    </row>
    <row r="9071" spans="2:2">
      <c r="B9071" s="21"/>
    </row>
    <row r="9072" spans="2:2">
      <c r="B9072" s="21"/>
    </row>
    <row r="9073" spans="2:2">
      <c r="B9073" s="21"/>
    </row>
    <row r="9074" spans="2:2">
      <c r="B9074" s="21"/>
    </row>
    <row r="9075" spans="2:2">
      <c r="B9075" s="21"/>
    </row>
    <row r="9076" spans="2:2">
      <c r="B9076" s="21"/>
    </row>
    <row r="9077" spans="2:2">
      <c r="B9077" s="21"/>
    </row>
    <row r="9078" spans="2:2">
      <c r="B9078" s="21"/>
    </row>
    <row r="9079" spans="2:2">
      <c r="B9079" s="21"/>
    </row>
    <row r="9080" spans="2:2">
      <c r="B9080" s="21"/>
    </row>
    <row r="9081" spans="2:2">
      <c r="B9081" s="21"/>
    </row>
    <row r="9082" spans="2:2">
      <c r="B9082" s="21"/>
    </row>
    <row r="9083" spans="2:2">
      <c r="B9083" s="21"/>
    </row>
    <row r="9084" spans="2:2">
      <c r="B9084" s="21"/>
    </row>
    <row r="9085" spans="2:2">
      <c r="B9085" s="21"/>
    </row>
    <row r="9086" spans="2:2">
      <c r="B9086" s="21"/>
    </row>
    <row r="9087" spans="2:2">
      <c r="B9087" s="21"/>
    </row>
    <row r="9088" spans="2:2">
      <c r="B9088" s="21"/>
    </row>
    <row r="9089" spans="2:2">
      <c r="B9089" s="21"/>
    </row>
    <row r="9090" spans="2:2">
      <c r="B9090" s="21"/>
    </row>
    <row r="9091" spans="2:2">
      <c r="B9091" s="21"/>
    </row>
    <row r="9092" spans="2:2">
      <c r="B9092" s="21"/>
    </row>
    <row r="9093" spans="2:2">
      <c r="B9093" s="21"/>
    </row>
    <row r="9094" spans="2:2">
      <c r="B9094" s="21"/>
    </row>
    <row r="9095" spans="2:2">
      <c r="B9095" s="21"/>
    </row>
    <row r="9096" spans="2:2">
      <c r="B9096" s="21"/>
    </row>
    <row r="9097" spans="2:2">
      <c r="B9097" s="21"/>
    </row>
    <row r="9098" spans="2:2">
      <c r="B9098" s="21"/>
    </row>
    <row r="9099" spans="2:2">
      <c r="B9099" s="21"/>
    </row>
    <row r="9100" spans="2:2">
      <c r="B9100" s="21"/>
    </row>
    <row r="9101" spans="2:2">
      <c r="B9101" s="21"/>
    </row>
    <row r="9102" spans="2:2">
      <c r="B9102" s="21"/>
    </row>
    <row r="9103" spans="2:2">
      <c r="B9103" s="21"/>
    </row>
    <row r="9104" spans="2:2">
      <c r="B9104" s="21"/>
    </row>
    <row r="9105" spans="2:2">
      <c r="B9105" s="21"/>
    </row>
    <row r="9106" spans="2:2">
      <c r="B9106" s="21"/>
    </row>
    <row r="9107" spans="2:2">
      <c r="B9107" s="21"/>
    </row>
    <row r="9108" spans="2:2">
      <c r="B9108" s="21"/>
    </row>
    <row r="9109" spans="2:2">
      <c r="B9109" s="21"/>
    </row>
    <row r="9110" spans="2:2">
      <c r="B9110" s="21"/>
    </row>
    <row r="9111" spans="2:2">
      <c r="B9111" s="21"/>
    </row>
    <row r="9112" spans="2:2">
      <c r="B9112" s="21"/>
    </row>
    <row r="9113" spans="2:2">
      <c r="B9113" s="21"/>
    </row>
    <row r="9114" spans="2:2">
      <c r="B9114" s="21"/>
    </row>
    <row r="9115" spans="2:2">
      <c r="B9115" s="21"/>
    </row>
    <row r="9116" spans="2:2">
      <c r="B9116" s="21"/>
    </row>
    <row r="9117" spans="2:2">
      <c r="B9117" s="21"/>
    </row>
    <row r="9118" spans="2:2">
      <c r="B9118" s="21"/>
    </row>
    <row r="9119" spans="2:2">
      <c r="B9119" s="21"/>
    </row>
    <row r="9120" spans="2:2">
      <c r="B9120" s="21"/>
    </row>
    <row r="9121" spans="2:2">
      <c r="B9121" s="21"/>
    </row>
    <row r="9122" spans="2:2">
      <c r="B9122" s="21"/>
    </row>
    <row r="9123" spans="2:2">
      <c r="B9123" s="21"/>
    </row>
    <row r="9124" spans="2:2">
      <c r="B9124" s="21"/>
    </row>
    <row r="9125" spans="2:2">
      <c r="B9125" s="21"/>
    </row>
    <row r="9126" spans="2:2">
      <c r="B9126" s="21"/>
    </row>
    <row r="9127" spans="2:2">
      <c r="B9127" s="21"/>
    </row>
    <row r="9128" spans="2:2">
      <c r="B9128" s="21"/>
    </row>
    <row r="9129" spans="2:2">
      <c r="B9129" s="21"/>
    </row>
    <row r="9130" spans="2:2">
      <c r="B9130" s="21"/>
    </row>
    <row r="9131" spans="2:2">
      <c r="B9131" s="21"/>
    </row>
    <row r="9132" spans="2:2">
      <c r="B9132" s="21"/>
    </row>
    <row r="9133" spans="2:2">
      <c r="B9133" s="21"/>
    </row>
    <row r="9134" spans="2:2">
      <c r="B9134" s="21"/>
    </row>
    <row r="9135" spans="2:2">
      <c r="B9135" s="21"/>
    </row>
    <row r="9136" spans="2:2">
      <c r="B9136" s="21"/>
    </row>
    <row r="9137" spans="2:2">
      <c r="B9137" s="21"/>
    </row>
    <row r="9138" spans="2:2">
      <c r="B9138" s="21"/>
    </row>
    <row r="9139" spans="2:2">
      <c r="B9139" s="21"/>
    </row>
    <row r="9140" spans="2:2">
      <c r="B9140" s="21"/>
    </row>
    <row r="9141" spans="2:2">
      <c r="B9141" s="21"/>
    </row>
    <row r="9142" spans="2:2">
      <c r="B9142" s="21"/>
    </row>
    <row r="9143" spans="2:2">
      <c r="B9143" s="21"/>
    </row>
    <row r="9144" spans="2:2">
      <c r="B9144" s="21"/>
    </row>
    <row r="9145" spans="2:2">
      <c r="B9145" s="21"/>
    </row>
    <row r="9146" spans="2:2">
      <c r="B9146" s="21"/>
    </row>
    <row r="9147" spans="2:2">
      <c r="B9147" s="21"/>
    </row>
    <row r="9148" spans="2:2">
      <c r="B9148" s="21"/>
    </row>
    <row r="9149" spans="2:2">
      <c r="B9149" s="21"/>
    </row>
    <row r="9150" spans="2:2">
      <c r="B9150" s="21"/>
    </row>
    <row r="9151" spans="2:2">
      <c r="B9151" s="21"/>
    </row>
    <row r="9152" spans="2:2">
      <c r="B9152" s="21"/>
    </row>
    <row r="9153" spans="2:2">
      <c r="B9153" s="21"/>
    </row>
    <row r="9154" spans="2:2">
      <c r="B9154" s="21"/>
    </row>
    <row r="9155" spans="2:2">
      <c r="B9155" s="21"/>
    </row>
    <row r="9156" spans="2:2">
      <c r="B9156" s="21"/>
    </row>
    <row r="9157" spans="2:2">
      <c r="B9157" s="21"/>
    </row>
    <row r="9158" spans="2:2">
      <c r="B9158" s="21"/>
    </row>
    <row r="9159" spans="2:2">
      <c r="B9159" s="21"/>
    </row>
    <row r="9160" spans="2:2">
      <c r="B9160" s="21"/>
    </row>
    <row r="9161" spans="2:2">
      <c r="B9161" s="21"/>
    </row>
    <row r="9162" spans="2:2">
      <c r="B9162" s="21"/>
    </row>
    <row r="9163" spans="2:2">
      <c r="B9163" s="21"/>
    </row>
    <row r="9164" spans="2:2">
      <c r="B9164" s="21"/>
    </row>
    <row r="9165" spans="2:2">
      <c r="B9165" s="21"/>
    </row>
    <row r="9166" spans="2:2">
      <c r="B9166" s="21"/>
    </row>
    <row r="9167" spans="2:2">
      <c r="B9167" s="21"/>
    </row>
    <row r="9168" spans="2:2">
      <c r="B9168" s="21"/>
    </row>
    <row r="9169" spans="2:2">
      <c r="B9169" s="21"/>
    </row>
    <row r="9170" spans="2:2">
      <c r="B9170" s="21"/>
    </row>
    <row r="9171" spans="2:2">
      <c r="B9171" s="21"/>
    </row>
    <row r="9172" spans="2:2">
      <c r="B9172" s="21"/>
    </row>
    <row r="9173" spans="2:2">
      <c r="B9173" s="21"/>
    </row>
    <row r="9174" spans="2:2">
      <c r="B9174" s="21"/>
    </row>
    <row r="9175" spans="2:2">
      <c r="B9175" s="21"/>
    </row>
    <row r="9176" spans="2:2">
      <c r="B9176" s="21"/>
    </row>
    <row r="9177" spans="2:2">
      <c r="B9177" s="21"/>
    </row>
    <row r="9178" spans="2:2">
      <c r="B9178" s="21"/>
    </row>
    <row r="9179" spans="2:2">
      <c r="B9179" s="21"/>
    </row>
    <row r="9180" spans="2:2">
      <c r="B9180" s="21"/>
    </row>
    <row r="9181" spans="2:2">
      <c r="B9181" s="21"/>
    </row>
    <row r="9182" spans="2:2">
      <c r="B9182" s="21"/>
    </row>
    <row r="9183" spans="2:2">
      <c r="B9183" s="21"/>
    </row>
    <row r="9184" spans="2:2">
      <c r="B9184" s="21"/>
    </row>
    <row r="9185" spans="2:2">
      <c r="B9185" s="21"/>
    </row>
    <row r="9186" spans="2:2">
      <c r="B9186" s="21"/>
    </row>
    <row r="9187" spans="2:2">
      <c r="B9187" s="21"/>
    </row>
    <row r="9188" spans="2:2">
      <c r="B9188" s="21"/>
    </row>
    <row r="9189" spans="2:2">
      <c r="B9189" s="21"/>
    </row>
    <row r="9190" spans="2:2">
      <c r="B9190" s="21"/>
    </row>
    <row r="9191" spans="2:2">
      <c r="B9191" s="21"/>
    </row>
    <row r="9192" spans="2:2">
      <c r="B9192" s="21"/>
    </row>
    <row r="9193" spans="2:2">
      <c r="B9193" s="21"/>
    </row>
    <row r="9194" spans="2:2">
      <c r="B9194" s="21"/>
    </row>
    <row r="9195" spans="2:2">
      <c r="B9195" s="21"/>
    </row>
    <row r="9196" spans="2:2">
      <c r="B9196" s="21"/>
    </row>
    <row r="9197" spans="2:2">
      <c r="B9197" s="21"/>
    </row>
    <row r="9198" spans="2:2">
      <c r="B9198" s="21"/>
    </row>
    <row r="9199" spans="2:2">
      <c r="B9199" s="21"/>
    </row>
    <row r="9200" spans="2:2">
      <c r="B9200" s="21"/>
    </row>
    <row r="9201" spans="2:2">
      <c r="B9201" s="21"/>
    </row>
    <row r="9202" spans="2:2">
      <c r="B9202" s="21"/>
    </row>
    <row r="9203" spans="2:2">
      <c r="B9203" s="21"/>
    </row>
    <row r="9204" spans="2:2">
      <c r="B9204" s="21"/>
    </row>
    <row r="9205" spans="2:2">
      <c r="B9205" s="21"/>
    </row>
    <row r="9206" spans="2:2">
      <c r="B9206" s="21"/>
    </row>
    <row r="9207" spans="2:2">
      <c r="B9207" s="21"/>
    </row>
    <row r="9208" spans="2:2">
      <c r="B9208" s="21"/>
    </row>
    <row r="9209" spans="2:2">
      <c r="B9209" s="21"/>
    </row>
    <row r="9210" spans="2:2">
      <c r="B9210" s="21"/>
    </row>
    <row r="9211" spans="2:2">
      <c r="B9211" s="21"/>
    </row>
    <row r="9212" spans="2:2">
      <c r="B9212" s="21"/>
    </row>
    <row r="9213" spans="2:2">
      <c r="B9213" s="21"/>
    </row>
    <row r="9214" spans="2:2">
      <c r="B9214" s="21"/>
    </row>
    <row r="9215" spans="2:2">
      <c r="B9215" s="21"/>
    </row>
    <row r="9216" spans="2:2">
      <c r="B9216" s="21"/>
    </row>
    <row r="9217" spans="2:2">
      <c r="B9217" s="21"/>
    </row>
    <row r="9218" spans="2:2">
      <c r="B9218" s="21"/>
    </row>
    <row r="9219" spans="2:2">
      <c r="B9219" s="21"/>
    </row>
    <row r="9220" spans="2:2">
      <c r="B9220" s="21"/>
    </row>
    <row r="9221" spans="2:2">
      <c r="B9221" s="21"/>
    </row>
    <row r="9222" spans="2:2">
      <c r="B9222" s="21"/>
    </row>
    <row r="9223" spans="2:2">
      <c r="B9223" s="21"/>
    </row>
    <row r="9224" spans="2:2">
      <c r="B9224" s="21"/>
    </row>
    <row r="9225" spans="2:2">
      <c r="B9225" s="21"/>
    </row>
    <row r="9226" spans="2:2">
      <c r="B9226" s="21"/>
    </row>
    <row r="9227" spans="2:2">
      <c r="B9227" s="21"/>
    </row>
    <row r="9228" spans="2:2">
      <c r="B9228" s="21"/>
    </row>
    <row r="9229" spans="2:2">
      <c r="B9229" s="21"/>
    </row>
    <row r="9230" spans="2:2">
      <c r="B9230" s="21"/>
    </row>
    <row r="9231" spans="2:2">
      <c r="B9231" s="21"/>
    </row>
    <row r="9232" spans="2:2">
      <c r="B9232" s="21"/>
    </row>
    <row r="9233" spans="2:2">
      <c r="B9233" s="21"/>
    </row>
    <row r="9234" spans="2:2">
      <c r="B9234" s="21"/>
    </row>
    <row r="9235" spans="2:2">
      <c r="B9235" s="21"/>
    </row>
    <row r="9236" spans="2:2">
      <c r="B9236" s="21"/>
    </row>
    <row r="9237" spans="2:2">
      <c r="B9237" s="21"/>
    </row>
    <row r="9238" spans="2:2">
      <c r="B9238" s="21"/>
    </row>
    <row r="9239" spans="2:2">
      <c r="B9239" s="21"/>
    </row>
    <row r="9240" spans="2:2">
      <c r="B9240" s="21"/>
    </row>
    <row r="9241" spans="2:2">
      <c r="B9241" s="21"/>
    </row>
    <row r="9242" spans="2:2">
      <c r="B9242" s="21"/>
    </row>
    <row r="9243" spans="2:2">
      <c r="B9243" s="21"/>
    </row>
    <row r="9244" spans="2:2">
      <c r="B9244" s="21"/>
    </row>
    <row r="9245" spans="2:2">
      <c r="B9245" s="21"/>
    </row>
    <row r="9246" spans="2:2">
      <c r="B9246" s="21"/>
    </row>
    <row r="9247" spans="2:2">
      <c r="B9247" s="21"/>
    </row>
    <row r="9248" spans="2:2">
      <c r="B9248" s="21"/>
    </row>
    <row r="9249" spans="2:2">
      <c r="B9249" s="21"/>
    </row>
    <row r="9250" spans="2:2">
      <c r="B9250" s="21"/>
    </row>
    <row r="9251" spans="2:2">
      <c r="B9251" s="21"/>
    </row>
    <row r="9252" spans="2:2">
      <c r="B9252" s="21"/>
    </row>
    <row r="9253" spans="2:2">
      <c r="B9253" s="21"/>
    </row>
    <row r="9254" spans="2:2">
      <c r="B9254" s="21"/>
    </row>
    <row r="9255" spans="2:2">
      <c r="B9255" s="21"/>
    </row>
    <row r="9256" spans="2:2">
      <c r="B9256" s="21"/>
    </row>
    <row r="9257" spans="2:2">
      <c r="B9257" s="21"/>
    </row>
    <row r="9258" spans="2:2">
      <c r="B9258" s="21"/>
    </row>
    <row r="9259" spans="2:2">
      <c r="B9259" s="21"/>
    </row>
    <row r="9260" spans="2:2">
      <c r="B9260" s="21"/>
    </row>
    <row r="9261" spans="2:2">
      <c r="B9261" s="21"/>
    </row>
    <row r="9262" spans="2:2">
      <c r="B9262" s="21"/>
    </row>
    <row r="9263" spans="2:2">
      <c r="B9263" s="21"/>
    </row>
    <row r="9264" spans="2:2">
      <c r="B9264" s="21"/>
    </row>
    <row r="9265" spans="2:2">
      <c r="B9265" s="21"/>
    </row>
    <row r="9266" spans="2:2">
      <c r="B9266" s="21"/>
    </row>
    <row r="9267" spans="2:2">
      <c r="B9267" s="21"/>
    </row>
    <row r="9268" spans="2:2">
      <c r="B9268" s="21"/>
    </row>
    <row r="9269" spans="2:2">
      <c r="B9269" s="21"/>
    </row>
    <row r="9270" spans="2:2">
      <c r="B9270" s="21"/>
    </row>
    <row r="9271" spans="2:2">
      <c r="B9271" s="21"/>
    </row>
    <row r="9272" spans="2:2">
      <c r="B9272" s="21"/>
    </row>
    <row r="9273" spans="2:2">
      <c r="B9273" s="21"/>
    </row>
    <row r="9274" spans="2:2">
      <c r="B9274" s="21"/>
    </row>
    <row r="9275" spans="2:2">
      <c r="B9275" s="21"/>
    </row>
    <row r="9276" spans="2:2">
      <c r="B9276" s="21"/>
    </row>
    <row r="9277" spans="2:2">
      <c r="B9277" s="21"/>
    </row>
    <row r="9278" spans="2:2">
      <c r="B9278" s="21"/>
    </row>
    <row r="9279" spans="2:2">
      <c r="B9279" s="21"/>
    </row>
    <row r="9280" spans="2:2">
      <c r="B9280" s="21"/>
    </row>
    <row r="9281" spans="2:2">
      <c r="B9281" s="21"/>
    </row>
    <row r="9282" spans="2:2">
      <c r="B9282" s="21"/>
    </row>
    <row r="9283" spans="2:2">
      <c r="B9283" s="21"/>
    </row>
    <row r="9284" spans="2:2">
      <c r="B9284" s="21"/>
    </row>
    <row r="9285" spans="2:2">
      <c r="B9285" s="21"/>
    </row>
    <row r="9286" spans="2:2">
      <c r="B9286" s="21"/>
    </row>
    <row r="9287" spans="2:2">
      <c r="B9287" s="21"/>
    </row>
    <row r="9288" spans="2:2">
      <c r="B9288" s="21"/>
    </row>
    <row r="9289" spans="2:2">
      <c r="B9289" s="21"/>
    </row>
    <row r="9290" spans="2:2">
      <c r="B9290" s="21"/>
    </row>
    <row r="9291" spans="2:2">
      <c r="B9291" s="21"/>
    </row>
    <row r="9292" spans="2:2">
      <c r="B9292" s="21"/>
    </row>
    <row r="9293" spans="2:2">
      <c r="B9293" s="21"/>
    </row>
    <row r="9294" spans="2:2">
      <c r="B9294" s="21"/>
    </row>
    <row r="9295" spans="2:2">
      <c r="B9295" s="21"/>
    </row>
    <row r="9296" spans="2:2">
      <c r="B9296" s="21"/>
    </row>
    <row r="9297" spans="2:2">
      <c r="B9297" s="21"/>
    </row>
    <row r="9298" spans="2:2">
      <c r="B9298" s="21"/>
    </row>
    <row r="9299" spans="2:2">
      <c r="B9299" s="21"/>
    </row>
    <row r="9300" spans="2:2">
      <c r="B9300" s="21"/>
    </row>
    <row r="9301" spans="2:2">
      <c r="B9301" s="21"/>
    </row>
    <row r="9302" spans="2:2">
      <c r="B9302" s="21"/>
    </row>
    <row r="9303" spans="2:2">
      <c r="B9303" s="21"/>
    </row>
    <row r="9304" spans="2:2">
      <c r="B9304" s="21"/>
    </row>
    <row r="9305" spans="2:2">
      <c r="B9305" s="21"/>
    </row>
    <row r="9306" spans="2:2">
      <c r="B9306" s="21"/>
    </row>
    <row r="9307" spans="2:2">
      <c r="B9307" s="21"/>
    </row>
    <row r="9308" spans="2:2">
      <c r="B9308" s="21"/>
    </row>
    <row r="9309" spans="2:2">
      <c r="B9309" s="21"/>
    </row>
    <row r="9310" spans="2:2">
      <c r="B9310" s="21"/>
    </row>
    <row r="9311" spans="2:2">
      <c r="B9311" s="21"/>
    </row>
    <row r="9312" spans="2:2">
      <c r="B9312" s="21"/>
    </row>
    <row r="9313" spans="2:2">
      <c r="B9313" s="21"/>
    </row>
    <row r="9314" spans="2:2">
      <c r="B9314" s="21"/>
    </row>
    <row r="9315" spans="2:2">
      <c r="B9315" s="21"/>
    </row>
    <row r="9316" spans="2:2">
      <c r="B9316" s="21"/>
    </row>
    <row r="9317" spans="2:2">
      <c r="B9317" s="21"/>
    </row>
    <row r="9318" spans="2:2">
      <c r="B9318" s="21"/>
    </row>
    <row r="9319" spans="2:2">
      <c r="B9319" s="21"/>
    </row>
    <row r="9320" spans="2:2">
      <c r="B9320" s="21"/>
    </row>
    <row r="9321" spans="2:2">
      <c r="B9321" s="21"/>
    </row>
    <row r="9322" spans="2:2">
      <c r="B9322" s="21"/>
    </row>
    <row r="9323" spans="2:2">
      <c r="B9323" s="21"/>
    </row>
    <row r="9324" spans="2:2">
      <c r="B9324" s="21"/>
    </row>
    <row r="9325" spans="2:2">
      <c r="B9325" s="21"/>
    </row>
    <row r="9326" spans="2:2">
      <c r="B9326" s="21"/>
    </row>
    <row r="9327" spans="2:2">
      <c r="B9327" s="21"/>
    </row>
    <row r="9328" spans="2:2">
      <c r="B9328" s="21"/>
    </row>
    <row r="9329" spans="2:2">
      <c r="B9329" s="21"/>
    </row>
    <row r="9330" spans="2:2">
      <c r="B9330" s="21"/>
    </row>
    <row r="9331" spans="2:2">
      <c r="B9331" s="21"/>
    </row>
    <row r="9332" spans="2:2">
      <c r="B9332" s="21"/>
    </row>
    <row r="9333" spans="2:2">
      <c r="B9333" s="21"/>
    </row>
    <row r="9334" spans="2:2">
      <c r="B9334" s="21"/>
    </row>
    <row r="9335" spans="2:2">
      <c r="B9335" s="21"/>
    </row>
    <row r="9336" spans="2:2">
      <c r="B9336" s="21"/>
    </row>
    <row r="9337" spans="2:2">
      <c r="B9337" s="21"/>
    </row>
    <row r="9338" spans="2:2">
      <c r="B9338" s="21"/>
    </row>
    <row r="9339" spans="2:2">
      <c r="B9339" s="21"/>
    </row>
    <row r="9340" spans="2:2">
      <c r="B9340" s="21"/>
    </row>
    <row r="9341" spans="2:2">
      <c r="B9341" s="21"/>
    </row>
    <row r="9342" spans="2:2">
      <c r="B9342" s="21"/>
    </row>
    <row r="9343" spans="2:2">
      <c r="B9343" s="21"/>
    </row>
    <row r="9344" spans="2:2">
      <c r="B9344" s="21"/>
    </row>
    <row r="9345" spans="2:2">
      <c r="B9345" s="21"/>
    </row>
    <row r="9346" spans="2:2">
      <c r="B9346" s="21"/>
    </row>
    <row r="9347" spans="2:2">
      <c r="B9347" s="21"/>
    </row>
    <row r="9348" spans="2:2">
      <c r="B9348" s="21"/>
    </row>
    <row r="9349" spans="2:2">
      <c r="B9349" s="21"/>
    </row>
    <row r="9350" spans="2:2">
      <c r="B9350" s="21"/>
    </row>
    <row r="9351" spans="2:2">
      <c r="B9351" s="21"/>
    </row>
    <row r="9352" spans="2:2">
      <c r="B9352" s="21"/>
    </row>
    <row r="9353" spans="2:2">
      <c r="B9353" s="21"/>
    </row>
    <row r="9354" spans="2:2">
      <c r="B9354" s="21"/>
    </row>
    <row r="9355" spans="2:2">
      <c r="B9355" s="21"/>
    </row>
    <row r="9356" spans="2:2">
      <c r="B9356" s="21"/>
    </row>
    <row r="9357" spans="2:2">
      <c r="B9357" s="21"/>
    </row>
    <row r="9358" spans="2:2">
      <c r="B9358" s="21"/>
    </row>
    <row r="9359" spans="2:2">
      <c r="B9359" s="21"/>
    </row>
    <row r="9360" spans="2:2">
      <c r="B9360" s="21"/>
    </row>
    <row r="9361" spans="2:2">
      <c r="B9361" s="21"/>
    </row>
    <row r="9362" spans="2:2">
      <c r="B9362" s="21"/>
    </row>
    <row r="9363" spans="2:2">
      <c r="B9363" s="21"/>
    </row>
    <row r="9364" spans="2:2">
      <c r="B9364" s="21"/>
    </row>
    <row r="9365" spans="2:2">
      <c r="B9365" s="21"/>
    </row>
    <row r="9366" spans="2:2">
      <c r="B9366" s="21"/>
    </row>
    <row r="9367" spans="2:2">
      <c r="B9367" s="21"/>
    </row>
    <row r="9368" spans="2:2">
      <c r="B9368" s="21"/>
    </row>
    <row r="9369" spans="2:2">
      <c r="B9369" s="21"/>
    </row>
    <row r="9370" spans="2:2">
      <c r="B9370" s="21"/>
    </row>
    <row r="9371" spans="2:2">
      <c r="B9371" s="21"/>
    </row>
    <row r="9372" spans="2:2">
      <c r="B9372" s="21"/>
    </row>
    <row r="9373" spans="2:2">
      <c r="B9373" s="21"/>
    </row>
    <row r="9374" spans="2:2">
      <c r="B9374" s="21"/>
    </row>
    <row r="9375" spans="2:2">
      <c r="B9375" s="21"/>
    </row>
    <row r="9376" spans="2:2">
      <c r="B9376" s="21"/>
    </row>
    <row r="9377" spans="2:2">
      <c r="B9377" s="21"/>
    </row>
    <row r="9378" spans="2:2">
      <c r="B9378" s="21"/>
    </row>
    <row r="9379" spans="2:2">
      <c r="B9379" s="21"/>
    </row>
    <row r="9380" spans="2:2">
      <c r="B9380" s="21"/>
    </row>
    <row r="9381" spans="2:2">
      <c r="B9381" s="21"/>
    </row>
    <row r="9382" spans="2:2">
      <c r="B9382" s="21"/>
    </row>
    <row r="9383" spans="2:2">
      <c r="B9383" s="21"/>
    </row>
    <row r="9384" spans="2:2">
      <c r="B9384" s="21"/>
    </row>
    <row r="9385" spans="2:2">
      <c r="B9385" s="21"/>
    </row>
    <row r="9386" spans="2:2">
      <c r="B9386" s="21"/>
    </row>
    <row r="9387" spans="2:2">
      <c r="B9387" s="21"/>
    </row>
    <row r="9388" spans="2:2">
      <c r="B9388" s="21"/>
    </row>
    <row r="9389" spans="2:2">
      <c r="B9389" s="21"/>
    </row>
    <row r="9390" spans="2:2">
      <c r="B9390" s="21"/>
    </row>
    <row r="9391" spans="2:2">
      <c r="B9391" s="21"/>
    </row>
    <row r="9392" spans="2:2">
      <c r="B9392" s="21"/>
    </row>
    <row r="9393" spans="2:2">
      <c r="B9393" s="21"/>
    </row>
    <row r="9394" spans="2:2">
      <c r="B9394" s="21"/>
    </row>
    <row r="9395" spans="2:2">
      <c r="B9395" s="21"/>
    </row>
    <row r="9396" spans="2:2">
      <c r="B9396" s="21"/>
    </row>
    <row r="9397" spans="2:2">
      <c r="B9397" s="21"/>
    </row>
    <row r="9398" spans="2:2">
      <c r="B9398" s="21"/>
    </row>
    <row r="9399" spans="2:2">
      <c r="B9399" s="21"/>
    </row>
    <row r="9400" spans="2:2">
      <c r="B9400" s="21"/>
    </row>
    <row r="9401" spans="2:2">
      <c r="B9401" s="21"/>
    </row>
    <row r="9402" spans="2:2">
      <c r="B9402" s="21"/>
    </row>
    <row r="9403" spans="2:2">
      <c r="B9403" s="21"/>
    </row>
    <row r="9404" spans="2:2">
      <c r="B9404" s="21"/>
    </row>
    <row r="9405" spans="2:2">
      <c r="B9405" s="21"/>
    </row>
    <row r="9406" spans="2:2">
      <c r="B9406" s="21"/>
    </row>
    <row r="9407" spans="2:2">
      <c r="B9407" s="21"/>
    </row>
    <row r="9408" spans="2:2">
      <c r="B9408" s="21"/>
    </row>
    <row r="9409" spans="2:2">
      <c r="B9409" s="21"/>
    </row>
    <row r="9410" spans="2:2">
      <c r="B9410" s="21"/>
    </row>
    <row r="9411" spans="2:2">
      <c r="B9411" s="21"/>
    </row>
    <row r="9412" spans="2:2">
      <c r="B9412" s="21"/>
    </row>
    <row r="9413" spans="2:2">
      <c r="B9413" s="21"/>
    </row>
    <row r="9414" spans="2:2">
      <c r="B9414" s="21"/>
    </row>
    <row r="9415" spans="2:2">
      <c r="B9415" s="21"/>
    </row>
    <row r="9416" spans="2:2">
      <c r="B9416" s="21"/>
    </row>
    <row r="9417" spans="2:2">
      <c r="B9417" s="21"/>
    </row>
    <row r="9418" spans="2:2">
      <c r="B9418" s="21"/>
    </row>
    <row r="9419" spans="2:2">
      <c r="B9419" s="21"/>
    </row>
    <row r="9420" spans="2:2">
      <c r="B9420" s="21"/>
    </row>
    <row r="9421" spans="2:2">
      <c r="B9421" s="21"/>
    </row>
    <row r="9422" spans="2:2">
      <c r="B9422" s="21"/>
    </row>
    <row r="9423" spans="2:2">
      <c r="B9423" s="21"/>
    </row>
    <row r="9424" spans="2:2">
      <c r="B9424" s="21"/>
    </row>
    <row r="9425" spans="2:2">
      <c r="B9425" s="21"/>
    </row>
    <row r="9426" spans="2:2">
      <c r="B9426" s="21"/>
    </row>
    <row r="9427" spans="2:2">
      <c r="B9427" s="21"/>
    </row>
    <row r="9428" spans="2:2">
      <c r="B9428" s="21"/>
    </row>
    <row r="9429" spans="2:2">
      <c r="B9429" s="21"/>
    </row>
    <row r="9430" spans="2:2">
      <c r="B9430" s="21"/>
    </row>
    <row r="9431" spans="2:2">
      <c r="B9431" s="21"/>
    </row>
    <row r="9432" spans="2:2">
      <c r="B9432" s="21"/>
    </row>
    <row r="9433" spans="2:2">
      <c r="B9433" s="21"/>
    </row>
    <row r="9434" spans="2:2">
      <c r="B9434" s="21"/>
    </row>
    <row r="9435" spans="2:2">
      <c r="B9435" s="21"/>
    </row>
    <row r="9436" spans="2:2">
      <c r="B9436" s="21"/>
    </row>
    <row r="9437" spans="2:2">
      <c r="B9437" s="21"/>
    </row>
    <row r="9438" spans="2:2">
      <c r="B9438" s="21"/>
    </row>
    <row r="9439" spans="2:2">
      <c r="B9439" s="21"/>
    </row>
    <row r="9440" spans="2:2">
      <c r="B9440" s="21"/>
    </row>
    <row r="9441" spans="2:2">
      <c r="B9441" s="21"/>
    </row>
    <row r="9442" spans="2:2">
      <c r="B9442" s="21"/>
    </row>
    <row r="9443" spans="2:2">
      <c r="B9443" s="21"/>
    </row>
    <row r="9444" spans="2:2">
      <c r="B9444" s="21"/>
    </row>
    <row r="9445" spans="2:2">
      <c r="B9445" s="21"/>
    </row>
    <row r="9446" spans="2:2">
      <c r="B9446" s="21"/>
    </row>
    <row r="9447" spans="2:2">
      <c r="B9447" s="21"/>
    </row>
    <row r="9448" spans="2:2">
      <c r="B9448" s="21"/>
    </row>
    <row r="9449" spans="2:2">
      <c r="B9449" s="21"/>
    </row>
    <row r="9450" spans="2:2">
      <c r="B9450" s="21"/>
    </row>
    <row r="9451" spans="2:2">
      <c r="B9451" s="21"/>
    </row>
    <row r="9452" spans="2:2">
      <c r="B9452" s="21"/>
    </row>
    <row r="9453" spans="2:2">
      <c r="B9453" s="21"/>
    </row>
    <row r="9454" spans="2:2">
      <c r="B9454" s="21"/>
    </row>
    <row r="9455" spans="2:2">
      <c r="B9455" s="21"/>
    </row>
    <row r="9456" spans="2:2">
      <c r="B9456" s="21"/>
    </row>
    <row r="9457" spans="2:2">
      <c r="B9457" s="21"/>
    </row>
    <row r="9458" spans="2:2">
      <c r="B9458" s="21"/>
    </row>
    <row r="9459" spans="2:2">
      <c r="B9459" s="21"/>
    </row>
    <row r="9460" spans="2:2">
      <c r="B9460" s="21"/>
    </row>
    <row r="9461" spans="2:2">
      <c r="B9461" s="21"/>
    </row>
    <row r="9462" spans="2:2">
      <c r="B9462" s="21"/>
    </row>
    <row r="9463" spans="2:2">
      <c r="B9463" s="21"/>
    </row>
    <row r="9464" spans="2:2">
      <c r="B9464" s="21"/>
    </row>
    <row r="9465" spans="2:2">
      <c r="B9465" s="21"/>
    </row>
    <row r="9466" spans="2:2">
      <c r="B9466" s="21"/>
    </row>
    <row r="9467" spans="2:2">
      <c r="B9467" s="21"/>
    </row>
    <row r="9468" spans="2:2">
      <c r="B9468" s="21"/>
    </row>
    <row r="9469" spans="2:2">
      <c r="B9469" s="21"/>
    </row>
    <row r="9470" spans="2:2">
      <c r="B9470" s="21"/>
    </row>
    <row r="9471" spans="2:2">
      <c r="B9471" s="21"/>
    </row>
    <row r="9472" spans="2:2">
      <c r="B9472" s="21"/>
    </row>
    <row r="9473" spans="2:2">
      <c r="B9473" s="21"/>
    </row>
    <row r="9474" spans="2:2">
      <c r="B9474" s="21"/>
    </row>
    <row r="9475" spans="2:2">
      <c r="B9475" s="21"/>
    </row>
    <row r="9476" spans="2:2">
      <c r="B9476" s="21"/>
    </row>
    <row r="9477" spans="2:2">
      <c r="B9477" s="21"/>
    </row>
    <row r="9478" spans="2:2">
      <c r="B9478" s="21"/>
    </row>
    <row r="9479" spans="2:2">
      <c r="B9479" s="21"/>
    </row>
    <row r="9480" spans="2:2">
      <c r="B9480" s="21"/>
    </row>
    <row r="9481" spans="2:2">
      <c r="B9481" s="21"/>
    </row>
    <row r="9482" spans="2:2">
      <c r="B9482" s="21"/>
    </row>
    <row r="9483" spans="2:2">
      <c r="B9483" s="21"/>
    </row>
    <row r="9484" spans="2:2">
      <c r="B9484" s="21"/>
    </row>
    <row r="9485" spans="2:2">
      <c r="B9485" s="21"/>
    </row>
    <row r="9486" spans="2:2">
      <c r="B9486" s="21"/>
    </row>
    <row r="9487" spans="2:2">
      <c r="B9487" s="21"/>
    </row>
    <row r="9488" spans="2:2">
      <c r="B9488" s="21"/>
    </row>
    <row r="9489" spans="2:2">
      <c r="B9489" s="21"/>
    </row>
    <row r="9490" spans="2:2">
      <c r="B9490" s="21"/>
    </row>
    <row r="9491" spans="2:2">
      <c r="B9491" s="21"/>
    </row>
    <row r="9492" spans="2:2">
      <c r="B9492" s="21"/>
    </row>
    <row r="9493" spans="2:2">
      <c r="B9493" s="21"/>
    </row>
    <row r="9494" spans="2:2">
      <c r="B9494" s="21"/>
    </row>
    <row r="9495" spans="2:2">
      <c r="B9495" s="21"/>
    </row>
    <row r="9496" spans="2:2">
      <c r="B9496" s="21"/>
    </row>
    <row r="9497" spans="2:2">
      <c r="B9497" s="21"/>
    </row>
    <row r="9498" spans="2:2">
      <c r="B9498" s="21"/>
    </row>
    <row r="9499" spans="2:2">
      <c r="B9499" s="21"/>
    </row>
    <row r="9500" spans="2:2">
      <c r="B9500" s="21"/>
    </row>
    <row r="9501" spans="2:2">
      <c r="B9501" s="21"/>
    </row>
    <row r="9502" spans="2:2">
      <c r="B9502" s="21"/>
    </row>
    <row r="9503" spans="2:2">
      <c r="B9503" s="21"/>
    </row>
    <row r="9504" spans="2:2">
      <c r="B9504" s="21"/>
    </row>
    <row r="9505" spans="2:2">
      <c r="B9505" s="21"/>
    </row>
    <row r="9506" spans="2:2">
      <c r="B9506" s="21"/>
    </row>
    <row r="9507" spans="2:2">
      <c r="B9507" s="21"/>
    </row>
    <row r="9508" spans="2:2">
      <c r="B9508" s="21"/>
    </row>
    <row r="9509" spans="2:2">
      <c r="B9509" s="21"/>
    </row>
    <row r="9510" spans="2:2">
      <c r="B9510" s="21"/>
    </row>
    <row r="9511" spans="2:2">
      <c r="B9511" s="21"/>
    </row>
    <row r="9512" spans="2:2">
      <c r="B9512" s="21"/>
    </row>
    <row r="9513" spans="2:2">
      <c r="B9513" s="21"/>
    </row>
    <row r="9514" spans="2:2">
      <c r="B9514" s="21"/>
    </row>
    <row r="9515" spans="2:2">
      <c r="B9515" s="21"/>
    </row>
    <row r="9516" spans="2:2">
      <c r="B9516" s="21"/>
    </row>
    <row r="9517" spans="2:2">
      <c r="B9517" s="21"/>
    </row>
    <row r="9518" spans="2:2">
      <c r="B9518" s="21"/>
    </row>
    <row r="9519" spans="2:2">
      <c r="B9519" s="21"/>
    </row>
    <row r="9520" spans="2:2">
      <c r="B9520" s="21"/>
    </row>
    <row r="9521" spans="2:2">
      <c r="B9521" s="21"/>
    </row>
    <row r="9522" spans="2:2">
      <c r="B9522" s="21"/>
    </row>
    <row r="9523" spans="2:2">
      <c r="B9523" s="21"/>
    </row>
    <row r="9524" spans="2:2">
      <c r="B9524" s="21"/>
    </row>
    <row r="9525" spans="2:2">
      <c r="B9525" s="21"/>
    </row>
    <row r="9526" spans="2:2">
      <c r="B9526" s="21"/>
    </row>
    <row r="9527" spans="2:2">
      <c r="B9527" s="21"/>
    </row>
    <row r="9528" spans="2:2">
      <c r="B9528" s="21"/>
    </row>
    <row r="9529" spans="2:2">
      <c r="B9529" s="21"/>
    </row>
    <row r="9530" spans="2:2">
      <c r="B9530" s="21"/>
    </row>
    <row r="9531" spans="2:2">
      <c r="B9531" s="21"/>
    </row>
    <row r="9532" spans="2:2">
      <c r="B9532" s="21"/>
    </row>
    <row r="9533" spans="2:2">
      <c r="B9533" s="21"/>
    </row>
    <row r="9534" spans="2:2">
      <c r="B9534" s="21"/>
    </row>
    <row r="9535" spans="2:2">
      <c r="B9535" s="21"/>
    </row>
    <row r="9536" spans="2:2">
      <c r="B9536" s="21"/>
    </row>
    <row r="9537" spans="2:2">
      <c r="B9537" s="21"/>
    </row>
    <row r="9538" spans="2:2">
      <c r="B9538" s="21"/>
    </row>
    <row r="9539" spans="2:2">
      <c r="B9539" s="21"/>
    </row>
    <row r="9540" spans="2:2">
      <c r="B9540" s="21"/>
    </row>
    <row r="9541" spans="2:2">
      <c r="B9541" s="21"/>
    </row>
    <row r="9542" spans="2:2">
      <c r="B9542" s="21"/>
    </row>
    <row r="9543" spans="2:2">
      <c r="B9543" s="21"/>
    </row>
    <row r="9544" spans="2:2">
      <c r="B9544" s="21"/>
    </row>
    <row r="9545" spans="2:2">
      <c r="B9545" s="21"/>
    </row>
    <row r="9546" spans="2:2">
      <c r="B9546" s="21"/>
    </row>
    <row r="9547" spans="2:2">
      <c r="B9547" s="21"/>
    </row>
    <row r="9548" spans="2:2">
      <c r="B9548" s="21"/>
    </row>
    <row r="9549" spans="2:2">
      <c r="B9549" s="21"/>
    </row>
    <row r="9550" spans="2:2">
      <c r="B9550" s="21"/>
    </row>
    <row r="9551" spans="2:2">
      <c r="B9551" s="21"/>
    </row>
    <row r="9552" spans="2:2">
      <c r="B9552" s="21"/>
    </row>
    <row r="9553" spans="2:2">
      <c r="B9553" s="21"/>
    </row>
    <row r="9554" spans="2:2">
      <c r="B9554" s="21"/>
    </row>
    <row r="9555" spans="2:2">
      <c r="B9555" s="21"/>
    </row>
    <row r="9556" spans="2:2">
      <c r="B9556" s="21"/>
    </row>
    <row r="9557" spans="2:2">
      <c r="B9557" s="21"/>
    </row>
    <row r="9558" spans="2:2">
      <c r="B9558" s="21"/>
    </row>
    <row r="9559" spans="2:2">
      <c r="B9559" s="21"/>
    </row>
    <row r="9560" spans="2:2">
      <c r="B9560" s="21"/>
    </row>
    <row r="9561" spans="2:2">
      <c r="B9561" s="21"/>
    </row>
    <row r="9562" spans="2:2">
      <c r="B9562" s="21"/>
    </row>
    <row r="9563" spans="2:2">
      <c r="B9563" s="21"/>
    </row>
    <row r="9564" spans="2:2">
      <c r="B9564" s="21"/>
    </row>
    <row r="9565" spans="2:2">
      <c r="B9565" s="21"/>
    </row>
    <row r="9566" spans="2:2">
      <c r="B9566" s="21"/>
    </row>
    <row r="9567" spans="2:2">
      <c r="B9567" s="21"/>
    </row>
    <row r="9568" spans="2:2">
      <c r="B9568" s="21"/>
    </row>
    <row r="9569" spans="2:2">
      <c r="B9569" s="21"/>
    </row>
    <row r="9570" spans="2:2">
      <c r="B9570" s="21"/>
    </row>
    <row r="9571" spans="2:2">
      <c r="B9571" s="21"/>
    </row>
    <row r="9572" spans="2:2">
      <c r="B9572" s="21"/>
    </row>
    <row r="9573" spans="2:2">
      <c r="B9573" s="21"/>
    </row>
    <row r="9574" spans="2:2">
      <c r="B9574" s="21"/>
    </row>
    <row r="9575" spans="2:2">
      <c r="B9575" s="21"/>
    </row>
    <row r="9576" spans="2:2">
      <c r="B9576" s="21"/>
    </row>
    <row r="9577" spans="2:2">
      <c r="B9577" s="21"/>
    </row>
    <row r="9578" spans="2:2">
      <c r="B9578" s="21"/>
    </row>
    <row r="9579" spans="2:2">
      <c r="B9579" s="21"/>
    </row>
    <row r="9580" spans="2:2">
      <c r="B9580" s="21"/>
    </row>
    <row r="9581" spans="2:2">
      <c r="B9581" s="21"/>
    </row>
    <row r="9582" spans="2:2">
      <c r="B9582" s="21"/>
    </row>
    <row r="9583" spans="2:2">
      <c r="B9583" s="21"/>
    </row>
    <row r="9584" spans="2:2">
      <c r="B9584" s="21"/>
    </row>
    <row r="9585" spans="2:2">
      <c r="B9585" s="21"/>
    </row>
    <row r="9586" spans="2:2">
      <c r="B9586" s="21"/>
    </row>
    <row r="9587" spans="2:2">
      <c r="B9587" s="21"/>
    </row>
    <row r="9588" spans="2:2">
      <c r="B9588" s="21"/>
    </row>
    <row r="9589" spans="2:2">
      <c r="B9589" s="21"/>
    </row>
    <row r="9590" spans="2:2">
      <c r="B9590" s="21"/>
    </row>
    <row r="9591" spans="2:2">
      <c r="B9591" s="21"/>
    </row>
    <row r="9592" spans="2:2">
      <c r="B9592" s="21"/>
    </row>
    <row r="9593" spans="2:2">
      <c r="B9593" s="21"/>
    </row>
    <row r="9594" spans="2:2">
      <c r="B9594" s="21"/>
    </row>
    <row r="9595" spans="2:2">
      <c r="B9595" s="21"/>
    </row>
    <row r="9596" spans="2:2">
      <c r="B9596" s="21"/>
    </row>
    <row r="9597" spans="2:2">
      <c r="B9597" s="21"/>
    </row>
    <row r="9598" spans="2:2">
      <c r="B9598" s="21"/>
    </row>
    <row r="9599" spans="2:2">
      <c r="B9599" s="21"/>
    </row>
    <row r="9600" spans="2:2">
      <c r="B9600" s="21"/>
    </row>
    <row r="9601" spans="2:2">
      <c r="B9601" s="21"/>
    </row>
    <row r="9602" spans="2:2">
      <c r="B9602" s="21"/>
    </row>
    <row r="9603" spans="2:2">
      <c r="B9603" s="21"/>
    </row>
    <row r="9604" spans="2:2">
      <c r="B9604" s="21"/>
    </row>
    <row r="9605" spans="2:2">
      <c r="B9605" s="21"/>
    </row>
    <row r="9606" spans="2:2">
      <c r="B9606" s="21"/>
    </row>
    <row r="9607" spans="2:2">
      <c r="B9607" s="21"/>
    </row>
    <row r="9608" spans="2:2">
      <c r="B9608" s="21"/>
    </row>
    <row r="9609" spans="2:2">
      <c r="B9609" s="21"/>
    </row>
    <row r="9610" spans="2:2">
      <c r="B9610" s="21"/>
    </row>
    <row r="9611" spans="2:2">
      <c r="B9611" s="21"/>
    </row>
    <row r="9612" spans="2:2">
      <c r="B9612" s="21"/>
    </row>
    <row r="9613" spans="2:2">
      <c r="B9613" s="21"/>
    </row>
    <row r="9614" spans="2:2">
      <c r="B9614" s="21"/>
    </row>
    <row r="9615" spans="2:2">
      <c r="B9615" s="21"/>
    </row>
    <row r="9616" spans="2:2">
      <c r="B9616" s="21"/>
    </row>
    <row r="9617" spans="2:2">
      <c r="B9617" s="21"/>
    </row>
    <row r="9618" spans="2:2">
      <c r="B9618" s="21"/>
    </row>
    <row r="9619" spans="2:2">
      <c r="B9619" s="21"/>
    </row>
    <row r="9620" spans="2:2">
      <c r="B9620" s="21"/>
    </row>
    <row r="9621" spans="2:2">
      <c r="B9621" s="21"/>
    </row>
    <row r="9622" spans="2:2">
      <c r="B9622" s="21"/>
    </row>
    <row r="9623" spans="2:2">
      <c r="B9623" s="21"/>
    </row>
    <row r="9624" spans="2:2">
      <c r="B9624" s="21"/>
    </row>
    <row r="9625" spans="2:2">
      <c r="B9625" s="21"/>
    </row>
    <row r="9626" spans="2:2">
      <c r="B9626" s="21"/>
    </row>
    <row r="9627" spans="2:2">
      <c r="B9627" s="21"/>
    </row>
    <row r="9628" spans="2:2">
      <c r="B9628" s="21"/>
    </row>
    <row r="9629" spans="2:2">
      <c r="B9629" s="21"/>
    </row>
    <row r="9630" spans="2:2">
      <c r="B9630" s="21"/>
    </row>
    <row r="9631" spans="2:2">
      <c r="B9631" s="21"/>
    </row>
    <row r="9632" spans="2:2">
      <c r="B9632" s="21"/>
    </row>
    <row r="9633" spans="2:2">
      <c r="B9633" s="21"/>
    </row>
    <row r="9634" spans="2:2">
      <c r="B9634" s="21"/>
    </row>
    <row r="9635" spans="2:2">
      <c r="B9635" s="21"/>
    </row>
    <row r="9636" spans="2:2">
      <c r="B9636" s="21"/>
    </row>
    <row r="9637" spans="2:2">
      <c r="B9637" s="21"/>
    </row>
    <row r="9638" spans="2:2">
      <c r="B9638" s="21"/>
    </row>
    <row r="9639" spans="2:2">
      <c r="B9639" s="21"/>
    </row>
    <row r="9640" spans="2:2">
      <c r="B9640" s="21"/>
    </row>
    <row r="9641" spans="2:2">
      <c r="B9641" s="21"/>
    </row>
    <row r="9642" spans="2:2">
      <c r="B9642" s="21"/>
    </row>
    <row r="9643" spans="2:2">
      <c r="B9643" s="21"/>
    </row>
    <row r="9644" spans="2:2">
      <c r="B9644" s="21"/>
    </row>
    <row r="9645" spans="2:2">
      <c r="B9645" s="21"/>
    </row>
    <row r="9646" spans="2:2">
      <c r="B9646" s="21"/>
    </row>
    <row r="9647" spans="2:2">
      <c r="B9647" s="21"/>
    </row>
    <row r="9648" spans="2:2">
      <c r="B9648" s="21"/>
    </row>
    <row r="9649" spans="2:2">
      <c r="B9649" s="21"/>
    </row>
    <row r="9650" spans="2:2">
      <c r="B9650" s="21"/>
    </row>
    <row r="9651" spans="2:2">
      <c r="B9651" s="21"/>
    </row>
    <row r="9652" spans="2:2">
      <c r="B9652" s="21"/>
    </row>
    <row r="9653" spans="2:2">
      <c r="B9653" s="21"/>
    </row>
    <row r="9654" spans="2:2">
      <c r="B9654" s="21"/>
    </row>
    <row r="9655" spans="2:2">
      <c r="B9655" s="21"/>
    </row>
    <row r="9656" spans="2:2">
      <c r="B9656" s="21"/>
    </row>
    <row r="9657" spans="2:2">
      <c r="B9657" s="21"/>
    </row>
    <row r="9658" spans="2:2">
      <c r="B9658" s="21"/>
    </row>
    <row r="9659" spans="2:2">
      <c r="B9659" s="21"/>
    </row>
    <row r="9660" spans="2:2">
      <c r="B9660" s="21"/>
    </row>
    <row r="9661" spans="2:2">
      <c r="B9661" s="21"/>
    </row>
    <row r="9662" spans="2:2">
      <c r="B9662" s="21"/>
    </row>
    <row r="9663" spans="2:2">
      <c r="B9663" s="21"/>
    </row>
    <row r="9664" spans="2:2">
      <c r="B9664" s="21"/>
    </row>
    <row r="9665" spans="2:2">
      <c r="B9665" s="21"/>
    </row>
    <row r="9666" spans="2:2">
      <c r="B9666" s="21"/>
    </row>
    <row r="9667" spans="2:2">
      <c r="B9667" s="21"/>
    </row>
    <row r="9668" spans="2:2">
      <c r="B9668" s="21"/>
    </row>
    <row r="9669" spans="2:2">
      <c r="B9669" s="21"/>
    </row>
    <row r="9670" spans="2:2">
      <c r="B9670" s="21"/>
    </row>
    <row r="9671" spans="2:2">
      <c r="B9671" s="21"/>
    </row>
    <row r="9672" spans="2:2">
      <c r="B9672" s="21"/>
    </row>
    <row r="9673" spans="2:2">
      <c r="B9673" s="21"/>
    </row>
    <row r="9674" spans="2:2">
      <c r="B9674" s="21"/>
    </row>
    <row r="9675" spans="2:2">
      <c r="B9675" s="21"/>
    </row>
    <row r="9676" spans="2:2">
      <c r="B9676" s="21"/>
    </row>
    <row r="9677" spans="2:2">
      <c r="B9677" s="21"/>
    </row>
    <row r="9678" spans="2:2">
      <c r="B9678" s="21"/>
    </row>
    <row r="9679" spans="2:2">
      <c r="B9679" s="21"/>
    </row>
    <row r="9680" spans="2:2">
      <c r="B9680" s="21"/>
    </row>
    <row r="9681" spans="2:2">
      <c r="B9681" s="21"/>
    </row>
    <row r="9682" spans="2:2">
      <c r="B9682" s="21"/>
    </row>
    <row r="9683" spans="2:2">
      <c r="B9683" s="21"/>
    </row>
    <row r="9684" spans="2:2">
      <c r="B9684" s="21"/>
    </row>
    <row r="9685" spans="2:2">
      <c r="B9685" s="21"/>
    </row>
    <row r="9686" spans="2:2">
      <c r="B9686" s="21"/>
    </row>
    <row r="9687" spans="2:2">
      <c r="B9687" s="21"/>
    </row>
    <row r="9688" spans="2:2">
      <c r="B9688" s="21"/>
    </row>
    <row r="9689" spans="2:2">
      <c r="B9689" s="21"/>
    </row>
    <row r="9690" spans="2:2">
      <c r="B9690" s="21"/>
    </row>
    <row r="9691" spans="2:2">
      <c r="B9691" s="21"/>
    </row>
    <row r="9692" spans="2:2">
      <c r="B9692" s="21"/>
    </row>
    <row r="9693" spans="2:2">
      <c r="B9693" s="21"/>
    </row>
    <row r="9694" spans="2:2">
      <c r="B9694" s="21"/>
    </row>
    <row r="9695" spans="2:2">
      <c r="B9695" s="21"/>
    </row>
    <row r="9696" spans="2:2">
      <c r="B9696" s="21"/>
    </row>
    <row r="9697" spans="2:2">
      <c r="B9697" s="21"/>
    </row>
    <row r="9698" spans="2:2">
      <c r="B9698" s="21"/>
    </row>
    <row r="9699" spans="2:2">
      <c r="B9699" s="21"/>
    </row>
    <row r="9700" spans="2:2">
      <c r="B9700" s="21"/>
    </row>
    <row r="9701" spans="2:2">
      <c r="B9701" s="21"/>
    </row>
    <row r="9702" spans="2:2">
      <c r="B9702" s="21"/>
    </row>
    <row r="9703" spans="2:2">
      <c r="B9703" s="21"/>
    </row>
    <row r="9704" spans="2:2">
      <c r="B9704" s="21"/>
    </row>
    <row r="9705" spans="2:2">
      <c r="B9705" s="21"/>
    </row>
    <row r="9706" spans="2:2">
      <c r="B9706" s="21"/>
    </row>
    <row r="9707" spans="2:2">
      <c r="B9707" s="21"/>
    </row>
    <row r="9708" spans="2:2">
      <c r="B9708" s="21"/>
    </row>
    <row r="9709" spans="2:2">
      <c r="B9709" s="21"/>
    </row>
    <row r="9710" spans="2:2">
      <c r="B9710" s="21"/>
    </row>
    <row r="9711" spans="2:2">
      <c r="B9711" s="21"/>
    </row>
    <row r="9712" spans="2:2">
      <c r="B9712" s="21"/>
    </row>
    <row r="9713" spans="2:2">
      <c r="B9713" s="21"/>
    </row>
    <row r="9714" spans="2:2">
      <c r="B9714" s="21"/>
    </row>
    <row r="9715" spans="2:2">
      <c r="B9715" s="21"/>
    </row>
    <row r="9716" spans="2:2">
      <c r="B9716" s="21"/>
    </row>
    <row r="9717" spans="2:2">
      <c r="B9717" s="21"/>
    </row>
    <row r="9718" spans="2:2">
      <c r="B9718" s="21"/>
    </row>
    <row r="9719" spans="2:2">
      <c r="B9719" s="21"/>
    </row>
    <row r="9720" spans="2:2">
      <c r="B9720" s="21"/>
    </row>
    <row r="9721" spans="2:2">
      <c r="B9721" s="21"/>
    </row>
    <row r="9722" spans="2:2">
      <c r="B9722" s="21"/>
    </row>
    <row r="9723" spans="2:2">
      <c r="B9723" s="21"/>
    </row>
    <row r="9724" spans="2:2">
      <c r="B9724" s="21"/>
    </row>
    <row r="9725" spans="2:2">
      <c r="B9725" s="21"/>
    </row>
    <row r="9726" spans="2:2">
      <c r="B9726" s="21"/>
    </row>
    <row r="9727" spans="2:2">
      <c r="B9727" s="21"/>
    </row>
    <row r="9728" spans="2:2">
      <c r="B9728" s="21"/>
    </row>
    <row r="9729" spans="2:2">
      <c r="B9729" s="21"/>
    </row>
    <row r="9730" spans="2:2">
      <c r="B9730" s="21"/>
    </row>
    <row r="9731" spans="2:2">
      <c r="B9731" s="21"/>
    </row>
    <row r="9732" spans="2:2">
      <c r="B9732" s="21"/>
    </row>
    <row r="9733" spans="2:2">
      <c r="B9733" s="21"/>
    </row>
    <row r="9734" spans="2:2">
      <c r="B9734" s="21"/>
    </row>
    <row r="9735" spans="2:2">
      <c r="B9735" s="21"/>
    </row>
    <row r="9736" spans="2:2">
      <c r="B9736" s="21"/>
    </row>
    <row r="9737" spans="2:2">
      <c r="B9737" s="21"/>
    </row>
    <row r="9738" spans="2:2">
      <c r="B9738" s="21"/>
    </row>
    <row r="9739" spans="2:2">
      <c r="B9739" s="21"/>
    </row>
    <row r="9740" spans="2:2">
      <c r="B9740" s="21"/>
    </row>
    <row r="9741" spans="2:2">
      <c r="B9741" s="21"/>
    </row>
    <row r="9742" spans="2:2">
      <c r="B9742" s="21"/>
    </row>
    <row r="9743" spans="2:2">
      <c r="B9743" s="21"/>
    </row>
    <row r="9744" spans="2:2">
      <c r="B9744" s="21"/>
    </row>
    <row r="9745" spans="2:2">
      <c r="B9745" s="21"/>
    </row>
    <row r="9746" spans="2:2">
      <c r="B9746" s="21"/>
    </row>
    <row r="9747" spans="2:2">
      <c r="B9747" s="21"/>
    </row>
    <row r="9748" spans="2:2">
      <c r="B9748" s="21"/>
    </row>
    <row r="9749" spans="2:2">
      <c r="B9749" s="21"/>
    </row>
    <row r="9750" spans="2:2">
      <c r="B9750" s="21"/>
    </row>
    <row r="9751" spans="2:2">
      <c r="B9751" s="21"/>
    </row>
    <row r="9752" spans="2:2">
      <c r="B9752" s="21"/>
    </row>
    <row r="9753" spans="2:2">
      <c r="B9753" s="21"/>
    </row>
    <row r="9754" spans="2:2">
      <c r="B9754" s="21"/>
    </row>
    <row r="9755" spans="2:2">
      <c r="B9755" s="21"/>
    </row>
    <row r="9756" spans="2:2">
      <c r="B9756" s="21"/>
    </row>
    <row r="9757" spans="2:2">
      <c r="B9757" s="21"/>
    </row>
    <row r="9758" spans="2:2">
      <c r="B9758" s="21"/>
    </row>
    <row r="9759" spans="2:2">
      <c r="B9759" s="21"/>
    </row>
    <row r="9760" spans="2:2">
      <c r="B9760" s="21"/>
    </row>
    <row r="9761" spans="2:2">
      <c r="B9761" s="21"/>
    </row>
    <row r="9762" spans="2:2">
      <c r="B9762" s="21"/>
    </row>
    <row r="9763" spans="2:2">
      <c r="B9763" s="21"/>
    </row>
    <row r="9764" spans="2:2">
      <c r="B9764" s="21"/>
    </row>
    <row r="9765" spans="2:2">
      <c r="B9765" s="21"/>
    </row>
    <row r="9766" spans="2:2">
      <c r="B9766" s="21"/>
    </row>
    <row r="9767" spans="2:2">
      <c r="B9767" s="21"/>
    </row>
    <row r="9768" spans="2:2">
      <c r="B9768" s="21"/>
    </row>
    <row r="9769" spans="2:2">
      <c r="B9769" s="21"/>
    </row>
    <row r="9770" spans="2:2">
      <c r="B9770" s="21"/>
    </row>
    <row r="9771" spans="2:2">
      <c r="B9771" s="21"/>
    </row>
    <row r="9772" spans="2:2">
      <c r="B9772" s="21"/>
    </row>
    <row r="9773" spans="2:2">
      <c r="B9773" s="21"/>
    </row>
    <row r="9774" spans="2:2">
      <c r="B9774" s="21"/>
    </row>
    <row r="9775" spans="2:2">
      <c r="B9775" s="21"/>
    </row>
    <row r="9776" spans="2:2">
      <c r="B9776" s="21"/>
    </row>
    <row r="9777" spans="2:2">
      <c r="B9777" s="21"/>
    </row>
    <row r="9778" spans="2:2">
      <c r="B9778" s="21"/>
    </row>
    <row r="9779" spans="2:2">
      <c r="B9779" s="21"/>
    </row>
    <row r="9780" spans="2:2">
      <c r="B9780" s="21"/>
    </row>
    <row r="9781" spans="2:2">
      <c r="B9781" s="21"/>
    </row>
    <row r="9782" spans="2:2">
      <c r="B9782" s="21"/>
    </row>
    <row r="9783" spans="2:2">
      <c r="B9783" s="21"/>
    </row>
    <row r="9784" spans="2:2">
      <c r="B9784" s="21"/>
    </row>
    <row r="9785" spans="2:2">
      <c r="B9785" s="21"/>
    </row>
    <row r="9786" spans="2:2">
      <c r="B9786" s="21"/>
    </row>
    <row r="9787" spans="2:2">
      <c r="B9787" s="21"/>
    </row>
    <row r="9788" spans="2:2">
      <c r="B9788" s="21"/>
    </row>
    <row r="9789" spans="2:2">
      <c r="B9789" s="21"/>
    </row>
    <row r="9790" spans="2:2">
      <c r="B9790" s="21"/>
    </row>
    <row r="9791" spans="2:2">
      <c r="B9791" s="21"/>
    </row>
    <row r="9792" spans="2:2">
      <c r="B9792" s="21"/>
    </row>
    <row r="9793" spans="2:2">
      <c r="B9793" s="21"/>
    </row>
    <row r="9794" spans="2:2">
      <c r="B9794" s="21"/>
    </row>
    <row r="9795" spans="2:2">
      <c r="B9795" s="21"/>
    </row>
    <row r="9796" spans="2:2">
      <c r="B9796" s="21"/>
    </row>
    <row r="9797" spans="2:2">
      <c r="B9797" s="21"/>
    </row>
    <row r="9798" spans="2:2">
      <c r="B9798" s="21"/>
    </row>
    <row r="9799" spans="2:2">
      <c r="B9799" s="21"/>
    </row>
    <row r="9800" spans="2:2">
      <c r="B9800" s="21"/>
    </row>
    <row r="9801" spans="2:2">
      <c r="B9801" s="21"/>
    </row>
    <row r="9802" spans="2:2">
      <c r="B9802" s="21"/>
    </row>
    <row r="9803" spans="2:2">
      <c r="B9803" s="21"/>
    </row>
    <row r="9804" spans="2:2">
      <c r="B9804" s="21"/>
    </row>
    <row r="9805" spans="2:2">
      <c r="B9805" s="21"/>
    </row>
    <row r="9806" spans="2:2">
      <c r="B9806" s="21"/>
    </row>
    <row r="9807" spans="2:2">
      <c r="B9807" s="21"/>
    </row>
    <row r="9808" spans="2:2">
      <c r="B9808" s="21"/>
    </row>
    <row r="9809" spans="2:2">
      <c r="B9809" s="21"/>
    </row>
    <row r="9810" spans="2:2">
      <c r="B9810" s="21"/>
    </row>
    <row r="9811" spans="2:2">
      <c r="B9811" s="21"/>
    </row>
    <row r="9812" spans="2:2">
      <c r="B9812" s="21"/>
    </row>
    <row r="9813" spans="2:2">
      <c r="B9813" s="21"/>
    </row>
    <row r="9814" spans="2:2">
      <c r="B9814" s="21"/>
    </row>
    <row r="9815" spans="2:2">
      <c r="B9815" s="21"/>
    </row>
    <row r="9816" spans="2:2">
      <c r="B9816" s="21"/>
    </row>
    <row r="9817" spans="2:2">
      <c r="B9817" s="21"/>
    </row>
    <row r="9818" spans="2:2">
      <c r="B9818" s="21"/>
    </row>
    <row r="9819" spans="2:2">
      <c r="B9819" s="21"/>
    </row>
    <row r="9820" spans="2:2">
      <c r="B9820" s="21"/>
    </row>
    <row r="9821" spans="2:2">
      <c r="B9821" s="21"/>
    </row>
    <row r="9822" spans="2:2">
      <c r="B9822" s="21"/>
    </row>
    <row r="9823" spans="2:2">
      <c r="B9823" s="21"/>
    </row>
    <row r="9824" spans="2:2">
      <c r="B9824" s="21"/>
    </row>
    <row r="9825" spans="2:2">
      <c r="B9825" s="21"/>
    </row>
    <row r="9826" spans="2:2">
      <c r="B9826" s="21"/>
    </row>
    <row r="9827" spans="2:2">
      <c r="B9827" s="21"/>
    </row>
    <row r="9828" spans="2:2">
      <c r="B9828" s="21"/>
    </row>
    <row r="9829" spans="2:2">
      <c r="B9829" s="21"/>
    </row>
    <row r="9830" spans="2:2">
      <c r="B9830" s="21"/>
    </row>
    <row r="9831" spans="2:2">
      <c r="B9831" s="21"/>
    </row>
    <row r="9832" spans="2:2">
      <c r="B9832" s="21"/>
    </row>
    <row r="9833" spans="2:2">
      <c r="B9833" s="21"/>
    </row>
    <row r="9834" spans="2:2">
      <c r="B9834" s="21"/>
    </row>
    <row r="9835" spans="2:2">
      <c r="B9835" s="21"/>
    </row>
    <row r="9836" spans="2:2">
      <c r="B9836" s="21"/>
    </row>
    <row r="9837" spans="2:2">
      <c r="B9837" s="21"/>
    </row>
    <row r="9838" spans="2:2">
      <c r="B9838" s="21"/>
    </row>
    <row r="9839" spans="2:2">
      <c r="B9839" s="21"/>
    </row>
    <row r="9840" spans="2:2">
      <c r="B9840" s="21"/>
    </row>
    <row r="9841" spans="2:2">
      <c r="B9841" s="21"/>
    </row>
    <row r="9842" spans="2:2">
      <c r="B9842" s="21"/>
    </row>
    <row r="9843" spans="2:2">
      <c r="B9843" s="21"/>
    </row>
    <row r="9844" spans="2:2">
      <c r="B9844" s="21"/>
    </row>
    <row r="9845" spans="2:2">
      <c r="B9845" s="21"/>
    </row>
    <row r="9846" spans="2:2">
      <c r="B9846" s="21"/>
    </row>
    <row r="9847" spans="2:2">
      <c r="B9847" s="21"/>
    </row>
    <row r="9848" spans="2:2">
      <c r="B9848" s="21"/>
    </row>
    <row r="9849" spans="2:2">
      <c r="B9849" s="21"/>
    </row>
    <row r="9850" spans="2:2">
      <c r="B9850" s="21"/>
    </row>
    <row r="9851" spans="2:2">
      <c r="B9851" s="21"/>
    </row>
    <row r="9852" spans="2:2">
      <c r="B9852" s="21"/>
    </row>
    <row r="9853" spans="2:2">
      <c r="B9853" s="21"/>
    </row>
    <row r="9854" spans="2:2">
      <c r="B9854" s="21"/>
    </row>
    <row r="9855" spans="2:2">
      <c r="B9855" s="21"/>
    </row>
    <row r="9856" spans="2:2">
      <c r="B9856" s="21"/>
    </row>
    <row r="9857" spans="2:2">
      <c r="B9857" s="21"/>
    </row>
    <row r="9858" spans="2:2">
      <c r="B9858" s="21"/>
    </row>
    <row r="9859" spans="2:2">
      <c r="B9859" s="21"/>
    </row>
    <row r="9860" spans="2:2">
      <c r="B9860" s="21"/>
    </row>
    <row r="9861" spans="2:2">
      <c r="B9861" s="21"/>
    </row>
    <row r="9862" spans="2:2">
      <c r="B9862" s="21"/>
    </row>
    <row r="9863" spans="2:2">
      <c r="B9863" s="21"/>
    </row>
    <row r="9864" spans="2:2">
      <c r="B9864" s="21"/>
    </row>
    <row r="9865" spans="2:2">
      <c r="B9865" s="21"/>
    </row>
    <row r="9866" spans="2:2">
      <c r="B9866" s="21"/>
    </row>
    <row r="9867" spans="2:2">
      <c r="B9867" s="21"/>
    </row>
    <row r="9868" spans="2:2">
      <c r="B9868" s="21"/>
    </row>
    <row r="9869" spans="2:2">
      <c r="B9869" s="21"/>
    </row>
    <row r="9870" spans="2:2">
      <c r="B9870" s="21"/>
    </row>
    <row r="9871" spans="2:2">
      <c r="B9871" s="21"/>
    </row>
    <row r="9872" spans="2:2">
      <c r="B9872" s="21"/>
    </row>
    <row r="9873" spans="2:2">
      <c r="B9873" s="21"/>
    </row>
    <row r="9874" spans="2:2">
      <c r="B9874" s="21"/>
    </row>
    <row r="9875" spans="2:2">
      <c r="B9875" s="21"/>
    </row>
    <row r="9876" spans="2:2">
      <c r="B9876" s="21"/>
    </row>
    <row r="9877" spans="2:2">
      <c r="B9877" s="21"/>
    </row>
    <row r="9878" spans="2:2">
      <c r="B9878" s="21"/>
    </row>
    <row r="9879" spans="2:2">
      <c r="B9879" s="21"/>
    </row>
    <row r="9880" spans="2:2">
      <c r="B9880" s="21"/>
    </row>
    <row r="9881" spans="2:2">
      <c r="B9881" s="21"/>
    </row>
    <row r="9882" spans="2:2">
      <c r="B9882" s="21"/>
    </row>
    <row r="9883" spans="2:2">
      <c r="B9883" s="21"/>
    </row>
    <row r="9884" spans="2:2">
      <c r="B9884" s="21"/>
    </row>
    <row r="9885" spans="2:2">
      <c r="B9885" s="21"/>
    </row>
    <row r="9886" spans="2:2">
      <c r="B9886" s="21"/>
    </row>
    <row r="9887" spans="2:2">
      <c r="B9887" s="21"/>
    </row>
    <row r="9888" spans="2:2">
      <c r="B9888" s="21"/>
    </row>
    <row r="9889" spans="2:2">
      <c r="B9889" s="21"/>
    </row>
    <row r="9890" spans="2:2">
      <c r="B9890" s="21"/>
    </row>
    <row r="9891" spans="2:2">
      <c r="B9891" s="21"/>
    </row>
    <row r="9892" spans="2:2">
      <c r="B9892" s="21"/>
    </row>
    <row r="9893" spans="2:2">
      <c r="B9893" s="21"/>
    </row>
    <row r="9894" spans="2:2">
      <c r="B9894" s="21"/>
    </row>
    <row r="9895" spans="2:2">
      <c r="B9895" s="21"/>
    </row>
    <row r="9896" spans="2:2">
      <c r="B9896" s="21"/>
    </row>
    <row r="9897" spans="2:2">
      <c r="B9897" s="21"/>
    </row>
    <row r="9898" spans="2:2">
      <c r="B9898" s="21"/>
    </row>
    <row r="9899" spans="2:2">
      <c r="B9899" s="21"/>
    </row>
    <row r="9900" spans="2:2">
      <c r="B9900" s="21"/>
    </row>
    <row r="9901" spans="2:2">
      <c r="B9901" s="21"/>
    </row>
    <row r="9902" spans="2:2">
      <c r="B9902" s="21"/>
    </row>
    <row r="9903" spans="2:2">
      <c r="B9903" s="21"/>
    </row>
    <row r="9904" spans="2:2">
      <c r="B9904" s="21"/>
    </row>
    <row r="9905" spans="2:2">
      <c r="B9905" s="21"/>
    </row>
    <row r="9906" spans="2:2">
      <c r="B9906" s="21"/>
    </row>
    <row r="9907" spans="2:2">
      <c r="B9907" s="21"/>
    </row>
    <row r="9908" spans="2:2">
      <c r="B9908" s="21"/>
    </row>
    <row r="9909" spans="2:2">
      <c r="B9909" s="21"/>
    </row>
    <row r="9910" spans="2:2">
      <c r="B9910" s="21"/>
    </row>
    <row r="9911" spans="2:2">
      <c r="B9911" s="21"/>
    </row>
    <row r="9912" spans="2:2">
      <c r="B9912" s="21"/>
    </row>
    <row r="9913" spans="2:2">
      <c r="B9913" s="21"/>
    </row>
    <row r="9914" spans="2:2">
      <c r="B9914" s="21"/>
    </row>
    <row r="9915" spans="2:2">
      <c r="B9915" s="21"/>
    </row>
    <row r="9916" spans="2:2">
      <c r="B9916" s="21"/>
    </row>
    <row r="9917" spans="2:2">
      <c r="B9917" s="21"/>
    </row>
    <row r="9918" spans="2:2">
      <c r="B9918" s="21"/>
    </row>
    <row r="9919" spans="2:2">
      <c r="B9919" s="21"/>
    </row>
    <row r="9920" spans="2:2">
      <c r="B9920" s="21"/>
    </row>
    <row r="9921" spans="2:2">
      <c r="B9921" s="21"/>
    </row>
    <row r="9922" spans="2:2">
      <c r="B9922" s="21"/>
    </row>
    <row r="9923" spans="2:2">
      <c r="B9923" s="21"/>
    </row>
    <row r="9924" spans="2:2">
      <c r="B9924" s="21"/>
    </row>
    <row r="9925" spans="2:2">
      <c r="B9925" s="21"/>
    </row>
    <row r="9926" spans="2:2">
      <c r="B9926" s="21"/>
    </row>
    <row r="9927" spans="2:2">
      <c r="B9927" s="21"/>
    </row>
    <row r="9928" spans="2:2">
      <c r="B9928" s="21"/>
    </row>
    <row r="9929" spans="2:2">
      <c r="B9929" s="21"/>
    </row>
    <row r="9930" spans="2:2">
      <c r="B9930" s="21"/>
    </row>
    <row r="9931" spans="2:2">
      <c r="B9931" s="21"/>
    </row>
    <row r="9932" spans="2:2">
      <c r="B9932" s="21"/>
    </row>
    <row r="9933" spans="2:2">
      <c r="B9933" s="21"/>
    </row>
    <row r="9934" spans="2:2">
      <c r="B9934" s="21"/>
    </row>
    <row r="9935" spans="2:2">
      <c r="B9935" s="21"/>
    </row>
    <row r="9936" spans="2:2">
      <c r="B9936" s="21"/>
    </row>
    <row r="9937" spans="2:2">
      <c r="B9937" s="21"/>
    </row>
    <row r="9938" spans="2:2">
      <c r="B9938" s="21"/>
    </row>
    <row r="9939" spans="2:2">
      <c r="B9939" s="21"/>
    </row>
    <row r="9940" spans="2:2">
      <c r="B9940" s="21"/>
    </row>
    <row r="9941" spans="2:2">
      <c r="B9941" s="21"/>
    </row>
    <row r="9942" spans="2:2">
      <c r="B9942" s="21"/>
    </row>
    <row r="9943" spans="2:2">
      <c r="B9943" s="21"/>
    </row>
    <row r="9944" spans="2:2">
      <c r="B9944" s="21"/>
    </row>
    <row r="9945" spans="2:2">
      <c r="B9945" s="21"/>
    </row>
    <row r="9946" spans="2:2">
      <c r="B9946" s="21"/>
    </row>
    <row r="9947" spans="2:2">
      <c r="B9947" s="21"/>
    </row>
    <row r="9948" spans="2:2">
      <c r="B9948" s="21"/>
    </row>
    <row r="9949" spans="2:2">
      <c r="B9949" s="21"/>
    </row>
    <row r="9950" spans="2:2">
      <c r="B9950" s="21"/>
    </row>
    <row r="9951" spans="2:2">
      <c r="B9951" s="21"/>
    </row>
    <row r="9952" spans="2:2">
      <c r="B9952" s="21"/>
    </row>
    <row r="9953" spans="2:2">
      <c r="B9953" s="21"/>
    </row>
    <row r="9954" spans="2:2">
      <c r="B9954" s="21"/>
    </row>
    <row r="9955" spans="2:2">
      <c r="B9955" s="21"/>
    </row>
    <row r="9956" spans="2:2">
      <c r="B9956" s="21"/>
    </row>
    <row r="9957" spans="2:2">
      <c r="B9957" s="21"/>
    </row>
    <row r="9958" spans="2:2">
      <c r="B9958" s="21"/>
    </row>
    <row r="9959" spans="2:2">
      <c r="B9959" s="21"/>
    </row>
    <row r="9960" spans="2:2">
      <c r="B9960" s="21"/>
    </row>
    <row r="9961" spans="2:2">
      <c r="B9961" s="21"/>
    </row>
    <row r="9962" spans="2:2">
      <c r="B9962" s="21"/>
    </row>
    <row r="9963" spans="2:2">
      <c r="B9963" s="21"/>
    </row>
    <row r="9964" spans="2:2">
      <c r="B9964" s="21"/>
    </row>
    <row r="9965" spans="2:2">
      <c r="B9965" s="21"/>
    </row>
    <row r="9966" spans="2:2">
      <c r="B9966" s="21"/>
    </row>
    <row r="9967" spans="2:2">
      <c r="B9967" s="21"/>
    </row>
    <row r="9968" spans="2:2">
      <c r="B9968" s="21"/>
    </row>
    <row r="9969" spans="2:2">
      <c r="B9969" s="21"/>
    </row>
    <row r="9970" spans="2:2">
      <c r="B9970" s="21"/>
    </row>
    <row r="9971" spans="2:2">
      <c r="B9971" s="21"/>
    </row>
    <row r="9972" spans="2:2">
      <c r="B9972" s="21"/>
    </row>
    <row r="9973" spans="2:2">
      <c r="B9973" s="21"/>
    </row>
    <row r="9974" spans="2:2">
      <c r="B9974" s="21"/>
    </row>
    <row r="9975" spans="2:2">
      <c r="B9975" s="21"/>
    </row>
    <row r="9976" spans="2:2">
      <c r="B9976" s="21"/>
    </row>
    <row r="9977" spans="2:2">
      <c r="B9977" s="21"/>
    </row>
    <row r="9978" spans="2:2">
      <c r="B9978" s="21"/>
    </row>
    <row r="9979" spans="2:2">
      <c r="B9979" s="21"/>
    </row>
    <row r="9980" spans="2:2">
      <c r="B9980" s="21"/>
    </row>
    <row r="9981" spans="2:2">
      <c r="B9981" s="21"/>
    </row>
    <row r="9982" spans="2:2">
      <c r="B9982" s="21"/>
    </row>
    <row r="9983" spans="2:2">
      <c r="B9983" s="21"/>
    </row>
    <row r="9984" spans="2:2">
      <c r="B9984" s="21"/>
    </row>
    <row r="9985" spans="2:2">
      <c r="B9985" s="21"/>
    </row>
    <row r="9986" spans="2:2">
      <c r="B9986" s="21"/>
    </row>
    <row r="9987" spans="2:2">
      <c r="B9987" s="21"/>
    </row>
    <row r="9988" spans="2:2">
      <c r="B9988" s="21"/>
    </row>
    <row r="9989" spans="2:2">
      <c r="B9989" s="21"/>
    </row>
    <row r="9990" spans="2:2">
      <c r="B9990" s="21"/>
    </row>
    <row r="9991" spans="2:2">
      <c r="B9991" s="21"/>
    </row>
    <row r="9992" spans="2:2">
      <c r="B9992" s="21"/>
    </row>
    <row r="9993" spans="2:2">
      <c r="B9993" s="21"/>
    </row>
    <row r="9994" spans="2:2">
      <c r="B9994" s="21"/>
    </row>
    <row r="9995" spans="2:2">
      <c r="B9995" s="21"/>
    </row>
    <row r="9996" spans="2:2">
      <c r="B9996" s="21"/>
    </row>
    <row r="9997" spans="2:2">
      <c r="B9997" s="21"/>
    </row>
    <row r="9998" spans="2:2">
      <c r="B9998" s="21"/>
    </row>
    <row r="9999" spans="2:2">
      <c r="B9999" s="21"/>
    </row>
    <row r="10000" spans="2:2">
      <c r="B10000" s="21"/>
    </row>
    <row r="10001" spans="2:2">
      <c r="B10001" s="21"/>
    </row>
    <row r="10002" spans="2:2">
      <c r="B10002" s="21"/>
    </row>
    <row r="10003" spans="2:2">
      <c r="B10003" s="21"/>
    </row>
    <row r="10004" spans="2:2">
      <c r="B10004" s="21"/>
    </row>
    <row r="10005" spans="2:2">
      <c r="B10005" s="21"/>
    </row>
    <row r="10006" spans="2:2">
      <c r="B10006" s="21"/>
    </row>
    <row r="10007" spans="2:2">
      <c r="B10007" s="21"/>
    </row>
    <row r="10008" spans="2:2">
      <c r="B10008" s="21"/>
    </row>
    <row r="10009" spans="2:2">
      <c r="B10009" s="21"/>
    </row>
    <row r="10010" spans="2:2">
      <c r="B10010" s="21"/>
    </row>
    <row r="10011" spans="2:2">
      <c r="B10011" s="21"/>
    </row>
    <row r="10012" spans="2:2">
      <c r="B10012" s="21"/>
    </row>
    <row r="10013" spans="2:2">
      <c r="B10013" s="21"/>
    </row>
    <row r="10014" spans="2:2">
      <c r="B10014" s="21"/>
    </row>
    <row r="10015" spans="2:2">
      <c r="B10015" s="21"/>
    </row>
    <row r="10016" spans="2:2">
      <c r="B10016" s="21"/>
    </row>
    <row r="10017" spans="2:2">
      <c r="B10017" s="21"/>
    </row>
    <row r="10018" spans="2:2">
      <c r="B10018" s="21"/>
    </row>
    <row r="10019" spans="2:2">
      <c r="B10019" s="21"/>
    </row>
    <row r="10020" spans="2:2">
      <c r="B10020" s="21"/>
    </row>
    <row r="10021" spans="2:2">
      <c r="B10021" s="21"/>
    </row>
    <row r="10022" spans="2:2">
      <c r="B10022" s="21"/>
    </row>
    <row r="10023" spans="2:2">
      <c r="B10023" s="21"/>
    </row>
    <row r="10024" spans="2:2">
      <c r="B10024" s="21"/>
    </row>
    <row r="10025" spans="2:2">
      <c r="B10025" s="21"/>
    </row>
    <row r="10026" spans="2:2">
      <c r="B10026" s="21"/>
    </row>
    <row r="10027" spans="2:2">
      <c r="B10027" s="21"/>
    </row>
    <row r="10028" spans="2:2">
      <c r="B10028" s="21"/>
    </row>
    <row r="10029" spans="2:2">
      <c r="B10029" s="21"/>
    </row>
    <row r="10030" spans="2:2">
      <c r="B10030" s="21"/>
    </row>
    <row r="10031" spans="2:2">
      <c r="B10031" s="21"/>
    </row>
    <row r="10032" spans="2:2">
      <c r="B10032" s="21"/>
    </row>
    <row r="10033" spans="2:2">
      <c r="B10033" s="21"/>
    </row>
    <row r="10034" spans="2:2">
      <c r="B10034" s="21"/>
    </row>
    <row r="10035" spans="2:2">
      <c r="B10035" s="21"/>
    </row>
    <row r="10036" spans="2:2">
      <c r="B10036" s="21"/>
    </row>
    <row r="10037" spans="2:2">
      <c r="B10037" s="21"/>
    </row>
    <row r="10038" spans="2:2">
      <c r="B10038" s="21"/>
    </row>
    <row r="10039" spans="2:2">
      <c r="B10039" s="21"/>
    </row>
    <row r="10040" spans="2:2">
      <c r="B10040" s="21"/>
    </row>
    <row r="10041" spans="2:2">
      <c r="B10041" s="21"/>
    </row>
    <row r="10042" spans="2:2">
      <c r="B10042" s="21"/>
    </row>
    <row r="10043" spans="2:2">
      <c r="B10043" s="21"/>
    </row>
    <row r="10044" spans="2:2">
      <c r="B10044" s="21"/>
    </row>
    <row r="10045" spans="2:2">
      <c r="B10045" s="21"/>
    </row>
    <row r="10046" spans="2:2">
      <c r="B10046" s="21"/>
    </row>
    <row r="10047" spans="2:2">
      <c r="B10047" s="21"/>
    </row>
    <row r="10048" spans="2:2">
      <c r="B10048" s="21"/>
    </row>
    <row r="10049" spans="2:2">
      <c r="B10049" s="21"/>
    </row>
    <row r="10050" spans="2:2">
      <c r="B10050" s="21"/>
    </row>
    <row r="10051" spans="2:2">
      <c r="B10051" s="21"/>
    </row>
    <row r="10052" spans="2:2">
      <c r="B10052" s="21"/>
    </row>
    <row r="10053" spans="2:2">
      <c r="B10053" s="21"/>
    </row>
    <row r="10054" spans="2:2">
      <c r="B10054" s="21"/>
    </row>
    <row r="10055" spans="2:2">
      <c r="B10055" s="21"/>
    </row>
    <row r="10056" spans="2:2">
      <c r="B10056" s="21"/>
    </row>
    <row r="10057" spans="2:2">
      <c r="B10057" s="21"/>
    </row>
    <row r="10058" spans="2:2">
      <c r="B10058" s="21"/>
    </row>
    <row r="10059" spans="2:2">
      <c r="B10059" s="21"/>
    </row>
    <row r="10060" spans="2:2">
      <c r="B10060" s="21"/>
    </row>
    <row r="10061" spans="2:2">
      <c r="B10061" s="21"/>
    </row>
    <row r="10062" spans="2:2">
      <c r="B10062" s="21"/>
    </row>
    <row r="10063" spans="2:2">
      <c r="B10063" s="21"/>
    </row>
    <row r="10064" spans="2:2">
      <c r="B10064" s="21"/>
    </row>
    <row r="10065" spans="2:2">
      <c r="B10065" s="21"/>
    </row>
    <row r="10066" spans="2:2">
      <c r="B10066" s="21"/>
    </row>
    <row r="10067" spans="2:2">
      <c r="B10067" s="21"/>
    </row>
    <row r="10068" spans="2:2">
      <c r="B10068" s="21"/>
    </row>
    <row r="10069" spans="2:2">
      <c r="B10069" s="21"/>
    </row>
    <row r="10070" spans="2:2">
      <c r="B10070" s="21"/>
    </row>
    <row r="10071" spans="2:2">
      <c r="B10071" s="21"/>
    </row>
    <row r="10072" spans="2:2">
      <c r="B10072" s="21"/>
    </row>
    <row r="10073" spans="2:2">
      <c r="B10073" s="21"/>
    </row>
    <row r="10074" spans="2:2">
      <c r="B10074" s="21"/>
    </row>
    <row r="10075" spans="2:2">
      <c r="B10075" s="21"/>
    </row>
    <row r="10076" spans="2:2">
      <c r="B10076" s="21"/>
    </row>
    <row r="10077" spans="2:2">
      <c r="B10077" s="21"/>
    </row>
    <row r="10078" spans="2:2">
      <c r="B10078" s="21"/>
    </row>
    <row r="10079" spans="2:2">
      <c r="B10079" s="21"/>
    </row>
    <row r="10080" spans="2:2">
      <c r="B10080" s="21"/>
    </row>
    <row r="10081" spans="2:2">
      <c r="B10081" s="21"/>
    </row>
    <row r="10082" spans="2:2">
      <c r="B10082" s="21"/>
    </row>
    <row r="10083" spans="2:2">
      <c r="B10083" s="21"/>
    </row>
    <row r="10084" spans="2:2">
      <c r="B10084" s="21"/>
    </row>
    <row r="10085" spans="2:2">
      <c r="B10085" s="21"/>
    </row>
    <row r="10086" spans="2:2">
      <c r="B10086" s="21"/>
    </row>
    <row r="10087" spans="2:2">
      <c r="B10087" s="21"/>
    </row>
    <row r="10088" spans="2:2">
      <c r="B10088" s="21"/>
    </row>
    <row r="10089" spans="2:2">
      <c r="B10089" s="21"/>
    </row>
    <row r="10090" spans="2:2">
      <c r="B10090" s="21"/>
    </row>
    <row r="10091" spans="2:2">
      <c r="B10091" s="21"/>
    </row>
    <row r="10092" spans="2:2">
      <c r="B10092" s="21"/>
    </row>
    <row r="10093" spans="2:2">
      <c r="B10093" s="21"/>
    </row>
    <row r="10094" spans="2:2">
      <c r="B10094" s="21"/>
    </row>
    <row r="10095" spans="2:2">
      <c r="B10095" s="21"/>
    </row>
    <row r="10096" spans="2:2">
      <c r="B10096" s="21"/>
    </row>
    <row r="10097" spans="2:2">
      <c r="B10097" s="21"/>
    </row>
    <row r="10098" spans="2:2">
      <c r="B10098" s="21"/>
    </row>
    <row r="10099" spans="2:2">
      <c r="B10099" s="21"/>
    </row>
    <row r="10100" spans="2:2">
      <c r="B10100" s="21"/>
    </row>
    <row r="10101" spans="2:2">
      <c r="B10101" s="21"/>
    </row>
    <row r="10102" spans="2:2">
      <c r="B10102" s="21"/>
    </row>
    <row r="10103" spans="2:2">
      <c r="B10103" s="21"/>
    </row>
    <row r="10104" spans="2:2">
      <c r="B10104" s="21"/>
    </row>
    <row r="10105" spans="2:2">
      <c r="B10105" s="21"/>
    </row>
    <row r="10106" spans="2:2">
      <c r="B10106" s="21"/>
    </row>
    <row r="10107" spans="2:2">
      <c r="B10107" s="21"/>
    </row>
    <row r="10108" spans="2:2">
      <c r="B10108" s="21"/>
    </row>
    <row r="10109" spans="2:2">
      <c r="B10109" s="21"/>
    </row>
    <row r="10110" spans="2:2">
      <c r="B10110" s="21"/>
    </row>
    <row r="10111" spans="2:2">
      <c r="B10111" s="21"/>
    </row>
    <row r="10112" spans="2:2">
      <c r="B10112" s="21"/>
    </row>
    <row r="10113" spans="2:2">
      <c r="B10113" s="21"/>
    </row>
    <row r="10114" spans="2:2">
      <c r="B10114" s="21"/>
    </row>
    <row r="10115" spans="2:2">
      <c r="B10115" s="21"/>
    </row>
    <row r="10116" spans="2:2">
      <c r="B10116" s="21"/>
    </row>
    <row r="10117" spans="2:2">
      <c r="B10117" s="21"/>
    </row>
    <row r="10118" spans="2:2">
      <c r="B10118" s="21"/>
    </row>
    <row r="10119" spans="2:2">
      <c r="B10119" s="21"/>
    </row>
    <row r="10120" spans="2:2">
      <c r="B10120" s="21"/>
    </row>
    <row r="10121" spans="2:2">
      <c r="B10121" s="21"/>
    </row>
    <row r="10122" spans="2:2">
      <c r="B10122" s="21"/>
    </row>
    <row r="10123" spans="2:2">
      <c r="B10123" s="21"/>
    </row>
    <row r="10124" spans="2:2">
      <c r="B10124" s="21"/>
    </row>
    <row r="10125" spans="2:2">
      <c r="B10125" s="21"/>
    </row>
    <row r="10126" spans="2:2">
      <c r="B10126" s="21"/>
    </row>
    <row r="10127" spans="2:2">
      <c r="B10127" s="21"/>
    </row>
    <row r="10128" spans="2:2">
      <c r="B10128" s="21"/>
    </row>
    <row r="10129" spans="2:2">
      <c r="B10129" s="21"/>
    </row>
    <row r="10130" spans="2:2">
      <c r="B10130" s="21"/>
    </row>
    <row r="10131" spans="2:2">
      <c r="B10131" s="21"/>
    </row>
    <row r="10132" spans="2:2">
      <c r="B10132" s="21"/>
    </row>
    <row r="10133" spans="2:2">
      <c r="B10133" s="21"/>
    </row>
    <row r="10134" spans="2:2">
      <c r="B10134" s="21"/>
    </row>
    <row r="10135" spans="2:2">
      <c r="B10135" s="21"/>
    </row>
    <row r="10136" spans="2:2">
      <c r="B10136" s="21"/>
    </row>
    <row r="10137" spans="2:2">
      <c r="B10137" s="21"/>
    </row>
    <row r="10138" spans="2:2">
      <c r="B10138" s="21"/>
    </row>
    <row r="10139" spans="2:2">
      <c r="B10139" s="21"/>
    </row>
    <row r="10140" spans="2:2">
      <c r="B10140" s="21"/>
    </row>
    <row r="10141" spans="2:2">
      <c r="B10141" s="21"/>
    </row>
    <row r="10142" spans="2:2">
      <c r="B10142" s="21"/>
    </row>
    <row r="10143" spans="2:2">
      <c r="B10143" s="21"/>
    </row>
    <row r="10144" spans="2:2">
      <c r="B10144" s="21"/>
    </row>
    <row r="10145" spans="2:2">
      <c r="B10145" s="21"/>
    </row>
    <row r="10146" spans="2:2">
      <c r="B10146" s="21"/>
    </row>
    <row r="10147" spans="2:2">
      <c r="B10147" s="21"/>
    </row>
    <row r="10148" spans="2:2">
      <c r="B10148" s="21"/>
    </row>
    <row r="10149" spans="2:2">
      <c r="B10149" s="21"/>
    </row>
    <row r="10150" spans="2:2">
      <c r="B10150" s="21"/>
    </row>
    <row r="10151" spans="2:2">
      <c r="B10151" s="21"/>
    </row>
    <row r="10152" spans="2:2">
      <c r="B10152" s="21"/>
    </row>
    <row r="10153" spans="2:2">
      <c r="B10153" s="21"/>
    </row>
    <row r="10154" spans="2:2">
      <c r="B10154" s="21"/>
    </row>
    <row r="10155" spans="2:2">
      <c r="B10155" s="21"/>
    </row>
    <row r="10156" spans="2:2">
      <c r="B10156" s="21"/>
    </row>
    <row r="10157" spans="2:2">
      <c r="B10157" s="21"/>
    </row>
    <row r="10158" spans="2:2">
      <c r="B10158" s="21"/>
    </row>
    <row r="10159" spans="2:2">
      <c r="B10159" s="21"/>
    </row>
    <row r="10160" spans="2:2">
      <c r="B10160" s="21"/>
    </row>
    <row r="10161" spans="2:2">
      <c r="B10161" s="21"/>
    </row>
    <row r="10162" spans="2:2">
      <c r="B10162" s="21"/>
    </row>
    <row r="10163" spans="2:2">
      <c r="B10163" s="21"/>
    </row>
    <row r="10164" spans="2:2">
      <c r="B10164" s="21"/>
    </row>
    <row r="10165" spans="2:2">
      <c r="B10165" s="21"/>
    </row>
    <row r="10166" spans="2:2">
      <c r="B10166" s="21"/>
    </row>
    <row r="10167" spans="2:2">
      <c r="B10167" s="21"/>
    </row>
    <row r="10168" spans="2:2">
      <c r="B10168" s="21"/>
    </row>
    <row r="10169" spans="2:2">
      <c r="B10169" s="21"/>
    </row>
    <row r="10170" spans="2:2">
      <c r="B10170" s="21"/>
    </row>
    <row r="10171" spans="2:2">
      <c r="B10171" s="21"/>
    </row>
    <row r="10172" spans="2:2">
      <c r="B10172" s="21"/>
    </row>
    <row r="10173" spans="2:2">
      <c r="B10173" s="21"/>
    </row>
    <row r="10174" spans="2:2">
      <c r="B10174" s="21"/>
    </row>
    <row r="10175" spans="2:2">
      <c r="B10175" s="21"/>
    </row>
    <row r="10176" spans="2:2">
      <c r="B10176" s="21"/>
    </row>
    <row r="10177" spans="2:2">
      <c r="B10177" s="21"/>
    </row>
    <row r="10178" spans="2:2">
      <c r="B10178" s="21"/>
    </row>
    <row r="10179" spans="2:2">
      <c r="B10179" s="21"/>
    </row>
    <row r="10180" spans="2:2">
      <c r="B10180" s="21"/>
    </row>
    <row r="10181" spans="2:2">
      <c r="B10181" s="21"/>
    </row>
    <row r="10182" spans="2:2">
      <c r="B10182" s="21"/>
    </row>
    <row r="10183" spans="2:2">
      <c r="B10183" s="21"/>
    </row>
    <row r="10184" spans="2:2">
      <c r="B10184" s="21"/>
    </row>
    <row r="10185" spans="2:2">
      <c r="B10185" s="21"/>
    </row>
    <row r="10186" spans="2:2">
      <c r="B10186" s="21"/>
    </row>
    <row r="10187" spans="2:2">
      <c r="B10187" s="21"/>
    </row>
    <row r="10188" spans="2:2">
      <c r="B10188" s="21"/>
    </row>
    <row r="10189" spans="2:2">
      <c r="B10189" s="21"/>
    </row>
    <row r="10190" spans="2:2">
      <c r="B10190" s="21"/>
    </row>
    <row r="10191" spans="2:2">
      <c r="B10191" s="21"/>
    </row>
    <row r="10192" spans="2:2">
      <c r="B10192" s="21"/>
    </row>
    <row r="10193" spans="2:2">
      <c r="B10193" s="21"/>
    </row>
    <row r="10194" spans="2:2">
      <c r="B10194" s="21"/>
    </row>
    <row r="10195" spans="2:2">
      <c r="B10195" s="21"/>
    </row>
    <row r="10196" spans="2:2">
      <c r="B10196" s="21"/>
    </row>
    <row r="10197" spans="2:2">
      <c r="B10197" s="21"/>
    </row>
    <row r="10198" spans="2:2">
      <c r="B10198" s="21"/>
    </row>
    <row r="10199" spans="2:2">
      <c r="B10199" s="21"/>
    </row>
    <row r="10200" spans="2:2">
      <c r="B10200" s="21"/>
    </row>
    <row r="10201" spans="2:2">
      <c r="B10201" s="21"/>
    </row>
    <row r="10202" spans="2:2">
      <c r="B10202" s="21"/>
    </row>
    <row r="10203" spans="2:2">
      <c r="B10203" s="21"/>
    </row>
    <row r="10204" spans="2:2">
      <c r="B10204" s="21"/>
    </row>
    <row r="10205" spans="2:2">
      <c r="B10205" s="21"/>
    </row>
    <row r="10206" spans="2:2">
      <c r="B10206" s="21"/>
    </row>
    <row r="10207" spans="2:2">
      <c r="B10207" s="21"/>
    </row>
    <row r="10208" spans="2:2">
      <c r="B10208" s="21"/>
    </row>
    <row r="10209" spans="2:2">
      <c r="B10209" s="21"/>
    </row>
    <row r="10210" spans="2:2">
      <c r="B10210" s="21"/>
    </row>
    <row r="10211" spans="2:2">
      <c r="B10211" s="21"/>
    </row>
    <row r="10212" spans="2:2">
      <c r="B10212" s="21"/>
    </row>
    <row r="10213" spans="2:2">
      <c r="B10213" s="21"/>
    </row>
    <row r="10214" spans="2:2">
      <c r="B10214" s="21"/>
    </row>
    <row r="10215" spans="2:2">
      <c r="B10215" s="21"/>
    </row>
    <row r="10216" spans="2:2">
      <c r="B10216" s="21"/>
    </row>
    <row r="10217" spans="2:2">
      <c r="B10217" s="21"/>
    </row>
    <row r="10218" spans="2:2">
      <c r="B10218" s="21"/>
    </row>
    <row r="10219" spans="2:2">
      <c r="B10219" s="21"/>
    </row>
    <row r="10220" spans="2:2">
      <c r="B10220" s="21"/>
    </row>
    <row r="10221" spans="2:2">
      <c r="B10221" s="21"/>
    </row>
    <row r="10222" spans="2:2">
      <c r="B10222" s="21"/>
    </row>
    <row r="10223" spans="2:2">
      <c r="B10223" s="21"/>
    </row>
    <row r="10224" spans="2:2">
      <c r="B10224" s="21"/>
    </row>
    <row r="10225" spans="2:2">
      <c r="B10225" s="21"/>
    </row>
    <row r="10226" spans="2:2">
      <c r="B10226" s="21"/>
    </row>
    <row r="10227" spans="2:2">
      <c r="B10227" s="21"/>
    </row>
    <row r="10228" spans="2:2">
      <c r="B10228" s="21"/>
    </row>
    <row r="10229" spans="2:2">
      <c r="B10229" s="21"/>
    </row>
    <row r="10230" spans="2:2">
      <c r="B10230" s="21"/>
    </row>
    <row r="10231" spans="2:2">
      <c r="B10231" s="21"/>
    </row>
    <row r="10232" spans="2:2">
      <c r="B10232" s="21"/>
    </row>
    <row r="10233" spans="2:2">
      <c r="B10233" s="21"/>
    </row>
    <row r="10234" spans="2:2">
      <c r="B10234" s="21"/>
    </row>
    <row r="10235" spans="2:2">
      <c r="B10235" s="21"/>
    </row>
    <row r="10236" spans="2:2">
      <c r="B10236" s="21"/>
    </row>
    <row r="10237" spans="2:2">
      <c r="B10237" s="21"/>
    </row>
    <row r="10238" spans="2:2">
      <c r="B10238" s="21"/>
    </row>
    <row r="10239" spans="2:2">
      <c r="B10239" s="21"/>
    </row>
    <row r="10240" spans="2:2">
      <c r="B10240" s="21"/>
    </row>
    <row r="10241" spans="2:2">
      <c r="B10241" s="21"/>
    </row>
    <row r="10242" spans="2:2">
      <c r="B10242" s="21"/>
    </row>
    <row r="10243" spans="2:2">
      <c r="B10243" s="21"/>
    </row>
    <row r="10244" spans="2:2">
      <c r="B10244" s="21"/>
    </row>
    <row r="10245" spans="2:2">
      <c r="B10245" s="21"/>
    </row>
    <row r="10246" spans="2:2">
      <c r="B10246" s="21"/>
    </row>
    <row r="10247" spans="2:2">
      <c r="B10247" s="21"/>
    </row>
    <row r="10248" spans="2:2">
      <c r="B10248" s="21"/>
    </row>
    <row r="10249" spans="2:2">
      <c r="B10249" s="21"/>
    </row>
    <row r="10250" spans="2:2">
      <c r="B10250" s="21"/>
    </row>
    <row r="10251" spans="2:2">
      <c r="B10251" s="21"/>
    </row>
    <row r="10252" spans="2:2">
      <c r="B10252" s="21"/>
    </row>
    <row r="10253" spans="2:2">
      <c r="B10253" s="21"/>
    </row>
    <row r="10254" spans="2:2">
      <c r="B10254" s="21"/>
    </row>
    <row r="10255" spans="2:2">
      <c r="B10255" s="21"/>
    </row>
    <row r="10256" spans="2:2">
      <c r="B10256" s="21"/>
    </row>
    <row r="10257" spans="2:2">
      <c r="B10257" s="21"/>
    </row>
    <row r="10258" spans="2:2">
      <c r="B10258" s="21"/>
    </row>
    <row r="10259" spans="2:2">
      <c r="B10259" s="21"/>
    </row>
    <row r="10260" spans="2:2">
      <c r="B10260" s="21"/>
    </row>
    <row r="10261" spans="2:2">
      <c r="B10261" s="21"/>
    </row>
    <row r="10262" spans="2:2">
      <c r="B10262" s="21"/>
    </row>
    <row r="10263" spans="2:2">
      <c r="B10263" s="21"/>
    </row>
    <row r="10264" spans="2:2">
      <c r="B10264" s="21"/>
    </row>
    <row r="10265" spans="2:2">
      <c r="B10265" s="21"/>
    </row>
    <row r="10266" spans="2:2">
      <c r="B10266" s="21"/>
    </row>
    <row r="10267" spans="2:2">
      <c r="B10267" s="21"/>
    </row>
    <row r="10268" spans="2:2">
      <c r="B10268" s="21"/>
    </row>
    <row r="10269" spans="2:2">
      <c r="B10269" s="21"/>
    </row>
    <row r="10270" spans="2:2">
      <c r="B10270" s="21"/>
    </row>
    <row r="10271" spans="2:2">
      <c r="B10271" s="21"/>
    </row>
    <row r="10272" spans="2:2">
      <c r="B10272" s="21"/>
    </row>
    <row r="10273" spans="2:2">
      <c r="B10273" s="21"/>
    </row>
    <row r="10274" spans="2:2">
      <c r="B10274" s="21"/>
    </row>
    <row r="10275" spans="2:2">
      <c r="B10275" s="21"/>
    </row>
    <row r="10276" spans="2:2">
      <c r="B10276" s="21"/>
    </row>
    <row r="10277" spans="2:2">
      <c r="B10277" s="21"/>
    </row>
    <row r="10278" spans="2:2">
      <c r="B10278" s="21"/>
    </row>
    <row r="10279" spans="2:2">
      <c r="B10279" s="21"/>
    </row>
    <row r="10280" spans="2:2">
      <c r="B10280" s="21"/>
    </row>
    <row r="10281" spans="2:2">
      <c r="B10281" s="21"/>
    </row>
    <row r="10282" spans="2:2">
      <c r="B10282" s="21"/>
    </row>
    <row r="10283" spans="2:2">
      <c r="B10283" s="21"/>
    </row>
    <row r="10284" spans="2:2">
      <c r="B10284" s="21"/>
    </row>
    <row r="10285" spans="2:2">
      <c r="B10285" s="21"/>
    </row>
    <row r="10286" spans="2:2">
      <c r="B10286" s="21"/>
    </row>
    <row r="10287" spans="2:2">
      <c r="B10287" s="21"/>
    </row>
    <row r="10288" spans="2:2">
      <c r="B10288" s="21"/>
    </row>
    <row r="10289" spans="2:2">
      <c r="B10289" s="21"/>
    </row>
    <row r="10290" spans="2:2">
      <c r="B10290" s="21"/>
    </row>
    <row r="10291" spans="2:2">
      <c r="B10291" s="21"/>
    </row>
    <row r="10292" spans="2:2">
      <c r="B10292" s="21"/>
    </row>
    <row r="10293" spans="2:2">
      <c r="B10293" s="21"/>
    </row>
    <row r="10294" spans="2:2">
      <c r="B10294" s="21"/>
    </row>
    <row r="10295" spans="2:2">
      <c r="B10295" s="21"/>
    </row>
    <row r="10296" spans="2:2">
      <c r="B10296" s="21"/>
    </row>
    <row r="10297" spans="2:2">
      <c r="B10297" s="21"/>
    </row>
    <row r="10298" spans="2:2">
      <c r="B10298" s="21"/>
    </row>
    <row r="10299" spans="2:2">
      <c r="B10299" s="21"/>
    </row>
    <row r="10300" spans="2:2">
      <c r="B10300" s="21"/>
    </row>
    <row r="10301" spans="2:2">
      <c r="B10301" s="21"/>
    </row>
    <row r="10302" spans="2:2">
      <c r="B10302" s="21"/>
    </row>
    <row r="10303" spans="2:2">
      <c r="B10303" s="21"/>
    </row>
    <row r="10304" spans="2:2">
      <c r="B10304" s="21"/>
    </row>
    <row r="10305" spans="2:2">
      <c r="B10305" s="21"/>
    </row>
    <row r="10306" spans="2:2">
      <c r="B10306" s="21"/>
    </row>
    <row r="10307" spans="2:2">
      <c r="B10307" s="21"/>
    </row>
    <row r="10308" spans="2:2">
      <c r="B10308" s="21"/>
    </row>
    <row r="10309" spans="2:2">
      <c r="B10309" s="21"/>
    </row>
    <row r="10310" spans="2:2">
      <c r="B10310" s="21"/>
    </row>
    <row r="10311" spans="2:2">
      <c r="B10311" s="21"/>
    </row>
    <row r="10312" spans="2:2">
      <c r="B10312" s="21"/>
    </row>
    <row r="10313" spans="2:2">
      <c r="B10313" s="21"/>
    </row>
    <row r="10314" spans="2:2">
      <c r="B10314" s="21"/>
    </row>
    <row r="10315" spans="2:2">
      <c r="B10315" s="21"/>
    </row>
    <row r="10316" spans="2:2">
      <c r="B10316" s="21"/>
    </row>
    <row r="10317" spans="2:2">
      <c r="B10317" s="21"/>
    </row>
    <row r="10318" spans="2:2">
      <c r="B10318" s="21"/>
    </row>
    <row r="10319" spans="2:2">
      <c r="B10319" s="21"/>
    </row>
    <row r="10320" spans="2:2">
      <c r="B10320" s="21"/>
    </row>
    <row r="10321" spans="2:2">
      <c r="B10321" s="21"/>
    </row>
    <row r="10322" spans="2:2">
      <c r="B10322" s="21"/>
    </row>
    <row r="10323" spans="2:2">
      <c r="B10323" s="21"/>
    </row>
    <row r="10324" spans="2:2">
      <c r="B10324" s="21"/>
    </row>
    <row r="10325" spans="2:2">
      <c r="B10325" s="21"/>
    </row>
    <row r="10326" spans="2:2">
      <c r="B10326" s="21"/>
    </row>
    <row r="10327" spans="2:2">
      <c r="B10327" s="21"/>
    </row>
    <row r="10328" spans="2:2">
      <c r="B10328" s="21"/>
    </row>
    <row r="10329" spans="2:2">
      <c r="B10329" s="21"/>
    </row>
    <row r="10330" spans="2:2">
      <c r="B10330" s="21"/>
    </row>
    <row r="10331" spans="2:2">
      <c r="B10331" s="21"/>
    </row>
    <row r="10332" spans="2:2">
      <c r="B10332" s="21"/>
    </row>
    <row r="10333" spans="2:2">
      <c r="B10333" s="21"/>
    </row>
    <row r="10334" spans="2:2">
      <c r="B10334" s="21"/>
    </row>
    <row r="10335" spans="2:2">
      <c r="B10335" s="21"/>
    </row>
    <row r="10336" spans="2:2">
      <c r="B10336" s="21"/>
    </row>
    <row r="10337" spans="2:2">
      <c r="B10337" s="21"/>
    </row>
    <row r="10338" spans="2:2">
      <c r="B10338" s="21"/>
    </row>
    <row r="10339" spans="2:2">
      <c r="B10339" s="21"/>
    </row>
    <row r="10340" spans="2:2">
      <c r="B10340" s="21"/>
    </row>
    <row r="10341" spans="2:2">
      <c r="B10341" s="21"/>
    </row>
    <row r="10342" spans="2:2">
      <c r="B10342" s="21"/>
    </row>
    <row r="10343" spans="2:2">
      <c r="B10343" s="21"/>
    </row>
    <row r="10344" spans="2:2">
      <c r="B10344" s="21"/>
    </row>
    <row r="10345" spans="2:2">
      <c r="B10345" s="21"/>
    </row>
    <row r="10346" spans="2:2">
      <c r="B10346" s="21"/>
    </row>
    <row r="10347" spans="2:2">
      <c r="B10347" s="21"/>
    </row>
    <row r="10348" spans="2:2">
      <c r="B10348" s="21"/>
    </row>
    <row r="10349" spans="2:2">
      <c r="B10349" s="21"/>
    </row>
    <row r="10350" spans="2:2">
      <c r="B10350" s="21"/>
    </row>
    <row r="10351" spans="2:2">
      <c r="B10351" s="21"/>
    </row>
    <row r="10352" spans="2:2">
      <c r="B10352" s="21"/>
    </row>
    <row r="10353" spans="2:2">
      <c r="B10353" s="21"/>
    </row>
    <row r="10354" spans="2:2">
      <c r="B10354" s="21"/>
    </row>
    <row r="10355" spans="2:2">
      <c r="B10355" s="21"/>
    </row>
    <row r="10356" spans="2:2">
      <c r="B10356" s="21"/>
    </row>
    <row r="10357" spans="2:2">
      <c r="B10357" s="21"/>
    </row>
    <row r="10358" spans="2:2">
      <c r="B10358" s="21"/>
    </row>
    <row r="10359" spans="2:2">
      <c r="B10359" s="21"/>
    </row>
    <row r="10360" spans="2:2">
      <c r="B10360" s="21"/>
    </row>
    <row r="10361" spans="2:2">
      <c r="B10361" s="21"/>
    </row>
    <row r="10362" spans="2:2">
      <c r="B10362" s="21"/>
    </row>
    <row r="10363" spans="2:2">
      <c r="B10363" s="21"/>
    </row>
    <row r="10364" spans="2:2">
      <c r="B10364" s="21"/>
    </row>
    <row r="10365" spans="2:2">
      <c r="B10365" s="21"/>
    </row>
    <row r="10366" spans="2:2">
      <c r="B10366" s="21"/>
    </row>
    <row r="10367" spans="2:2">
      <c r="B10367" s="21"/>
    </row>
    <row r="10368" spans="2:2">
      <c r="B10368" s="21"/>
    </row>
    <row r="10369" spans="2:2">
      <c r="B10369" s="21"/>
    </row>
    <row r="10370" spans="2:2">
      <c r="B10370" s="21"/>
    </row>
    <row r="10371" spans="2:2">
      <c r="B10371" s="21"/>
    </row>
    <row r="10372" spans="2:2">
      <c r="B10372" s="21"/>
    </row>
    <row r="10373" spans="2:2">
      <c r="B10373" s="21"/>
    </row>
    <row r="10374" spans="2:2">
      <c r="B10374" s="21"/>
    </row>
    <row r="10375" spans="2:2">
      <c r="B10375" s="21"/>
    </row>
    <row r="10376" spans="2:2">
      <c r="B10376" s="21"/>
    </row>
    <row r="10377" spans="2:2">
      <c r="B10377" s="21"/>
    </row>
    <row r="10378" spans="2:2">
      <c r="B10378" s="21"/>
    </row>
    <row r="10379" spans="2:2">
      <c r="B10379" s="21"/>
    </row>
    <row r="10380" spans="2:2">
      <c r="B10380" s="21"/>
    </row>
    <row r="10381" spans="2:2">
      <c r="B10381" s="21"/>
    </row>
    <row r="10382" spans="2:2">
      <c r="B10382" s="21"/>
    </row>
    <row r="10383" spans="2:2">
      <c r="B10383" s="21"/>
    </row>
    <row r="10384" spans="2:2">
      <c r="B10384" s="21"/>
    </row>
    <row r="10385" spans="2:2">
      <c r="B10385" s="21"/>
    </row>
    <row r="10386" spans="2:2">
      <c r="B10386" s="21"/>
    </row>
    <row r="10387" spans="2:2">
      <c r="B10387" s="21"/>
    </row>
    <row r="10388" spans="2:2">
      <c r="B10388" s="21"/>
    </row>
    <row r="10389" spans="2:2">
      <c r="B10389" s="21"/>
    </row>
    <row r="10390" spans="2:2">
      <c r="B10390" s="21"/>
    </row>
    <row r="10391" spans="2:2">
      <c r="B10391" s="21"/>
    </row>
    <row r="10392" spans="2:2">
      <c r="B10392" s="21"/>
    </row>
    <row r="10393" spans="2:2">
      <c r="B10393" s="21"/>
    </row>
    <row r="10394" spans="2:2">
      <c r="B10394" s="21"/>
    </row>
    <row r="10395" spans="2:2">
      <c r="B10395" s="21"/>
    </row>
    <row r="10396" spans="2:2">
      <c r="B10396" s="21"/>
    </row>
    <row r="10397" spans="2:2">
      <c r="B10397" s="21"/>
    </row>
    <row r="10398" spans="2:2">
      <c r="B10398" s="21"/>
    </row>
    <row r="10399" spans="2:2">
      <c r="B10399" s="21"/>
    </row>
    <row r="10400" spans="2:2">
      <c r="B10400" s="21"/>
    </row>
    <row r="10401" spans="2:2">
      <c r="B10401" s="21"/>
    </row>
    <row r="10402" spans="2:2">
      <c r="B10402" s="21"/>
    </row>
    <row r="10403" spans="2:2">
      <c r="B10403" s="21"/>
    </row>
    <row r="10404" spans="2:2">
      <c r="B10404" s="21"/>
    </row>
    <row r="10405" spans="2:2">
      <c r="B10405" s="21"/>
    </row>
    <row r="10406" spans="2:2">
      <c r="B10406" s="21"/>
    </row>
    <row r="10407" spans="2:2">
      <c r="B10407" s="21"/>
    </row>
    <row r="10408" spans="2:2">
      <c r="B10408" s="21"/>
    </row>
    <row r="10409" spans="2:2">
      <c r="B10409" s="21"/>
    </row>
    <row r="10410" spans="2:2">
      <c r="B10410" s="21"/>
    </row>
    <row r="10411" spans="2:2">
      <c r="B10411" s="21"/>
    </row>
    <row r="10412" spans="2:2">
      <c r="B10412" s="21"/>
    </row>
    <row r="10413" spans="2:2">
      <c r="B10413" s="21"/>
    </row>
    <row r="10414" spans="2:2">
      <c r="B10414" s="21"/>
    </row>
    <row r="10415" spans="2:2">
      <c r="B10415" s="21"/>
    </row>
    <row r="10416" spans="2:2">
      <c r="B10416" s="21"/>
    </row>
    <row r="10417" spans="2:2">
      <c r="B10417" s="21"/>
    </row>
    <row r="10418" spans="2:2">
      <c r="B10418" s="21"/>
    </row>
    <row r="10419" spans="2:2">
      <c r="B10419" s="21"/>
    </row>
    <row r="10420" spans="2:2">
      <c r="B10420" s="21"/>
    </row>
    <row r="10421" spans="2:2">
      <c r="B10421" s="21"/>
    </row>
    <row r="10422" spans="2:2">
      <c r="B10422" s="21"/>
    </row>
    <row r="10423" spans="2:2">
      <c r="B10423" s="21"/>
    </row>
    <row r="10424" spans="2:2">
      <c r="B10424" s="21"/>
    </row>
    <row r="10425" spans="2:2">
      <c r="B10425" s="21"/>
    </row>
    <row r="10426" spans="2:2">
      <c r="B10426" s="21"/>
    </row>
    <row r="10427" spans="2:2">
      <c r="B10427" s="21"/>
    </row>
    <row r="10428" spans="2:2">
      <c r="B10428" s="21"/>
    </row>
    <row r="10429" spans="2:2">
      <c r="B10429" s="21"/>
    </row>
    <row r="10430" spans="2:2">
      <c r="B10430" s="21"/>
    </row>
    <row r="10431" spans="2:2">
      <c r="B10431" s="21"/>
    </row>
    <row r="10432" spans="2:2">
      <c r="B10432" s="21"/>
    </row>
    <row r="10433" spans="2:2">
      <c r="B10433" s="21"/>
    </row>
    <row r="10434" spans="2:2">
      <c r="B10434" s="21"/>
    </row>
    <row r="10435" spans="2:2">
      <c r="B10435" s="21"/>
    </row>
    <row r="10436" spans="2:2">
      <c r="B10436" s="21"/>
    </row>
    <row r="10437" spans="2:2">
      <c r="B10437" s="21"/>
    </row>
    <row r="10438" spans="2:2">
      <c r="B10438" s="21"/>
    </row>
    <row r="10439" spans="2:2">
      <c r="B10439" s="21"/>
    </row>
    <row r="10440" spans="2:2">
      <c r="B10440" s="21"/>
    </row>
    <row r="10441" spans="2:2">
      <c r="B10441" s="21"/>
    </row>
    <row r="10442" spans="2:2">
      <c r="B10442" s="21"/>
    </row>
    <row r="10443" spans="2:2">
      <c r="B10443" s="21"/>
    </row>
    <row r="10444" spans="2:2">
      <c r="B10444" s="21"/>
    </row>
    <row r="10445" spans="2:2">
      <c r="B10445" s="21"/>
    </row>
    <row r="10446" spans="2:2">
      <c r="B10446" s="21"/>
    </row>
    <row r="10447" spans="2:2">
      <c r="B10447" s="21"/>
    </row>
    <row r="10448" spans="2:2">
      <c r="B10448" s="21"/>
    </row>
    <row r="10449" spans="2:2">
      <c r="B10449" s="21"/>
    </row>
    <row r="10450" spans="2:2">
      <c r="B10450" s="21"/>
    </row>
    <row r="10451" spans="2:2">
      <c r="B10451" s="21"/>
    </row>
    <row r="10452" spans="2:2">
      <c r="B10452" s="21"/>
    </row>
    <row r="10453" spans="2:2">
      <c r="B10453" s="21"/>
    </row>
    <row r="10454" spans="2:2">
      <c r="B10454" s="21"/>
    </row>
    <row r="10455" spans="2:2">
      <c r="B10455" s="21"/>
    </row>
    <row r="10456" spans="2:2">
      <c r="B10456" s="21"/>
    </row>
    <row r="10457" spans="2:2">
      <c r="B10457" s="21"/>
    </row>
    <row r="10458" spans="2:2">
      <c r="B10458" s="21"/>
    </row>
    <row r="10459" spans="2:2">
      <c r="B10459" s="21"/>
    </row>
    <row r="10460" spans="2:2">
      <c r="B10460" s="21"/>
    </row>
    <row r="10461" spans="2:2">
      <c r="B10461" s="21"/>
    </row>
    <row r="10462" spans="2:2">
      <c r="B10462" s="21"/>
    </row>
    <row r="10463" spans="2:2">
      <c r="B10463" s="21"/>
    </row>
    <row r="10464" spans="2:2">
      <c r="B10464" s="21"/>
    </row>
    <row r="10465" spans="2:2">
      <c r="B10465" s="21"/>
    </row>
    <row r="10466" spans="2:2">
      <c r="B10466" s="21"/>
    </row>
    <row r="10467" spans="2:2">
      <c r="B10467" s="21"/>
    </row>
    <row r="10468" spans="2:2">
      <c r="B10468" s="21"/>
    </row>
    <row r="10469" spans="2:2">
      <c r="B10469" s="21"/>
    </row>
    <row r="10470" spans="2:2">
      <c r="B10470" s="21"/>
    </row>
    <row r="10471" spans="2:2">
      <c r="B10471" s="21"/>
    </row>
    <row r="10472" spans="2:2">
      <c r="B10472" s="21"/>
    </row>
    <row r="10473" spans="2:2">
      <c r="B10473" s="21"/>
    </row>
    <row r="10474" spans="2:2">
      <c r="B10474" s="21"/>
    </row>
    <row r="10475" spans="2:2">
      <c r="B10475" s="21"/>
    </row>
    <row r="10476" spans="2:2">
      <c r="B10476" s="21"/>
    </row>
    <row r="10477" spans="2:2">
      <c r="B10477" s="21"/>
    </row>
    <row r="10478" spans="2:2">
      <c r="B10478" s="21"/>
    </row>
    <row r="10479" spans="2:2">
      <c r="B10479" s="21"/>
    </row>
    <row r="10480" spans="2:2">
      <c r="B10480" s="21"/>
    </row>
    <row r="10481" spans="2:2">
      <c r="B10481" s="21"/>
    </row>
    <row r="10482" spans="2:2">
      <c r="B10482" s="21"/>
    </row>
    <row r="10483" spans="2:2">
      <c r="B10483" s="21"/>
    </row>
    <row r="10484" spans="2:2">
      <c r="B10484" s="21"/>
    </row>
    <row r="10485" spans="2:2">
      <c r="B10485" s="21"/>
    </row>
    <row r="10486" spans="2:2">
      <c r="B10486" s="21"/>
    </row>
    <row r="10487" spans="2:2">
      <c r="B10487" s="21"/>
    </row>
    <row r="10488" spans="2:2">
      <c r="B10488" s="21"/>
    </row>
    <row r="10489" spans="2:2">
      <c r="B10489" s="21"/>
    </row>
    <row r="10490" spans="2:2">
      <c r="B10490" s="21"/>
    </row>
    <row r="10491" spans="2:2">
      <c r="B10491" s="21"/>
    </row>
    <row r="10492" spans="2:2">
      <c r="B10492" s="21"/>
    </row>
    <row r="10493" spans="2:2">
      <c r="B10493" s="21"/>
    </row>
    <row r="10494" spans="2:2">
      <c r="B10494" s="21"/>
    </row>
    <row r="10495" spans="2:2">
      <c r="B10495" s="21"/>
    </row>
    <row r="10496" spans="2:2">
      <c r="B10496" s="21"/>
    </row>
    <row r="10497" spans="2:2">
      <c r="B10497" s="21"/>
    </row>
    <row r="10498" spans="2:2">
      <c r="B10498" s="21"/>
    </row>
    <row r="10499" spans="2:2">
      <c r="B10499" s="21"/>
    </row>
    <row r="10500" spans="2:2">
      <c r="B10500" s="21"/>
    </row>
    <row r="10501" spans="2:2">
      <c r="B10501" s="21"/>
    </row>
    <row r="10502" spans="2:2">
      <c r="B10502" s="21"/>
    </row>
    <row r="10503" spans="2:2">
      <c r="B10503" s="21"/>
    </row>
    <row r="10504" spans="2:2">
      <c r="B10504" s="21"/>
    </row>
    <row r="10505" spans="2:2">
      <c r="B10505" s="21"/>
    </row>
    <row r="10506" spans="2:2">
      <c r="B10506" s="21"/>
    </row>
    <row r="10507" spans="2:2">
      <c r="B10507" s="21"/>
    </row>
    <row r="10508" spans="2:2">
      <c r="B10508" s="21"/>
    </row>
    <row r="10509" spans="2:2">
      <c r="B10509" s="21"/>
    </row>
    <row r="10510" spans="2:2">
      <c r="B10510" s="21"/>
    </row>
    <row r="10511" spans="2:2">
      <c r="B10511" s="21"/>
    </row>
    <row r="10512" spans="2:2">
      <c r="B10512" s="21"/>
    </row>
    <row r="10513" spans="2:2">
      <c r="B10513" s="21"/>
    </row>
    <row r="10514" spans="2:2">
      <c r="B10514" s="21"/>
    </row>
    <row r="10515" spans="2:2">
      <c r="B10515" s="21"/>
    </row>
    <row r="10516" spans="2:2">
      <c r="B10516" s="21"/>
    </row>
    <row r="10517" spans="2:2">
      <c r="B10517" s="21"/>
    </row>
    <row r="10518" spans="2:2">
      <c r="B10518" s="21"/>
    </row>
    <row r="10519" spans="2:2">
      <c r="B10519" s="21"/>
    </row>
    <row r="10520" spans="2:2">
      <c r="B10520" s="21"/>
    </row>
    <row r="10521" spans="2:2">
      <c r="B10521" s="21"/>
    </row>
    <row r="10522" spans="2:2">
      <c r="B10522" s="21"/>
    </row>
    <row r="10523" spans="2:2">
      <c r="B10523" s="21"/>
    </row>
    <row r="10524" spans="2:2">
      <c r="B10524" s="21"/>
    </row>
    <row r="10525" spans="2:2">
      <c r="B10525" s="21"/>
    </row>
    <row r="10526" spans="2:2">
      <c r="B10526" s="21"/>
    </row>
    <row r="10527" spans="2:2">
      <c r="B10527" s="21"/>
    </row>
    <row r="10528" spans="2:2">
      <c r="B10528" s="21"/>
    </row>
    <row r="10529" spans="2:2">
      <c r="B10529" s="21"/>
    </row>
    <row r="10530" spans="2:2">
      <c r="B10530" s="21"/>
    </row>
    <row r="10531" spans="2:2">
      <c r="B10531" s="21"/>
    </row>
    <row r="10532" spans="2:2">
      <c r="B10532" s="21"/>
    </row>
    <row r="10533" spans="2:2">
      <c r="B10533" s="21"/>
    </row>
    <row r="10534" spans="2:2">
      <c r="B10534" s="21"/>
    </row>
    <row r="10535" spans="2:2">
      <c r="B10535" s="21"/>
    </row>
    <row r="10536" spans="2:2">
      <c r="B10536" s="21"/>
    </row>
    <row r="10537" spans="2:2">
      <c r="B10537" s="21"/>
    </row>
    <row r="10538" spans="2:2">
      <c r="B10538" s="21"/>
    </row>
    <row r="10539" spans="2:2">
      <c r="B10539" s="21"/>
    </row>
    <row r="10540" spans="2:2">
      <c r="B10540" s="21"/>
    </row>
    <row r="10541" spans="2:2">
      <c r="B10541" s="21"/>
    </row>
    <row r="10542" spans="2:2">
      <c r="B10542" s="21"/>
    </row>
    <row r="10543" spans="2:2">
      <c r="B10543" s="21"/>
    </row>
    <row r="10544" spans="2:2">
      <c r="B10544" s="21"/>
    </row>
    <row r="10545" spans="2:2">
      <c r="B10545" s="21"/>
    </row>
    <row r="10546" spans="2:2">
      <c r="B10546" s="21"/>
    </row>
    <row r="10547" spans="2:2">
      <c r="B10547" s="21"/>
    </row>
    <row r="10548" spans="2:2">
      <c r="B10548" s="21"/>
    </row>
    <row r="10549" spans="2:2">
      <c r="B10549" s="21"/>
    </row>
    <row r="10550" spans="2:2">
      <c r="B10550" s="21"/>
    </row>
    <row r="10551" spans="2:2">
      <c r="B10551" s="21"/>
    </row>
    <row r="10552" spans="2:2">
      <c r="B10552" s="21"/>
    </row>
    <row r="10553" spans="2:2">
      <c r="B10553" s="21"/>
    </row>
    <row r="10554" spans="2:2">
      <c r="B10554" s="21"/>
    </row>
    <row r="10555" spans="2:2">
      <c r="B10555" s="21"/>
    </row>
    <row r="10556" spans="2:2">
      <c r="B10556" s="21"/>
    </row>
    <row r="10557" spans="2:2">
      <c r="B10557" s="21"/>
    </row>
    <row r="10558" spans="2:2">
      <c r="B10558" s="21"/>
    </row>
    <row r="10559" spans="2:2">
      <c r="B10559" s="21"/>
    </row>
    <row r="10560" spans="2:2">
      <c r="B10560" s="21"/>
    </row>
    <row r="10561" spans="2:2">
      <c r="B10561" s="21"/>
    </row>
    <row r="10562" spans="2:2">
      <c r="B10562" s="21"/>
    </row>
    <row r="10563" spans="2:2">
      <c r="B10563" s="21"/>
    </row>
    <row r="10564" spans="2:2">
      <c r="B10564" s="21"/>
    </row>
    <row r="10565" spans="2:2">
      <c r="B10565" s="21"/>
    </row>
    <row r="10566" spans="2:2">
      <c r="B10566" s="21"/>
    </row>
    <row r="10567" spans="2:2">
      <c r="B10567" s="21"/>
    </row>
    <row r="10568" spans="2:2">
      <c r="B10568" s="21"/>
    </row>
    <row r="10569" spans="2:2">
      <c r="B10569" s="21"/>
    </row>
    <row r="10570" spans="2:2">
      <c r="B10570" s="21"/>
    </row>
    <row r="10571" spans="2:2">
      <c r="B10571" s="21"/>
    </row>
    <row r="10572" spans="2:2">
      <c r="B10572" s="21"/>
    </row>
    <row r="10573" spans="2:2">
      <c r="B10573" s="21"/>
    </row>
    <row r="10574" spans="2:2">
      <c r="B10574" s="21"/>
    </row>
    <row r="10575" spans="2:2">
      <c r="B10575" s="21"/>
    </row>
    <row r="10576" spans="2:2">
      <c r="B10576" s="21"/>
    </row>
    <row r="10577" spans="2:2">
      <c r="B10577" s="21"/>
    </row>
    <row r="10578" spans="2:2">
      <c r="B10578" s="21"/>
    </row>
    <row r="10579" spans="2:2">
      <c r="B10579" s="21"/>
    </row>
    <row r="10580" spans="2:2">
      <c r="B10580" s="21"/>
    </row>
    <row r="10581" spans="2:2">
      <c r="B10581" s="21"/>
    </row>
    <row r="10582" spans="2:2">
      <c r="B10582" s="21"/>
    </row>
    <row r="10583" spans="2:2">
      <c r="B10583" s="21"/>
    </row>
    <row r="10584" spans="2:2">
      <c r="B10584" s="21"/>
    </row>
    <row r="10585" spans="2:2">
      <c r="B10585" s="21"/>
    </row>
    <row r="10586" spans="2:2">
      <c r="B10586" s="21"/>
    </row>
    <row r="10587" spans="2:2">
      <c r="B10587" s="21"/>
    </row>
    <row r="10588" spans="2:2">
      <c r="B10588" s="21"/>
    </row>
    <row r="10589" spans="2:2">
      <c r="B10589" s="21"/>
    </row>
    <row r="10590" spans="2:2">
      <c r="B10590" s="21"/>
    </row>
    <row r="10591" spans="2:2">
      <c r="B10591" s="21"/>
    </row>
    <row r="10592" spans="2:2">
      <c r="B10592" s="21"/>
    </row>
    <row r="10593" spans="2:2">
      <c r="B10593" s="21"/>
    </row>
    <row r="10594" spans="2:2">
      <c r="B10594" s="21"/>
    </row>
    <row r="10595" spans="2:2">
      <c r="B10595" s="21"/>
    </row>
    <row r="10596" spans="2:2">
      <c r="B10596" s="21"/>
    </row>
    <row r="10597" spans="2:2">
      <c r="B10597" s="21"/>
    </row>
    <row r="10598" spans="2:2">
      <c r="B10598" s="21"/>
    </row>
    <row r="10599" spans="2:2">
      <c r="B10599" s="21"/>
    </row>
    <row r="10600" spans="2:2">
      <c r="B10600" s="21"/>
    </row>
    <row r="10601" spans="2:2">
      <c r="B10601" s="21"/>
    </row>
    <row r="10602" spans="2:2">
      <c r="B10602" s="21"/>
    </row>
    <row r="10603" spans="2:2">
      <c r="B10603" s="21"/>
    </row>
    <row r="10604" spans="2:2">
      <c r="B10604" s="21"/>
    </row>
    <row r="10605" spans="2:2">
      <c r="B10605" s="21"/>
    </row>
    <row r="10606" spans="2:2">
      <c r="B10606" s="21"/>
    </row>
    <row r="10607" spans="2:2">
      <c r="B10607" s="21"/>
    </row>
    <row r="10608" spans="2:2">
      <c r="B10608" s="21"/>
    </row>
    <row r="10609" spans="2:2">
      <c r="B10609" s="21"/>
    </row>
    <row r="10610" spans="2:2">
      <c r="B10610" s="21"/>
    </row>
    <row r="10611" spans="2:2">
      <c r="B10611" s="21"/>
    </row>
    <row r="10612" spans="2:2">
      <c r="B10612" s="21"/>
    </row>
    <row r="10613" spans="2:2">
      <c r="B10613" s="21"/>
    </row>
    <row r="10614" spans="2:2">
      <c r="B10614" s="21"/>
    </row>
    <row r="10615" spans="2:2">
      <c r="B10615" s="21"/>
    </row>
    <row r="10616" spans="2:2">
      <c r="B10616" s="21"/>
    </row>
    <row r="10617" spans="2:2">
      <c r="B10617" s="21"/>
    </row>
    <row r="10618" spans="2:2">
      <c r="B10618" s="21"/>
    </row>
    <row r="10619" spans="2:2">
      <c r="B10619" s="21"/>
    </row>
    <row r="10620" spans="2:2">
      <c r="B10620" s="21"/>
    </row>
    <row r="10621" spans="2:2">
      <c r="B10621" s="21"/>
    </row>
    <row r="10622" spans="2:2">
      <c r="B10622" s="21"/>
    </row>
    <row r="10623" spans="2:2">
      <c r="B10623" s="21"/>
    </row>
    <row r="10624" spans="2:2">
      <c r="B10624" s="21"/>
    </row>
    <row r="10625" spans="2:2">
      <c r="B10625" s="21"/>
    </row>
    <row r="10626" spans="2:2">
      <c r="B10626" s="21"/>
    </row>
    <row r="10627" spans="2:2">
      <c r="B10627" s="21"/>
    </row>
    <row r="10628" spans="2:2">
      <c r="B10628" s="21"/>
    </row>
    <row r="10629" spans="2:2">
      <c r="B10629" s="21"/>
    </row>
    <row r="10630" spans="2:2">
      <c r="B10630" s="21"/>
    </row>
    <row r="10631" spans="2:2">
      <c r="B10631" s="21"/>
    </row>
    <row r="10632" spans="2:2">
      <c r="B10632" s="21"/>
    </row>
    <row r="10633" spans="2:2">
      <c r="B10633" s="21"/>
    </row>
    <row r="10634" spans="2:2">
      <c r="B10634" s="21"/>
    </row>
    <row r="10635" spans="2:2">
      <c r="B10635" s="21"/>
    </row>
    <row r="10636" spans="2:2">
      <c r="B10636" s="21"/>
    </row>
    <row r="10637" spans="2:2">
      <c r="B10637" s="21"/>
    </row>
    <row r="10638" spans="2:2">
      <c r="B10638" s="21"/>
    </row>
    <row r="10639" spans="2:2">
      <c r="B10639" s="21"/>
    </row>
    <row r="10640" spans="2:2">
      <c r="B10640" s="21"/>
    </row>
    <row r="10641" spans="2:2">
      <c r="B10641" s="21"/>
    </row>
    <row r="10642" spans="2:2">
      <c r="B10642" s="21"/>
    </row>
    <row r="10643" spans="2:2">
      <c r="B10643" s="21"/>
    </row>
    <row r="10644" spans="2:2">
      <c r="B10644" s="21"/>
    </row>
    <row r="10645" spans="2:2">
      <c r="B10645" s="21"/>
    </row>
    <row r="10646" spans="2:2">
      <c r="B10646" s="21"/>
    </row>
    <row r="10647" spans="2:2">
      <c r="B10647" s="21"/>
    </row>
    <row r="10648" spans="2:2">
      <c r="B10648" s="21"/>
    </row>
    <row r="10649" spans="2:2">
      <c r="B10649" s="21"/>
    </row>
    <row r="10650" spans="2:2">
      <c r="B10650" s="21"/>
    </row>
    <row r="10651" spans="2:2">
      <c r="B10651" s="21"/>
    </row>
    <row r="10652" spans="2:2">
      <c r="B10652" s="21"/>
    </row>
    <row r="10653" spans="2:2">
      <c r="B10653" s="21"/>
    </row>
    <row r="10654" spans="2:2">
      <c r="B10654" s="21"/>
    </row>
    <row r="10655" spans="2:2">
      <c r="B10655" s="21"/>
    </row>
    <row r="10656" spans="2:2">
      <c r="B10656" s="21"/>
    </row>
    <row r="10657" spans="2:2">
      <c r="B10657" s="21"/>
    </row>
    <row r="10658" spans="2:2">
      <c r="B10658" s="21"/>
    </row>
    <row r="10659" spans="2:2">
      <c r="B10659" s="21"/>
    </row>
    <row r="10660" spans="2:2">
      <c r="B10660" s="21"/>
    </row>
    <row r="10661" spans="2:2">
      <c r="B10661" s="21"/>
    </row>
    <row r="10662" spans="2:2">
      <c r="B10662" s="21"/>
    </row>
    <row r="10663" spans="2:2">
      <c r="B10663" s="21"/>
    </row>
    <row r="10664" spans="2:2">
      <c r="B10664" s="21"/>
    </row>
    <row r="10665" spans="2:2">
      <c r="B10665" s="21"/>
    </row>
    <row r="10666" spans="2:2">
      <c r="B10666" s="21"/>
    </row>
    <row r="10667" spans="2:2">
      <c r="B10667" s="21"/>
    </row>
    <row r="10668" spans="2:2">
      <c r="B10668" s="21"/>
    </row>
    <row r="10669" spans="2:2">
      <c r="B10669" s="21"/>
    </row>
    <row r="10670" spans="2:2">
      <c r="B10670" s="21"/>
    </row>
    <row r="10671" spans="2:2">
      <c r="B10671" s="21"/>
    </row>
    <row r="10672" spans="2:2">
      <c r="B10672" s="21"/>
    </row>
    <row r="10673" spans="2:2">
      <c r="B10673" s="21"/>
    </row>
    <row r="10674" spans="2:2">
      <c r="B10674" s="21"/>
    </row>
    <row r="10675" spans="2:2">
      <c r="B10675" s="21"/>
    </row>
    <row r="10676" spans="2:2">
      <c r="B10676" s="21"/>
    </row>
    <row r="10677" spans="2:2">
      <c r="B10677" s="21"/>
    </row>
    <row r="10678" spans="2:2">
      <c r="B10678" s="21"/>
    </row>
    <row r="10679" spans="2:2">
      <c r="B10679" s="21"/>
    </row>
    <row r="10680" spans="2:2">
      <c r="B10680" s="21"/>
    </row>
    <row r="10681" spans="2:2">
      <c r="B10681" s="21"/>
    </row>
    <row r="10682" spans="2:2">
      <c r="B10682" s="21"/>
    </row>
    <row r="10683" spans="2:2">
      <c r="B10683" s="21"/>
    </row>
    <row r="10684" spans="2:2">
      <c r="B10684" s="21"/>
    </row>
    <row r="10685" spans="2:2">
      <c r="B10685" s="21"/>
    </row>
    <row r="10686" spans="2:2">
      <c r="B10686" s="21"/>
    </row>
    <row r="10687" spans="2:2">
      <c r="B10687" s="21"/>
    </row>
    <row r="10688" spans="2:2">
      <c r="B10688" s="21"/>
    </row>
    <row r="10689" spans="2:2">
      <c r="B10689" s="21"/>
    </row>
    <row r="10690" spans="2:2">
      <c r="B10690" s="21"/>
    </row>
    <row r="10691" spans="2:2">
      <c r="B10691" s="21"/>
    </row>
    <row r="10692" spans="2:2">
      <c r="B10692" s="21"/>
    </row>
    <row r="10693" spans="2:2">
      <c r="B10693" s="21"/>
    </row>
    <row r="10694" spans="2:2">
      <c r="B10694" s="21"/>
    </row>
    <row r="10695" spans="2:2">
      <c r="B10695" s="21"/>
    </row>
    <row r="10696" spans="2:2">
      <c r="B10696" s="21"/>
    </row>
    <row r="10697" spans="2:2">
      <c r="B10697" s="21"/>
    </row>
    <row r="10698" spans="2:2">
      <c r="B10698" s="21"/>
    </row>
    <row r="10699" spans="2:2">
      <c r="B10699" s="21"/>
    </row>
    <row r="10700" spans="2:2">
      <c r="B10700" s="21"/>
    </row>
    <row r="10701" spans="2:2">
      <c r="B10701" s="21"/>
    </row>
    <row r="10702" spans="2:2">
      <c r="B10702" s="21"/>
    </row>
    <row r="10703" spans="2:2">
      <c r="B10703" s="21"/>
    </row>
    <row r="10704" spans="2:2">
      <c r="B10704" s="21"/>
    </row>
    <row r="10705" spans="2:2">
      <c r="B10705" s="21"/>
    </row>
    <row r="10706" spans="2:2">
      <c r="B10706" s="21"/>
    </row>
    <row r="10707" spans="2:2">
      <c r="B10707" s="21"/>
    </row>
    <row r="10708" spans="2:2">
      <c r="B10708" s="21"/>
    </row>
    <row r="10709" spans="2:2">
      <c r="B10709" s="21"/>
    </row>
    <row r="10710" spans="2:2">
      <c r="B10710" s="21"/>
    </row>
    <row r="10711" spans="2:2">
      <c r="B10711" s="21"/>
    </row>
    <row r="10712" spans="2:2">
      <c r="B10712" s="21"/>
    </row>
    <row r="10713" spans="2:2">
      <c r="B10713" s="21"/>
    </row>
    <row r="10714" spans="2:2">
      <c r="B10714" s="21"/>
    </row>
    <row r="10715" spans="2:2">
      <c r="B10715" s="21"/>
    </row>
    <row r="10716" spans="2:2">
      <c r="B10716" s="21"/>
    </row>
    <row r="10717" spans="2:2">
      <c r="B10717" s="21"/>
    </row>
    <row r="10718" spans="2:2">
      <c r="B10718" s="21"/>
    </row>
    <row r="10719" spans="2:2">
      <c r="B10719" s="21"/>
    </row>
    <row r="10720" spans="2:2">
      <c r="B10720" s="21"/>
    </row>
    <row r="10721" spans="2:2">
      <c r="B10721" s="21"/>
    </row>
    <row r="10722" spans="2:2">
      <c r="B10722" s="21"/>
    </row>
    <row r="10723" spans="2:2">
      <c r="B10723" s="21"/>
    </row>
    <row r="10724" spans="2:2">
      <c r="B10724" s="21"/>
    </row>
    <row r="10725" spans="2:2">
      <c r="B10725" s="21"/>
    </row>
    <row r="10726" spans="2:2">
      <c r="B10726" s="21"/>
    </row>
    <row r="10727" spans="2:2">
      <c r="B10727" s="21"/>
    </row>
    <row r="10728" spans="2:2">
      <c r="B10728" s="21"/>
    </row>
    <row r="10729" spans="2:2">
      <c r="B10729" s="21"/>
    </row>
    <row r="10730" spans="2:2">
      <c r="B10730" s="21"/>
    </row>
    <row r="10731" spans="2:2">
      <c r="B10731" s="21"/>
    </row>
    <row r="10732" spans="2:2">
      <c r="B10732" s="21"/>
    </row>
    <row r="10733" spans="2:2">
      <c r="B10733" s="21"/>
    </row>
    <row r="10734" spans="2:2">
      <c r="B10734" s="21"/>
    </row>
    <row r="10735" spans="2:2">
      <c r="B10735" s="21"/>
    </row>
    <row r="10736" spans="2:2">
      <c r="B10736" s="21"/>
    </row>
    <row r="10737" spans="2:2">
      <c r="B10737" s="21"/>
    </row>
    <row r="10738" spans="2:2">
      <c r="B10738" s="21"/>
    </row>
    <row r="10739" spans="2:2">
      <c r="B10739" s="21"/>
    </row>
    <row r="10740" spans="2:2">
      <c r="B10740" s="21"/>
    </row>
    <row r="10741" spans="2:2">
      <c r="B10741" s="21"/>
    </row>
    <row r="10742" spans="2:2">
      <c r="B10742" s="21"/>
    </row>
    <row r="10743" spans="2:2">
      <c r="B10743" s="21"/>
    </row>
    <row r="10744" spans="2:2">
      <c r="B10744" s="21"/>
    </row>
    <row r="10745" spans="2:2">
      <c r="B10745" s="21"/>
    </row>
    <row r="10746" spans="2:2">
      <c r="B10746" s="21"/>
    </row>
    <row r="10747" spans="2:2">
      <c r="B10747" s="21"/>
    </row>
    <row r="10748" spans="2:2">
      <c r="B10748" s="21"/>
    </row>
    <row r="10749" spans="2:2">
      <c r="B10749" s="21"/>
    </row>
    <row r="10750" spans="2:2">
      <c r="B10750" s="21"/>
    </row>
    <row r="10751" spans="2:2">
      <c r="B10751" s="21"/>
    </row>
    <row r="10752" spans="2:2">
      <c r="B10752" s="21"/>
    </row>
    <row r="10753" spans="2:2">
      <c r="B10753" s="21"/>
    </row>
    <row r="10754" spans="2:2">
      <c r="B10754" s="21"/>
    </row>
    <row r="10755" spans="2:2">
      <c r="B10755" s="21"/>
    </row>
    <row r="10756" spans="2:2">
      <c r="B10756" s="21"/>
    </row>
    <row r="10757" spans="2:2">
      <c r="B10757" s="21"/>
    </row>
    <row r="10758" spans="2:2">
      <c r="B10758" s="21"/>
    </row>
    <row r="10759" spans="2:2">
      <c r="B10759" s="21"/>
    </row>
    <row r="10760" spans="2:2">
      <c r="B10760" s="21"/>
    </row>
    <row r="10761" spans="2:2">
      <c r="B10761" s="21"/>
    </row>
    <row r="10762" spans="2:2">
      <c r="B10762" s="21"/>
    </row>
    <row r="10763" spans="2:2">
      <c r="B10763" s="21"/>
    </row>
    <row r="10764" spans="2:2">
      <c r="B10764" s="21"/>
    </row>
    <row r="10765" spans="2:2">
      <c r="B10765" s="21"/>
    </row>
    <row r="10766" spans="2:2">
      <c r="B10766" s="21"/>
    </row>
    <row r="10767" spans="2:2">
      <c r="B10767" s="21"/>
    </row>
    <row r="10768" spans="2:2">
      <c r="B10768" s="21"/>
    </row>
    <row r="10769" spans="2:2">
      <c r="B10769" s="21"/>
    </row>
    <row r="10770" spans="2:2">
      <c r="B10770" s="21"/>
    </row>
    <row r="10771" spans="2:2">
      <c r="B10771" s="21"/>
    </row>
    <row r="10772" spans="2:2">
      <c r="B10772" s="21"/>
    </row>
    <row r="10773" spans="2:2">
      <c r="B10773" s="21"/>
    </row>
    <row r="10774" spans="2:2">
      <c r="B10774" s="21"/>
    </row>
    <row r="10775" spans="2:2">
      <c r="B10775" s="21"/>
    </row>
    <row r="10776" spans="2:2">
      <c r="B10776" s="21"/>
    </row>
    <row r="10777" spans="2:2">
      <c r="B10777" s="21"/>
    </row>
    <row r="10778" spans="2:2">
      <c r="B10778" s="21"/>
    </row>
    <row r="10779" spans="2:2">
      <c r="B10779" s="21"/>
    </row>
    <row r="10780" spans="2:2">
      <c r="B10780" s="21"/>
    </row>
    <row r="10781" spans="2:2">
      <c r="B10781" s="21"/>
    </row>
    <row r="10782" spans="2:2">
      <c r="B10782" s="21"/>
    </row>
    <row r="10783" spans="2:2">
      <c r="B10783" s="21"/>
    </row>
    <row r="10784" spans="2:2">
      <c r="B10784" s="21"/>
    </row>
    <row r="10785" spans="2:2">
      <c r="B10785" s="21"/>
    </row>
    <row r="10786" spans="2:2">
      <c r="B10786" s="21"/>
    </row>
    <row r="10787" spans="2:2">
      <c r="B10787" s="21"/>
    </row>
    <row r="10788" spans="2:2">
      <c r="B10788" s="21"/>
    </row>
    <row r="10789" spans="2:2">
      <c r="B10789" s="21"/>
    </row>
    <row r="10790" spans="2:2">
      <c r="B10790" s="21"/>
    </row>
    <row r="10791" spans="2:2">
      <c r="B10791" s="21"/>
    </row>
    <row r="10792" spans="2:2">
      <c r="B10792" s="21"/>
    </row>
    <row r="10793" spans="2:2">
      <c r="B10793" s="21"/>
    </row>
    <row r="10794" spans="2:2">
      <c r="B10794" s="21"/>
    </row>
    <row r="10795" spans="2:2">
      <c r="B10795" s="21"/>
    </row>
    <row r="10796" spans="2:2">
      <c r="B10796" s="21"/>
    </row>
    <row r="10797" spans="2:2">
      <c r="B10797" s="21"/>
    </row>
    <row r="10798" spans="2:2">
      <c r="B10798" s="21"/>
    </row>
    <row r="10799" spans="2:2">
      <c r="B10799" s="21"/>
    </row>
    <row r="10800" spans="2:2">
      <c r="B10800" s="21"/>
    </row>
    <row r="10801" spans="2:2">
      <c r="B10801" s="21"/>
    </row>
    <row r="10802" spans="2:2">
      <c r="B10802" s="21"/>
    </row>
    <row r="10803" spans="2:2">
      <c r="B10803" s="21"/>
    </row>
    <row r="10804" spans="2:2">
      <c r="B10804" s="21"/>
    </row>
    <row r="10805" spans="2:2">
      <c r="B10805" s="21"/>
    </row>
    <row r="10806" spans="2:2">
      <c r="B10806" s="21"/>
    </row>
    <row r="10807" spans="2:2">
      <c r="B10807" s="21"/>
    </row>
    <row r="10808" spans="2:2">
      <c r="B10808" s="21"/>
    </row>
    <row r="10809" spans="2:2">
      <c r="B10809" s="21"/>
    </row>
    <row r="10810" spans="2:2">
      <c r="B10810" s="21"/>
    </row>
    <row r="10811" spans="2:2">
      <c r="B10811" s="21"/>
    </row>
    <row r="10812" spans="2:2">
      <c r="B10812" s="21"/>
    </row>
    <row r="10813" spans="2:2">
      <c r="B10813" s="21"/>
    </row>
    <row r="10814" spans="2:2">
      <c r="B10814" s="21"/>
    </row>
    <row r="10815" spans="2:2">
      <c r="B10815" s="21"/>
    </row>
    <row r="10816" spans="2:2">
      <c r="B10816" s="21"/>
    </row>
    <row r="10817" spans="2:2">
      <c r="B10817" s="21"/>
    </row>
    <row r="10818" spans="2:2">
      <c r="B10818" s="21"/>
    </row>
    <row r="10819" spans="2:2">
      <c r="B10819" s="21"/>
    </row>
    <row r="10820" spans="2:2">
      <c r="B10820" s="21"/>
    </row>
    <row r="10821" spans="2:2">
      <c r="B10821" s="21"/>
    </row>
    <row r="10822" spans="2:2">
      <c r="B10822" s="21"/>
    </row>
    <row r="10823" spans="2:2">
      <c r="B10823" s="21"/>
    </row>
    <row r="10824" spans="2:2">
      <c r="B10824" s="21"/>
    </row>
    <row r="10825" spans="2:2">
      <c r="B10825" s="21"/>
    </row>
    <row r="10826" spans="2:2">
      <c r="B10826" s="21"/>
    </row>
    <row r="10827" spans="2:2">
      <c r="B10827" s="21"/>
    </row>
    <row r="10828" spans="2:2">
      <c r="B10828" s="21"/>
    </row>
    <row r="10829" spans="2:2">
      <c r="B10829" s="21"/>
    </row>
    <row r="10830" spans="2:2">
      <c r="B10830" s="21"/>
    </row>
    <row r="10831" spans="2:2">
      <c r="B10831" s="21"/>
    </row>
    <row r="10832" spans="2:2">
      <c r="B10832" s="21"/>
    </row>
    <row r="10833" spans="2:2">
      <c r="B10833" s="21"/>
    </row>
    <row r="10834" spans="2:2">
      <c r="B10834" s="21"/>
    </row>
    <row r="10835" spans="2:2">
      <c r="B10835" s="21"/>
    </row>
    <row r="10836" spans="2:2">
      <c r="B10836" s="21"/>
    </row>
    <row r="10837" spans="2:2">
      <c r="B10837" s="21"/>
    </row>
    <row r="10838" spans="2:2">
      <c r="B10838" s="21"/>
    </row>
    <row r="10839" spans="2:2">
      <c r="B10839" s="21"/>
    </row>
    <row r="10840" spans="2:2">
      <c r="B10840" s="21"/>
    </row>
    <row r="10841" spans="2:2">
      <c r="B10841" s="21"/>
    </row>
    <row r="10842" spans="2:2">
      <c r="B10842" s="21"/>
    </row>
    <row r="10843" spans="2:2">
      <c r="B10843" s="21"/>
    </row>
    <row r="10844" spans="2:2">
      <c r="B10844" s="21"/>
    </row>
    <row r="10845" spans="2:2">
      <c r="B10845" s="21"/>
    </row>
    <row r="10846" spans="2:2">
      <c r="B10846" s="21"/>
    </row>
    <row r="10847" spans="2:2">
      <c r="B10847" s="21"/>
    </row>
    <row r="10848" spans="2:2">
      <c r="B10848" s="21"/>
    </row>
    <row r="10849" spans="2:2">
      <c r="B10849" s="21"/>
    </row>
    <row r="10850" spans="2:2">
      <c r="B10850" s="21"/>
    </row>
    <row r="10851" spans="2:2">
      <c r="B10851" s="21"/>
    </row>
    <row r="10852" spans="2:2">
      <c r="B10852" s="21"/>
    </row>
    <row r="10853" spans="2:2">
      <c r="B10853" s="21"/>
    </row>
    <row r="10854" spans="2:2">
      <c r="B10854" s="21"/>
    </row>
    <row r="10855" spans="2:2">
      <c r="B10855" s="21"/>
    </row>
    <row r="10856" spans="2:2">
      <c r="B10856" s="21"/>
    </row>
    <row r="10857" spans="2:2">
      <c r="B10857" s="21"/>
    </row>
    <row r="10858" spans="2:2">
      <c r="B10858" s="21"/>
    </row>
    <row r="10859" spans="2:2">
      <c r="B10859" s="21"/>
    </row>
    <row r="10860" spans="2:2">
      <c r="B10860" s="21"/>
    </row>
    <row r="10861" spans="2:2">
      <c r="B10861" s="21"/>
    </row>
    <row r="10862" spans="2:2">
      <c r="B10862" s="21"/>
    </row>
    <row r="10863" spans="2:2">
      <c r="B10863" s="21"/>
    </row>
    <row r="10864" spans="2:2">
      <c r="B10864" s="21"/>
    </row>
    <row r="10865" spans="2:2">
      <c r="B10865" s="21"/>
    </row>
    <row r="10866" spans="2:2">
      <c r="B10866" s="21"/>
    </row>
    <row r="10867" spans="2:2">
      <c r="B10867" s="21"/>
    </row>
    <row r="10868" spans="2:2">
      <c r="B10868" s="21"/>
    </row>
    <row r="10869" spans="2:2">
      <c r="B10869" s="21"/>
    </row>
    <row r="10870" spans="2:2">
      <c r="B10870" s="21"/>
    </row>
    <row r="10871" spans="2:2">
      <c r="B10871" s="21"/>
    </row>
    <row r="10872" spans="2:2">
      <c r="B10872" s="21"/>
    </row>
    <row r="10873" spans="2:2">
      <c r="B10873" s="21"/>
    </row>
    <row r="10874" spans="2:2">
      <c r="B10874" s="21"/>
    </row>
    <row r="10875" spans="2:2">
      <c r="B10875" s="21"/>
    </row>
    <row r="10876" spans="2:2">
      <c r="B10876" s="21"/>
    </row>
    <row r="10877" spans="2:2">
      <c r="B10877" s="21"/>
    </row>
    <row r="10878" spans="2:2">
      <c r="B10878" s="21"/>
    </row>
    <row r="10879" spans="2:2">
      <c r="B10879" s="21"/>
    </row>
    <row r="10880" spans="2:2">
      <c r="B10880" s="21"/>
    </row>
    <row r="10881" spans="2:2">
      <c r="B10881" s="21"/>
    </row>
    <row r="10882" spans="2:2">
      <c r="B10882" s="21"/>
    </row>
    <row r="10883" spans="2:2">
      <c r="B10883" s="21"/>
    </row>
    <row r="10884" spans="2:2">
      <c r="B10884" s="21"/>
    </row>
    <row r="10885" spans="2:2">
      <c r="B10885" s="21"/>
    </row>
    <row r="10886" spans="2:2">
      <c r="B10886" s="21"/>
    </row>
    <row r="10887" spans="2:2">
      <c r="B10887" s="21"/>
    </row>
    <row r="10888" spans="2:2">
      <c r="B10888" s="21"/>
    </row>
    <row r="10889" spans="2:2">
      <c r="B10889" s="21"/>
    </row>
    <row r="10890" spans="2:2">
      <c r="B10890" s="21"/>
    </row>
    <row r="10891" spans="2:2">
      <c r="B10891" s="21"/>
    </row>
    <row r="10892" spans="2:2">
      <c r="B10892" s="21"/>
    </row>
    <row r="10893" spans="2:2">
      <c r="B10893" s="21"/>
    </row>
    <row r="10894" spans="2:2">
      <c r="B10894" s="21"/>
    </row>
    <row r="10895" spans="2:2">
      <c r="B10895" s="21"/>
    </row>
    <row r="10896" spans="2:2">
      <c r="B10896" s="21"/>
    </row>
    <row r="10897" spans="2:2">
      <c r="B10897" s="21"/>
    </row>
    <row r="10898" spans="2:2">
      <c r="B10898" s="21"/>
    </row>
    <row r="10899" spans="2:2">
      <c r="B10899" s="21"/>
    </row>
    <row r="10900" spans="2:2">
      <c r="B10900" s="21"/>
    </row>
    <row r="10901" spans="2:2">
      <c r="B10901" s="21"/>
    </row>
    <row r="10902" spans="2:2">
      <c r="B10902" s="21"/>
    </row>
    <row r="10903" spans="2:2">
      <c r="B10903" s="21"/>
    </row>
    <row r="10904" spans="2:2">
      <c r="B10904" s="21"/>
    </row>
    <row r="10905" spans="2:2">
      <c r="B10905" s="21"/>
    </row>
    <row r="10906" spans="2:2">
      <c r="B10906" s="21"/>
    </row>
    <row r="10907" spans="2:2">
      <c r="B10907" s="21"/>
    </row>
    <row r="10908" spans="2:2">
      <c r="B10908" s="21"/>
    </row>
    <row r="10909" spans="2:2">
      <c r="B10909" s="21"/>
    </row>
    <row r="10910" spans="2:2">
      <c r="B10910" s="21"/>
    </row>
    <row r="10911" spans="2:2">
      <c r="B10911" s="21"/>
    </row>
    <row r="10912" spans="2:2">
      <c r="B10912" s="21"/>
    </row>
    <row r="10913" spans="2:2">
      <c r="B10913" s="21"/>
    </row>
    <row r="10914" spans="2:2">
      <c r="B10914" s="21"/>
    </row>
    <row r="10915" spans="2:2">
      <c r="B10915" s="21"/>
    </row>
    <row r="10916" spans="2:2">
      <c r="B10916" s="21"/>
    </row>
    <row r="10917" spans="2:2">
      <c r="B10917" s="21"/>
    </row>
    <row r="10918" spans="2:2">
      <c r="B10918" s="21"/>
    </row>
    <row r="10919" spans="2:2">
      <c r="B10919" s="21"/>
    </row>
    <row r="10920" spans="2:2">
      <c r="B10920" s="21"/>
    </row>
    <row r="10921" spans="2:2">
      <c r="B10921" s="21"/>
    </row>
    <row r="10922" spans="2:2">
      <c r="B10922" s="21"/>
    </row>
    <row r="10923" spans="2:2">
      <c r="B10923" s="21"/>
    </row>
    <row r="10924" spans="2:2">
      <c r="B10924" s="21"/>
    </row>
    <row r="10925" spans="2:2">
      <c r="B10925" s="21"/>
    </row>
    <row r="10926" spans="2:2">
      <c r="B10926" s="21"/>
    </row>
    <row r="10927" spans="2:2">
      <c r="B10927" s="21"/>
    </row>
    <row r="10928" spans="2:2">
      <c r="B10928" s="21"/>
    </row>
    <row r="10929" spans="2:2">
      <c r="B10929" s="21"/>
    </row>
    <row r="10930" spans="2:2">
      <c r="B10930" s="21"/>
    </row>
    <row r="10931" spans="2:2">
      <c r="B10931" s="21"/>
    </row>
    <row r="10932" spans="2:2">
      <c r="B10932" s="21"/>
    </row>
    <row r="10933" spans="2:2">
      <c r="B10933" s="21"/>
    </row>
    <row r="10934" spans="2:2">
      <c r="B10934" s="21"/>
    </row>
    <row r="10935" spans="2:2">
      <c r="B10935" s="21"/>
    </row>
    <row r="10936" spans="2:2">
      <c r="B10936" s="21"/>
    </row>
    <row r="10937" spans="2:2">
      <c r="B10937" s="21"/>
    </row>
    <row r="10938" spans="2:2">
      <c r="B10938" s="21"/>
    </row>
    <row r="10939" spans="2:2">
      <c r="B10939" s="21"/>
    </row>
    <row r="10940" spans="2:2">
      <c r="B10940" s="21"/>
    </row>
    <row r="10941" spans="2:2">
      <c r="B10941" s="21"/>
    </row>
    <row r="10942" spans="2:2">
      <c r="B10942" s="21"/>
    </row>
    <row r="10943" spans="2:2">
      <c r="B10943" s="21"/>
    </row>
    <row r="10944" spans="2:2">
      <c r="B10944" s="21"/>
    </row>
    <row r="10945" spans="2:2">
      <c r="B10945" s="21"/>
    </row>
    <row r="10946" spans="2:2">
      <c r="B10946" s="21"/>
    </row>
    <row r="10947" spans="2:2">
      <c r="B10947" s="21"/>
    </row>
    <row r="10948" spans="2:2">
      <c r="B10948" s="21"/>
    </row>
    <row r="10949" spans="2:2">
      <c r="B10949" s="21"/>
    </row>
    <row r="10950" spans="2:2">
      <c r="B10950" s="21"/>
    </row>
    <row r="10951" spans="2:2">
      <c r="B10951" s="21"/>
    </row>
    <row r="10952" spans="2:2">
      <c r="B10952" s="21"/>
    </row>
    <row r="10953" spans="2:2">
      <c r="B10953" s="21"/>
    </row>
    <row r="10954" spans="2:2">
      <c r="B10954" s="21"/>
    </row>
    <row r="10955" spans="2:2">
      <c r="B10955" s="21"/>
    </row>
    <row r="10956" spans="2:2">
      <c r="B10956" s="21"/>
    </row>
    <row r="10957" spans="2:2">
      <c r="B10957" s="21"/>
    </row>
    <row r="10958" spans="2:2">
      <c r="B10958" s="21"/>
    </row>
    <row r="10959" spans="2:2">
      <c r="B10959" s="21"/>
    </row>
    <row r="10960" spans="2:2">
      <c r="B10960" s="21"/>
    </row>
    <row r="10961" spans="2:2">
      <c r="B10961" s="21"/>
    </row>
    <row r="10962" spans="2:2">
      <c r="B10962" s="21"/>
    </row>
    <row r="10963" spans="2:2">
      <c r="B10963" s="21"/>
    </row>
    <row r="10964" spans="2:2">
      <c r="B10964" s="21"/>
    </row>
    <row r="10965" spans="2:2">
      <c r="B10965" s="21"/>
    </row>
    <row r="10966" spans="2:2">
      <c r="B10966" s="21"/>
    </row>
    <row r="10967" spans="2:2">
      <c r="B10967" s="21"/>
    </row>
    <row r="10968" spans="2:2">
      <c r="B10968" s="21"/>
    </row>
    <row r="10969" spans="2:2">
      <c r="B10969" s="21"/>
    </row>
    <row r="10970" spans="2:2">
      <c r="B10970" s="21"/>
    </row>
    <row r="10971" spans="2:2">
      <c r="B10971" s="21"/>
    </row>
    <row r="10972" spans="2:2">
      <c r="B10972" s="21"/>
    </row>
    <row r="10973" spans="2:2">
      <c r="B10973" s="21"/>
    </row>
    <row r="10974" spans="2:2">
      <c r="B10974" s="21"/>
    </row>
    <row r="10975" spans="2:2">
      <c r="B10975" s="21"/>
    </row>
    <row r="10976" spans="2:2">
      <c r="B10976" s="21"/>
    </row>
    <row r="10977" spans="2:2">
      <c r="B10977" s="21"/>
    </row>
    <row r="10978" spans="2:2">
      <c r="B10978" s="21"/>
    </row>
    <row r="10979" spans="2:2">
      <c r="B10979" s="21"/>
    </row>
    <row r="10980" spans="2:2">
      <c r="B10980" s="21"/>
    </row>
    <row r="10981" spans="2:2">
      <c r="B10981" s="21"/>
    </row>
    <row r="10982" spans="2:2">
      <c r="B10982" s="21"/>
    </row>
    <row r="10983" spans="2:2">
      <c r="B10983" s="21"/>
    </row>
    <row r="10984" spans="2:2">
      <c r="B10984" s="21"/>
    </row>
    <row r="10985" spans="2:2">
      <c r="B10985" s="21"/>
    </row>
    <row r="10986" spans="2:2">
      <c r="B10986" s="21"/>
    </row>
    <row r="10987" spans="2:2">
      <c r="B10987" s="21"/>
    </row>
    <row r="10988" spans="2:2">
      <c r="B10988" s="21"/>
    </row>
    <row r="10989" spans="2:2">
      <c r="B10989" s="21"/>
    </row>
    <row r="10990" spans="2:2">
      <c r="B10990" s="21"/>
    </row>
    <row r="10991" spans="2:2">
      <c r="B10991" s="21"/>
    </row>
    <row r="10992" spans="2:2">
      <c r="B10992" s="21"/>
    </row>
    <row r="10993" spans="2:2">
      <c r="B10993" s="21"/>
    </row>
    <row r="10994" spans="2:2">
      <c r="B10994" s="21"/>
    </row>
    <row r="10995" spans="2:2">
      <c r="B10995" s="21"/>
    </row>
    <row r="10996" spans="2:2">
      <c r="B10996" s="21"/>
    </row>
    <row r="10997" spans="2:2">
      <c r="B10997" s="21"/>
    </row>
    <row r="10998" spans="2:2">
      <c r="B10998" s="21"/>
    </row>
    <row r="10999" spans="2:2">
      <c r="B10999" s="21"/>
    </row>
    <row r="11000" spans="2:2">
      <c r="B11000" s="21"/>
    </row>
    <row r="11001" spans="2:2">
      <c r="B11001" s="21"/>
    </row>
    <row r="11002" spans="2:2">
      <c r="B11002" s="21"/>
    </row>
    <row r="11003" spans="2:2">
      <c r="B11003" s="21"/>
    </row>
    <row r="11004" spans="2:2">
      <c r="B11004" s="21"/>
    </row>
    <row r="11005" spans="2:2">
      <c r="B11005" s="21"/>
    </row>
    <row r="11006" spans="2:2">
      <c r="B11006" s="21"/>
    </row>
    <row r="11007" spans="2:2">
      <c r="B11007" s="21"/>
    </row>
    <row r="11008" spans="2:2">
      <c r="B11008" s="21"/>
    </row>
    <row r="11009" spans="2:2">
      <c r="B11009" s="21"/>
    </row>
    <row r="11010" spans="2:2">
      <c r="B11010" s="21"/>
    </row>
    <row r="11011" spans="2:2">
      <c r="B11011" s="21"/>
    </row>
    <row r="11012" spans="2:2">
      <c r="B11012" s="21"/>
    </row>
    <row r="11013" spans="2:2">
      <c r="B11013" s="21"/>
    </row>
    <row r="11014" spans="2:2">
      <c r="B11014" s="21"/>
    </row>
    <row r="11015" spans="2:2">
      <c r="B11015" s="21"/>
    </row>
    <row r="11016" spans="2:2">
      <c r="B11016" s="21"/>
    </row>
    <row r="11017" spans="2:2">
      <c r="B11017" s="21"/>
    </row>
    <row r="11018" spans="2:2">
      <c r="B11018" s="21"/>
    </row>
    <row r="11019" spans="2:2">
      <c r="B11019" s="21"/>
    </row>
    <row r="11020" spans="2:2">
      <c r="B11020" s="21"/>
    </row>
    <row r="11021" spans="2:2">
      <c r="B11021" s="21"/>
    </row>
    <row r="11022" spans="2:2">
      <c r="B11022" s="21"/>
    </row>
    <row r="11023" spans="2:2">
      <c r="B11023" s="21"/>
    </row>
    <row r="11024" spans="2:2">
      <c r="B11024" s="21"/>
    </row>
    <row r="11025" spans="2:2">
      <c r="B11025" s="21"/>
    </row>
    <row r="11026" spans="2:2">
      <c r="B11026" s="21"/>
    </row>
    <row r="11027" spans="2:2">
      <c r="B11027" s="21"/>
    </row>
    <row r="11028" spans="2:2">
      <c r="B11028" s="21"/>
    </row>
    <row r="11029" spans="2:2">
      <c r="B11029" s="21"/>
    </row>
    <row r="11030" spans="2:2">
      <c r="B11030" s="21"/>
    </row>
    <row r="11031" spans="2:2">
      <c r="B11031" s="21"/>
    </row>
    <row r="11032" spans="2:2">
      <c r="B11032" s="21"/>
    </row>
    <row r="11033" spans="2:2">
      <c r="B11033" s="21"/>
    </row>
    <row r="11034" spans="2:2">
      <c r="B11034" s="21"/>
    </row>
    <row r="11035" spans="2:2">
      <c r="B11035" s="21"/>
    </row>
    <row r="11036" spans="2:2">
      <c r="B11036" s="21"/>
    </row>
    <row r="11037" spans="2:2">
      <c r="B11037" s="21"/>
    </row>
    <row r="11038" spans="2:2">
      <c r="B11038" s="21"/>
    </row>
    <row r="11039" spans="2:2">
      <c r="B11039" s="21"/>
    </row>
    <row r="11040" spans="2:2">
      <c r="B11040" s="21"/>
    </row>
    <row r="11041" spans="2:2">
      <c r="B11041" s="21"/>
    </row>
    <row r="11042" spans="2:2">
      <c r="B11042" s="21"/>
    </row>
    <row r="11043" spans="2:2">
      <c r="B11043" s="21"/>
    </row>
    <row r="11044" spans="2:2">
      <c r="B11044" s="21"/>
    </row>
    <row r="11045" spans="2:2">
      <c r="B11045" s="21"/>
    </row>
    <row r="11046" spans="2:2">
      <c r="B11046" s="21"/>
    </row>
    <row r="11047" spans="2:2">
      <c r="B11047" s="21"/>
    </row>
    <row r="11048" spans="2:2">
      <c r="B11048" s="21"/>
    </row>
    <row r="11049" spans="2:2">
      <c r="B11049" s="21"/>
    </row>
    <row r="11050" spans="2:2">
      <c r="B11050" s="21"/>
    </row>
    <row r="11051" spans="2:2">
      <c r="B11051" s="21"/>
    </row>
    <row r="11052" spans="2:2">
      <c r="B11052" s="21"/>
    </row>
    <row r="11053" spans="2:2">
      <c r="B11053" s="21"/>
    </row>
    <row r="11054" spans="2:2">
      <c r="B11054" s="21"/>
    </row>
    <row r="11055" spans="2:2">
      <c r="B11055" s="21"/>
    </row>
    <row r="11056" spans="2:2">
      <c r="B11056" s="21"/>
    </row>
    <row r="11057" spans="2:2">
      <c r="B11057" s="21"/>
    </row>
    <row r="11058" spans="2:2">
      <c r="B11058" s="21"/>
    </row>
    <row r="11059" spans="2:2">
      <c r="B11059" s="21"/>
    </row>
    <row r="11060" spans="2:2">
      <c r="B11060" s="21"/>
    </row>
    <row r="11061" spans="2:2">
      <c r="B11061" s="21"/>
    </row>
    <row r="11062" spans="2:2">
      <c r="B11062" s="21"/>
    </row>
    <row r="11063" spans="2:2">
      <c r="B11063" s="21"/>
    </row>
    <row r="11064" spans="2:2">
      <c r="B11064" s="21"/>
    </row>
    <row r="11065" spans="2:2">
      <c r="B11065" s="21"/>
    </row>
    <row r="11066" spans="2:2">
      <c r="B11066" s="21"/>
    </row>
    <row r="11067" spans="2:2">
      <c r="B11067" s="21"/>
    </row>
    <row r="11068" spans="2:2">
      <c r="B11068" s="21"/>
    </row>
    <row r="11069" spans="2:2">
      <c r="B11069" s="21"/>
    </row>
    <row r="11070" spans="2:2">
      <c r="B11070" s="21"/>
    </row>
    <row r="11071" spans="2:2">
      <c r="B11071" s="21"/>
    </row>
    <row r="11072" spans="2:2">
      <c r="B11072" s="21"/>
    </row>
    <row r="11073" spans="2:2">
      <c r="B11073" s="21"/>
    </row>
    <row r="11074" spans="2:2">
      <c r="B11074" s="21"/>
    </row>
    <row r="11075" spans="2:2">
      <c r="B11075" s="21"/>
    </row>
    <row r="11076" spans="2:2">
      <c r="B11076" s="21"/>
    </row>
    <row r="11077" spans="2:2">
      <c r="B11077" s="21"/>
    </row>
    <row r="11078" spans="2:2">
      <c r="B11078" s="21"/>
    </row>
    <row r="11079" spans="2:2">
      <c r="B11079" s="21"/>
    </row>
    <row r="11080" spans="2:2">
      <c r="B11080" s="21"/>
    </row>
    <row r="11081" spans="2:2">
      <c r="B11081" s="21"/>
    </row>
    <row r="11082" spans="2:2">
      <c r="B11082" s="21"/>
    </row>
    <row r="11083" spans="2:2">
      <c r="B11083" s="21"/>
    </row>
    <row r="11084" spans="2:2">
      <c r="B11084" s="21"/>
    </row>
    <row r="11085" spans="2:2">
      <c r="B11085" s="21"/>
    </row>
    <row r="11086" spans="2:2">
      <c r="B11086" s="21"/>
    </row>
    <row r="11087" spans="2:2">
      <c r="B11087" s="21"/>
    </row>
    <row r="11088" spans="2:2">
      <c r="B11088" s="21"/>
    </row>
    <row r="11089" spans="2:2">
      <c r="B11089" s="21"/>
    </row>
    <row r="11090" spans="2:2">
      <c r="B11090" s="21"/>
    </row>
    <row r="11091" spans="2:2">
      <c r="B11091" s="21"/>
    </row>
    <row r="11092" spans="2:2">
      <c r="B11092" s="21"/>
    </row>
    <row r="11093" spans="2:2">
      <c r="B11093" s="21"/>
    </row>
    <row r="11094" spans="2:2">
      <c r="B11094" s="21"/>
    </row>
    <row r="11095" spans="2:2">
      <c r="B11095" s="21"/>
    </row>
    <row r="11096" spans="2:2">
      <c r="B11096" s="21"/>
    </row>
    <row r="11097" spans="2:2">
      <c r="B11097" s="21"/>
    </row>
    <row r="11098" spans="2:2">
      <c r="B11098" s="21"/>
    </row>
    <row r="11099" spans="2:2">
      <c r="B11099" s="21"/>
    </row>
    <row r="11100" spans="2:2">
      <c r="B11100" s="21"/>
    </row>
    <row r="11101" spans="2:2">
      <c r="B11101" s="21"/>
    </row>
    <row r="11102" spans="2:2">
      <c r="B11102" s="21"/>
    </row>
    <row r="11103" spans="2:2">
      <c r="B11103" s="21"/>
    </row>
    <row r="11104" spans="2:2">
      <c r="B11104" s="21"/>
    </row>
    <row r="11105" spans="2:2">
      <c r="B11105" s="21"/>
    </row>
    <row r="11106" spans="2:2">
      <c r="B11106" s="21"/>
    </row>
    <row r="11107" spans="2:2">
      <c r="B11107" s="21"/>
    </row>
    <row r="11108" spans="2:2">
      <c r="B11108" s="21"/>
    </row>
    <row r="11109" spans="2:2">
      <c r="B11109" s="21"/>
    </row>
    <row r="11110" spans="2:2">
      <c r="B11110" s="21"/>
    </row>
    <row r="11111" spans="2:2">
      <c r="B11111" s="21"/>
    </row>
    <row r="11112" spans="2:2">
      <c r="B11112" s="21"/>
    </row>
    <row r="11113" spans="2:2">
      <c r="B11113" s="21"/>
    </row>
    <row r="11114" spans="2:2">
      <c r="B11114" s="21"/>
    </row>
    <row r="11115" spans="2:2">
      <c r="B11115" s="21"/>
    </row>
    <row r="11116" spans="2:2">
      <c r="B11116" s="21"/>
    </row>
    <row r="11117" spans="2:2">
      <c r="B11117" s="21"/>
    </row>
    <row r="11118" spans="2:2">
      <c r="B11118" s="21"/>
    </row>
    <row r="11119" spans="2:2">
      <c r="B11119" s="21"/>
    </row>
    <row r="11120" spans="2:2">
      <c r="B11120" s="21"/>
    </row>
    <row r="11121" spans="2:2">
      <c r="B11121" s="21"/>
    </row>
    <row r="11122" spans="2:2">
      <c r="B11122" s="21"/>
    </row>
    <row r="11123" spans="2:2">
      <c r="B11123" s="21"/>
    </row>
    <row r="11124" spans="2:2">
      <c r="B11124" s="21"/>
    </row>
    <row r="11125" spans="2:2">
      <c r="B11125" s="21"/>
    </row>
    <row r="11126" spans="2:2">
      <c r="B11126" s="21"/>
    </row>
    <row r="11127" spans="2:2">
      <c r="B11127" s="21"/>
    </row>
    <row r="11128" spans="2:2">
      <c r="B11128" s="21"/>
    </row>
    <row r="11129" spans="2:2">
      <c r="B11129" s="21"/>
    </row>
    <row r="11130" spans="2:2">
      <c r="B11130" s="21"/>
    </row>
    <row r="11131" spans="2:2">
      <c r="B11131" s="21"/>
    </row>
    <row r="11132" spans="2:2">
      <c r="B11132" s="21"/>
    </row>
    <row r="11133" spans="2:2">
      <c r="B11133" s="21"/>
    </row>
    <row r="11134" spans="2:2">
      <c r="B11134" s="21"/>
    </row>
    <row r="11135" spans="2:2">
      <c r="B11135" s="21"/>
    </row>
    <row r="11136" spans="2:2">
      <c r="B11136" s="21"/>
    </row>
    <row r="11137" spans="2:2">
      <c r="B11137" s="21"/>
    </row>
    <row r="11138" spans="2:2">
      <c r="B11138" s="21"/>
    </row>
    <row r="11139" spans="2:2">
      <c r="B11139" s="21"/>
    </row>
    <row r="11140" spans="2:2">
      <c r="B11140" s="21"/>
    </row>
    <row r="11141" spans="2:2">
      <c r="B11141" s="21"/>
    </row>
    <row r="11142" spans="2:2">
      <c r="B11142" s="21"/>
    </row>
    <row r="11143" spans="2:2">
      <c r="B11143" s="21"/>
    </row>
    <row r="11144" spans="2:2">
      <c r="B11144" s="21"/>
    </row>
    <row r="11145" spans="2:2">
      <c r="B11145" s="21"/>
    </row>
    <row r="11146" spans="2:2">
      <c r="B11146" s="21"/>
    </row>
    <row r="11147" spans="2:2">
      <c r="B11147" s="21"/>
    </row>
    <row r="11148" spans="2:2">
      <c r="B11148" s="21"/>
    </row>
    <row r="11149" spans="2:2">
      <c r="B11149" s="21"/>
    </row>
    <row r="11150" spans="2:2">
      <c r="B11150" s="21"/>
    </row>
    <row r="11151" spans="2:2">
      <c r="B11151" s="21"/>
    </row>
    <row r="11152" spans="2:2">
      <c r="B11152" s="21"/>
    </row>
    <row r="11153" spans="2:2">
      <c r="B11153" s="21"/>
    </row>
    <row r="11154" spans="2:2">
      <c r="B11154" s="21"/>
    </row>
    <row r="11155" spans="2:2">
      <c r="B11155" s="21"/>
    </row>
    <row r="11156" spans="2:2">
      <c r="B11156" s="21"/>
    </row>
    <row r="11157" spans="2:2">
      <c r="B11157" s="21"/>
    </row>
    <row r="11158" spans="2:2">
      <c r="B11158" s="21"/>
    </row>
    <row r="11159" spans="2:2">
      <c r="B11159" s="21"/>
    </row>
    <row r="11160" spans="2:2">
      <c r="B11160" s="21"/>
    </row>
    <row r="11161" spans="2:2">
      <c r="B11161" s="21"/>
    </row>
    <row r="11162" spans="2:2">
      <c r="B11162" s="21"/>
    </row>
    <row r="11163" spans="2:2">
      <c r="B11163" s="21"/>
    </row>
    <row r="11164" spans="2:2">
      <c r="B11164" s="21"/>
    </row>
    <row r="11165" spans="2:2">
      <c r="B11165" s="21"/>
    </row>
    <row r="11166" spans="2:2">
      <c r="B11166" s="21"/>
    </row>
    <row r="11167" spans="2:2">
      <c r="B11167" s="21"/>
    </row>
    <row r="11168" spans="2:2">
      <c r="B11168" s="21"/>
    </row>
    <row r="11169" spans="2:2">
      <c r="B11169" s="21"/>
    </row>
    <row r="11170" spans="2:2">
      <c r="B11170" s="21"/>
    </row>
    <row r="11171" spans="2:2">
      <c r="B11171" s="21"/>
    </row>
    <row r="11172" spans="2:2">
      <c r="B11172" s="21"/>
    </row>
    <row r="11173" spans="2:2">
      <c r="B11173" s="21"/>
    </row>
    <row r="11174" spans="2:2">
      <c r="B11174" s="21"/>
    </row>
    <row r="11175" spans="2:2">
      <c r="B11175" s="21"/>
    </row>
    <row r="11176" spans="2:2">
      <c r="B11176" s="21"/>
    </row>
    <row r="11177" spans="2:2">
      <c r="B11177" s="21"/>
    </row>
    <row r="11178" spans="2:2">
      <c r="B11178" s="21"/>
    </row>
    <row r="11179" spans="2:2">
      <c r="B11179" s="21"/>
    </row>
    <row r="11180" spans="2:2">
      <c r="B11180" s="21"/>
    </row>
    <row r="11181" spans="2:2">
      <c r="B11181" s="21"/>
    </row>
    <row r="11182" spans="2:2">
      <c r="B11182" s="21"/>
    </row>
    <row r="11183" spans="2:2">
      <c r="B11183" s="21"/>
    </row>
    <row r="11184" spans="2:2">
      <c r="B11184" s="21"/>
    </row>
    <row r="11185" spans="2:2">
      <c r="B11185" s="21"/>
    </row>
    <row r="11186" spans="2:2">
      <c r="B11186" s="21"/>
    </row>
    <row r="11187" spans="2:2">
      <c r="B11187" s="21"/>
    </row>
    <row r="11188" spans="2:2">
      <c r="B11188" s="21"/>
    </row>
    <row r="11189" spans="2:2">
      <c r="B11189" s="21"/>
    </row>
    <row r="11190" spans="2:2">
      <c r="B11190" s="21"/>
    </row>
    <row r="11191" spans="2:2">
      <c r="B11191" s="21"/>
    </row>
    <row r="11192" spans="2:2">
      <c r="B11192" s="21"/>
    </row>
    <row r="11193" spans="2:2">
      <c r="B11193" s="21"/>
    </row>
    <row r="11194" spans="2:2">
      <c r="B11194" s="21"/>
    </row>
    <row r="11195" spans="2:2">
      <c r="B11195" s="21"/>
    </row>
    <row r="11196" spans="2:2">
      <c r="B11196" s="21"/>
    </row>
    <row r="11197" spans="2:2">
      <c r="B11197" s="21"/>
    </row>
    <row r="11198" spans="2:2">
      <c r="B11198" s="21"/>
    </row>
    <row r="11199" spans="2:2">
      <c r="B11199" s="21"/>
    </row>
    <row r="11200" spans="2:2">
      <c r="B11200" s="21"/>
    </row>
    <row r="11201" spans="2:2">
      <c r="B11201" s="21"/>
    </row>
    <row r="11202" spans="2:2">
      <c r="B11202" s="21"/>
    </row>
    <row r="11203" spans="2:2">
      <c r="B11203" s="21"/>
    </row>
    <row r="11204" spans="2:2">
      <c r="B11204" s="21"/>
    </row>
    <row r="11205" spans="2:2">
      <c r="B11205" s="21"/>
    </row>
    <row r="11206" spans="2:2">
      <c r="B11206" s="21"/>
    </row>
    <row r="11207" spans="2:2">
      <c r="B11207" s="21"/>
    </row>
    <row r="11208" spans="2:2">
      <c r="B11208" s="21"/>
    </row>
    <row r="11209" spans="2:2">
      <c r="B11209" s="21"/>
    </row>
    <row r="11210" spans="2:2">
      <c r="B11210" s="21"/>
    </row>
    <row r="11211" spans="2:2">
      <c r="B11211" s="21"/>
    </row>
    <row r="11212" spans="2:2">
      <c r="B11212" s="21"/>
    </row>
    <row r="11213" spans="2:2">
      <c r="B11213" s="21"/>
    </row>
    <row r="11214" spans="2:2">
      <c r="B11214" s="21"/>
    </row>
    <row r="11215" spans="2:2">
      <c r="B11215" s="21"/>
    </row>
    <row r="11216" spans="2:2">
      <c r="B11216" s="21"/>
    </row>
    <row r="11217" spans="2:2">
      <c r="B11217" s="21"/>
    </row>
    <row r="11218" spans="2:2">
      <c r="B11218" s="21"/>
    </row>
    <row r="11219" spans="2:2">
      <c r="B11219" s="21"/>
    </row>
    <row r="11220" spans="2:2">
      <c r="B11220" s="21"/>
    </row>
    <row r="11221" spans="2:2">
      <c r="B11221" s="21"/>
    </row>
    <row r="11222" spans="2:2">
      <c r="B11222" s="21"/>
    </row>
    <row r="11223" spans="2:2">
      <c r="B11223" s="21"/>
    </row>
    <row r="11224" spans="2:2">
      <c r="B11224" s="21"/>
    </row>
    <row r="11225" spans="2:2">
      <c r="B11225" s="21"/>
    </row>
    <row r="11226" spans="2:2">
      <c r="B11226" s="21"/>
    </row>
    <row r="11227" spans="2:2">
      <c r="B11227" s="21"/>
    </row>
    <row r="11228" spans="2:2">
      <c r="B11228" s="21"/>
    </row>
    <row r="11229" spans="2:2">
      <c r="B11229" s="21"/>
    </row>
    <row r="11230" spans="2:2">
      <c r="B11230" s="21"/>
    </row>
    <row r="11231" spans="2:2">
      <c r="B11231" s="21"/>
    </row>
    <row r="11232" spans="2:2">
      <c r="B11232" s="21"/>
    </row>
    <row r="11233" spans="2:2">
      <c r="B11233" s="21"/>
    </row>
    <row r="11234" spans="2:2">
      <c r="B11234" s="21"/>
    </row>
    <row r="11235" spans="2:2">
      <c r="B11235" s="21"/>
    </row>
    <row r="11236" spans="2:2">
      <c r="B11236" s="21"/>
    </row>
    <row r="11237" spans="2:2">
      <c r="B11237" s="21"/>
    </row>
    <row r="11238" spans="2:2">
      <c r="B11238" s="21"/>
    </row>
    <row r="11239" spans="2:2">
      <c r="B11239" s="21"/>
    </row>
    <row r="11240" spans="2:2">
      <c r="B11240" s="21"/>
    </row>
    <row r="11241" spans="2:2">
      <c r="B11241" s="21"/>
    </row>
    <row r="11242" spans="2:2">
      <c r="B11242" s="21"/>
    </row>
    <row r="11243" spans="2:2">
      <c r="B11243" s="21"/>
    </row>
    <row r="11244" spans="2:2">
      <c r="B11244" s="21"/>
    </row>
    <row r="11245" spans="2:2">
      <c r="B11245" s="21"/>
    </row>
    <row r="11246" spans="2:2">
      <c r="B11246" s="21"/>
    </row>
    <row r="11247" spans="2:2">
      <c r="B11247" s="21"/>
    </row>
    <row r="11248" spans="2:2">
      <c r="B11248" s="21"/>
    </row>
    <row r="11249" spans="2:2">
      <c r="B11249" s="21"/>
    </row>
    <row r="11250" spans="2:2">
      <c r="B11250" s="21"/>
    </row>
    <row r="11251" spans="2:2">
      <c r="B11251" s="21"/>
    </row>
    <row r="11252" spans="2:2">
      <c r="B11252" s="21"/>
    </row>
    <row r="11253" spans="2:2">
      <c r="B11253" s="21"/>
    </row>
    <row r="11254" spans="2:2">
      <c r="B11254" s="21"/>
    </row>
    <row r="11255" spans="2:2">
      <c r="B11255" s="21"/>
    </row>
    <row r="11256" spans="2:2">
      <c r="B11256" s="21"/>
    </row>
    <row r="11257" spans="2:2">
      <c r="B11257" s="21"/>
    </row>
    <row r="11258" spans="2:2">
      <c r="B11258" s="21"/>
    </row>
    <row r="11259" spans="2:2">
      <c r="B11259" s="21"/>
    </row>
    <row r="11260" spans="2:2">
      <c r="B11260" s="21"/>
    </row>
    <row r="11261" spans="2:2">
      <c r="B11261" s="21"/>
    </row>
    <row r="11262" spans="2:2">
      <c r="B11262" s="21"/>
    </row>
    <row r="11263" spans="2:2">
      <c r="B11263" s="21"/>
    </row>
    <row r="11264" spans="2:2">
      <c r="B11264" s="21"/>
    </row>
    <row r="11265" spans="2:2">
      <c r="B11265" s="21"/>
    </row>
    <row r="11266" spans="2:2">
      <c r="B11266" s="21"/>
    </row>
    <row r="11267" spans="2:2">
      <c r="B11267" s="21"/>
    </row>
    <row r="11268" spans="2:2">
      <c r="B11268" s="21"/>
    </row>
    <row r="11269" spans="2:2">
      <c r="B11269" s="21"/>
    </row>
    <row r="11270" spans="2:2">
      <c r="B11270" s="21"/>
    </row>
    <row r="11271" spans="2:2">
      <c r="B11271" s="21"/>
    </row>
    <row r="11272" spans="2:2">
      <c r="B11272" s="21"/>
    </row>
    <row r="11273" spans="2:2">
      <c r="B11273" s="21"/>
    </row>
    <row r="11274" spans="2:2">
      <c r="B11274" s="21"/>
    </row>
    <row r="11275" spans="2:2">
      <c r="B11275" s="21"/>
    </row>
    <row r="11276" spans="2:2">
      <c r="B11276" s="21"/>
    </row>
    <row r="11277" spans="2:2">
      <c r="B11277" s="21"/>
    </row>
    <row r="11278" spans="2:2">
      <c r="B11278" s="21"/>
    </row>
    <row r="11279" spans="2:2">
      <c r="B11279" s="21"/>
    </row>
    <row r="11280" spans="2:2">
      <c r="B11280" s="21"/>
    </row>
    <row r="11281" spans="2:2">
      <c r="B11281" s="21"/>
    </row>
    <row r="11282" spans="2:2">
      <c r="B11282" s="21"/>
    </row>
    <row r="11283" spans="2:2">
      <c r="B11283" s="21"/>
    </row>
    <row r="11284" spans="2:2">
      <c r="B11284" s="21"/>
    </row>
    <row r="11285" spans="2:2">
      <c r="B11285" s="21"/>
    </row>
    <row r="11286" spans="2:2">
      <c r="B11286" s="21"/>
    </row>
    <row r="11287" spans="2:2">
      <c r="B11287" s="21"/>
    </row>
    <row r="11288" spans="2:2">
      <c r="B11288" s="21"/>
    </row>
    <row r="11289" spans="2:2">
      <c r="B11289" s="21"/>
    </row>
    <row r="11290" spans="2:2">
      <c r="B11290" s="21"/>
    </row>
    <row r="11291" spans="2:2">
      <c r="B11291" s="21"/>
    </row>
    <row r="11292" spans="2:2">
      <c r="B11292" s="21"/>
    </row>
    <row r="11293" spans="2:2">
      <c r="B11293" s="21"/>
    </row>
    <row r="11294" spans="2:2">
      <c r="B11294" s="21"/>
    </row>
    <row r="11295" spans="2:2">
      <c r="B11295" s="21"/>
    </row>
    <row r="11296" spans="2:2">
      <c r="B11296" s="21"/>
    </row>
    <row r="11297" spans="2:2">
      <c r="B11297" s="21"/>
    </row>
    <row r="11298" spans="2:2">
      <c r="B11298" s="21"/>
    </row>
    <row r="11299" spans="2:2">
      <c r="B11299" s="21"/>
    </row>
    <row r="11300" spans="2:2">
      <c r="B11300" s="21"/>
    </row>
    <row r="11301" spans="2:2">
      <c r="B11301" s="21"/>
    </row>
    <row r="11302" spans="2:2">
      <c r="B11302" s="21"/>
    </row>
    <row r="11303" spans="2:2">
      <c r="B11303" s="21"/>
    </row>
    <row r="11304" spans="2:2">
      <c r="B11304" s="21"/>
    </row>
    <row r="11305" spans="2:2">
      <c r="B11305" s="21"/>
    </row>
    <row r="11306" spans="2:2">
      <c r="B11306" s="21"/>
    </row>
    <row r="11307" spans="2:2">
      <c r="B11307" s="21"/>
    </row>
    <row r="11308" spans="2:2">
      <c r="B11308" s="21"/>
    </row>
    <row r="11309" spans="2:2">
      <c r="B11309" s="21"/>
    </row>
    <row r="11310" spans="2:2">
      <c r="B11310" s="21"/>
    </row>
    <row r="11311" spans="2:2">
      <c r="B11311" s="21"/>
    </row>
    <row r="11312" spans="2:2">
      <c r="B11312" s="21"/>
    </row>
    <row r="11313" spans="2:2">
      <c r="B11313" s="21"/>
    </row>
    <row r="11314" spans="2:2">
      <c r="B11314" s="21"/>
    </row>
    <row r="11315" spans="2:2">
      <c r="B11315" s="21"/>
    </row>
    <row r="11316" spans="2:2">
      <c r="B11316" s="21"/>
    </row>
    <row r="11317" spans="2:2">
      <c r="B11317" s="21"/>
    </row>
    <row r="11318" spans="2:2">
      <c r="B11318" s="21"/>
    </row>
    <row r="11319" spans="2:2">
      <c r="B11319" s="21"/>
    </row>
    <row r="11320" spans="2:2">
      <c r="B11320" s="21"/>
    </row>
    <row r="11321" spans="2:2">
      <c r="B11321" s="21"/>
    </row>
    <row r="11322" spans="2:2">
      <c r="B11322" s="21"/>
    </row>
    <row r="11323" spans="2:2">
      <c r="B11323" s="21"/>
    </row>
    <row r="11324" spans="2:2">
      <c r="B11324" s="21"/>
    </row>
    <row r="11325" spans="2:2">
      <c r="B11325" s="21"/>
    </row>
    <row r="11326" spans="2:2">
      <c r="B11326" s="21"/>
    </row>
    <row r="11327" spans="2:2">
      <c r="B11327" s="21"/>
    </row>
    <row r="11328" spans="2:2">
      <c r="B11328" s="21"/>
    </row>
    <row r="11329" spans="2:2">
      <c r="B11329" s="21"/>
    </row>
    <row r="11330" spans="2:2">
      <c r="B11330" s="21"/>
    </row>
    <row r="11331" spans="2:2">
      <c r="B11331" s="21"/>
    </row>
    <row r="11332" spans="2:2">
      <c r="B11332" s="21"/>
    </row>
    <row r="11333" spans="2:2">
      <c r="B11333" s="21"/>
    </row>
    <row r="11334" spans="2:2">
      <c r="B11334" s="21"/>
    </row>
    <row r="11335" spans="2:2">
      <c r="B11335" s="21"/>
    </row>
    <row r="11336" spans="2:2">
      <c r="B11336" s="21"/>
    </row>
    <row r="11337" spans="2:2">
      <c r="B11337" s="21"/>
    </row>
    <row r="11338" spans="2:2">
      <c r="B11338" s="21"/>
    </row>
    <row r="11339" spans="2:2">
      <c r="B11339" s="21"/>
    </row>
    <row r="11340" spans="2:2">
      <c r="B11340" s="21"/>
    </row>
    <row r="11341" spans="2:2">
      <c r="B11341" s="21"/>
    </row>
    <row r="11342" spans="2:2">
      <c r="B11342" s="21"/>
    </row>
    <row r="11343" spans="2:2">
      <c r="B11343" s="21"/>
    </row>
    <row r="11344" spans="2:2">
      <c r="B11344" s="21"/>
    </row>
    <row r="11345" spans="2:2">
      <c r="B11345" s="21"/>
    </row>
    <row r="11346" spans="2:2">
      <c r="B11346" s="21"/>
    </row>
    <row r="11347" spans="2:2">
      <c r="B11347" s="21"/>
    </row>
    <row r="11348" spans="2:2">
      <c r="B11348" s="21"/>
    </row>
    <row r="11349" spans="2:2">
      <c r="B11349" s="21"/>
    </row>
    <row r="11350" spans="2:2">
      <c r="B11350" s="21"/>
    </row>
    <row r="11351" spans="2:2">
      <c r="B11351" s="21"/>
    </row>
    <row r="11352" spans="2:2">
      <c r="B11352" s="21"/>
    </row>
    <row r="11353" spans="2:2">
      <c r="B11353" s="21"/>
    </row>
    <row r="11354" spans="2:2">
      <c r="B11354" s="21"/>
    </row>
    <row r="11355" spans="2:2">
      <c r="B11355" s="21"/>
    </row>
    <row r="11356" spans="2:2">
      <c r="B11356" s="21"/>
    </row>
    <row r="11357" spans="2:2">
      <c r="B11357" s="21"/>
    </row>
    <row r="11358" spans="2:2">
      <c r="B11358" s="21"/>
    </row>
    <row r="11359" spans="2:2">
      <c r="B11359" s="21"/>
    </row>
    <row r="11360" spans="2:2">
      <c r="B11360" s="21"/>
    </row>
    <row r="11361" spans="2:2">
      <c r="B11361" s="21"/>
    </row>
    <row r="11362" spans="2:2">
      <c r="B11362" s="21"/>
    </row>
    <row r="11363" spans="2:2">
      <c r="B11363" s="21"/>
    </row>
    <row r="11364" spans="2:2">
      <c r="B11364" s="21"/>
    </row>
    <row r="11365" spans="2:2">
      <c r="B11365" s="21"/>
    </row>
    <row r="11366" spans="2:2">
      <c r="B11366" s="21"/>
    </row>
    <row r="11367" spans="2:2">
      <c r="B11367" s="21"/>
    </row>
    <row r="11368" spans="2:2">
      <c r="B11368" s="21"/>
    </row>
    <row r="11369" spans="2:2">
      <c r="B11369" s="21"/>
    </row>
    <row r="11370" spans="2:2">
      <c r="B11370" s="21"/>
    </row>
    <row r="11371" spans="2:2">
      <c r="B11371" s="21"/>
    </row>
    <row r="11372" spans="2:2">
      <c r="B11372" s="21"/>
    </row>
    <row r="11373" spans="2:2">
      <c r="B11373" s="21"/>
    </row>
    <row r="11374" spans="2:2">
      <c r="B11374" s="21"/>
    </row>
    <row r="11375" spans="2:2">
      <c r="B11375" s="21"/>
    </row>
    <row r="11376" spans="2:2">
      <c r="B11376" s="21"/>
    </row>
    <row r="11377" spans="2:2">
      <c r="B11377" s="21"/>
    </row>
    <row r="11378" spans="2:2">
      <c r="B11378" s="21"/>
    </row>
    <row r="11379" spans="2:2">
      <c r="B11379" s="21"/>
    </row>
    <row r="11380" spans="2:2">
      <c r="B11380" s="21"/>
    </row>
    <row r="11381" spans="2:2">
      <c r="B11381" s="21"/>
    </row>
    <row r="11382" spans="2:2">
      <c r="B11382" s="21"/>
    </row>
    <row r="11383" spans="2:2">
      <c r="B11383" s="21"/>
    </row>
    <row r="11384" spans="2:2">
      <c r="B11384" s="21"/>
    </row>
    <row r="11385" spans="2:2">
      <c r="B11385" s="21"/>
    </row>
    <row r="11386" spans="2:2">
      <c r="B11386" s="21"/>
    </row>
    <row r="11387" spans="2:2">
      <c r="B11387" s="21"/>
    </row>
    <row r="11388" spans="2:2">
      <c r="B11388" s="21"/>
    </row>
    <row r="11389" spans="2:2">
      <c r="B11389" s="21"/>
    </row>
    <row r="11390" spans="2:2">
      <c r="B11390" s="21"/>
    </row>
    <row r="11391" spans="2:2">
      <c r="B11391" s="21"/>
    </row>
    <row r="11392" spans="2:2">
      <c r="B11392" s="21"/>
    </row>
    <row r="11393" spans="2:2">
      <c r="B11393" s="21"/>
    </row>
    <row r="11394" spans="2:2">
      <c r="B11394" s="21"/>
    </row>
    <row r="11395" spans="2:2">
      <c r="B11395" s="21"/>
    </row>
    <row r="11396" spans="2:2">
      <c r="B11396" s="21"/>
    </row>
    <row r="11397" spans="2:2">
      <c r="B11397" s="21"/>
    </row>
    <row r="11398" spans="2:2">
      <c r="B11398" s="21"/>
    </row>
    <row r="11399" spans="2:2">
      <c r="B11399" s="21"/>
    </row>
    <row r="11400" spans="2:2">
      <c r="B11400" s="21"/>
    </row>
    <row r="11401" spans="2:2">
      <c r="B11401" s="21"/>
    </row>
    <row r="11402" spans="2:2">
      <c r="B11402" s="21"/>
    </row>
    <row r="11403" spans="2:2">
      <c r="B11403" s="21"/>
    </row>
    <row r="11404" spans="2:2">
      <c r="B11404" s="21"/>
    </row>
    <row r="11405" spans="2:2">
      <c r="B11405" s="21"/>
    </row>
    <row r="11406" spans="2:2">
      <c r="B11406" s="21"/>
    </row>
    <row r="11407" spans="2:2">
      <c r="B11407" s="21"/>
    </row>
    <row r="11408" spans="2:2">
      <c r="B11408" s="21"/>
    </row>
    <row r="11409" spans="2:2">
      <c r="B11409" s="21"/>
    </row>
    <row r="11410" spans="2:2">
      <c r="B11410" s="21"/>
    </row>
    <row r="11411" spans="2:2">
      <c r="B11411" s="21"/>
    </row>
    <row r="11412" spans="2:2">
      <c r="B11412" s="21"/>
    </row>
    <row r="11413" spans="2:2">
      <c r="B11413" s="21"/>
    </row>
    <row r="11414" spans="2:2">
      <c r="B11414" s="21"/>
    </row>
    <row r="11415" spans="2:2">
      <c r="B11415" s="21"/>
    </row>
    <row r="11416" spans="2:2">
      <c r="B11416" s="21"/>
    </row>
    <row r="11417" spans="2:2">
      <c r="B11417" s="21"/>
    </row>
    <row r="11418" spans="2:2">
      <c r="B11418" s="21"/>
    </row>
    <row r="11419" spans="2:2">
      <c r="B11419" s="21"/>
    </row>
    <row r="11420" spans="2:2">
      <c r="B11420" s="21"/>
    </row>
    <row r="11421" spans="2:2">
      <c r="B11421" s="21"/>
    </row>
    <row r="11422" spans="2:2">
      <c r="B11422" s="21"/>
    </row>
    <row r="11423" spans="2:2">
      <c r="B11423" s="21"/>
    </row>
    <row r="11424" spans="2:2">
      <c r="B11424" s="21"/>
    </row>
    <row r="11425" spans="2:2">
      <c r="B11425" s="21"/>
    </row>
    <row r="11426" spans="2:2">
      <c r="B11426" s="21"/>
    </row>
    <row r="11427" spans="2:2">
      <c r="B11427" s="21"/>
    </row>
    <row r="11428" spans="2:2">
      <c r="B11428" s="21"/>
    </row>
    <row r="11429" spans="2:2">
      <c r="B11429" s="21"/>
    </row>
    <row r="11430" spans="2:2">
      <c r="B11430" s="21"/>
    </row>
    <row r="11431" spans="2:2">
      <c r="B11431" s="21"/>
    </row>
    <row r="11432" spans="2:2">
      <c r="B11432" s="21"/>
    </row>
    <row r="11433" spans="2:2">
      <c r="B11433" s="21"/>
    </row>
    <row r="11434" spans="2:2">
      <c r="B11434" s="21"/>
    </row>
    <row r="11435" spans="2:2">
      <c r="B11435" s="21"/>
    </row>
    <row r="11436" spans="2:2">
      <c r="B11436" s="21"/>
    </row>
    <row r="11437" spans="2:2">
      <c r="B11437" s="21"/>
    </row>
    <row r="11438" spans="2:2">
      <c r="B11438" s="21"/>
    </row>
    <row r="11439" spans="2:2">
      <c r="B11439" s="21"/>
    </row>
    <row r="11440" spans="2:2">
      <c r="B11440" s="21"/>
    </row>
    <row r="11441" spans="2:2">
      <c r="B11441" s="21"/>
    </row>
    <row r="11442" spans="2:2">
      <c r="B11442" s="21"/>
    </row>
    <row r="11443" spans="2:2">
      <c r="B11443" s="21"/>
    </row>
    <row r="11444" spans="2:2">
      <c r="B11444" s="21"/>
    </row>
    <row r="11445" spans="2:2">
      <c r="B11445" s="21"/>
    </row>
    <row r="11446" spans="2:2">
      <c r="B11446" s="21"/>
    </row>
    <row r="11447" spans="2:2">
      <c r="B11447" s="21"/>
    </row>
    <row r="11448" spans="2:2">
      <c r="B11448" s="21"/>
    </row>
    <row r="11449" spans="2:2">
      <c r="B11449" s="21"/>
    </row>
    <row r="11450" spans="2:2">
      <c r="B11450" s="21"/>
    </row>
    <row r="11451" spans="2:2">
      <c r="B11451" s="21"/>
    </row>
    <row r="11452" spans="2:2">
      <c r="B11452" s="21"/>
    </row>
    <row r="11453" spans="2:2">
      <c r="B11453" s="21"/>
    </row>
    <row r="11454" spans="2:2">
      <c r="B11454" s="21"/>
    </row>
    <row r="11455" spans="2:2">
      <c r="B11455" s="21"/>
    </row>
    <row r="11456" spans="2:2">
      <c r="B11456" s="21"/>
    </row>
    <row r="11457" spans="2:2">
      <c r="B11457" s="21"/>
    </row>
    <row r="11458" spans="2:2">
      <c r="B11458" s="21"/>
    </row>
    <row r="11459" spans="2:2">
      <c r="B11459" s="21"/>
    </row>
    <row r="11460" spans="2:2">
      <c r="B11460" s="21"/>
    </row>
    <row r="11461" spans="2:2">
      <c r="B11461" s="21"/>
    </row>
    <row r="11462" spans="2:2">
      <c r="B11462" s="21"/>
    </row>
    <row r="11463" spans="2:2">
      <c r="B11463" s="21"/>
    </row>
    <row r="11464" spans="2:2">
      <c r="B11464" s="21"/>
    </row>
    <row r="11465" spans="2:2">
      <c r="B11465" s="21"/>
    </row>
    <row r="11466" spans="2:2">
      <c r="B11466" s="21"/>
    </row>
    <row r="11467" spans="2:2">
      <c r="B11467" s="21"/>
    </row>
    <row r="11468" spans="2:2">
      <c r="B11468" s="21"/>
    </row>
    <row r="11469" spans="2:2">
      <c r="B11469" s="21"/>
    </row>
    <row r="11470" spans="2:2">
      <c r="B11470" s="21"/>
    </row>
    <row r="11471" spans="2:2">
      <c r="B11471" s="21"/>
    </row>
    <row r="11472" spans="2:2">
      <c r="B11472" s="21"/>
    </row>
    <row r="11473" spans="2:2">
      <c r="B11473" s="21"/>
    </row>
    <row r="11474" spans="2:2">
      <c r="B11474" s="21"/>
    </row>
    <row r="11475" spans="2:2">
      <c r="B11475" s="21"/>
    </row>
    <row r="11476" spans="2:2">
      <c r="B11476" s="21"/>
    </row>
    <row r="11477" spans="2:2">
      <c r="B11477" s="21"/>
    </row>
    <row r="11478" spans="2:2">
      <c r="B11478" s="21"/>
    </row>
    <row r="11479" spans="2:2">
      <c r="B11479" s="21"/>
    </row>
    <row r="11480" spans="2:2">
      <c r="B11480" s="21"/>
    </row>
    <row r="11481" spans="2:2">
      <c r="B11481" s="21"/>
    </row>
    <row r="11482" spans="2:2">
      <c r="B11482" s="21"/>
    </row>
    <row r="11483" spans="2:2">
      <c r="B11483" s="21"/>
    </row>
    <row r="11484" spans="2:2">
      <c r="B11484" s="21"/>
    </row>
    <row r="11485" spans="2:2">
      <c r="B11485" s="21"/>
    </row>
    <row r="11486" spans="2:2">
      <c r="B11486" s="21"/>
    </row>
    <row r="11487" spans="2:2">
      <c r="B11487" s="21"/>
    </row>
    <row r="11488" spans="2:2">
      <c r="B11488" s="21"/>
    </row>
    <row r="11489" spans="2:2">
      <c r="B11489" s="21"/>
    </row>
    <row r="11490" spans="2:2">
      <c r="B11490" s="21"/>
    </row>
    <row r="11491" spans="2:2">
      <c r="B11491" s="21"/>
    </row>
    <row r="11492" spans="2:2">
      <c r="B11492" s="21"/>
    </row>
    <row r="11493" spans="2:2">
      <c r="B11493" s="21"/>
    </row>
    <row r="11494" spans="2:2">
      <c r="B11494" s="21"/>
    </row>
    <row r="11495" spans="2:2">
      <c r="B11495" s="21"/>
    </row>
    <row r="11496" spans="2:2">
      <c r="B11496" s="21"/>
    </row>
    <row r="11497" spans="2:2">
      <c r="B11497" s="21"/>
    </row>
    <row r="11498" spans="2:2">
      <c r="B11498" s="21"/>
    </row>
    <row r="11499" spans="2:2">
      <c r="B11499" s="21"/>
    </row>
    <row r="11500" spans="2:2">
      <c r="B11500" s="21"/>
    </row>
    <row r="11501" spans="2:2">
      <c r="B11501" s="21"/>
    </row>
    <row r="11502" spans="2:2">
      <c r="B11502" s="21"/>
    </row>
    <row r="11503" spans="2:2">
      <c r="B11503" s="21"/>
    </row>
    <row r="11504" spans="2:2">
      <c r="B11504" s="21"/>
    </row>
    <row r="11505" spans="2:2">
      <c r="B11505" s="21"/>
    </row>
    <row r="11506" spans="2:2">
      <c r="B11506" s="21"/>
    </row>
    <row r="11507" spans="2:2">
      <c r="B11507" s="21"/>
    </row>
    <row r="11508" spans="2:2">
      <c r="B11508" s="21"/>
    </row>
    <row r="11509" spans="2:2">
      <c r="B11509" s="21"/>
    </row>
    <row r="11510" spans="2:2">
      <c r="B11510" s="21"/>
    </row>
    <row r="11511" spans="2:2">
      <c r="B11511" s="21"/>
    </row>
    <row r="11512" spans="2:2">
      <c r="B11512" s="21"/>
    </row>
    <row r="11513" spans="2:2">
      <c r="B11513" s="21"/>
    </row>
    <row r="11514" spans="2:2">
      <c r="B11514" s="21"/>
    </row>
    <row r="11515" spans="2:2">
      <c r="B11515" s="21"/>
    </row>
    <row r="11516" spans="2:2">
      <c r="B11516" s="21"/>
    </row>
    <row r="11517" spans="2:2">
      <c r="B11517" s="21"/>
    </row>
    <row r="11518" spans="2:2">
      <c r="B11518" s="21"/>
    </row>
    <row r="11519" spans="2:2">
      <c r="B11519" s="21"/>
    </row>
    <row r="11520" spans="2:2">
      <c r="B11520" s="21"/>
    </row>
    <row r="11521" spans="2:2">
      <c r="B11521" s="21"/>
    </row>
    <row r="11522" spans="2:2">
      <c r="B11522" s="21"/>
    </row>
    <row r="11523" spans="2:2">
      <c r="B11523" s="21"/>
    </row>
    <row r="11524" spans="2:2">
      <c r="B11524" s="21"/>
    </row>
    <row r="11525" spans="2:2">
      <c r="B11525" s="21"/>
    </row>
    <row r="11526" spans="2:2">
      <c r="B11526" s="21"/>
    </row>
    <row r="11527" spans="2:2">
      <c r="B11527" s="21"/>
    </row>
    <row r="11528" spans="2:2">
      <c r="B11528" s="21"/>
    </row>
    <row r="11529" spans="2:2">
      <c r="B11529" s="21"/>
    </row>
    <row r="11530" spans="2:2">
      <c r="B11530" s="21"/>
    </row>
    <row r="11531" spans="2:2">
      <c r="B11531" s="21"/>
    </row>
    <row r="11532" spans="2:2">
      <c r="B11532" s="21"/>
    </row>
    <row r="11533" spans="2:2">
      <c r="B11533" s="21"/>
    </row>
    <row r="11534" spans="2:2">
      <c r="B11534" s="21"/>
    </row>
    <row r="11535" spans="2:2">
      <c r="B11535" s="21"/>
    </row>
    <row r="11536" spans="2:2">
      <c r="B11536" s="21"/>
    </row>
    <row r="11537" spans="2:2">
      <c r="B11537" s="21"/>
    </row>
    <row r="11538" spans="2:2">
      <c r="B11538" s="21"/>
    </row>
    <row r="11539" spans="2:2">
      <c r="B11539" s="21"/>
    </row>
    <row r="11540" spans="2:2">
      <c r="B11540" s="21"/>
    </row>
    <row r="11541" spans="2:2">
      <c r="B11541" s="21"/>
    </row>
    <row r="11542" spans="2:2">
      <c r="B11542" s="21"/>
    </row>
    <row r="11543" spans="2:2">
      <c r="B11543" s="21"/>
    </row>
    <row r="11544" spans="2:2">
      <c r="B11544" s="21"/>
    </row>
    <row r="11545" spans="2:2">
      <c r="B11545" s="21"/>
    </row>
    <row r="11546" spans="2:2">
      <c r="B11546" s="21"/>
    </row>
    <row r="11547" spans="2:2">
      <c r="B11547" s="21"/>
    </row>
    <row r="11548" spans="2:2">
      <c r="B11548" s="21"/>
    </row>
    <row r="11549" spans="2:2">
      <c r="B11549" s="21"/>
    </row>
    <row r="11550" spans="2:2">
      <c r="B11550" s="21"/>
    </row>
    <row r="11551" spans="2:2">
      <c r="B11551" s="21"/>
    </row>
    <row r="11552" spans="2:2">
      <c r="B11552" s="21"/>
    </row>
    <row r="11553" spans="2:2">
      <c r="B11553" s="21"/>
    </row>
    <row r="11554" spans="2:2">
      <c r="B11554" s="21"/>
    </row>
    <row r="11555" spans="2:2">
      <c r="B11555" s="21"/>
    </row>
    <row r="11556" spans="2:2">
      <c r="B11556" s="21"/>
    </row>
    <row r="11557" spans="2:2">
      <c r="B11557" s="21"/>
    </row>
    <row r="11558" spans="2:2">
      <c r="B11558" s="21"/>
    </row>
    <row r="11559" spans="2:2">
      <c r="B11559" s="21"/>
    </row>
    <row r="11560" spans="2:2">
      <c r="B11560" s="21"/>
    </row>
    <row r="11561" spans="2:2">
      <c r="B11561" s="21"/>
    </row>
    <row r="11562" spans="2:2">
      <c r="B11562" s="21"/>
    </row>
    <row r="11563" spans="2:2">
      <c r="B11563" s="21"/>
    </row>
    <row r="11564" spans="2:2">
      <c r="B11564" s="21"/>
    </row>
    <row r="11565" spans="2:2">
      <c r="B11565" s="21"/>
    </row>
    <row r="11566" spans="2:2">
      <c r="B11566" s="21"/>
    </row>
    <row r="11567" spans="2:2">
      <c r="B11567" s="21"/>
    </row>
    <row r="11568" spans="2:2">
      <c r="B11568" s="21"/>
    </row>
    <row r="11569" spans="2:2">
      <c r="B11569" s="21"/>
    </row>
    <row r="11570" spans="2:2">
      <c r="B11570" s="21"/>
    </row>
    <row r="11571" spans="2:2">
      <c r="B11571" s="21"/>
    </row>
    <row r="11572" spans="2:2">
      <c r="B11572" s="21"/>
    </row>
    <row r="11573" spans="2:2">
      <c r="B11573" s="21"/>
    </row>
    <row r="11574" spans="2:2">
      <c r="B11574" s="21"/>
    </row>
    <row r="11575" spans="2:2">
      <c r="B11575" s="21"/>
    </row>
    <row r="11576" spans="2:2">
      <c r="B11576" s="21"/>
    </row>
    <row r="11577" spans="2:2">
      <c r="B11577" s="21"/>
    </row>
    <row r="11578" spans="2:2">
      <c r="B11578" s="21"/>
    </row>
    <row r="11579" spans="2:2">
      <c r="B11579" s="21"/>
    </row>
    <row r="11580" spans="2:2">
      <c r="B11580" s="21"/>
    </row>
    <row r="11581" spans="2:2">
      <c r="B11581" s="21"/>
    </row>
    <row r="11582" spans="2:2">
      <c r="B11582" s="21"/>
    </row>
    <row r="11583" spans="2:2">
      <c r="B11583" s="21"/>
    </row>
    <row r="11584" spans="2:2">
      <c r="B11584" s="21"/>
    </row>
    <row r="11585" spans="2:2">
      <c r="B11585" s="21"/>
    </row>
    <row r="11586" spans="2:2">
      <c r="B11586" s="21"/>
    </row>
    <row r="11587" spans="2:2">
      <c r="B11587" s="21"/>
    </row>
    <row r="11588" spans="2:2">
      <c r="B11588" s="21"/>
    </row>
    <row r="11589" spans="2:2">
      <c r="B11589" s="21"/>
    </row>
    <row r="11590" spans="2:2">
      <c r="B11590" s="21"/>
    </row>
    <row r="11591" spans="2:2">
      <c r="B11591" s="21"/>
    </row>
    <row r="11592" spans="2:2">
      <c r="B11592" s="21"/>
    </row>
    <row r="11593" spans="2:2">
      <c r="B11593" s="21"/>
    </row>
    <row r="11594" spans="2:2">
      <c r="B11594" s="21"/>
    </row>
    <row r="11595" spans="2:2">
      <c r="B11595" s="21"/>
    </row>
    <row r="11596" spans="2:2">
      <c r="B11596" s="21"/>
    </row>
    <row r="11597" spans="2:2">
      <c r="B11597" s="21"/>
    </row>
    <row r="11598" spans="2:2">
      <c r="B11598" s="21"/>
    </row>
    <row r="11599" spans="2:2">
      <c r="B11599" s="21"/>
    </row>
    <row r="11600" spans="2:2">
      <c r="B11600" s="21"/>
    </row>
    <row r="11601" spans="2:2">
      <c r="B11601" s="21"/>
    </row>
    <row r="11602" spans="2:2">
      <c r="B11602" s="21"/>
    </row>
    <row r="11603" spans="2:2">
      <c r="B11603" s="21"/>
    </row>
    <row r="11604" spans="2:2">
      <c r="B11604" s="21"/>
    </row>
    <row r="11605" spans="2:2">
      <c r="B11605" s="21"/>
    </row>
    <row r="11606" spans="2:2">
      <c r="B11606" s="21"/>
    </row>
    <row r="11607" spans="2:2">
      <c r="B11607" s="21"/>
    </row>
    <row r="11608" spans="2:2">
      <c r="B11608" s="21"/>
    </row>
    <row r="11609" spans="2:2">
      <c r="B11609" s="21"/>
    </row>
    <row r="11610" spans="2:2">
      <c r="B11610" s="21"/>
    </row>
    <row r="11611" spans="2:2">
      <c r="B11611" s="21"/>
    </row>
    <row r="11612" spans="2:2">
      <c r="B11612" s="21"/>
    </row>
    <row r="11613" spans="2:2">
      <c r="B11613" s="21"/>
    </row>
    <row r="11614" spans="2:2">
      <c r="B11614" s="21"/>
    </row>
    <row r="11615" spans="2:2">
      <c r="B11615" s="21"/>
    </row>
    <row r="11616" spans="2:2">
      <c r="B11616" s="21"/>
    </row>
    <row r="11617" spans="2:2">
      <c r="B11617" s="21"/>
    </row>
    <row r="11618" spans="2:2">
      <c r="B11618" s="21"/>
    </row>
    <row r="11619" spans="2:2">
      <c r="B11619" s="21"/>
    </row>
    <row r="11620" spans="2:2">
      <c r="B11620" s="21"/>
    </row>
    <row r="11621" spans="2:2">
      <c r="B11621" s="21"/>
    </row>
    <row r="11622" spans="2:2">
      <c r="B11622" s="21"/>
    </row>
    <row r="11623" spans="2:2">
      <c r="B11623" s="21"/>
    </row>
    <row r="11624" spans="2:2">
      <c r="B11624" s="21"/>
    </row>
    <row r="11625" spans="2:2">
      <c r="B11625" s="21"/>
    </row>
    <row r="11626" spans="2:2">
      <c r="B11626" s="21"/>
    </row>
    <row r="11627" spans="2:2">
      <c r="B11627" s="21"/>
    </row>
    <row r="11628" spans="2:2">
      <c r="B11628" s="21"/>
    </row>
    <row r="11629" spans="2:2">
      <c r="B11629" s="21"/>
    </row>
    <row r="11630" spans="2:2">
      <c r="B11630" s="21"/>
    </row>
    <row r="11631" spans="2:2">
      <c r="B11631" s="21"/>
    </row>
    <row r="11632" spans="2:2">
      <c r="B11632" s="21"/>
    </row>
    <row r="11633" spans="2:2">
      <c r="B11633" s="21"/>
    </row>
    <row r="11634" spans="2:2">
      <c r="B11634" s="21"/>
    </row>
    <row r="11635" spans="2:2">
      <c r="B11635" s="21"/>
    </row>
    <row r="11636" spans="2:2">
      <c r="B11636" s="21"/>
    </row>
    <row r="11637" spans="2:2">
      <c r="B11637" s="21"/>
    </row>
    <row r="11638" spans="2:2">
      <c r="B11638" s="21"/>
    </row>
    <row r="11639" spans="2:2">
      <c r="B11639" s="21"/>
    </row>
    <row r="11640" spans="2:2">
      <c r="B11640" s="21"/>
    </row>
    <row r="11641" spans="2:2">
      <c r="B11641" s="21"/>
    </row>
    <row r="11642" spans="2:2">
      <c r="B11642" s="21"/>
    </row>
    <row r="11643" spans="2:2">
      <c r="B11643" s="21"/>
    </row>
    <row r="11644" spans="2:2">
      <c r="B11644" s="21"/>
    </row>
    <row r="11645" spans="2:2">
      <c r="B11645" s="21"/>
    </row>
    <row r="11646" spans="2:2">
      <c r="B11646" s="21"/>
    </row>
    <row r="11647" spans="2:2">
      <c r="B11647" s="21"/>
    </row>
    <row r="11648" spans="2:2">
      <c r="B11648" s="21"/>
    </row>
    <row r="11649" spans="2:2">
      <c r="B11649" s="21"/>
    </row>
    <row r="11650" spans="2:2">
      <c r="B11650" s="21"/>
    </row>
    <row r="11651" spans="2:2">
      <c r="B11651" s="21"/>
    </row>
    <row r="11652" spans="2:2">
      <c r="B11652" s="21"/>
    </row>
    <row r="11653" spans="2:2">
      <c r="B11653" s="21"/>
    </row>
    <row r="11654" spans="2:2">
      <c r="B11654" s="21"/>
    </row>
    <row r="11655" spans="2:2">
      <c r="B11655" s="21"/>
    </row>
    <row r="11656" spans="2:2">
      <c r="B11656" s="21"/>
    </row>
    <row r="11657" spans="2:2">
      <c r="B11657" s="21"/>
    </row>
    <row r="11658" spans="2:2">
      <c r="B11658" s="21"/>
    </row>
    <row r="11659" spans="2:2">
      <c r="B11659" s="21"/>
    </row>
    <row r="11660" spans="2:2">
      <c r="B11660" s="21"/>
    </row>
    <row r="11661" spans="2:2">
      <c r="B11661" s="21"/>
    </row>
    <row r="11662" spans="2:2">
      <c r="B11662" s="21"/>
    </row>
    <row r="11663" spans="2:2">
      <c r="B11663" s="21"/>
    </row>
    <row r="11664" spans="2:2">
      <c r="B11664" s="21"/>
    </row>
    <row r="11665" spans="2:2">
      <c r="B11665" s="21"/>
    </row>
    <row r="11666" spans="2:2">
      <c r="B11666" s="21"/>
    </row>
    <row r="11667" spans="2:2">
      <c r="B11667" s="21"/>
    </row>
    <row r="11668" spans="2:2">
      <c r="B11668" s="21"/>
    </row>
    <row r="11669" spans="2:2">
      <c r="B11669" s="21"/>
    </row>
    <row r="11670" spans="2:2">
      <c r="B11670" s="21"/>
    </row>
    <row r="11671" spans="2:2">
      <c r="B11671" s="21"/>
    </row>
    <row r="11672" spans="2:2">
      <c r="B11672" s="21"/>
    </row>
    <row r="11673" spans="2:2">
      <c r="B11673" s="21"/>
    </row>
    <row r="11674" spans="2:2">
      <c r="B11674" s="21"/>
    </row>
    <row r="11675" spans="2:2">
      <c r="B11675" s="21"/>
    </row>
    <row r="11676" spans="2:2">
      <c r="B11676" s="21"/>
    </row>
    <row r="11677" spans="2:2">
      <c r="B11677" s="21"/>
    </row>
    <row r="11678" spans="2:2">
      <c r="B11678" s="21"/>
    </row>
    <row r="11679" spans="2:2">
      <c r="B11679" s="21"/>
    </row>
    <row r="11680" spans="2:2">
      <c r="B11680" s="21"/>
    </row>
    <row r="11681" spans="2:2">
      <c r="B11681" s="21"/>
    </row>
    <row r="11682" spans="2:2">
      <c r="B11682" s="21"/>
    </row>
    <row r="11683" spans="2:2">
      <c r="B11683" s="21"/>
    </row>
    <row r="11684" spans="2:2">
      <c r="B11684" s="21"/>
    </row>
    <row r="11685" spans="2:2">
      <c r="B11685" s="21"/>
    </row>
    <row r="11686" spans="2:2">
      <c r="B11686" s="21"/>
    </row>
    <row r="11687" spans="2:2">
      <c r="B11687" s="21"/>
    </row>
    <row r="11688" spans="2:2">
      <c r="B11688" s="21"/>
    </row>
    <row r="11689" spans="2:2">
      <c r="B11689" s="21"/>
    </row>
    <row r="11690" spans="2:2">
      <c r="B11690" s="21"/>
    </row>
    <row r="11691" spans="2:2">
      <c r="B11691" s="21"/>
    </row>
    <row r="11692" spans="2:2">
      <c r="B11692" s="21"/>
    </row>
    <row r="11693" spans="2:2">
      <c r="B11693" s="21"/>
    </row>
    <row r="11694" spans="2:2">
      <c r="B11694" s="21"/>
    </row>
    <row r="11695" spans="2:2">
      <c r="B11695" s="21"/>
    </row>
    <row r="11696" spans="2:2">
      <c r="B11696" s="21"/>
    </row>
    <row r="11697" spans="2:2">
      <c r="B11697" s="21"/>
    </row>
    <row r="11698" spans="2:2">
      <c r="B11698" s="21"/>
    </row>
    <row r="11699" spans="2:2">
      <c r="B11699" s="21"/>
    </row>
    <row r="11700" spans="2:2">
      <c r="B11700" s="21"/>
    </row>
    <row r="11701" spans="2:2">
      <c r="B11701" s="21"/>
    </row>
    <row r="11702" spans="2:2">
      <c r="B11702" s="21"/>
    </row>
    <row r="11703" spans="2:2">
      <c r="B11703" s="21"/>
    </row>
    <row r="11704" spans="2:2">
      <c r="B11704" s="21"/>
    </row>
    <row r="11705" spans="2:2">
      <c r="B11705" s="21"/>
    </row>
    <row r="11706" spans="2:2">
      <c r="B11706" s="21"/>
    </row>
    <row r="11707" spans="2:2">
      <c r="B11707" s="21"/>
    </row>
    <row r="11708" spans="2:2">
      <c r="B11708" s="21"/>
    </row>
    <row r="11709" spans="2:2">
      <c r="B11709" s="21"/>
    </row>
    <row r="11710" spans="2:2">
      <c r="B11710" s="21"/>
    </row>
    <row r="11711" spans="2:2">
      <c r="B11711" s="21"/>
    </row>
    <row r="11712" spans="2:2">
      <c r="B11712" s="21"/>
    </row>
    <row r="11713" spans="2:2">
      <c r="B11713" s="21"/>
    </row>
    <row r="11714" spans="2:2">
      <c r="B11714" s="21"/>
    </row>
    <row r="11715" spans="2:2">
      <c r="B11715" s="21"/>
    </row>
    <row r="11716" spans="2:2">
      <c r="B11716" s="21"/>
    </row>
    <row r="11717" spans="2:2">
      <c r="B11717" s="21"/>
    </row>
    <row r="11718" spans="2:2">
      <c r="B11718" s="21"/>
    </row>
    <row r="11719" spans="2:2">
      <c r="B11719" s="21"/>
    </row>
    <row r="11720" spans="2:2">
      <c r="B11720" s="21"/>
    </row>
    <row r="11721" spans="2:2">
      <c r="B11721" s="21"/>
    </row>
    <row r="11722" spans="2:2">
      <c r="B11722" s="21"/>
    </row>
    <row r="11723" spans="2:2">
      <c r="B11723" s="21"/>
    </row>
    <row r="11724" spans="2:2">
      <c r="B11724" s="21"/>
    </row>
    <row r="11725" spans="2:2">
      <c r="B11725" s="21"/>
    </row>
    <row r="11726" spans="2:2">
      <c r="B11726" s="21"/>
    </row>
    <row r="11727" spans="2:2">
      <c r="B11727" s="21"/>
    </row>
    <row r="11728" spans="2:2">
      <c r="B11728" s="21"/>
    </row>
    <row r="11729" spans="2:2">
      <c r="B11729" s="21"/>
    </row>
    <row r="11730" spans="2:2">
      <c r="B11730" s="21"/>
    </row>
    <row r="11731" spans="2:2">
      <c r="B11731" s="21"/>
    </row>
    <row r="11732" spans="2:2">
      <c r="B11732" s="21"/>
    </row>
    <row r="11733" spans="2:2">
      <c r="B11733" s="21"/>
    </row>
    <row r="11734" spans="2:2">
      <c r="B11734" s="21"/>
    </row>
    <row r="11735" spans="2:2">
      <c r="B11735" s="21"/>
    </row>
    <row r="11736" spans="2:2">
      <c r="B11736" s="21"/>
    </row>
    <row r="11737" spans="2:2">
      <c r="B11737" s="21"/>
    </row>
    <row r="11738" spans="2:2">
      <c r="B11738" s="21"/>
    </row>
    <row r="11739" spans="2:2">
      <c r="B11739" s="21"/>
    </row>
    <row r="11740" spans="2:2">
      <c r="B11740" s="21"/>
    </row>
    <row r="11741" spans="2:2">
      <c r="B11741" s="21"/>
    </row>
    <row r="11742" spans="2:2">
      <c r="B11742" s="21"/>
    </row>
    <row r="11743" spans="2:2">
      <c r="B11743" s="21"/>
    </row>
    <row r="11744" spans="2:2">
      <c r="B11744" s="21"/>
    </row>
    <row r="11745" spans="2:2">
      <c r="B11745" s="21"/>
    </row>
    <row r="11746" spans="2:2">
      <c r="B11746" s="21"/>
    </row>
    <row r="11747" spans="2:2">
      <c r="B11747" s="21"/>
    </row>
    <row r="11748" spans="2:2">
      <c r="B11748" s="21"/>
    </row>
    <row r="11749" spans="2:2">
      <c r="B11749" s="21"/>
    </row>
    <row r="11750" spans="2:2">
      <c r="B11750" s="21"/>
    </row>
    <row r="11751" spans="2:2">
      <c r="B11751" s="21"/>
    </row>
    <row r="11752" spans="2:2">
      <c r="B11752" s="21"/>
    </row>
    <row r="11753" spans="2:2">
      <c r="B11753" s="21"/>
    </row>
    <row r="11754" spans="2:2">
      <c r="B11754" s="21"/>
    </row>
    <row r="11755" spans="2:2">
      <c r="B11755" s="21"/>
    </row>
    <row r="11756" spans="2:2">
      <c r="B11756" s="21"/>
    </row>
    <row r="11757" spans="2:2">
      <c r="B11757" s="21"/>
    </row>
    <row r="11758" spans="2:2">
      <c r="B11758" s="21"/>
    </row>
    <row r="11759" spans="2:2">
      <c r="B11759" s="21"/>
    </row>
    <row r="11760" spans="2:2">
      <c r="B11760" s="21"/>
    </row>
    <row r="11761" spans="2:2">
      <c r="B11761" s="21"/>
    </row>
    <row r="11762" spans="2:2">
      <c r="B11762" s="21"/>
    </row>
    <row r="11763" spans="2:2">
      <c r="B11763" s="21"/>
    </row>
    <row r="11764" spans="2:2">
      <c r="B11764" s="21"/>
    </row>
    <row r="11765" spans="2:2">
      <c r="B11765" s="21"/>
    </row>
    <row r="11766" spans="2:2">
      <c r="B11766" s="21"/>
    </row>
    <row r="11767" spans="2:2">
      <c r="B11767" s="21"/>
    </row>
    <row r="11768" spans="2:2">
      <c r="B11768" s="21"/>
    </row>
    <row r="11769" spans="2:2">
      <c r="B11769" s="21"/>
    </row>
    <row r="11770" spans="2:2">
      <c r="B11770" s="21"/>
    </row>
    <row r="11771" spans="2:2">
      <c r="B11771" s="21"/>
    </row>
    <row r="11772" spans="2:2">
      <c r="B11772" s="21"/>
    </row>
    <row r="11773" spans="2:2">
      <c r="B11773" s="21"/>
    </row>
    <row r="11774" spans="2:2">
      <c r="B11774" s="21"/>
    </row>
    <row r="11775" spans="2:2">
      <c r="B11775" s="21"/>
    </row>
    <row r="11776" spans="2:2">
      <c r="B11776" s="21"/>
    </row>
    <row r="11777" spans="2:2">
      <c r="B11777" s="21"/>
    </row>
    <row r="11778" spans="2:2">
      <c r="B11778" s="21"/>
    </row>
    <row r="11779" spans="2:2">
      <c r="B11779" s="21"/>
    </row>
    <row r="11780" spans="2:2">
      <c r="B11780" s="21"/>
    </row>
    <row r="11781" spans="2:2">
      <c r="B11781" s="21"/>
    </row>
    <row r="11782" spans="2:2">
      <c r="B11782" s="21"/>
    </row>
    <row r="11783" spans="2:2">
      <c r="B11783" s="21"/>
    </row>
    <row r="11784" spans="2:2">
      <c r="B11784" s="21"/>
    </row>
    <row r="11785" spans="2:2">
      <c r="B11785" s="21"/>
    </row>
    <row r="11786" spans="2:2">
      <c r="B11786" s="21"/>
    </row>
    <row r="11787" spans="2:2">
      <c r="B11787" s="21"/>
    </row>
    <row r="11788" spans="2:2">
      <c r="B11788" s="21"/>
    </row>
    <row r="11789" spans="2:2">
      <c r="B11789" s="21"/>
    </row>
    <row r="11790" spans="2:2">
      <c r="B11790" s="21"/>
    </row>
    <row r="11791" spans="2:2">
      <c r="B11791" s="21"/>
    </row>
    <row r="11792" spans="2:2">
      <c r="B11792" s="21"/>
    </row>
    <row r="11793" spans="2:2">
      <c r="B11793" s="21"/>
    </row>
    <row r="11794" spans="2:2">
      <c r="B11794" s="21"/>
    </row>
    <row r="11795" spans="2:2">
      <c r="B11795" s="21"/>
    </row>
    <row r="11796" spans="2:2">
      <c r="B11796" s="21"/>
    </row>
    <row r="11797" spans="2:2">
      <c r="B11797" s="21"/>
    </row>
    <row r="11798" spans="2:2">
      <c r="B11798" s="21"/>
    </row>
    <row r="11799" spans="2:2">
      <c r="B11799" s="21"/>
    </row>
    <row r="11800" spans="2:2">
      <c r="B11800" s="21"/>
    </row>
    <row r="11801" spans="2:2">
      <c r="B11801" s="21"/>
    </row>
    <row r="11802" spans="2:2">
      <c r="B11802" s="21"/>
    </row>
    <row r="11803" spans="2:2">
      <c r="B11803" s="21"/>
    </row>
    <row r="11804" spans="2:2">
      <c r="B11804" s="21"/>
    </row>
    <row r="11805" spans="2:2">
      <c r="B11805" s="21"/>
    </row>
    <row r="11806" spans="2:2">
      <c r="B11806" s="21"/>
    </row>
    <row r="11807" spans="2:2">
      <c r="B11807" s="21"/>
    </row>
    <row r="11808" spans="2:2">
      <c r="B11808" s="21"/>
    </row>
    <row r="11809" spans="2:2">
      <c r="B11809" s="21"/>
    </row>
    <row r="11810" spans="2:2">
      <c r="B11810" s="21"/>
    </row>
    <row r="11811" spans="2:2">
      <c r="B11811" s="21"/>
    </row>
    <row r="11812" spans="2:2">
      <c r="B11812" s="21"/>
    </row>
    <row r="11813" spans="2:2">
      <c r="B11813" s="21"/>
    </row>
    <row r="11814" spans="2:2">
      <c r="B11814" s="21"/>
    </row>
    <row r="11815" spans="2:2">
      <c r="B11815" s="21"/>
    </row>
    <row r="11816" spans="2:2">
      <c r="B11816" s="21"/>
    </row>
    <row r="11817" spans="2:2">
      <c r="B11817" s="21"/>
    </row>
    <row r="11818" spans="2:2">
      <c r="B11818" s="21"/>
    </row>
    <row r="11819" spans="2:2">
      <c r="B11819" s="21"/>
    </row>
    <row r="11820" spans="2:2">
      <c r="B11820" s="21"/>
    </row>
    <row r="11821" spans="2:2">
      <c r="B11821" s="21"/>
    </row>
    <row r="11822" spans="2:2">
      <c r="B11822" s="21"/>
    </row>
    <row r="11823" spans="2:2">
      <c r="B11823" s="21"/>
    </row>
    <row r="11824" spans="2:2">
      <c r="B11824" s="21"/>
    </row>
    <row r="11825" spans="2:2">
      <c r="B11825" s="21"/>
    </row>
    <row r="11826" spans="2:2">
      <c r="B11826" s="21"/>
    </row>
    <row r="11827" spans="2:2">
      <c r="B11827" s="21"/>
    </row>
    <row r="11828" spans="2:2">
      <c r="B11828" s="21"/>
    </row>
    <row r="11829" spans="2:2">
      <c r="B11829" s="21"/>
    </row>
    <row r="11830" spans="2:2">
      <c r="B11830" s="21"/>
    </row>
    <row r="11831" spans="2:2">
      <c r="B11831" s="21"/>
    </row>
    <row r="11832" spans="2:2">
      <c r="B11832" s="21"/>
    </row>
    <row r="11833" spans="2:2">
      <c r="B11833" s="21"/>
    </row>
    <row r="11834" spans="2:2">
      <c r="B11834" s="21"/>
    </row>
    <row r="11835" spans="2:2">
      <c r="B11835" s="21"/>
    </row>
    <row r="11836" spans="2:2">
      <c r="B11836" s="21"/>
    </row>
    <row r="11837" spans="2:2">
      <c r="B11837" s="21"/>
    </row>
    <row r="11838" spans="2:2">
      <c r="B11838" s="21"/>
    </row>
    <row r="11839" spans="2:2">
      <c r="B11839" s="21"/>
    </row>
    <row r="11840" spans="2:2">
      <c r="B11840" s="21"/>
    </row>
    <row r="11841" spans="2:2">
      <c r="B11841" s="21"/>
    </row>
    <row r="11842" spans="2:2">
      <c r="B11842" s="21"/>
    </row>
    <row r="11843" spans="2:2">
      <c r="B11843" s="21"/>
    </row>
    <row r="11844" spans="2:2">
      <c r="B11844" s="21"/>
    </row>
    <row r="11845" spans="2:2">
      <c r="B11845" s="21"/>
    </row>
    <row r="11846" spans="2:2">
      <c r="B11846" s="21"/>
    </row>
    <row r="11847" spans="2:2">
      <c r="B11847" s="21"/>
    </row>
    <row r="11848" spans="2:2">
      <c r="B11848" s="21"/>
    </row>
    <row r="11849" spans="2:2">
      <c r="B11849" s="21"/>
    </row>
    <row r="11850" spans="2:2">
      <c r="B11850" s="21"/>
    </row>
    <row r="11851" spans="2:2">
      <c r="B11851" s="21"/>
    </row>
    <row r="11852" spans="2:2">
      <c r="B11852" s="21"/>
    </row>
    <row r="11853" spans="2:2">
      <c r="B11853" s="21"/>
    </row>
    <row r="11854" spans="2:2">
      <c r="B11854" s="21"/>
    </row>
    <row r="11855" spans="2:2">
      <c r="B11855" s="21"/>
    </row>
    <row r="11856" spans="2:2">
      <c r="B11856" s="21"/>
    </row>
    <row r="11857" spans="2:2">
      <c r="B11857" s="21"/>
    </row>
    <row r="11858" spans="2:2">
      <c r="B11858" s="21"/>
    </row>
    <row r="11859" spans="2:2">
      <c r="B11859" s="21"/>
    </row>
    <row r="11860" spans="2:2">
      <c r="B11860" s="21"/>
    </row>
    <row r="11861" spans="2:2">
      <c r="B11861" s="21"/>
    </row>
    <row r="11862" spans="2:2">
      <c r="B11862" s="21"/>
    </row>
    <row r="11863" spans="2:2">
      <c r="B11863" s="21"/>
    </row>
    <row r="11864" spans="2:2">
      <c r="B11864" s="21"/>
    </row>
    <row r="11865" spans="2:2">
      <c r="B11865" s="21"/>
    </row>
    <row r="11866" spans="2:2">
      <c r="B11866" s="21"/>
    </row>
    <row r="11867" spans="2:2">
      <c r="B11867" s="21"/>
    </row>
    <row r="11868" spans="2:2">
      <c r="B11868" s="21"/>
    </row>
    <row r="11869" spans="2:2">
      <c r="B11869" s="21"/>
    </row>
    <row r="11870" spans="2:2">
      <c r="B11870" s="21"/>
    </row>
    <row r="11871" spans="2:2">
      <c r="B11871" s="21"/>
    </row>
    <row r="11872" spans="2:2">
      <c r="B11872" s="21"/>
    </row>
    <row r="11873" spans="2:2">
      <c r="B11873" s="21"/>
    </row>
    <row r="11874" spans="2:2">
      <c r="B11874" s="21"/>
    </row>
    <row r="11875" spans="2:2">
      <c r="B11875" s="21"/>
    </row>
    <row r="11876" spans="2:2">
      <c r="B11876" s="21"/>
    </row>
    <row r="11877" spans="2:2">
      <c r="B11877" s="21"/>
    </row>
    <row r="11878" spans="2:2">
      <c r="B11878" s="21"/>
    </row>
    <row r="11879" spans="2:2">
      <c r="B11879" s="21"/>
    </row>
    <row r="11880" spans="2:2">
      <c r="B11880" s="21"/>
    </row>
    <row r="11881" spans="2:2">
      <c r="B11881" s="21"/>
    </row>
    <row r="11882" spans="2:2">
      <c r="B11882" s="21"/>
    </row>
    <row r="11883" spans="2:2">
      <c r="B11883" s="21"/>
    </row>
    <row r="11884" spans="2:2">
      <c r="B11884" s="21"/>
    </row>
    <row r="11885" spans="2:2">
      <c r="B11885" s="21"/>
    </row>
    <row r="11886" spans="2:2">
      <c r="B11886" s="21"/>
    </row>
    <row r="11887" spans="2:2">
      <c r="B11887" s="21"/>
    </row>
    <row r="11888" spans="2:2">
      <c r="B11888" s="21"/>
    </row>
    <row r="11889" spans="2:2">
      <c r="B11889" s="21"/>
    </row>
    <row r="11890" spans="2:2">
      <c r="B11890" s="21"/>
    </row>
    <row r="11891" spans="2:2">
      <c r="B11891" s="21"/>
    </row>
    <row r="11892" spans="2:2">
      <c r="B11892" s="21"/>
    </row>
    <row r="11893" spans="2:2">
      <c r="B11893" s="21"/>
    </row>
    <row r="11894" spans="2:2">
      <c r="B11894" s="21"/>
    </row>
    <row r="11895" spans="2:2">
      <c r="B11895" s="21"/>
    </row>
    <row r="11896" spans="2:2">
      <c r="B11896" s="21"/>
    </row>
    <row r="11897" spans="2:2">
      <c r="B11897" s="21"/>
    </row>
    <row r="11898" spans="2:2">
      <c r="B11898" s="21"/>
    </row>
    <row r="11899" spans="2:2">
      <c r="B11899" s="21"/>
    </row>
    <row r="11900" spans="2:2">
      <c r="B11900" s="21"/>
    </row>
    <row r="11901" spans="2:2">
      <c r="B11901" s="21"/>
    </row>
    <row r="11902" spans="2:2">
      <c r="B11902" s="21"/>
    </row>
    <row r="11903" spans="2:2">
      <c r="B11903" s="21"/>
    </row>
    <row r="11904" spans="2:2">
      <c r="B11904" s="21"/>
    </row>
    <row r="11905" spans="2:2">
      <c r="B11905" s="21"/>
    </row>
    <row r="11906" spans="2:2">
      <c r="B11906" s="21"/>
    </row>
    <row r="11907" spans="2:2">
      <c r="B11907" s="21"/>
    </row>
    <row r="11908" spans="2:2">
      <c r="B11908" s="21"/>
    </row>
    <row r="11909" spans="2:2">
      <c r="B11909" s="21"/>
    </row>
    <row r="11910" spans="2:2">
      <c r="B11910" s="21"/>
    </row>
    <row r="11911" spans="2:2">
      <c r="B11911" s="21"/>
    </row>
    <row r="11912" spans="2:2">
      <c r="B11912" s="21"/>
    </row>
    <row r="11913" spans="2:2">
      <c r="B11913" s="21"/>
    </row>
    <row r="11914" spans="2:2">
      <c r="B11914" s="21"/>
    </row>
    <row r="11915" spans="2:2">
      <c r="B11915" s="21"/>
    </row>
    <row r="11916" spans="2:2">
      <c r="B11916" s="21"/>
    </row>
    <row r="11917" spans="2:2">
      <c r="B11917" s="21"/>
    </row>
    <row r="11918" spans="2:2">
      <c r="B11918" s="21"/>
    </row>
    <row r="11919" spans="2:2">
      <c r="B11919" s="21"/>
    </row>
    <row r="11920" spans="2:2">
      <c r="B11920" s="21"/>
    </row>
    <row r="11921" spans="2:2">
      <c r="B11921" s="21"/>
    </row>
    <row r="11922" spans="2:2">
      <c r="B11922" s="21"/>
    </row>
    <row r="11923" spans="2:2">
      <c r="B11923" s="21"/>
    </row>
    <row r="11924" spans="2:2">
      <c r="B11924" s="21"/>
    </row>
    <row r="11925" spans="2:2">
      <c r="B11925" s="21"/>
    </row>
    <row r="11926" spans="2:2">
      <c r="B11926" s="21"/>
    </row>
    <row r="11927" spans="2:2">
      <c r="B11927" s="21"/>
    </row>
    <row r="11928" spans="2:2">
      <c r="B11928" s="21"/>
    </row>
    <row r="11929" spans="2:2">
      <c r="B11929" s="21"/>
    </row>
    <row r="11930" spans="2:2">
      <c r="B11930" s="21"/>
    </row>
    <row r="11931" spans="2:2">
      <c r="B11931" s="21"/>
    </row>
    <row r="11932" spans="2:2">
      <c r="B11932" s="21"/>
    </row>
    <row r="11933" spans="2:2">
      <c r="B11933" s="21"/>
    </row>
    <row r="11934" spans="2:2">
      <c r="B11934" s="21"/>
    </row>
    <row r="11935" spans="2:2">
      <c r="B11935" s="21"/>
    </row>
    <row r="11936" spans="2:2">
      <c r="B11936" s="21"/>
    </row>
    <row r="11937" spans="2:2">
      <c r="B11937" s="21"/>
    </row>
    <row r="11938" spans="2:2">
      <c r="B11938" s="21"/>
    </row>
    <row r="11939" spans="2:2">
      <c r="B11939" s="21"/>
    </row>
    <row r="11940" spans="2:2">
      <c r="B11940" s="21"/>
    </row>
    <row r="11941" spans="2:2">
      <c r="B11941" s="21"/>
    </row>
    <row r="11942" spans="2:2">
      <c r="B11942" s="21"/>
    </row>
    <row r="11943" spans="2:2">
      <c r="B11943" s="21"/>
    </row>
    <row r="11944" spans="2:2">
      <c r="B11944" s="21"/>
    </row>
    <row r="11945" spans="2:2">
      <c r="B11945" s="21"/>
    </row>
    <row r="11946" spans="2:2">
      <c r="B11946" s="21"/>
    </row>
    <row r="11947" spans="2:2">
      <c r="B11947" s="21"/>
    </row>
    <row r="11948" spans="2:2">
      <c r="B11948" s="21"/>
    </row>
    <row r="11949" spans="2:2">
      <c r="B11949" s="21"/>
    </row>
    <row r="11950" spans="2:2">
      <c r="B11950" s="21"/>
    </row>
    <row r="11951" spans="2:2">
      <c r="B11951" s="21"/>
    </row>
    <row r="11952" spans="2:2">
      <c r="B11952" s="21"/>
    </row>
    <row r="11953" spans="2:2">
      <c r="B11953" s="21"/>
    </row>
    <row r="11954" spans="2:2">
      <c r="B11954" s="21"/>
    </row>
    <row r="11955" spans="2:2">
      <c r="B11955" s="21"/>
    </row>
    <row r="11956" spans="2:2">
      <c r="B11956" s="21"/>
    </row>
    <row r="11957" spans="2:2">
      <c r="B11957" s="21"/>
    </row>
    <row r="11958" spans="2:2">
      <c r="B11958" s="21"/>
    </row>
    <row r="11959" spans="2:2">
      <c r="B11959" s="21"/>
    </row>
    <row r="11960" spans="2:2">
      <c r="B11960" s="21"/>
    </row>
    <row r="11961" spans="2:2">
      <c r="B11961" s="21"/>
    </row>
    <row r="11962" spans="2:2">
      <c r="B11962" s="21"/>
    </row>
    <row r="11963" spans="2:2">
      <c r="B11963" s="21"/>
    </row>
    <row r="11964" spans="2:2">
      <c r="B11964" s="21"/>
    </row>
    <row r="11965" spans="2:2">
      <c r="B11965" s="21"/>
    </row>
    <row r="11966" spans="2:2">
      <c r="B11966" s="21"/>
    </row>
    <row r="11967" spans="2:2">
      <c r="B11967" s="21"/>
    </row>
    <row r="11968" spans="2:2">
      <c r="B11968" s="21"/>
    </row>
    <row r="11969" spans="2:2">
      <c r="B11969" s="21"/>
    </row>
    <row r="11970" spans="2:2">
      <c r="B11970" s="21"/>
    </row>
    <row r="11971" spans="2:2">
      <c r="B11971" s="21"/>
    </row>
    <row r="11972" spans="2:2">
      <c r="B11972" s="21"/>
    </row>
    <row r="11973" spans="2:2">
      <c r="B11973" s="21"/>
    </row>
    <row r="11974" spans="2:2">
      <c r="B11974" s="21"/>
    </row>
    <row r="11975" spans="2:2">
      <c r="B11975" s="21"/>
    </row>
    <row r="11976" spans="2:2">
      <c r="B11976" s="21"/>
    </row>
    <row r="11977" spans="2:2">
      <c r="B11977" s="21"/>
    </row>
    <row r="11978" spans="2:2">
      <c r="B11978" s="21"/>
    </row>
    <row r="11979" spans="2:2">
      <c r="B11979" s="21"/>
    </row>
    <row r="11980" spans="2:2">
      <c r="B11980" s="21"/>
    </row>
    <row r="11981" spans="2:2">
      <c r="B11981" s="21"/>
    </row>
    <row r="11982" spans="2:2">
      <c r="B11982" s="21"/>
    </row>
    <row r="11983" spans="2:2">
      <c r="B11983" s="21"/>
    </row>
    <row r="11984" spans="2:2">
      <c r="B11984" s="21"/>
    </row>
    <row r="11985" spans="2:2">
      <c r="B11985" s="21"/>
    </row>
    <row r="11986" spans="2:2">
      <c r="B11986" s="21"/>
    </row>
    <row r="11987" spans="2:2">
      <c r="B11987" s="21"/>
    </row>
    <row r="11988" spans="2:2">
      <c r="B11988" s="21"/>
    </row>
    <row r="11989" spans="2:2">
      <c r="B11989" s="21"/>
    </row>
    <row r="11990" spans="2:2">
      <c r="B11990" s="21"/>
    </row>
    <row r="11991" spans="2:2">
      <c r="B11991" s="21"/>
    </row>
    <row r="11992" spans="2:2">
      <c r="B11992" s="21"/>
    </row>
    <row r="11993" spans="2:2">
      <c r="B11993" s="21"/>
    </row>
    <row r="11994" spans="2:2">
      <c r="B11994" s="21"/>
    </row>
    <row r="11995" spans="2:2">
      <c r="B11995" s="21"/>
    </row>
    <row r="11996" spans="2:2">
      <c r="B11996" s="21"/>
    </row>
    <row r="11997" spans="2:2">
      <c r="B11997" s="21"/>
    </row>
    <row r="11998" spans="2:2">
      <c r="B11998" s="21"/>
    </row>
    <row r="11999" spans="2:2">
      <c r="B11999" s="21"/>
    </row>
    <row r="12000" spans="2:2">
      <c r="B12000" s="21"/>
    </row>
    <row r="12001" spans="2:2">
      <c r="B12001" s="21"/>
    </row>
    <row r="12002" spans="2:2">
      <c r="B12002" s="21"/>
    </row>
    <row r="12003" spans="2:2">
      <c r="B12003" s="21"/>
    </row>
    <row r="12004" spans="2:2">
      <c r="B12004" s="21"/>
    </row>
    <row r="12005" spans="2:2">
      <c r="B12005" s="21"/>
    </row>
    <row r="12006" spans="2:2">
      <c r="B12006" s="21"/>
    </row>
    <row r="12007" spans="2:2">
      <c r="B12007" s="21"/>
    </row>
    <row r="12008" spans="2:2">
      <c r="B12008" s="21"/>
    </row>
    <row r="12009" spans="2:2">
      <c r="B12009" s="21"/>
    </row>
    <row r="12010" spans="2:2">
      <c r="B12010" s="21"/>
    </row>
    <row r="12011" spans="2:2">
      <c r="B12011" s="21"/>
    </row>
    <row r="12012" spans="2:2">
      <c r="B12012" s="21"/>
    </row>
    <row r="12013" spans="2:2">
      <c r="B12013" s="21"/>
    </row>
    <row r="12014" spans="2:2">
      <c r="B12014" s="21"/>
    </row>
    <row r="12015" spans="2:2">
      <c r="B12015" s="21"/>
    </row>
    <row r="12016" spans="2:2">
      <c r="B12016" s="21"/>
    </row>
    <row r="12017" spans="2:2">
      <c r="B12017" s="21"/>
    </row>
    <row r="12018" spans="2:2">
      <c r="B12018" s="21"/>
    </row>
    <row r="12019" spans="2:2">
      <c r="B12019" s="21"/>
    </row>
    <row r="12020" spans="2:2">
      <c r="B12020" s="21"/>
    </row>
    <row r="12021" spans="2:2">
      <c r="B12021" s="21"/>
    </row>
    <row r="12022" spans="2:2">
      <c r="B12022" s="21"/>
    </row>
    <row r="12023" spans="2:2">
      <c r="B12023" s="21"/>
    </row>
    <row r="12024" spans="2:2">
      <c r="B12024" s="21"/>
    </row>
    <row r="12025" spans="2:2">
      <c r="B12025" s="21"/>
    </row>
    <row r="12026" spans="2:2">
      <c r="B12026" s="21"/>
    </row>
    <row r="12027" spans="2:2">
      <c r="B12027" s="21"/>
    </row>
    <row r="12028" spans="2:2">
      <c r="B12028" s="21"/>
    </row>
    <row r="12029" spans="2:2">
      <c r="B12029" s="21"/>
    </row>
    <row r="12030" spans="2:2">
      <c r="B12030" s="21"/>
    </row>
    <row r="12031" spans="2:2">
      <c r="B12031" s="21"/>
    </row>
    <row r="12032" spans="2:2">
      <c r="B12032" s="21"/>
    </row>
    <row r="12033" spans="2:2">
      <c r="B12033" s="21"/>
    </row>
    <row r="12034" spans="2:2">
      <c r="B12034" s="21"/>
    </row>
    <row r="12035" spans="2:2">
      <c r="B12035" s="21"/>
    </row>
    <row r="12036" spans="2:2">
      <c r="B12036" s="21"/>
    </row>
    <row r="12037" spans="2:2">
      <c r="B12037" s="21"/>
    </row>
    <row r="12038" spans="2:2">
      <c r="B12038" s="21"/>
    </row>
    <row r="12039" spans="2:2">
      <c r="B12039" s="21"/>
    </row>
    <row r="12040" spans="2:2">
      <c r="B12040" s="21"/>
    </row>
    <row r="12041" spans="2:2">
      <c r="B12041" s="21"/>
    </row>
    <row r="12042" spans="2:2">
      <c r="B12042" s="21"/>
    </row>
    <row r="12043" spans="2:2">
      <c r="B12043" s="21"/>
    </row>
    <row r="12044" spans="2:2">
      <c r="B12044" s="21"/>
    </row>
    <row r="12045" spans="2:2">
      <c r="B12045" s="21"/>
    </row>
    <row r="12046" spans="2:2">
      <c r="B12046" s="21"/>
    </row>
    <row r="12047" spans="2:2">
      <c r="B12047" s="21"/>
    </row>
    <row r="12048" spans="2:2">
      <c r="B12048" s="21"/>
    </row>
    <row r="12049" spans="2:2">
      <c r="B12049" s="21"/>
    </row>
    <row r="12050" spans="2:2">
      <c r="B12050" s="21"/>
    </row>
    <row r="12051" spans="2:2">
      <c r="B12051" s="21"/>
    </row>
    <row r="12052" spans="2:2">
      <c r="B12052" s="21"/>
    </row>
    <row r="12053" spans="2:2">
      <c r="B12053" s="21"/>
    </row>
    <row r="12054" spans="2:2">
      <c r="B12054" s="21"/>
    </row>
    <row r="12055" spans="2:2">
      <c r="B12055" s="21"/>
    </row>
    <row r="12056" spans="2:2">
      <c r="B12056" s="21"/>
    </row>
    <row r="12057" spans="2:2">
      <c r="B12057" s="21"/>
    </row>
    <row r="12058" spans="2:2">
      <c r="B12058" s="21"/>
    </row>
    <row r="12059" spans="2:2">
      <c r="B12059" s="21"/>
    </row>
    <row r="12060" spans="2:2">
      <c r="B12060" s="21"/>
    </row>
    <row r="12061" spans="2:2">
      <c r="B12061" s="21"/>
    </row>
    <row r="12062" spans="2:2">
      <c r="B12062" s="21"/>
    </row>
    <row r="12063" spans="2:2">
      <c r="B12063" s="21"/>
    </row>
    <row r="12064" spans="2:2">
      <c r="B12064" s="21"/>
    </row>
    <row r="12065" spans="2:2">
      <c r="B12065" s="21"/>
    </row>
    <row r="12066" spans="2:2">
      <c r="B12066" s="21"/>
    </row>
    <row r="12067" spans="2:2">
      <c r="B12067" s="21"/>
    </row>
    <row r="12068" spans="2:2">
      <c r="B12068" s="21"/>
    </row>
    <row r="12069" spans="2:2">
      <c r="B12069" s="21"/>
    </row>
    <row r="12070" spans="2:2">
      <c r="B12070" s="21"/>
    </row>
    <row r="12071" spans="2:2">
      <c r="B12071" s="21"/>
    </row>
    <row r="12072" spans="2:2">
      <c r="B12072" s="21"/>
    </row>
    <row r="12073" spans="2:2">
      <c r="B12073" s="21"/>
    </row>
    <row r="12074" spans="2:2">
      <c r="B12074" s="21"/>
    </row>
    <row r="12075" spans="2:2">
      <c r="B12075" s="21"/>
    </row>
    <row r="12076" spans="2:2">
      <c r="B12076" s="21"/>
    </row>
    <row r="12077" spans="2:2">
      <c r="B12077" s="21"/>
    </row>
    <row r="12078" spans="2:2">
      <c r="B12078" s="21"/>
    </row>
    <row r="12079" spans="2:2">
      <c r="B12079" s="21"/>
    </row>
    <row r="12080" spans="2:2">
      <c r="B12080" s="21"/>
    </row>
    <row r="12081" spans="2:2">
      <c r="B12081" s="21"/>
    </row>
    <row r="12082" spans="2:2">
      <c r="B12082" s="21"/>
    </row>
    <row r="12083" spans="2:2">
      <c r="B12083" s="21"/>
    </row>
    <row r="12084" spans="2:2">
      <c r="B12084" s="21"/>
    </row>
    <row r="12085" spans="2:2">
      <c r="B12085" s="21"/>
    </row>
    <row r="12086" spans="2:2">
      <c r="B12086" s="21"/>
    </row>
    <row r="12087" spans="2:2">
      <c r="B12087" s="21"/>
    </row>
    <row r="12088" spans="2:2">
      <c r="B12088" s="21"/>
    </row>
    <row r="12089" spans="2:2">
      <c r="B12089" s="21"/>
    </row>
    <row r="12090" spans="2:2">
      <c r="B12090" s="21"/>
    </row>
    <row r="12091" spans="2:2">
      <c r="B12091" s="21"/>
    </row>
    <row r="12092" spans="2:2">
      <c r="B12092" s="21"/>
    </row>
    <row r="12093" spans="2:2">
      <c r="B12093" s="21"/>
    </row>
    <row r="12094" spans="2:2">
      <c r="B12094" s="21"/>
    </row>
    <row r="12095" spans="2:2">
      <c r="B12095" s="21"/>
    </row>
    <row r="12096" spans="2:2">
      <c r="B12096" s="21"/>
    </row>
    <row r="12097" spans="2:2">
      <c r="B12097" s="21"/>
    </row>
    <row r="12098" spans="2:2">
      <c r="B12098" s="21"/>
    </row>
    <row r="12099" spans="2:2">
      <c r="B12099" s="21"/>
    </row>
    <row r="12100" spans="2:2">
      <c r="B12100" s="21"/>
    </row>
    <row r="12101" spans="2:2">
      <c r="B12101" s="21"/>
    </row>
    <row r="12102" spans="2:2">
      <c r="B12102" s="21"/>
    </row>
    <row r="12103" spans="2:2">
      <c r="B12103" s="21"/>
    </row>
    <row r="12104" spans="2:2">
      <c r="B12104" s="21"/>
    </row>
    <row r="12105" spans="2:2">
      <c r="B12105" s="21"/>
    </row>
    <row r="12106" spans="2:2">
      <c r="B12106" s="21"/>
    </row>
    <row r="12107" spans="2:2">
      <c r="B12107" s="21"/>
    </row>
    <row r="12108" spans="2:2">
      <c r="B12108" s="21"/>
    </row>
    <row r="12109" spans="2:2">
      <c r="B12109" s="21"/>
    </row>
    <row r="12110" spans="2:2">
      <c r="B12110" s="21"/>
    </row>
    <row r="12111" spans="2:2">
      <c r="B12111" s="21"/>
    </row>
    <row r="12112" spans="2:2">
      <c r="B12112" s="21"/>
    </row>
    <row r="12113" spans="2:2">
      <c r="B12113" s="21"/>
    </row>
    <row r="12114" spans="2:2">
      <c r="B12114" s="21"/>
    </row>
    <row r="12115" spans="2:2">
      <c r="B12115" s="21"/>
    </row>
    <row r="12116" spans="2:2">
      <c r="B12116" s="21"/>
    </row>
    <row r="12117" spans="2:2">
      <c r="B12117" s="21"/>
    </row>
    <row r="12118" spans="2:2">
      <c r="B12118" s="21"/>
    </row>
    <row r="12119" spans="2:2">
      <c r="B12119" s="21"/>
    </row>
    <row r="12120" spans="2:2">
      <c r="B12120" s="21"/>
    </row>
    <row r="12121" spans="2:2">
      <c r="B12121" s="21"/>
    </row>
    <row r="12122" spans="2:2">
      <c r="B12122" s="21"/>
    </row>
    <row r="12123" spans="2:2">
      <c r="B12123" s="21"/>
    </row>
    <row r="12124" spans="2:2">
      <c r="B12124" s="21"/>
    </row>
    <row r="12125" spans="2:2">
      <c r="B12125" s="21"/>
    </row>
    <row r="12126" spans="2:2">
      <c r="B12126" s="21"/>
    </row>
    <row r="12127" spans="2:2">
      <c r="B12127" s="21"/>
    </row>
    <row r="12128" spans="2:2">
      <c r="B12128" s="21"/>
    </row>
    <row r="12129" spans="2:2">
      <c r="B12129" s="21"/>
    </row>
    <row r="12130" spans="2:2">
      <c r="B12130" s="21"/>
    </row>
    <row r="12131" spans="2:2">
      <c r="B12131" s="21"/>
    </row>
    <row r="12132" spans="2:2">
      <c r="B12132" s="21"/>
    </row>
    <row r="12133" spans="2:2">
      <c r="B12133" s="21"/>
    </row>
    <row r="12134" spans="2:2">
      <c r="B12134" s="21"/>
    </row>
    <row r="12135" spans="2:2">
      <c r="B12135" s="21"/>
    </row>
    <row r="12136" spans="2:2">
      <c r="B12136" s="21"/>
    </row>
    <row r="12137" spans="2:2">
      <c r="B12137" s="21"/>
    </row>
    <row r="12138" spans="2:2">
      <c r="B12138" s="21"/>
    </row>
    <row r="12139" spans="2:2">
      <c r="B12139" s="21"/>
    </row>
    <row r="12140" spans="2:2">
      <c r="B12140" s="21"/>
    </row>
    <row r="12141" spans="2:2">
      <c r="B12141" s="21"/>
    </row>
    <row r="12142" spans="2:2">
      <c r="B12142" s="21"/>
    </row>
    <row r="12143" spans="2:2">
      <c r="B12143" s="21"/>
    </row>
    <row r="12144" spans="2:2">
      <c r="B12144" s="21"/>
    </row>
    <row r="12145" spans="2:2">
      <c r="B12145" s="21"/>
    </row>
    <row r="12146" spans="2:2">
      <c r="B12146" s="21"/>
    </row>
    <row r="12147" spans="2:2">
      <c r="B12147" s="21"/>
    </row>
    <row r="12148" spans="2:2">
      <c r="B12148" s="21"/>
    </row>
    <row r="12149" spans="2:2">
      <c r="B12149" s="21"/>
    </row>
    <row r="12150" spans="2:2">
      <c r="B12150" s="21"/>
    </row>
    <row r="12151" spans="2:2">
      <c r="B12151" s="21"/>
    </row>
    <row r="12152" spans="2:2">
      <c r="B12152" s="21"/>
    </row>
    <row r="12153" spans="2:2">
      <c r="B12153" s="21"/>
    </row>
    <row r="12154" spans="2:2">
      <c r="B12154" s="21"/>
    </row>
    <row r="12155" spans="2:2">
      <c r="B12155" s="21"/>
    </row>
    <row r="12156" spans="2:2">
      <c r="B12156" s="21"/>
    </row>
    <row r="12157" spans="2:2">
      <c r="B12157" s="21"/>
    </row>
    <row r="12158" spans="2:2">
      <c r="B12158" s="21"/>
    </row>
    <row r="12159" spans="2:2">
      <c r="B12159" s="21"/>
    </row>
    <row r="12160" spans="2:2">
      <c r="B12160" s="21"/>
    </row>
    <row r="12161" spans="2:2">
      <c r="B12161" s="21"/>
    </row>
    <row r="12162" spans="2:2">
      <c r="B12162" s="21"/>
    </row>
    <row r="12163" spans="2:2">
      <c r="B12163" s="21"/>
    </row>
    <row r="12164" spans="2:2">
      <c r="B12164" s="21"/>
    </row>
    <row r="12165" spans="2:2">
      <c r="B12165" s="21"/>
    </row>
    <row r="12166" spans="2:2">
      <c r="B12166" s="21"/>
    </row>
    <row r="12167" spans="2:2">
      <c r="B12167" s="21"/>
    </row>
    <row r="12168" spans="2:2">
      <c r="B12168" s="21"/>
    </row>
    <row r="12169" spans="2:2">
      <c r="B12169" s="21"/>
    </row>
    <row r="12170" spans="2:2">
      <c r="B12170" s="21"/>
    </row>
    <row r="12171" spans="2:2">
      <c r="B12171" s="21"/>
    </row>
    <row r="12172" spans="2:2">
      <c r="B12172" s="21"/>
    </row>
    <row r="12173" spans="2:2">
      <c r="B12173" s="21"/>
    </row>
    <row r="12174" spans="2:2">
      <c r="B12174" s="21"/>
    </row>
    <row r="12175" spans="2:2">
      <c r="B12175" s="21"/>
    </row>
    <row r="12176" spans="2:2">
      <c r="B12176" s="21"/>
    </row>
    <row r="12177" spans="2:2">
      <c r="B12177" s="21"/>
    </row>
    <row r="12178" spans="2:2">
      <c r="B12178" s="21"/>
    </row>
    <row r="12179" spans="2:2">
      <c r="B12179" s="21"/>
    </row>
    <row r="12180" spans="2:2">
      <c r="B12180" s="21"/>
    </row>
    <row r="12181" spans="2:2">
      <c r="B12181" s="21"/>
    </row>
    <row r="12182" spans="2:2">
      <c r="B12182" s="21"/>
    </row>
    <row r="12183" spans="2:2">
      <c r="B12183" s="21"/>
    </row>
    <row r="12184" spans="2:2">
      <c r="B12184" s="21"/>
    </row>
    <row r="12185" spans="2:2">
      <c r="B12185" s="21"/>
    </row>
    <row r="12186" spans="2:2">
      <c r="B12186" s="21"/>
    </row>
    <row r="12187" spans="2:2">
      <c r="B12187" s="21"/>
    </row>
    <row r="12188" spans="2:2">
      <c r="B12188" s="21"/>
    </row>
    <row r="12189" spans="2:2">
      <c r="B12189" s="21"/>
    </row>
    <row r="12190" spans="2:2">
      <c r="B12190" s="21"/>
    </row>
    <row r="12191" spans="2:2">
      <c r="B12191" s="21"/>
    </row>
    <row r="12192" spans="2:2">
      <c r="B12192" s="21"/>
    </row>
    <row r="12193" spans="2:2">
      <c r="B12193" s="21"/>
    </row>
    <row r="12194" spans="2:2">
      <c r="B12194" s="21"/>
    </row>
    <row r="12195" spans="2:2">
      <c r="B12195" s="21"/>
    </row>
    <row r="12196" spans="2:2">
      <c r="B12196" s="21"/>
    </row>
    <row r="12197" spans="2:2">
      <c r="B12197" s="21"/>
    </row>
    <row r="12198" spans="2:2">
      <c r="B12198" s="21"/>
    </row>
    <row r="12199" spans="2:2">
      <c r="B12199" s="21"/>
    </row>
    <row r="12200" spans="2:2">
      <c r="B12200" s="21"/>
    </row>
    <row r="12201" spans="2:2">
      <c r="B12201" s="21"/>
    </row>
    <row r="12202" spans="2:2">
      <c r="B12202" s="21"/>
    </row>
    <row r="12203" spans="2:2">
      <c r="B12203" s="21"/>
    </row>
    <row r="12204" spans="2:2">
      <c r="B12204" s="21"/>
    </row>
    <row r="12205" spans="2:2">
      <c r="B12205" s="21"/>
    </row>
    <row r="12206" spans="2:2">
      <c r="B12206" s="21"/>
    </row>
    <row r="12207" spans="2:2">
      <c r="B12207" s="21"/>
    </row>
    <row r="12208" spans="2:2">
      <c r="B12208" s="21"/>
    </row>
    <row r="12209" spans="2:2">
      <c r="B12209" s="21"/>
    </row>
    <row r="12210" spans="2:2">
      <c r="B12210" s="21"/>
    </row>
    <row r="12211" spans="2:2">
      <c r="B12211" s="21"/>
    </row>
    <row r="12212" spans="2:2">
      <c r="B12212" s="21"/>
    </row>
    <row r="12213" spans="2:2">
      <c r="B12213" s="21"/>
    </row>
    <row r="12214" spans="2:2">
      <c r="B12214" s="21"/>
    </row>
    <row r="12215" spans="2:2">
      <c r="B12215" s="21"/>
    </row>
    <row r="12216" spans="2:2">
      <c r="B12216" s="21"/>
    </row>
    <row r="12217" spans="2:2">
      <c r="B12217" s="21"/>
    </row>
    <row r="12218" spans="2:2">
      <c r="B12218" s="21"/>
    </row>
    <row r="12219" spans="2:2">
      <c r="B12219" s="21"/>
    </row>
    <row r="12220" spans="2:2">
      <c r="B12220" s="21"/>
    </row>
    <row r="12221" spans="2:2">
      <c r="B12221" s="21"/>
    </row>
    <row r="12222" spans="2:2">
      <c r="B12222" s="21"/>
    </row>
    <row r="12223" spans="2:2">
      <c r="B12223" s="21"/>
    </row>
    <row r="12224" spans="2:2">
      <c r="B12224" s="21"/>
    </row>
    <row r="12225" spans="2:2">
      <c r="B12225" s="21"/>
    </row>
    <row r="12226" spans="2:2">
      <c r="B12226" s="21"/>
    </row>
    <row r="12227" spans="2:2">
      <c r="B12227" s="21"/>
    </row>
    <row r="12228" spans="2:2">
      <c r="B12228" s="21"/>
    </row>
    <row r="12229" spans="2:2">
      <c r="B12229" s="21"/>
    </row>
    <row r="12230" spans="2:2">
      <c r="B12230" s="21"/>
    </row>
    <row r="12231" spans="2:2">
      <c r="B12231" s="21"/>
    </row>
    <row r="12232" spans="2:2">
      <c r="B12232" s="21"/>
    </row>
    <row r="12233" spans="2:2">
      <c r="B12233" s="21"/>
    </row>
    <row r="12234" spans="2:2">
      <c r="B12234" s="21"/>
    </row>
    <row r="12235" spans="2:2">
      <c r="B12235" s="21"/>
    </row>
    <row r="12236" spans="2:2">
      <c r="B12236" s="21"/>
    </row>
    <row r="12237" spans="2:2">
      <c r="B12237" s="21"/>
    </row>
    <row r="12238" spans="2:2">
      <c r="B12238" s="21"/>
    </row>
    <row r="12239" spans="2:2">
      <c r="B12239" s="21"/>
    </row>
    <row r="12240" spans="2:2">
      <c r="B12240" s="21"/>
    </row>
    <row r="12241" spans="2:2">
      <c r="B12241" s="21"/>
    </row>
    <row r="12242" spans="2:2">
      <c r="B12242" s="21"/>
    </row>
    <row r="12243" spans="2:2">
      <c r="B12243" s="21"/>
    </row>
    <row r="12244" spans="2:2">
      <c r="B12244" s="21"/>
    </row>
    <row r="12245" spans="2:2">
      <c r="B12245" s="21"/>
    </row>
    <row r="12246" spans="2:2">
      <c r="B12246" s="21"/>
    </row>
    <row r="12247" spans="2:2">
      <c r="B12247" s="21"/>
    </row>
    <row r="12248" spans="2:2">
      <c r="B12248" s="21"/>
    </row>
    <row r="12249" spans="2:2">
      <c r="B12249" s="21"/>
    </row>
    <row r="12250" spans="2:2">
      <c r="B12250" s="21"/>
    </row>
    <row r="12251" spans="2:2">
      <c r="B12251" s="21"/>
    </row>
    <row r="12252" spans="2:2">
      <c r="B12252" s="21"/>
    </row>
    <row r="12253" spans="2:2">
      <c r="B12253" s="21"/>
    </row>
    <row r="12254" spans="2:2">
      <c r="B12254" s="21"/>
    </row>
    <row r="12255" spans="2:2">
      <c r="B12255" s="21"/>
    </row>
    <row r="12256" spans="2:2">
      <c r="B12256" s="21"/>
    </row>
    <row r="12257" spans="2:2">
      <c r="B12257" s="21"/>
    </row>
    <row r="12258" spans="2:2">
      <c r="B12258" s="21"/>
    </row>
    <row r="12259" spans="2:2">
      <c r="B12259" s="21"/>
    </row>
    <row r="12260" spans="2:2">
      <c r="B12260" s="21"/>
    </row>
    <row r="12261" spans="2:2">
      <c r="B12261" s="21"/>
    </row>
    <row r="12262" spans="2:2">
      <c r="B12262" s="21"/>
    </row>
    <row r="12263" spans="2:2">
      <c r="B12263" s="21"/>
    </row>
    <row r="12264" spans="2:2">
      <c r="B12264" s="21"/>
    </row>
    <row r="12265" spans="2:2">
      <c r="B12265" s="21"/>
    </row>
    <row r="12266" spans="2:2">
      <c r="B12266" s="21"/>
    </row>
    <row r="12267" spans="2:2">
      <c r="B12267" s="21"/>
    </row>
    <row r="12268" spans="2:2">
      <c r="B12268" s="21"/>
    </row>
    <row r="12269" spans="2:2">
      <c r="B12269" s="21"/>
    </row>
    <row r="12270" spans="2:2">
      <c r="B12270" s="21"/>
    </row>
    <row r="12271" spans="2:2">
      <c r="B12271" s="21"/>
    </row>
    <row r="12272" spans="2:2">
      <c r="B12272" s="21"/>
    </row>
    <row r="12273" spans="2:2">
      <c r="B12273" s="21"/>
    </row>
    <row r="12274" spans="2:2">
      <c r="B12274" s="21"/>
    </row>
    <row r="12275" spans="2:2">
      <c r="B12275" s="21"/>
    </row>
    <row r="12276" spans="2:2">
      <c r="B12276" s="21"/>
    </row>
    <row r="12277" spans="2:2">
      <c r="B12277" s="21"/>
    </row>
    <row r="12278" spans="2:2">
      <c r="B12278" s="21"/>
    </row>
    <row r="12279" spans="2:2">
      <c r="B12279" s="21"/>
    </row>
    <row r="12280" spans="2:2">
      <c r="B12280" s="21"/>
    </row>
    <row r="12281" spans="2:2">
      <c r="B12281" s="21"/>
    </row>
    <row r="12282" spans="2:2">
      <c r="B12282" s="21"/>
    </row>
    <row r="12283" spans="2:2">
      <c r="B12283" s="21"/>
    </row>
    <row r="12284" spans="2:2">
      <c r="B12284" s="21"/>
    </row>
    <row r="12285" spans="2:2">
      <c r="B12285" s="21"/>
    </row>
    <row r="12286" spans="2:2">
      <c r="B12286" s="21"/>
    </row>
    <row r="12287" spans="2:2">
      <c r="B12287" s="21"/>
    </row>
    <row r="12288" spans="2:2">
      <c r="B12288" s="21"/>
    </row>
    <row r="12289" spans="2:2">
      <c r="B12289" s="21"/>
    </row>
    <row r="12290" spans="2:2">
      <c r="B12290" s="21"/>
    </row>
    <row r="12291" spans="2:2">
      <c r="B12291" s="21"/>
    </row>
    <row r="12292" spans="2:2">
      <c r="B12292" s="21"/>
    </row>
    <row r="12293" spans="2:2">
      <c r="B12293" s="21"/>
    </row>
    <row r="12294" spans="2:2">
      <c r="B12294" s="21"/>
    </row>
    <row r="12295" spans="2:2">
      <c r="B12295" s="21"/>
    </row>
    <row r="12296" spans="2:2">
      <c r="B12296" s="21"/>
    </row>
    <row r="12297" spans="2:2">
      <c r="B12297" s="21"/>
    </row>
    <row r="12298" spans="2:2">
      <c r="B12298" s="21"/>
    </row>
    <row r="12299" spans="2:2">
      <c r="B12299" s="21"/>
    </row>
    <row r="12300" spans="2:2">
      <c r="B12300" s="21"/>
    </row>
    <row r="12301" spans="2:2">
      <c r="B12301" s="21"/>
    </row>
    <row r="12302" spans="2:2">
      <c r="B12302" s="21"/>
    </row>
    <row r="12303" spans="2:2">
      <c r="B12303" s="21"/>
    </row>
    <row r="12304" spans="2:2">
      <c r="B12304" s="21"/>
    </row>
    <row r="12305" spans="2:2">
      <c r="B12305" s="21"/>
    </row>
    <row r="12306" spans="2:2">
      <c r="B12306" s="21"/>
    </row>
    <row r="12307" spans="2:2">
      <c r="B12307" s="21"/>
    </row>
    <row r="12308" spans="2:2">
      <c r="B12308" s="21"/>
    </row>
    <row r="12309" spans="2:2">
      <c r="B12309" s="21"/>
    </row>
    <row r="12310" spans="2:2">
      <c r="B12310" s="21"/>
    </row>
    <row r="12311" spans="2:2">
      <c r="B12311" s="21"/>
    </row>
    <row r="12312" spans="2:2">
      <c r="B12312" s="21"/>
    </row>
    <row r="12313" spans="2:2">
      <c r="B12313" s="21"/>
    </row>
    <row r="12314" spans="2:2">
      <c r="B12314" s="21"/>
    </row>
    <row r="12315" spans="2:2">
      <c r="B12315" s="21"/>
    </row>
    <row r="12316" spans="2:2">
      <c r="B12316" s="21"/>
    </row>
    <row r="12317" spans="2:2">
      <c r="B12317" s="21"/>
    </row>
    <row r="12318" spans="2:2">
      <c r="B12318" s="21"/>
    </row>
    <row r="12319" spans="2:2">
      <c r="B12319" s="21"/>
    </row>
    <row r="12320" spans="2:2">
      <c r="B12320" s="21"/>
    </row>
    <row r="12321" spans="2:2">
      <c r="B12321" s="21"/>
    </row>
    <row r="12322" spans="2:2">
      <c r="B12322" s="21"/>
    </row>
    <row r="12323" spans="2:2">
      <c r="B12323" s="21"/>
    </row>
    <row r="12324" spans="2:2">
      <c r="B12324" s="21"/>
    </row>
    <row r="12325" spans="2:2">
      <c r="B12325" s="21"/>
    </row>
    <row r="12326" spans="2:2">
      <c r="B12326" s="21"/>
    </row>
    <row r="12327" spans="2:2">
      <c r="B12327" s="21"/>
    </row>
    <row r="12328" spans="2:2">
      <c r="B12328" s="21"/>
    </row>
    <row r="12329" spans="2:2">
      <c r="B12329" s="21"/>
    </row>
    <row r="12330" spans="2:2">
      <c r="B12330" s="21"/>
    </row>
    <row r="12331" spans="2:2">
      <c r="B12331" s="21"/>
    </row>
    <row r="12332" spans="2:2">
      <c r="B12332" s="21"/>
    </row>
    <row r="12333" spans="2:2">
      <c r="B12333" s="21"/>
    </row>
    <row r="12334" spans="2:2">
      <c r="B12334" s="21"/>
    </row>
    <row r="12335" spans="2:2">
      <c r="B12335" s="21"/>
    </row>
    <row r="12336" spans="2:2">
      <c r="B12336" s="21"/>
    </row>
    <row r="12337" spans="2:2">
      <c r="B12337" s="21"/>
    </row>
    <row r="12338" spans="2:2">
      <c r="B12338" s="21"/>
    </row>
    <row r="12339" spans="2:2">
      <c r="B12339" s="21"/>
    </row>
    <row r="12340" spans="2:2">
      <c r="B12340" s="21"/>
    </row>
    <row r="12341" spans="2:2">
      <c r="B12341" s="21"/>
    </row>
    <row r="12342" spans="2:2">
      <c r="B12342" s="21"/>
    </row>
    <row r="12343" spans="2:2">
      <c r="B12343" s="21"/>
    </row>
    <row r="12344" spans="2:2">
      <c r="B12344" s="21"/>
    </row>
    <row r="12345" spans="2:2">
      <c r="B12345" s="21"/>
    </row>
    <row r="12346" spans="2:2">
      <c r="B12346" s="21"/>
    </row>
    <row r="12347" spans="2:2">
      <c r="B12347" s="21"/>
    </row>
    <row r="12348" spans="2:2">
      <c r="B12348" s="21"/>
    </row>
    <row r="12349" spans="2:2">
      <c r="B12349" s="21"/>
    </row>
    <row r="12350" spans="2:2">
      <c r="B12350" s="21"/>
    </row>
    <row r="12351" spans="2:2">
      <c r="B12351" s="21"/>
    </row>
    <row r="12352" spans="2:2">
      <c r="B12352" s="21"/>
    </row>
    <row r="12353" spans="2:2">
      <c r="B12353" s="21"/>
    </row>
    <row r="12354" spans="2:2">
      <c r="B12354" s="21"/>
    </row>
    <row r="12355" spans="2:2">
      <c r="B12355" s="21"/>
    </row>
    <row r="12356" spans="2:2">
      <c r="B12356" s="21"/>
    </row>
    <row r="12357" spans="2:2">
      <c r="B12357" s="21"/>
    </row>
    <row r="12358" spans="2:2">
      <c r="B12358" s="21"/>
    </row>
    <row r="12359" spans="2:2">
      <c r="B12359" s="21"/>
    </row>
    <row r="12360" spans="2:2">
      <c r="B12360" s="21"/>
    </row>
    <row r="12361" spans="2:2">
      <c r="B12361" s="21"/>
    </row>
    <row r="12362" spans="2:2">
      <c r="B12362" s="21"/>
    </row>
    <row r="12363" spans="2:2">
      <c r="B12363" s="21"/>
    </row>
    <row r="12364" spans="2:2">
      <c r="B12364" s="21"/>
    </row>
    <row r="12365" spans="2:2">
      <c r="B12365" s="21"/>
    </row>
    <row r="12366" spans="2:2">
      <c r="B12366" s="21"/>
    </row>
    <row r="12367" spans="2:2">
      <c r="B12367" s="21"/>
    </row>
    <row r="12368" spans="2:2">
      <c r="B12368" s="21"/>
    </row>
    <row r="12369" spans="2:2">
      <c r="B12369" s="21"/>
    </row>
    <row r="12370" spans="2:2">
      <c r="B12370" s="21"/>
    </row>
    <row r="12371" spans="2:2">
      <c r="B12371" s="21"/>
    </row>
    <row r="12372" spans="2:2">
      <c r="B12372" s="21"/>
    </row>
    <row r="12373" spans="2:2">
      <c r="B12373" s="21"/>
    </row>
    <row r="12374" spans="2:2">
      <c r="B12374" s="21"/>
    </row>
    <row r="12375" spans="2:2">
      <c r="B12375" s="21"/>
    </row>
    <row r="12376" spans="2:2">
      <c r="B12376" s="21"/>
    </row>
    <row r="12377" spans="2:2">
      <c r="B12377" s="21"/>
    </row>
    <row r="12378" spans="2:2">
      <c r="B12378" s="21"/>
    </row>
    <row r="12379" spans="2:2">
      <c r="B12379" s="21"/>
    </row>
    <row r="12380" spans="2:2">
      <c r="B12380" s="21"/>
    </row>
    <row r="12381" spans="2:2">
      <c r="B12381" s="21"/>
    </row>
    <row r="12382" spans="2:2">
      <c r="B12382" s="21"/>
    </row>
    <row r="12383" spans="2:2">
      <c r="B12383" s="21"/>
    </row>
    <row r="12384" spans="2:2">
      <c r="B12384" s="21"/>
    </row>
    <row r="12385" spans="2:2">
      <c r="B12385" s="21"/>
    </row>
    <row r="12386" spans="2:2">
      <c r="B12386" s="21"/>
    </row>
    <row r="12387" spans="2:2">
      <c r="B12387" s="21"/>
    </row>
    <row r="12388" spans="2:2">
      <c r="B12388" s="21"/>
    </row>
    <row r="12389" spans="2:2">
      <c r="B12389" s="21"/>
    </row>
    <row r="12390" spans="2:2">
      <c r="B12390" s="21"/>
    </row>
    <row r="12391" spans="2:2">
      <c r="B12391" s="21"/>
    </row>
    <row r="12392" spans="2:2">
      <c r="B12392" s="21"/>
    </row>
    <row r="12393" spans="2:2">
      <c r="B12393" s="21"/>
    </row>
    <row r="12394" spans="2:2">
      <c r="B12394" s="21"/>
    </row>
    <row r="12395" spans="2:2">
      <c r="B12395" s="21"/>
    </row>
    <row r="12396" spans="2:2">
      <c r="B12396" s="21"/>
    </row>
    <row r="12397" spans="2:2">
      <c r="B12397" s="21"/>
    </row>
    <row r="12398" spans="2:2">
      <c r="B12398" s="21"/>
    </row>
    <row r="12399" spans="2:2">
      <c r="B12399" s="21"/>
    </row>
    <row r="12400" spans="2:2">
      <c r="B12400" s="21"/>
    </row>
    <row r="12401" spans="2:2">
      <c r="B12401" s="21"/>
    </row>
    <row r="12402" spans="2:2">
      <c r="B12402" s="21"/>
    </row>
    <row r="12403" spans="2:2">
      <c r="B12403" s="21"/>
    </row>
    <row r="12404" spans="2:2">
      <c r="B12404" s="21"/>
    </row>
    <row r="12405" spans="2:2">
      <c r="B12405" s="21"/>
    </row>
    <row r="12406" spans="2:2">
      <c r="B12406" s="21"/>
    </row>
    <row r="12407" spans="2:2">
      <c r="B12407" s="21"/>
    </row>
    <row r="12408" spans="2:2">
      <c r="B12408" s="21"/>
    </row>
    <row r="12409" spans="2:2">
      <c r="B12409" s="21"/>
    </row>
    <row r="12410" spans="2:2">
      <c r="B12410" s="21"/>
    </row>
    <row r="12411" spans="2:2">
      <c r="B12411" s="21"/>
    </row>
    <row r="12412" spans="2:2">
      <c r="B12412" s="21"/>
    </row>
    <row r="12413" spans="2:2">
      <c r="B12413" s="21"/>
    </row>
    <row r="12414" spans="2:2">
      <c r="B12414" s="21"/>
    </row>
    <row r="12415" spans="2:2">
      <c r="B12415" s="21"/>
    </row>
    <row r="12416" spans="2:2">
      <c r="B12416" s="21"/>
    </row>
    <row r="12417" spans="2:2">
      <c r="B12417" s="21"/>
    </row>
    <row r="12418" spans="2:2">
      <c r="B12418" s="21"/>
    </row>
    <row r="12419" spans="2:2">
      <c r="B12419" s="21"/>
    </row>
    <row r="12420" spans="2:2">
      <c r="B12420" s="21"/>
    </row>
    <row r="12421" spans="2:2">
      <c r="B12421" s="21"/>
    </row>
    <row r="12422" spans="2:2">
      <c r="B12422" s="21"/>
    </row>
    <row r="12423" spans="2:2">
      <c r="B12423" s="21"/>
    </row>
    <row r="12424" spans="2:2">
      <c r="B12424" s="21"/>
    </row>
    <row r="12425" spans="2:2">
      <c r="B12425" s="21"/>
    </row>
    <row r="12426" spans="2:2">
      <c r="B12426" s="21"/>
    </row>
    <row r="12427" spans="2:2">
      <c r="B12427" s="21"/>
    </row>
    <row r="12428" spans="2:2">
      <c r="B12428" s="21"/>
    </row>
    <row r="12429" spans="2:2">
      <c r="B12429" s="21"/>
    </row>
    <row r="12430" spans="2:2">
      <c r="B12430" s="21"/>
    </row>
    <row r="12431" spans="2:2">
      <c r="B12431" s="21"/>
    </row>
    <row r="12432" spans="2:2">
      <c r="B12432" s="21"/>
    </row>
    <row r="12433" spans="2:2">
      <c r="B12433" s="21"/>
    </row>
    <row r="12434" spans="2:2">
      <c r="B12434" s="21"/>
    </row>
    <row r="12435" spans="2:2">
      <c r="B12435" s="21"/>
    </row>
    <row r="12436" spans="2:2">
      <c r="B12436" s="21"/>
    </row>
    <row r="12437" spans="2:2">
      <c r="B12437" s="21"/>
    </row>
    <row r="12438" spans="2:2">
      <c r="B12438" s="21"/>
    </row>
    <row r="12439" spans="2:2">
      <c r="B12439" s="21"/>
    </row>
    <row r="12440" spans="2:2">
      <c r="B12440" s="21"/>
    </row>
    <row r="12441" spans="2:2">
      <c r="B12441" s="21"/>
    </row>
    <row r="12442" spans="2:2">
      <c r="B12442" s="21"/>
    </row>
    <row r="12443" spans="2:2">
      <c r="B12443" s="21"/>
    </row>
    <row r="12444" spans="2:2">
      <c r="B12444" s="21"/>
    </row>
    <row r="12445" spans="2:2">
      <c r="B12445" s="21"/>
    </row>
    <row r="12446" spans="2:2">
      <c r="B12446" s="21"/>
    </row>
    <row r="12447" spans="2:2">
      <c r="B12447" s="21"/>
    </row>
    <row r="12448" spans="2:2">
      <c r="B12448" s="21"/>
    </row>
    <row r="12449" spans="2:2">
      <c r="B12449" s="21"/>
    </row>
    <row r="12450" spans="2:2">
      <c r="B12450" s="21"/>
    </row>
    <row r="12451" spans="2:2">
      <c r="B12451" s="21"/>
    </row>
    <row r="12452" spans="2:2">
      <c r="B12452" s="21"/>
    </row>
    <row r="12453" spans="2:2">
      <c r="B12453" s="21"/>
    </row>
    <row r="12454" spans="2:2">
      <c r="B12454" s="21"/>
    </row>
    <row r="12455" spans="2:2">
      <c r="B12455" s="21"/>
    </row>
    <row r="12456" spans="2:2">
      <c r="B12456" s="21"/>
    </row>
    <row r="12457" spans="2:2">
      <c r="B12457" s="21"/>
    </row>
    <row r="12458" spans="2:2">
      <c r="B12458" s="21"/>
    </row>
    <row r="12459" spans="2:2">
      <c r="B12459" s="21"/>
    </row>
    <row r="12460" spans="2:2">
      <c r="B12460" s="21"/>
    </row>
    <row r="12461" spans="2:2">
      <c r="B12461" s="21"/>
    </row>
    <row r="12462" spans="2:2">
      <c r="B12462" s="21"/>
    </row>
    <row r="12463" spans="2:2">
      <c r="B12463" s="21"/>
    </row>
    <row r="12464" spans="2:2">
      <c r="B12464" s="21"/>
    </row>
    <row r="12465" spans="2:2">
      <c r="B12465" s="21"/>
    </row>
    <row r="12466" spans="2:2">
      <c r="B12466" s="21"/>
    </row>
    <row r="12467" spans="2:2">
      <c r="B12467" s="21"/>
    </row>
    <row r="12468" spans="2:2">
      <c r="B12468" s="21"/>
    </row>
    <row r="12469" spans="2:2">
      <c r="B12469" s="21"/>
    </row>
    <row r="12470" spans="2:2">
      <c r="B12470" s="21"/>
    </row>
    <row r="12471" spans="2:2">
      <c r="B12471" s="21"/>
    </row>
    <row r="12472" spans="2:2">
      <c r="B12472" s="21"/>
    </row>
    <row r="12473" spans="2:2">
      <c r="B12473" s="21"/>
    </row>
    <row r="12474" spans="2:2">
      <c r="B12474" s="21"/>
    </row>
    <row r="12475" spans="2:2">
      <c r="B12475" s="21"/>
    </row>
    <row r="12476" spans="2:2">
      <c r="B12476" s="21"/>
    </row>
    <row r="12477" spans="2:2">
      <c r="B12477" s="21"/>
    </row>
    <row r="12478" spans="2:2">
      <c r="B12478" s="21"/>
    </row>
    <row r="12479" spans="2:2">
      <c r="B12479" s="21"/>
    </row>
    <row r="12480" spans="2:2">
      <c r="B12480" s="21"/>
    </row>
    <row r="12481" spans="2:2">
      <c r="B12481" s="21"/>
    </row>
    <row r="12482" spans="2:2">
      <c r="B12482" s="21"/>
    </row>
    <row r="12483" spans="2:2">
      <c r="B12483" s="21"/>
    </row>
    <row r="12484" spans="2:2">
      <c r="B12484" s="21"/>
    </row>
    <row r="12485" spans="2:2">
      <c r="B12485" s="21"/>
    </row>
    <row r="12486" spans="2:2">
      <c r="B12486" s="21"/>
    </row>
    <row r="12487" spans="2:2">
      <c r="B12487" s="21"/>
    </row>
    <row r="12488" spans="2:2">
      <c r="B12488" s="21"/>
    </row>
    <row r="12489" spans="2:2">
      <c r="B12489" s="21"/>
    </row>
    <row r="12490" spans="2:2">
      <c r="B12490" s="21"/>
    </row>
    <row r="12491" spans="2:2">
      <c r="B12491" s="21"/>
    </row>
    <row r="12492" spans="2:2">
      <c r="B12492" s="21"/>
    </row>
    <row r="12493" spans="2:2">
      <c r="B12493" s="21"/>
    </row>
    <row r="12494" spans="2:2">
      <c r="B12494" s="21"/>
    </row>
    <row r="12495" spans="2:2">
      <c r="B12495" s="21"/>
    </row>
    <row r="12496" spans="2:2">
      <c r="B12496" s="21"/>
    </row>
    <row r="12497" spans="2:2">
      <c r="B12497" s="21"/>
    </row>
    <row r="12498" spans="2:2">
      <c r="B12498" s="21"/>
    </row>
    <row r="12499" spans="2:2">
      <c r="B12499" s="21"/>
    </row>
    <row r="12500" spans="2:2">
      <c r="B12500" s="21"/>
    </row>
    <row r="12501" spans="2:2">
      <c r="B12501" s="21"/>
    </row>
    <row r="12502" spans="2:2">
      <c r="B12502" s="21"/>
    </row>
    <row r="12503" spans="2:2">
      <c r="B12503" s="21"/>
    </row>
    <row r="12504" spans="2:2">
      <c r="B12504" s="21"/>
    </row>
    <row r="12505" spans="2:2">
      <c r="B12505" s="21"/>
    </row>
    <row r="12506" spans="2:2">
      <c r="B12506" s="21"/>
    </row>
    <row r="12507" spans="2:2">
      <c r="B12507" s="21"/>
    </row>
    <row r="12508" spans="2:2">
      <c r="B12508" s="21"/>
    </row>
    <row r="12509" spans="2:2">
      <c r="B12509" s="21"/>
    </row>
    <row r="12510" spans="2:2">
      <c r="B12510" s="21"/>
    </row>
    <row r="12511" spans="2:2">
      <c r="B12511" s="21"/>
    </row>
    <row r="12512" spans="2:2">
      <c r="B12512" s="21"/>
    </row>
    <row r="12513" spans="2:2">
      <c r="B12513" s="21"/>
    </row>
    <row r="12514" spans="2:2">
      <c r="B12514" s="21"/>
    </row>
    <row r="12515" spans="2:2">
      <c r="B12515" s="21"/>
    </row>
    <row r="12516" spans="2:2">
      <c r="B12516" s="21"/>
    </row>
    <row r="12517" spans="2:2">
      <c r="B12517" s="21"/>
    </row>
    <row r="12518" spans="2:2">
      <c r="B12518" s="21"/>
    </row>
    <row r="12519" spans="2:2">
      <c r="B12519" s="21"/>
    </row>
    <row r="12520" spans="2:2">
      <c r="B12520" s="21"/>
    </row>
    <row r="12521" spans="2:2">
      <c r="B12521" s="21"/>
    </row>
    <row r="12522" spans="2:2">
      <c r="B12522" s="21"/>
    </row>
    <row r="12523" spans="2:2">
      <c r="B12523" s="21"/>
    </row>
    <row r="12524" spans="2:2">
      <c r="B12524" s="21"/>
    </row>
    <row r="12525" spans="2:2">
      <c r="B12525" s="21"/>
    </row>
    <row r="12526" spans="2:2">
      <c r="B12526" s="21"/>
    </row>
    <row r="12527" spans="2:2">
      <c r="B12527" s="21"/>
    </row>
    <row r="12528" spans="2:2">
      <c r="B12528" s="21"/>
    </row>
    <row r="12529" spans="2:2">
      <c r="B12529" s="21"/>
    </row>
    <row r="12530" spans="2:2">
      <c r="B12530" s="21"/>
    </row>
    <row r="12531" spans="2:2">
      <c r="B12531" s="21"/>
    </row>
    <row r="12532" spans="2:2">
      <c r="B12532" s="21"/>
    </row>
    <row r="12533" spans="2:2">
      <c r="B12533" s="21"/>
    </row>
    <row r="12534" spans="2:2">
      <c r="B12534" s="21"/>
    </row>
    <row r="12535" spans="2:2">
      <c r="B12535" s="21"/>
    </row>
    <row r="12536" spans="2:2">
      <c r="B12536" s="21"/>
    </row>
    <row r="12537" spans="2:2">
      <c r="B12537" s="21"/>
    </row>
    <row r="12538" spans="2:2">
      <c r="B12538" s="21"/>
    </row>
    <row r="12539" spans="2:2">
      <c r="B12539" s="21"/>
    </row>
    <row r="12540" spans="2:2">
      <c r="B12540" s="21"/>
    </row>
    <row r="12541" spans="2:2">
      <c r="B12541" s="21"/>
    </row>
    <row r="12542" spans="2:2">
      <c r="B12542" s="21"/>
    </row>
    <row r="12543" spans="2:2">
      <c r="B12543" s="21"/>
    </row>
    <row r="12544" spans="2:2">
      <c r="B12544" s="21"/>
    </row>
    <row r="12545" spans="2:2">
      <c r="B12545" s="21"/>
    </row>
    <row r="12546" spans="2:2">
      <c r="B12546" s="21"/>
    </row>
    <row r="12547" spans="2:2">
      <c r="B12547" s="21"/>
    </row>
    <row r="12548" spans="2:2">
      <c r="B12548" s="21"/>
    </row>
    <row r="12549" spans="2:2">
      <c r="B12549" s="21"/>
    </row>
    <row r="12550" spans="2:2">
      <c r="B12550" s="21"/>
    </row>
    <row r="12551" spans="2:2">
      <c r="B12551" s="21"/>
    </row>
    <row r="12552" spans="2:2">
      <c r="B12552" s="21"/>
    </row>
    <row r="12553" spans="2:2">
      <c r="B12553" s="21"/>
    </row>
    <row r="12554" spans="2:2">
      <c r="B12554" s="21"/>
    </row>
    <row r="12555" spans="2:2">
      <c r="B12555" s="21"/>
    </row>
    <row r="12556" spans="2:2">
      <c r="B12556" s="21"/>
    </row>
    <row r="12557" spans="2:2">
      <c r="B12557" s="21"/>
    </row>
    <row r="12558" spans="2:2">
      <c r="B12558" s="21"/>
    </row>
    <row r="12559" spans="2:2">
      <c r="B12559" s="21"/>
    </row>
    <row r="12560" spans="2:2">
      <c r="B12560" s="21"/>
    </row>
    <row r="12561" spans="2:2">
      <c r="B12561" s="21"/>
    </row>
    <row r="12562" spans="2:2">
      <c r="B12562" s="21"/>
    </row>
    <row r="12563" spans="2:2">
      <c r="B12563" s="21"/>
    </row>
    <row r="12564" spans="2:2">
      <c r="B12564" s="21"/>
    </row>
    <row r="12565" spans="2:2">
      <c r="B12565" s="21"/>
    </row>
    <row r="12566" spans="2:2">
      <c r="B12566" s="21"/>
    </row>
    <row r="12567" spans="2:2">
      <c r="B12567" s="21"/>
    </row>
    <row r="12568" spans="2:2">
      <c r="B12568" s="21"/>
    </row>
    <row r="12569" spans="2:2">
      <c r="B12569" s="21"/>
    </row>
    <row r="12570" spans="2:2">
      <c r="B12570" s="21"/>
    </row>
    <row r="12571" spans="2:2">
      <c r="B12571" s="21"/>
    </row>
    <row r="12572" spans="2:2">
      <c r="B12572" s="21"/>
    </row>
    <row r="12573" spans="2:2">
      <c r="B12573" s="21"/>
    </row>
    <row r="12574" spans="2:2">
      <c r="B12574" s="21"/>
    </row>
    <row r="12575" spans="2:2">
      <c r="B12575" s="21"/>
    </row>
    <row r="12576" spans="2:2">
      <c r="B12576" s="21"/>
    </row>
    <row r="12577" spans="2:2">
      <c r="B12577" s="21"/>
    </row>
    <row r="12578" spans="2:2">
      <c r="B12578" s="21"/>
    </row>
    <row r="12579" spans="2:2">
      <c r="B12579" s="21"/>
    </row>
    <row r="12580" spans="2:2">
      <c r="B12580" s="21"/>
    </row>
    <row r="12581" spans="2:2">
      <c r="B12581" s="21"/>
    </row>
    <row r="12582" spans="2:2">
      <c r="B12582" s="21"/>
    </row>
    <row r="12583" spans="2:2">
      <c r="B12583" s="21"/>
    </row>
    <row r="12584" spans="2:2">
      <c r="B12584" s="21"/>
    </row>
    <row r="12585" spans="2:2">
      <c r="B12585" s="21"/>
    </row>
    <row r="12586" spans="2:2">
      <c r="B12586" s="21"/>
    </row>
    <row r="12587" spans="2:2">
      <c r="B12587" s="21"/>
    </row>
    <row r="12588" spans="2:2">
      <c r="B12588" s="21"/>
    </row>
    <row r="12589" spans="2:2">
      <c r="B12589" s="21"/>
    </row>
    <row r="12590" spans="2:2">
      <c r="B12590" s="21"/>
    </row>
    <row r="12591" spans="2:2">
      <c r="B12591" s="21"/>
    </row>
    <row r="12592" spans="2:2">
      <c r="B12592" s="21"/>
    </row>
    <row r="12593" spans="2:2">
      <c r="B12593" s="21"/>
    </row>
    <row r="12594" spans="2:2">
      <c r="B12594" s="21"/>
    </row>
    <row r="12595" spans="2:2">
      <c r="B12595" s="21"/>
    </row>
    <row r="12596" spans="2:2">
      <c r="B12596" s="21"/>
    </row>
    <row r="12597" spans="2:2">
      <c r="B12597" s="21"/>
    </row>
    <row r="12598" spans="2:2">
      <c r="B12598" s="21"/>
    </row>
    <row r="12599" spans="2:2">
      <c r="B12599" s="21"/>
    </row>
    <row r="12600" spans="2:2">
      <c r="B12600" s="21"/>
    </row>
    <row r="12601" spans="2:2">
      <c r="B12601" s="21"/>
    </row>
    <row r="12602" spans="2:2">
      <c r="B12602" s="21"/>
    </row>
    <row r="12603" spans="2:2">
      <c r="B12603" s="21"/>
    </row>
    <row r="12604" spans="2:2">
      <c r="B12604" s="21"/>
    </row>
    <row r="12605" spans="2:2">
      <c r="B12605" s="21"/>
    </row>
    <row r="12606" spans="2:2">
      <c r="B12606" s="21"/>
    </row>
    <row r="12607" spans="2:2">
      <c r="B12607" s="21"/>
    </row>
    <row r="12608" spans="2:2">
      <c r="B12608" s="21"/>
    </row>
    <row r="12609" spans="2:2">
      <c r="B12609" s="21"/>
    </row>
    <row r="12610" spans="2:2">
      <c r="B12610" s="21"/>
    </row>
    <row r="12611" spans="2:2">
      <c r="B12611" s="21"/>
    </row>
    <row r="12612" spans="2:2">
      <c r="B12612" s="21"/>
    </row>
    <row r="12613" spans="2:2">
      <c r="B12613" s="21"/>
    </row>
    <row r="12614" spans="2:2">
      <c r="B12614" s="21"/>
    </row>
    <row r="12615" spans="2:2">
      <c r="B12615" s="21"/>
    </row>
    <row r="12616" spans="2:2">
      <c r="B12616" s="21"/>
    </row>
    <row r="12617" spans="2:2">
      <c r="B12617" s="21"/>
    </row>
    <row r="12618" spans="2:2">
      <c r="B12618" s="21"/>
    </row>
    <row r="12619" spans="2:2">
      <c r="B12619" s="21"/>
    </row>
    <row r="12620" spans="2:2">
      <c r="B12620" s="21"/>
    </row>
    <row r="12621" spans="2:2">
      <c r="B12621" s="21"/>
    </row>
    <row r="12622" spans="2:2">
      <c r="B12622" s="21"/>
    </row>
    <row r="12623" spans="2:2">
      <c r="B12623" s="21"/>
    </row>
    <row r="12624" spans="2:2">
      <c r="B12624" s="21"/>
    </row>
    <row r="12625" spans="2:2">
      <c r="B12625" s="21"/>
    </row>
    <row r="12626" spans="2:2">
      <c r="B12626" s="21"/>
    </row>
    <row r="12627" spans="2:2">
      <c r="B12627" s="21"/>
    </row>
    <row r="12628" spans="2:2">
      <c r="B12628" s="21"/>
    </row>
    <row r="12629" spans="2:2">
      <c r="B12629" s="21"/>
    </row>
    <row r="12630" spans="2:2">
      <c r="B12630" s="21"/>
    </row>
    <row r="12631" spans="2:2">
      <c r="B12631" s="21"/>
    </row>
    <row r="12632" spans="2:2">
      <c r="B12632" s="21"/>
    </row>
    <row r="12633" spans="2:2">
      <c r="B12633" s="21"/>
    </row>
    <row r="12634" spans="2:2">
      <c r="B12634" s="21"/>
    </row>
    <row r="12635" spans="2:2">
      <c r="B12635" s="21"/>
    </row>
    <row r="12636" spans="2:2">
      <c r="B12636" s="21"/>
    </row>
    <row r="12637" spans="2:2">
      <c r="B12637" s="21"/>
    </row>
    <row r="12638" spans="2:2">
      <c r="B12638" s="21"/>
    </row>
    <row r="12639" spans="2:2">
      <c r="B12639" s="21"/>
    </row>
    <row r="12640" spans="2:2">
      <c r="B12640" s="21"/>
    </row>
    <row r="12641" spans="2:2">
      <c r="B12641" s="21"/>
    </row>
    <row r="12642" spans="2:2">
      <c r="B12642" s="21"/>
    </row>
    <row r="12643" spans="2:2">
      <c r="B12643" s="21"/>
    </row>
    <row r="12644" spans="2:2">
      <c r="B12644" s="21"/>
    </row>
    <row r="12645" spans="2:2">
      <c r="B12645" s="21"/>
    </row>
    <row r="12646" spans="2:2">
      <c r="B12646" s="21"/>
    </row>
    <row r="12647" spans="2:2">
      <c r="B12647" s="21"/>
    </row>
    <row r="12648" spans="2:2">
      <c r="B12648" s="21"/>
    </row>
    <row r="12649" spans="2:2">
      <c r="B12649" s="21"/>
    </row>
    <row r="12650" spans="2:2">
      <c r="B12650" s="21"/>
    </row>
    <row r="12651" spans="2:2">
      <c r="B12651" s="21"/>
    </row>
    <row r="12652" spans="2:2">
      <c r="B12652" s="21"/>
    </row>
    <row r="12653" spans="2:2">
      <c r="B12653" s="21"/>
    </row>
    <row r="12654" spans="2:2">
      <c r="B12654" s="21"/>
    </row>
    <row r="12655" spans="2:2">
      <c r="B12655" s="21"/>
    </row>
    <row r="12656" spans="2:2">
      <c r="B12656" s="21"/>
    </row>
    <row r="12657" spans="2:2">
      <c r="B12657" s="21"/>
    </row>
    <row r="12658" spans="2:2">
      <c r="B12658" s="21"/>
    </row>
    <row r="12659" spans="2:2">
      <c r="B12659" s="21"/>
    </row>
    <row r="12660" spans="2:2">
      <c r="B12660" s="21"/>
    </row>
    <row r="12661" spans="2:2">
      <c r="B12661" s="21"/>
    </row>
    <row r="12662" spans="2:2">
      <c r="B12662" s="21"/>
    </row>
    <row r="12663" spans="2:2">
      <c r="B12663" s="21"/>
    </row>
    <row r="12664" spans="2:2">
      <c r="B12664" s="21"/>
    </row>
    <row r="12665" spans="2:2">
      <c r="B12665" s="21"/>
    </row>
    <row r="12666" spans="2:2">
      <c r="B12666" s="21"/>
    </row>
    <row r="12667" spans="2:2">
      <c r="B12667" s="21"/>
    </row>
    <row r="12668" spans="2:2">
      <c r="B12668" s="21"/>
    </row>
    <row r="12669" spans="2:2">
      <c r="B12669" s="21"/>
    </row>
    <row r="12670" spans="2:2">
      <c r="B12670" s="21"/>
    </row>
    <row r="12671" spans="2:2">
      <c r="B12671" s="21"/>
    </row>
    <row r="12672" spans="2:2">
      <c r="B12672" s="21"/>
    </row>
    <row r="12673" spans="2:2">
      <c r="B12673" s="21"/>
    </row>
    <row r="12674" spans="2:2">
      <c r="B12674" s="21"/>
    </row>
    <row r="12675" spans="2:2">
      <c r="B12675" s="21"/>
    </row>
    <row r="12676" spans="2:2">
      <c r="B12676" s="21"/>
    </row>
    <row r="12677" spans="2:2">
      <c r="B12677" s="21"/>
    </row>
    <row r="12678" spans="2:2">
      <c r="B12678" s="21"/>
    </row>
    <row r="12679" spans="2:2">
      <c r="B12679" s="21"/>
    </row>
    <row r="12680" spans="2:2">
      <c r="B12680" s="21"/>
    </row>
    <row r="12681" spans="2:2">
      <c r="B12681" s="21"/>
    </row>
    <row r="12682" spans="2:2">
      <c r="B12682" s="21"/>
    </row>
    <row r="12683" spans="2:2">
      <c r="B12683" s="21"/>
    </row>
    <row r="12684" spans="2:2">
      <c r="B12684" s="21"/>
    </row>
    <row r="12685" spans="2:2">
      <c r="B12685" s="21"/>
    </row>
    <row r="12686" spans="2:2">
      <c r="B12686" s="21"/>
    </row>
    <row r="12687" spans="2:2">
      <c r="B12687" s="21"/>
    </row>
    <row r="12688" spans="2:2">
      <c r="B12688" s="21"/>
    </row>
    <row r="12689" spans="2:2">
      <c r="B12689" s="21"/>
    </row>
    <row r="12690" spans="2:2">
      <c r="B12690" s="21"/>
    </row>
    <row r="12691" spans="2:2">
      <c r="B12691" s="21"/>
    </row>
    <row r="12692" spans="2:2">
      <c r="B12692" s="21"/>
    </row>
    <row r="12693" spans="2:2">
      <c r="B12693" s="21"/>
    </row>
    <row r="12694" spans="2:2">
      <c r="B12694" s="21"/>
    </row>
    <row r="12695" spans="2:2">
      <c r="B12695" s="21"/>
    </row>
    <row r="12696" spans="2:2">
      <c r="B12696" s="21"/>
    </row>
    <row r="12697" spans="2:2">
      <c r="B12697" s="21"/>
    </row>
    <row r="12698" spans="2:2">
      <c r="B12698" s="21"/>
    </row>
    <row r="12699" spans="2:2">
      <c r="B12699" s="21"/>
    </row>
    <row r="12700" spans="2:2">
      <c r="B12700" s="21"/>
    </row>
    <row r="12701" spans="2:2">
      <c r="B12701" s="21"/>
    </row>
    <row r="12702" spans="2:2">
      <c r="B12702" s="21"/>
    </row>
    <row r="12703" spans="2:2">
      <c r="B12703" s="21"/>
    </row>
    <row r="12704" spans="2:2">
      <c r="B12704" s="21"/>
    </row>
    <row r="12705" spans="2:2">
      <c r="B12705" s="21"/>
    </row>
    <row r="12706" spans="2:2">
      <c r="B12706" s="21"/>
    </row>
    <row r="12707" spans="2:2">
      <c r="B12707" s="21"/>
    </row>
    <row r="12708" spans="2:2">
      <c r="B12708" s="21"/>
    </row>
    <row r="12709" spans="2:2">
      <c r="B12709" s="21"/>
    </row>
    <row r="12710" spans="2:2">
      <c r="B12710" s="21"/>
    </row>
    <row r="12711" spans="2:2">
      <c r="B12711" s="21"/>
    </row>
    <row r="12712" spans="2:2">
      <c r="B12712" s="21"/>
    </row>
    <row r="12713" spans="2:2">
      <c r="B12713" s="21"/>
    </row>
    <row r="12714" spans="2:2">
      <c r="B12714" s="21"/>
    </row>
    <row r="12715" spans="2:2">
      <c r="B12715" s="21"/>
    </row>
    <row r="12716" spans="2:2">
      <c r="B12716" s="21"/>
    </row>
    <row r="12717" spans="2:2">
      <c r="B12717" s="21"/>
    </row>
    <row r="12718" spans="2:2">
      <c r="B12718" s="21"/>
    </row>
    <row r="12719" spans="2:2">
      <c r="B12719" s="21"/>
    </row>
    <row r="12720" spans="2:2">
      <c r="B12720" s="21"/>
    </row>
    <row r="12721" spans="2:2">
      <c r="B12721" s="21"/>
    </row>
    <row r="12722" spans="2:2">
      <c r="B12722" s="21"/>
    </row>
    <row r="12723" spans="2:2">
      <c r="B12723" s="21"/>
    </row>
    <row r="12724" spans="2:2">
      <c r="B12724" s="21"/>
    </row>
    <row r="12725" spans="2:2">
      <c r="B12725" s="21"/>
    </row>
    <row r="12726" spans="2:2">
      <c r="B12726" s="21"/>
    </row>
    <row r="12727" spans="2:2">
      <c r="B12727" s="21"/>
    </row>
    <row r="12728" spans="2:2">
      <c r="B12728" s="21"/>
    </row>
    <row r="12729" spans="2:2">
      <c r="B12729" s="21"/>
    </row>
    <row r="12730" spans="2:2">
      <c r="B12730" s="21"/>
    </row>
    <row r="12731" spans="2:2">
      <c r="B12731" s="21"/>
    </row>
    <row r="12732" spans="2:2">
      <c r="B12732" s="21"/>
    </row>
    <row r="12733" spans="2:2">
      <c r="B12733" s="21"/>
    </row>
    <row r="12734" spans="2:2">
      <c r="B12734" s="21"/>
    </row>
    <row r="12735" spans="2:2">
      <c r="B12735" s="21"/>
    </row>
    <row r="12736" spans="2:2">
      <c r="B12736" s="21"/>
    </row>
    <row r="12737" spans="2:2">
      <c r="B12737" s="21"/>
    </row>
    <row r="12738" spans="2:2">
      <c r="B12738" s="21"/>
    </row>
    <row r="12739" spans="2:2">
      <c r="B12739" s="21"/>
    </row>
    <row r="12740" spans="2:2">
      <c r="B12740" s="21"/>
    </row>
    <row r="12741" spans="2:2">
      <c r="B12741" s="21"/>
    </row>
    <row r="12742" spans="2:2">
      <c r="B12742" s="21"/>
    </row>
    <row r="12743" spans="2:2">
      <c r="B12743" s="21"/>
    </row>
    <row r="12744" spans="2:2">
      <c r="B12744" s="21"/>
    </row>
    <row r="12745" spans="2:2">
      <c r="B12745" s="21"/>
    </row>
    <row r="12746" spans="2:2">
      <c r="B12746" s="21"/>
    </row>
    <row r="12747" spans="2:2">
      <c r="B12747" s="21"/>
    </row>
    <row r="12748" spans="2:2">
      <c r="B12748" s="21"/>
    </row>
    <row r="12749" spans="2:2">
      <c r="B12749" s="21"/>
    </row>
    <row r="12750" spans="2:2">
      <c r="B12750" s="21"/>
    </row>
    <row r="12751" spans="2:2">
      <c r="B12751" s="21"/>
    </row>
    <row r="12752" spans="2:2">
      <c r="B12752" s="21"/>
    </row>
    <row r="12753" spans="2:2">
      <c r="B12753" s="21"/>
    </row>
    <row r="12754" spans="2:2">
      <c r="B12754" s="21"/>
    </row>
    <row r="12755" spans="2:2">
      <c r="B12755" s="21"/>
    </row>
    <row r="12756" spans="2:2">
      <c r="B12756" s="21"/>
    </row>
    <row r="12757" spans="2:2">
      <c r="B12757" s="21"/>
    </row>
    <row r="12758" spans="2:2">
      <c r="B12758" s="21"/>
    </row>
    <row r="12759" spans="2:2">
      <c r="B12759" s="21"/>
    </row>
    <row r="12760" spans="2:2">
      <c r="B12760" s="21"/>
    </row>
    <row r="12761" spans="2:2">
      <c r="B12761" s="21"/>
    </row>
    <row r="12762" spans="2:2">
      <c r="B12762" s="21"/>
    </row>
    <row r="12763" spans="2:2">
      <c r="B12763" s="21"/>
    </row>
    <row r="12764" spans="2:2">
      <c r="B12764" s="21"/>
    </row>
    <row r="12765" spans="2:2">
      <c r="B12765" s="21"/>
    </row>
    <row r="12766" spans="2:2">
      <c r="B12766" s="21"/>
    </row>
    <row r="12767" spans="2:2">
      <c r="B12767" s="21"/>
    </row>
    <row r="12768" spans="2:2">
      <c r="B12768" s="21"/>
    </row>
    <row r="12769" spans="2:2">
      <c r="B12769" s="21"/>
    </row>
    <row r="12770" spans="2:2">
      <c r="B12770" s="21"/>
    </row>
    <row r="12771" spans="2:2">
      <c r="B12771" s="21"/>
    </row>
    <row r="12772" spans="2:2">
      <c r="B12772" s="21"/>
    </row>
    <row r="12773" spans="2:2">
      <c r="B12773" s="21"/>
    </row>
    <row r="12774" spans="2:2">
      <c r="B12774" s="21"/>
    </row>
    <row r="12775" spans="2:2">
      <c r="B12775" s="21"/>
    </row>
    <row r="12776" spans="2:2">
      <c r="B12776" s="21"/>
    </row>
    <row r="12777" spans="2:2">
      <c r="B12777" s="21"/>
    </row>
    <row r="12778" spans="2:2">
      <c r="B12778" s="21"/>
    </row>
    <row r="12779" spans="2:2">
      <c r="B12779" s="21"/>
    </row>
    <row r="12780" spans="2:2">
      <c r="B12780" s="21"/>
    </row>
    <row r="12781" spans="2:2">
      <c r="B12781" s="21"/>
    </row>
    <row r="12782" spans="2:2">
      <c r="B12782" s="21"/>
    </row>
    <row r="12783" spans="2:2">
      <c r="B12783" s="21"/>
    </row>
    <row r="12784" spans="2:2">
      <c r="B12784" s="21"/>
    </row>
    <row r="12785" spans="2:2">
      <c r="B12785" s="21"/>
    </row>
    <row r="12786" spans="2:2">
      <c r="B12786" s="21"/>
    </row>
    <row r="12787" spans="2:2">
      <c r="B12787" s="21"/>
    </row>
    <row r="12788" spans="2:2">
      <c r="B12788" s="21"/>
    </row>
    <row r="12789" spans="2:2">
      <c r="B12789" s="21"/>
    </row>
    <row r="12790" spans="2:2">
      <c r="B12790" s="21"/>
    </row>
    <row r="12791" spans="2:2">
      <c r="B12791" s="21"/>
    </row>
    <row r="12792" spans="2:2">
      <c r="B12792" s="21"/>
    </row>
    <row r="12793" spans="2:2">
      <c r="B12793" s="21"/>
    </row>
    <row r="12794" spans="2:2">
      <c r="B12794" s="21"/>
    </row>
    <row r="12795" spans="2:2">
      <c r="B12795" s="21"/>
    </row>
    <row r="12796" spans="2:2">
      <c r="B12796" s="21"/>
    </row>
    <row r="12797" spans="2:2">
      <c r="B12797" s="21"/>
    </row>
    <row r="12798" spans="2:2">
      <c r="B12798" s="21"/>
    </row>
    <row r="12799" spans="2:2">
      <c r="B12799" s="21"/>
    </row>
    <row r="12800" spans="2:2">
      <c r="B12800" s="21"/>
    </row>
    <row r="12801" spans="2:2">
      <c r="B12801" s="21"/>
    </row>
    <row r="12802" spans="2:2">
      <c r="B12802" s="21"/>
    </row>
    <row r="12803" spans="2:2">
      <c r="B12803" s="21"/>
    </row>
    <row r="12804" spans="2:2">
      <c r="B12804" s="21"/>
    </row>
    <row r="12805" spans="2:2">
      <c r="B12805" s="21"/>
    </row>
    <row r="12806" spans="2:2">
      <c r="B12806" s="21"/>
    </row>
    <row r="12807" spans="2:2">
      <c r="B12807" s="21"/>
    </row>
    <row r="12808" spans="2:2">
      <c r="B12808" s="21"/>
    </row>
    <row r="12809" spans="2:2">
      <c r="B12809" s="21"/>
    </row>
    <row r="12810" spans="2:2">
      <c r="B12810" s="21"/>
    </row>
    <row r="12811" spans="2:2">
      <c r="B12811" s="21"/>
    </row>
    <row r="12812" spans="2:2">
      <c r="B12812" s="21"/>
    </row>
    <row r="12813" spans="2:2">
      <c r="B12813" s="21"/>
    </row>
    <row r="12814" spans="2:2">
      <c r="B12814" s="21"/>
    </row>
    <row r="12815" spans="2:2">
      <c r="B12815" s="21"/>
    </row>
    <row r="12816" spans="2:2">
      <c r="B12816" s="21"/>
    </row>
    <row r="12817" spans="2:2">
      <c r="B12817" s="21"/>
    </row>
    <row r="12818" spans="2:2">
      <c r="B12818" s="21"/>
    </row>
    <row r="12819" spans="2:2">
      <c r="B12819" s="21"/>
    </row>
    <row r="12820" spans="2:2">
      <c r="B12820" s="21"/>
    </row>
    <row r="12821" spans="2:2">
      <c r="B12821" s="21"/>
    </row>
    <row r="12822" spans="2:2">
      <c r="B12822" s="21"/>
    </row>
    <row r="12823" spans="2:2">
      <c r="B12823" s="21"/>
    </row>
    <row r="12824" spans="2:2">
      <c r="B12824" s="21"/>
    </row>
    <row r="12825" spans="2:2">
      <c r="B12825" s="21"/>
    </row>
    <row r="12826" spans="2:2">
      <c r="B12826" s="21"/>
    </row>
    <row r="12827" spans="2:2">
      <c r="B12827" s="21"/>
    </row>
    <row r="12828" spans="2:2">
      <c r="B12828" s="21"/>
    </row>
    <row r="12829" spans="2:2">
      <c r="B12829" s="21"/>
    </row>
    <row r="12830" spans="2:2">
      <c r="B12830" s="21"/>
    </row>
    <row r="12831" spans="2:2">
      <c r="B12831" s="21"/>
    </row>
    <row r="12832" spans="2:2">
      <c r="B12832" s="21"/>
    </row>
    <row r="12833" spans="2:2">
      <c r="B12833" s="21"/>
    </row>
    <row r="12834" spans="2:2">
      <c r="B12834" s="21"/>
    </row>
    <row r="12835" spans="2:2">
      <c r="B12835" s="21"/>
    </row>
    <row r="12836" spans="2:2">
      <c r="B12836" s="21"/>
    </row>
    <row r="12837" spans="2:2">
      <c r="B12837" s="21"/>
    </row>
    <row r="12838" spans="2:2">
      <c r="B12838" s="21"/>
    </row>
    <row r="12839" spans="2:2">
      <c r="B12839" s="21"/>
    </row>
    <row r="12840" spans="2:2">
      <c r="B12840" s="21"/>
    </row>
    <row r="12841" spans="2:2">
      <c r="B12841" s="21"/>
    </row>
    <row r="12842" spans="2:2">
      <c r="B12842" s="21"/>
    </row>
    <row r="12843" spans="2:2">
      <c r="B12843" s="21"/>
    </row>
    <row r="12844" spans="2:2">
      <c r="B12844" s="21"/>
    </row>
    <row r="12845" spans="2:2">
      <c r="B12845" s="21"/>
    </row>
    <row r="12846" spans="2:2">
      <c r="B12846" s="21"/>
    </row>
    <row r="12847" spans="2:2">
      <c r="B12847" s="21"/>
    </row>
    <row r="12848" spans="2:2">
      <c r="B12848" s="21"/>
    </row>
    <row r="12849" spans="2:2">
      <c r="B12849" s="21"/>
    </row>
    <row r="12850" spans="2:2">
      <c r="B12850" s="21"/>
    </row>
    <row r="12851" spans="2:2">
      <c r="B12851" s="21"/>
    </row>
    <row r="12852" spans="2:2">
      <c r="B12852" s="21"/>
    </row>
    <row r="12853" spans="2:2">
      <c r="B12853" s="21"/>
    </row>
    <row r="12854" spans="2:2">
      <c r="B12854" s="21"/>
    </row>
    <row r="12855" spans="2:2">
      <c r="B12855" s="21"/>
    </row>
    <row r="12856" spans="2:2">
      <c r="B12856" s="21"/>
    </row>
    <row r="12857" spans="2:2">
      <c r="B12857" s="21"/>
    </row>
    <row r="12858" spans="2:2">
      <c r="B12858" s="21"/>
    </row>
    <row r="12859" spans="2:2">
      <c r="B12859" s="21"/>
    </row>
    <row r="12860" spans="2:2">
      <c r="B12860" s="21"/>
    </row>
    <row r="12861" spans="2:2">
      <c r="B12861" s="21"/>
    </row>
    <row r="12862" spans="2:2">
      <c r="B12862" s="21"/>
    </row>
    <row r="12863" spans="2:2">
      <c r="B12863" s="21"/>
    </row>
    <row r="12864" spans="2:2">
      <c r="B12864" s="21"/>
    </row>
    <row r="12865" spans="2:2">
      <c r="B12865" s="21"/>
    </row>
    <row r="12866" spans="2:2">
      <c r="B12866" s="21"/>
    </row>
    <row r="12867" spans="2:2">
      <c r="B12867" s="21"/>
    </row>
    <row r="12868" spans="2:2">
      <c r="B12868" s="21"/>
    </row>
    <row r="12869" spans="2:2">
      <c r="B12869" s="21"/>
    </row>
    <row r="12870" spans="2:2">
      <c r="B12870" s="21"/>
    </row>
    <row r="12871" spans="2:2">
      <c r="B12871" s="21"/>
    </row>
    <row r="12872" spans="2:2">
      <c r="B12872" s="21"/>
    </row>
    <row r="12873" spans="2:2">
      <c r="B12873" s="21"/>
    </row>
    <row r="12874" spans="2:2">
      <c r="B12874" s="21"/>
    </row>
    <row r="12875" spans="2:2">
      <c r="B12875" s="21"/>
    </row>
    <row r="12876" spans="2:2">
      <c r="B12876" s="21"/>
    </row>
    <row r="12877" spans="2:2">
      <c r="B12877" s="21"/>
    </row>
    <row r="12878" spans="2:2">
      <c r="B12878" s="21"/>
    </row>
    <row r="12879" spans="2:2">
      <c r="B12879" s="21"/>
    </row>
    <row r="12880" spans="2:2">
      <c r="B12880" s="21"/>
    </row>
    <row r="12881" spans="2:2">
      <c r="B12881" s="21"/>
    </row>
    <row r="12882" spans="2:2">
      <c r="B12882" s="21"/>
    </row>
    <row r="12883" spans="2:2">
      <c r="B12883" s="21"/>
    </row>
    <row r="12884" spans="2:2">
      <c r="B12884" s="21"/>
    </row>
    <row r="12885" spans="2:2">
      <c r="B12885" s="21"/>
    </row>
    <row r="12886" spans="2:2">
      <c r="B12886" s="21"/>
    </row>
    <row r="12887" spans="2:2">
      <c r="B12887" s="21"/>
    </row>
    <row r="12888" spans="2:2">
      <c r="B12888" s="21"/>
    </row>
    <row r="12889" spans="2:2">
      <c r="B12889" s="21"/>
    </row>
    <row r="12890" spans="2:2">
      <c r="B12890" s="21"/>
    </row>
    <row r="12891" spans="2:2">
      <c r="B12891" s="21"/>
    </row>
    <row r="12892" spans="2:2">
      <c r="B12892" s="21"/>
    </row>
    <row r="12893" spans="2:2">
      <c r="B12893" s="21"/>
    </row>
    <row r="12894" spans="2:2">
      <c r="B12894" s="21"/>
    </row>
    <row r="12895" spans="2:2">
      <c r="B12895" s="21"/>
    </row>
    <row r="12896" spans="2:2">
      <c r="B12896" s="21"/>
    </row>
    <row r="12897" spans="2:2">
      <c r="B12897" s="21"/>
    </row>
    <row r="12898" spans="2:2">
      <c r="B12898" s="21"/>
    </row>
    <row r="12899" spans="2:2">
      <c r="B12899" s="21"/>
    </row>
    <row r="12900" spans="2:2">
      <c r="B12900" s="21"/>
    </row>
    <row r="12901" spans="2:2">
      <c r="B12901" s="21"/>
    </row>
    <row r="12902" spans="2:2">
      <c r="B12902" s="21"/>
    </row>
    <row r="12903" spans="2:2">
      <c r="B12903" s="21"/>
    </row>
    <row r="12904" spans="2:2">
      <c r="B12904" s="21"/>
    </row>
    <row r="12905" spans="2:2">
      <c r="B12905" s="21"/>
    </row>
    <row r="12906" spans="2:2">
      <c r="B12906" s="21"/>
    </row>
    <row r="12907" spans="2:2">
      <c r="B12907" s="21"/>
    </row>
    <row r="12908" spans="2:2">
      <c r="B12908" s="21"/>
    </row>
    <row r="12909" spans="2:2">
      <c r="B12909" s="21"/>
    </row>
    <row r="12910" spans="2:2">
      <c r="B12910" s="21"/>
    </row>
    <row r="12911" spans="2:2">
      <c r="B12911" s="21"/>
    </row>
    <row r="12912" spans="2:2">
      <c r="B12912" s="21"/>
    </row>
    <row r="12913" spans="2:2">
      <c r="B12913" s="21"/>
    </row>
    <row r="12914" spans="2:2">
      <c r="B12914" s="21"/>
    </row>
    <row r="12915" spans="2:2">
      <c r="B12915" s="21"/>
    </row>
    <row r="12916" spans="2:2">
      <c r="B12916" s="21"/>
    </row>
    <row r="12917" spans="2:2">
      <c r="B12917" s="21"/>
    </row>
    <row r="12918" spans="2:2">
      <c r="B12918" s="21"/>
    </row>
    <row r="12919" spans="2:2">
      <c r="B12919" s="21"/>
    </row>
    <row r="12920" spans="2:2">
      <c r="B12920" s="21"/>
    </row>
    <row r="12921" spans="2:2">
      <c r="B12921" s="21"/>
    </row>
    <row r="12922" spans="2:2">
      <c r="B12922" s="21"/>
    </row>
    <row r="12923" spans="2:2">
      <c r="B12923" s="21"/>
    </row>
    <row r="12924" spans="2:2">
      <c r="B12924" s="21"/>
    </row>
    <row r="12925" spans="2:2">
      <c r="B12925" s="21"/>
    </row>
    <row r="12926" spans="2:2">
      <c r="B12926" s="21"/>
    </row>
    <row r="12927" spans="2:2">
      <c r="B12927" s="21"/>
    </row>
    <row r="12928" spans="2:2">
      <c r="B12928" s="21"/>
    </row>
    <row r="12929" spans="2:2">
      <c r="B12929" s="21"/>
    </row>
    <row r="12930" spans="2:2">
      <c r="B12930" s="21"/>
    </row>
    <row r="12931" spans="2:2">
      <c r="B12931" s="21"/>
    </row>
    <row r="12932" spans="2:2">
      <c r="B12932" s="21"/>
    </row>
    <row r="12933" spans="2:2">
      <c r="B12933" s="21"/>
    </row>
    <row r="12934" spans="2:2">
      <c r="B12934" s="21"/>
    </row>
    <row r="12935" spans="2:2">
      <c r="B12935" s="21"/>
    </row>
    <row r="12936" spans="2:2">
      <c r="B12936" s="21"/>
    </row>
    <row r="12937" spans="2:2">
      <c r="B12937" s="21"/>
    </row>
    <row r="12938" spans="2:2">
      <c r="B12938" s="21"/>
    </row>
    <row r="12939" spans="2:2">
      <c r="B12939" s="21"/>
    </row>
    <row r="12940" spans="2:2">
      <c r="B12940" s="21"/>
    </row>
    <row r="12941" spans="2:2">
      <c r="B12941" s="21"/>
    </row>
    <row r="12942" spans="2:2">
      <c r="B12942" s="21"/>
    </row>
    <row r="12943" spans="2:2">
      <c r="B12943" s="21"/>
    </row>
    <row r="12944" spans="2:2">
      <c r="B12944" s="21"/>
    </row>
    <row r="12945" spans="2:2">
      <c r="B12945" s="21"/>
    </row>
    <row r="12946" spans="2:2">
      <c r="B12946" s="21"/>
    </row>
    <row r="12947" spans="2:2">
      <c r="B12947" s="21"/>
    </row>
    <row r="12948" spans="2:2">
      <c r="B12948" s="21"/>
    </row>
    <row r="12949" spans="2:2">
      <c r="B12949" s="21"/>
    </row>
    <row r="12950" spans="2:2">
      <c r="B12950" s="21"/>
    </row>
    <row r="12951" spans="2:2">
      <c r="B12951" s="21"/>
    </row>
    <row r="12952" spans="2:2">
      <c r="B12952" s="21"/>
    </row>
    <row r="12953" spans="2:2">
      <c r="B12953" s="21"/>
    </row>
    <row r="12954" spans="2:2">
      <c r="B12954" s="21"/>
    </row>
    <row r="12955" spans="2:2">
      <c r="B12955" s="21"/>
    </row>
    <row r="12956" spans="2:2">
      <c r="B12956" s="21"/>
    </row>
    <row r="12957" spans="2:2">
      <c r="B12957" s="21"/>
    </row>
    <row r="12958" spans="2:2">
      <c r="B12958" s="21"/>
    </row>
    <row r="12959" spans="2:2">
      <c r="B12959" s="21"/>
    </row>
    <row r="12960" spans="2:2">
      <c r="B12960" s="21"/>
    </row>
    <row r="12961" spans="2:2">
      <c r="B12961" s="21"/>
    </row>
    <row r="12962" spans="2:2">
      <c r="B12962" s="21"/>
    </row>
    <row r="12963" spans="2:2">
      <c r="B12963" s="21"/>
    </row>
    <row r="12964" spans="2:2">
      <c r="B12964" s="21"/>
    </row>
    <row r="12965" spans="2:2">
      <c r="B12965" s="21"/>
    </row>
    <row r="12966" spans="2:2">
      <c r="B12966" s="21"/>
    </row>
    <row r="12967" spans="2:2">
      <c r="B12967" s="21"/>
    </row>
    <row r="12968" spans="2:2">
      <c r="B12968" s="21"/>
    </row>
    <row r="12969" spans="2:2">
      <c r="B12969" s="21"/>
    </row>
    <row r="12970" spans="2:2">
      <c r="B12970" s="21"/>
    </row>
    <row r="12971" spans="2:2">
      <c r="B12971" s="21"/>
    </row>
    <row r="12972" spans="2:2">
      <c r="B12972" s="21"/>
    </row>
    <row r="12973" spans="2:2">
      <c r="B12973" s="21"/>
    </row>
    <row r="12974" spans="2:2">
      <c r="B12974" s="21"/>
    </row>
    <row r="12975" spans="2:2">
      <c r="B12975" s="21"/>
    </row>
    <row r="12976" spans="2:2">
      <c r="B12976" s="21"/>
    </row>
    <row r="12977" spans="2:2">
      <c r="B12977" s="21"/>
    </row>
    <row r="12978" spans="2:2">
      <c r="B12978" s="21"/>
    </row>
    <row r="12979" spans="2:2">
      <c r="B12979" s="21"/>
    </row>
    <row r="12980" spans="2:2">
      <c r="B12980" s="21"/>
    </row>
    <row r="12981" spans="2:2">
      <c r="B12981" s="21"/>
    </row>
    <row r="12982" spans="2:2">
      <c r="B12982" s="21"/>
    </row>
    <row r="12983" spans="2:2">
      <c r="B12983" s="21"/>
    </row>
    <row r="12984" spans="2:2">
      <c r="B12984" s="21"/>
    </row>
    <row r="12985" spans="2:2">
      <c r="B12985" s="21"/>
    </row>
    <row r="12986" spans="2:2">
      <c r="B12986" s="21"/>
    </row>
    <row r="12987" spans="2:2">
      <c r="B12987" s="21"/>
    </row>
    <row r="12988" spans="2:2">
      <c r="B12988" s="21"/>
    </row>
    <row r="12989" spans="2:2">
      <c r="B12989" s="21"/>
    </row>
    <row r="12990" spans="2:2">
      <c r="B12990" s="21"/>
    </row>
    <row r="12991" spans="2:2">
      <c r="B12991" s="21"/>
    </row>
    <row r="12992" spans="2:2">
      <c r="B12992" s="21"/>
    </row>
    <row r="12993" spans="2:2">
      <c r="B12993" s="21"/>
    </row>
    <row r="12994" spans="2:2">
      <c r="B12994" s="21"/>
    </row>
    <row r="12995" spans="2:2">
      <c r="B12995" s="21"/>
    </row>
    <row r="12996" spans="2:2">
      <c r="B12996" s="21"/>
    </row>
    <row r="12997" spans="2:2">
      <c r="B12997" s="21"/>
    </row>
    <row r="12998" spans="2:2">
      <c r="B12998" s="21"/>
    </row>
    <row r="12999" spans="2:2">
      <c r="B12999" s="21"/>
    </row>
    <row r="13000" spans="2:2">
      <c r="B13000" s="21"/>
    </row>
    <row r="13001" spans="2:2">
      <c r="B13001" s="21"/>
    </row>
    <row r="13002" spans="2:2">
      <c r="B13002" s="21"/>
    </row>
    <row r="13003" spans="2:2">
      <c r="B13003" s="21"/>
    </row>
    <row r="13004" spans="2:2">
      <c r="B13004" s="21"/>
    </row>
    <row r="13005" spans="2:2">
      <c r="B13005" s="21"/>
    </row>
    <row r="13006" spans="2:2">
      <c r="B13006" s="21"/>
    </row>
    <row r="13007" spans="2:2">
      <c r="B13007" s="21"/>
    </row>
    <row r="13008" spans="2:2">
      <c r="B13008" s="21"/>
    </row>
    <row r="13009" spans="2:2">
      <c r="B13009" s="21"/>
    </row>
    <row r="13010" spans="2:2">
      <c r="B13010" s="21"/>
    </row>
    <row r="13011" spans="2:2">
      <c r="B13011" s="21"/>
    </row>
    <row r="13012" spans="2:2">
      <c r="B13012" s="21"/>
    </row>
    <row r="13013" spans="2:2">
      <c r="B13013" s="21"/>
    </row>
    <row r="13014" spans="2:2">
      <c r="B13014" s="21"/>
    </row>
    <row r="13015" spans="2:2">
      <c r="B13015" s="21"/>
    </row>
    <row r="13016" spans="2:2">
      <c r="B13016" s="21"/>
    </row>
    <row r="13017" spans="2:2">
      <c r="B13017" s="21"/>
    </row>
    <row r="13018" spans="2:2">
      <c r="B13018" s="21"/>
    </row>
    <row r="13019" spans="2:2">
      <c r="B13019" s="21"/>
    </row>
    <row r="13020" spans="2:2">
      <c r="B13020" s="21"/>
    </row>
    <row r="13021" spans="2:2">
      <c r="B13021" s="21"/>
    </row>
    <row r="13022" spans="2:2">
      <c r="B13022" s="21"/>
    </row>
    <row r="13023" spans="2:2">
      <c r="B13023" s="21"/>
    </row>
    <row r="13024" spans="2:2">
      <c r="B13024" s="21"/>
    </row>
    <row r="13025" spans="2:2">
      <c r="B13025" s="21"/>
    </row>
    <row r="13026" spans="2:2">
      <c r="B13026" s="21"/>
    </row>
    <row r="13027" spans="2:2">
      <c r="B13027" s="21"/>
    </row>
    <row r="13028" spans="2:2">
      <c r="B13028" s="21"/>
    </row>
    <row r="13029" spans="2:2">
      <c r="B13029" s="21"/>
    </row>
    <row r="13030" spans="2:2">
      <c r="B13030" s="21"/>
    </row>
    <row r="13031" spans="2:2">
      <c r="B13031" s="21"/>
    </row>
    <row r="13032" spans="2:2">
      <c r="B13032" s="21"/>
    </row>
    <row r="13033" spans="2:2">
      <c r="B13033" s="21"/>
    </row>
    <row r="13034" spans="2:2">
      <c r="B13034" s="21"/>
    </row>
    <row r="13035" spans="2:2">
      <c r="B13035" s="21"/>
    </row>
    <row r="13036" spans="2:2">
      <c r="B13036" s="21"/>
    </row>
    <row r="13037" spans="2:2">
      <c r="B13037" s="21"/>
    </row>
    <row r="13038" spans="2:2">
      <c r="B13038" s="21"/>
    </row>
    <row r="13039" spans="2:2">
      <c r="B13039" s="21"/>
    </row>
    <row r="13040" spans="2:2">
      <c r="B13040" s="21"/>
    </row>
    <row r="13041" spans="2:2">
      <c r="B13041" s="21"/>
    </row>
    <row r="13042" spans="2:2">
      <c r="B13042" s="21"/>
    </row>
    <row r="13043" spans="2:2">
      <c r="B13043" s="21"/>
    </row>
    <row r="13044" spans="2:2">
      <c r="B13044" s="21"/>
    </row>
    <row r="13045" spans="2:2">
      <c r="B13045" s="21"/>
    </row>
    <row r="13046" spans="2:2">
      <c r="B13046" s="21"/>
    </row>
    <row r="13047" spans="2:2">
      <c r="B13047" s="21"/>
    </row>
    <row r="13048" spans="2:2">
      <c r="B13048" s="21"/>
    </row>
    <row r="13049" spans="2:2">
      <c r="B13049" s="21"/>
    </row>
    <row r="13050" spans="2:2">
      <c r="B13050" s="21"/>
    </row>
    <row r="13051" spans="2:2">
      <c r="B13051" s="21"/>
    </row>
    <row r="13052" spans="2:2">
      <c r="B13052" s="21"/>
    </row>
    <row r="13053" spans="2:2">
      <c r="B13053" s="21"/>
    </row>
    <row r="13054" spans="2:2">
      <c r="B13054" s="21"/>
    </row>
    <row r="13055" spans="2:2">
      <c r="B13055" s="21"/>
    </row>
    <row r="13056" spans="2:2">
      <c r="B13056" s="21"/>
    </row>
    <row r="13057" spans="2:2">
      <c r="B13057" s="21"/>
    </row>
    <row r="13058" spans="2:2">
      <c r="B13058" s="21"/>
    </row>
    <row r="13059" spans="2:2">
      <c r="B13059" s="21"/>
    </row>
    <row r="13060" spans="2:2">
      <c r="B13060" s="21"/>
    </row>
    <row r="13061" spans="2:2">
      <c r="B13061" s="21"/>
    </row>
    <row r="13062" spans="2:2">
      <c r="B13062" s="21"/>
    </row>
    <row r="13063" spans="2:2">
      <c r="B13063" s="21"/>
    </row>
    <row r="13064" spans="2:2">
      <c r="B13064" s="21"/>
    </row>
    <row r="13065" spans="2:2">
      <c r="B13065" s="21"/>
    </row>
    <row r="13066" spans="2:2">
      <c r="B13066" s="21"/>
    </row>
    <row r="13067" spans="2:2">
      <c r="B13067" s="21"/>
    </row>
    <row r="13068" spans="2:2">
      <c r="B13068" s="21"/>
    </row>
    <row r="13069" spans="2:2">
      <c r="B13069" s="21"/>
    </row>
    <row r="13070" spans="2:2">
      <c r="B13070" s="21"/>
    </row>
    <row r="13071" spans="2:2">
      <c r="B13071" s="21"/>
    </row>
    <row r="13072" spans="2:2">
      <c r="B13072" s="21"/>
    </row>
    <row r="13073" spans="2:2">
      <c r="B13073" s="21"/>
    </row>
    <row r="13074" spans="2:2">
      <c r="B13074" s="21"/>
    </row>
    <row r="13075" spans="2:2">
      <c r="B13075" s="21"/>
    </row>
    <row r="13076" spans="2:2">
      <c r="B13076" s="21"/>
    </row>
    <row r="13077" spans="2:2">
      <c r="B13077" s="21"/>
    </row>
    <row r="13078" spans="2:2">
      <c r="B13078" s="21"/>
    </row>
    <row r="13079" spans="2:2">
      <c r="B13079" s="21"/>
    </row>
    <row r="13080" spans="2:2">
      <c r="B13080" s="21"/>
    </row>
    <row r="13081" spans="2:2">
      <c r="B13081" s="21"/>
    </row>
    <row r="13082" spans="2:2">
      <c r="B13082" s="21"/>
    </row>
    <row r="13083" spans="2:2">
      <c r="B13083" s="21"/>
    </row>
    <row r="13084" spans="2:2">
      <c r="B13084" s="21"/>
    </row>
    <row r="13085" spans="2:2">
      <c r="B13085" s="21"/>
    </row>
    <row r="13086" spans="2:2">
      <c r="B13086" s="21"/>
    </row>
    <row r="13087" spans="2:2">
      <c r="B13087" s="21"/>
    </row>
    <row r="13088" spans="2:2">
      <c r="B13088" s="21"/>
    </row>
    <row r="13089" spans="2:2">
      <c r="B13089" s="21"/>
    </row>
    <row r="13090" spans="2:2">
      <c r="B13090" s="21"/>
    </row>
    <row r="13091" spans="2:2">
      <c r="B13091" s="21"/>
    </row>
    <row r="13092" spans="2:2">
      <c r="B13092" s="21"/>
    </row>
    <row r="13093" spans="2:2">
      <c r="B13093" s="21"/>
    </row>
    <row r="13094" spans="2:2">
      <c r="B13094" s="21"/>
    </row>
    <row r="13095" spans="2:2">
      <c r="B13095" s="21"/>
    </row>
    <row r="13096" spans="2:2">
      <c r="B13096" s="21"/>
    </row>
    <row r="13097" spans="2:2">
      <c r="B13097" s="21"/>
    </row>
    <row r="13098" spans="2:2">
      <c r="B13098" s="21"/>
    </row>
    <row r="13099" spans="2:2">
      <c r="B13099" s="21"/>
    </row>
    <row r="13100" spans="2:2">
      <c r="B13100" s="21"/>
    </row>
    <row r="13101" spans="2:2">
      <c r="B13101" s="21"/>
    </row>
    <row r="13102" spans="2:2">
      <c r="B13102" s="21"/>
    </row>
    <row r="13103" spans="2:2">
      <c r="B13103" s="21"/>
    </row>
    <row r="13104" spans="2:2">
      <c r="B13104" s="21"/>
    </row>
    <row r="13105" spans="2:2">
      <c r="B13105" s="21"/>
    </row>
    <row r="13106" spans="2:2">
      <c r="B13106" s="21"/>
    </row>
    <row r="13107" spans="2:2">
      <c r="B13107" s="21"/>
    </row>
    <row r="13108" spans="2:2">
      <c r="B13108" s="21"/>
    </row>
    <row r="13109" spans="2:2">
      <c r="B13109" s="21"/>
    </row>
    <row r="13110" spans="2:2">
      <c r="B13110" s="21"/>
    </row>
    <row r="13111" spans="2:2">
      <c r="B13111" s="21"/>
    </row>
    <row r="13112" spans="2:2">
      <c r="B13112" s="21"/>
    </row>
    <row r="13113" spans="2:2">
      <c r="B13113" s="21"/>
    </row>
    <row r="13114" spans="2:2">
      <c r="B13114" s="21"/>
    </row>
    <row r="13115" spans="2:2">
      <c r="B13115" s="21"/>
    </row>
    <row r="13116" spans="2:2">
      <c r="B13116" s="21"/>
    </row>
    <row r="13117" spans="2:2">
      <c r="B13117" s="21"/>
    </row>
    <row r="13118" spans="2:2">
      <c r="B13118" s="21"/>
    </row>
    <row r="13119" spans="2:2">
      <c r="B13119" s="21"/>
    </row>
    <row r="13120" spans="2:2">
      <c r="B13120" s="21"/>
    </row>
    <row r="13121" spans="2:2">
      <c r="B13121" s="21"/>
    </row>
    <row r="13122" spans="2:2">
      <c r="B13122" s="21"/>
    </row>
    <row r="13123" spans="2:2">
      <c r="B13123" s="21"/>
    </row>
    <row r="13124" spans="2:2">
      <c r="B13124" s="21"/>
    </row>
    <row r="13125" spans="2:2">
      <c r="B13125" s="21"/>
    </row>
    <row r="13126" spans="2:2">
      <c r="B13126" s="21"/>
    </row>
    <row r="13127" spans="2:2">
      <c r="B13127" s="21"/>
    </row>
    <row r="13128" spans="2:2">
      <c r="B13128" s="21"/>
    </row>
    <row r="13129" spans="2:2">
      <c r="B13129" s="21"/>
    </row>
    <row r="13130" spans="2:2">
      <c r="B13130" s="21"/>
    </row>
    <row r="13131" spans="2:2">
      <c r="B13131" s="21"/>
    </row>
    <row r="13132" spans="2:2">
      <c r="B13132" s="21"/>
    </row>
    <row r="13133" spans="2:2">
      <c r="B13133" s="21"/>
    </row>
    <row r="13134" spans="2:2">
      <c r="B13134" s="21"/>
    </row>
    <row r="13135" spans="2:2">
      <c r="B13135" s="21"/>
    </row>
    <row r="13136" spans="2:2">
      <c r="B13136" s="21"/>
    </row>
    <row r="13137" spans="2:2">
      <c r="B13137" s="21"/>
    </row>
    <row r="13138" spans="2:2">
      <c r="B13138" s="21"/>
    </row>
    <row r="13139" spans="2:2">
      <c r="B13139" s="21"/>
    </row>
    <row r="13140" spans="2:2">
      <c r="B13140" s="21"/>
    </row>
    <row r="13141" spans="2:2">
      <c r="B13141" s="21"/>
    </row>
    <row r="13142" spans="2:2">
      <c r="B13142" s="21"/>
    </row>
    <row r="13143" spans="2:2">
      <c r="B13143" s="21"/>
    </row>
    <row r="13144" spans="2:2">
      <c r="B13144" s="21"/>
    </row>
    <row r="13145" spans="2:2">
      <c r="B13145" s="21"/>
    </row>
    <row r="13146" spans="2:2">
      <c r="B13146" s="21"/>
    </row>
    <row r="13147" spans="2:2">
      <c r="B13147" s="21"/>
    </row>
    <row r="13148" spans="2:2">
      <c r="B13148" s="21"/>
    </row>
    <row r="13149" spans="2:2">
      <c r="B13149" s="21"/>
    </row>
    <row r="13150" spans="2:2">
      <c r="B13150" s="21"/>
    </row>
    <row r="13151" spans="2:2">
      <c r="B13151" s="21"/>
    </row>
    <row r="13152" spans="2:2">
      <c r="B13152" s="21"/>
    </row>
    <row r="13153" spans="2:2">
      <c r="B13153" s="21"/>
    </row>
    <row r="13154" spans="2:2">
      <c r="B13154" s="21"/>
    </row>
    <row r="13155" spans="2:2">
      <c r="B13155" s="21"/>
    </row>
    <row r="13156" spans="2:2">
      <c r="B13156" s="21"/>
    </row>
    <row r="13157" spans="2:2">
      <c r="B13157" s="21"/>
    </row>
    <row r="13158" spans="2:2">
      <c r="B13158" s="21"/>
    </row>
    <row r="13159" spans="2:2">
      <c r="B13159" s="21"/>
    </row>
    <row r="13160" spans="2:2">
      <c r="B13160" s="21"/>
    </row>
    <row r="13161" spans="2:2">
      <c r="B13161" s="21"/>
    </row>
    <row r="13162" spans="2:2">
      <c r="B13162" s="21"/>
    </row>
    <row r="13163" spans="2:2">
      <c r="B13163" s="21"/>
    </row>
    <row r="13164" spans="2:2">
      <c r="B13164" s="21"/>
    </row>
    <row r="13165" spans="2:2">
      <c r="B13165" s="21"/>
    </row>
    <row r="13166" spans="2:2">
      <c r="B13166" s="21"/>
    </row>
    <row r="13167" spans="2:2">
      <c r="B13167" s="21"/>
    </row>
    <row r="13168" spans="2:2">
      <c r="B13168" s="21"/>
    </row>
    <row r="13169" spans="2:2">
      <c r="B13169" s="21"/>
    </row>
    <row r="13170" spans="2:2">
      <c r="B13170" s="21"/>
    </row>
    <row r="13171" spans="2:2">
      <c r="B13171" s="21"/>
    </row>
    <row r="13172" spans="2:2">
      <c r="B13172" s="21"/>
    </row>
    <row r="13173" spans="2:2">
      <c r="B13173" s="21"/>
    </row>
    <row r="13174" spans="2:2">
      <c r="B13174" s="21"/>
    </row>
    <row r="13175" spans="2:2">
      <c r="B13175" s="21"/>
    </row>
    <row r="13176" spans="2:2">
      <c r="B13176" s="21"/>
    </row>
    <row r="13177" spans="2:2">
      <c r="B13177" s="21"/>
    </row>
    <row r="13178" spans="2:2">
      <c r="B13178" s="21"/>
    </row>
    <row r="13179" spans="2:2">
      <c r="B13179" s="21"/>
    </row>
    <row r="13180" spans="2:2">
      <c r="B13180" s="21"/>
    </row>
    <row r="13181" spans="2:2">
      <c r="B13181" s="21"/>
    </row>
    <row r="13182" spans="2:2">
      <c r="B13182" s="21"/>
    </row>
    <row r="13183" spans="2:2">
      <c r="B13183" s="21"/>
    </row>
    <row r="13184" spans="2:2">
      <c r="B13184" s="21"/>
    </row>
    <row r="13185" spans="2:2">
      <c r="B13185" s="21"/>
    </row>
    <row r="13186" spans="2:2">
      <c r="B13186" s="21"/>
    </row>
    <row r="13187" spans="2:2">
      <c r="B13187" s="21"/>
    </row>
    <row r="13188" spans="2:2">
      <c r="B13188" s="21"/>
    </row>
    <row r="13189" spans="2:2">
      <c r="B13189" s="21"/>
    </row>
    <row r="13190" spans="2:2">
      <c r="B13190" s="21"/>
    </row>
    <row r="13191" spans="2:2">
      <c r="B13191" s="21"/>
    </row>
    <row r="13192" spans="2:2">
      <c r="B13192" s="21"/>
    </row>
    <row r="13193" spans="2:2">
      <c r="B13193" s="21"/>
    </row>
    <row r="13194" spans="2:2">
      <c r="B13194" s="21"/>
    </row>
    <row r="13195" spans="2:2">
      <c r="B13195" s="21"/>
    </row>
    <row r="13196" spans="2:2">
      <c r="B13196" s="21"/>
    </row>
    <row r="13197" spans="2:2">
      <c r="B13197" s="21"/>
    </row>
    <row r="13198" spans="2:2">
      <c r="B13198" s="21"/>
    </row>
    <row r="13199" spans="2:2">
      <c r="B13199" s="21"/>
    </row>
    <row r="13200" spans="2:2">
      <c r="B13200" s="21"/>
    </row>
    <row r="13201" spans="2:2">
      <c r="B13201" s="21"/>
    </row>
    <row r="13202" spans="2:2">
      <c r="B13202" s="21"/>
    </row>
    <row r="13203" spans="2:2">
      <c r="B13203" s="21"/>
    </row>
    <row r="13204" spans="2:2">
      <c r="B13204" s="21"/>
    </row>
    <row r="13205" spans="2:2">
      <c r="B13205" s="21"/>
    </row>
    <row r="13206" spans="2:2">
      <c r="B13206" s="21"/>
    </row>
    <row r="13207" spans="2:2">
      <c r="B13207" s="21"/>
    </row>
    <row r="13208" spans="2:2">
      <c r="B13208" s="21"/>
    </row>
    <row r="13209" spans="2:2">
      <c r="B13209" s="21"/>
    </row>
    <row r="13210" spans="2:2">
      <c r="B13210" s="21"/>
    </row>
    <row r="13211" spans="2:2">
      <c r="B13211" s="21"/>
    </row>
    <row r="13212" spans="2:2">
      <c r="B13212" s="21"/>
    </row>
    <row r="13213" spans="2:2">
      <c r="B13213" s="21"/>
    </row>
    <row r="13214" spans="2:2">
      <c r="B13214" s="21"/>
    </row>
    <row r="13215" spans="2:2">
      <c r="B13215" s="21"/>
    </row>
    <row r="13216" spans="2:2">
      <c r="B13216" s="21"/>
    </row>
    <row r="13217" spans="2:2">
      <c r="B13217" s="21"/>
    </row>
    <row r="13218" spans="2:2">
      <c r="B13218" s="21"/>
    </row>
    <row r="13219" spans="2:2">
      <c r="B13219" s="21"/>
    </row>
    <row r="13220" spans="2:2">
      <c r="B13220" s="21"/>
    </row>
    <row r="13221" spans="2:2">
      <c r="B13221" s="21"/>
    </row>
    <row r="13222" spans="2:2">
      <c r="B13222" s="21"/>
    </row>
    <row r="13223" spans="2:2">
      <c r="B13223" s="21"/>
    </row>
    <row r="13224" spans="2:2">
      <c r="B13224" s="21"/>
    </row>
    <row r="13225" spans="2:2">
      <c r="B13225" s="21"/>
    </row>
    <row r="13226" spans="2:2">
      <c r="B13226" s="21"/>
    </row>
    <row r="13227" spans="2:2">
      <c r="B13227" s="21"/>
    </row>
    <row r="13228" spans="2:2">
      <c r="B13228" s="21"/>
    </row>
    <row r="13229" spans="2:2">
      <c r="B13229" s="21"/>
    </row>
    <row r="13230" spans="2:2">
      <c r="B13230" s="21"/>
    </row>
    <row r="13231" spans="2:2">
      <c r="B13231" s="21"/>
    </row>
    <row r="13232" spans="2:2">
      <c r="B13232" s="21"/>
    </row>
    <row r="13233" spans="2:2">
      <c r="B13233" s="21"/>
    </row>
    <row r="13234" spans="2:2">
      <c r="B13234" s="21"/>
    </row>
    <row r="13235" spans="2:2">
      <c r="B13235" s="21"/>
    </row>
    <row r="13236" spans="2:2">
      <c r="B13236" s="21"/>
    </row>
    <row r="13237" spans="2:2">
      <c r="B13237" s="21"/>
    </row>
    <row r="13238" spans="2:2">
      <c r="B13238" s="21"/>
    </row>
    <row r="13239" spans="2:2">
      <c r="B13239" s="21"/>
    </row>
    <row r="13240" spans="2:2">
      <c r="B13240" s="21"/>
    </row>
    <row r="13241" spans="2:2">
      <c r="B13241" s="21"/>
    </row>
    <row r="13242" spans="2:2">
      <c r="B13242" s="21"/>
    </row>
    <row r="13243" spans="2:2">
      <c r="B13243" s="21"/>
    </row>
    <row r="13244" spans="2:2">
      <c r="B13244" s="21"/>
    </row>
    <row r="13245" spans="2:2">
      <c r="B13245" s="21"/>
    </row>
    <row r="13246" spans="2:2">
      <c r="B13246" s="21"/>
    </row>
    <row r="13247" spans="2:2">
      <c r="B13247" s="21"/>
    </row>
    <row r="13248" spans="2:2">
      <c r="B13248" s="21"/>
    </row>
    <row r="13249" spans="2:2">
      <c r="B13249" s="21"/>
    </row>
    <row r="13250" spans="2:2">
      <c r="B13250" s="21"/>
    </row>
    <row r="13251" spans="2:2">
      <c r="B13251" s="21"/>
    </row>
    <row r="13252" spans="2:2">
      <c r="B13252" s="21"/>
    </row>
    <row r="13253" spans="2:2">
      <c r="B13253" s="21"/>
    </row>
    <row r="13254" spans="2:2">
      <c r="B13254" s="21"/>
    </row>
    <row r="13255" spans="2:2">
      <c r="B13255" s="21"/>
    </row>
    <row r="13256" spans="2:2">
      <c r="B13256" s="21"/>
    </row>
    <row r="13257" spans="2:2">
      <c r="B13257" s="21"/>
    </row>
    <row r="13258" spans="2:2">
      <c r="B13258" s="21"/>
    </row>
    <row r="13259" spans="2:2">
      <c r="B13259" s="21"/>
    </row>
    <row r="13260" spans="2:2">
      <c r="B13260" s="21"/>
    </row>
    <row r="13261" spans="2:2">
      <c r="B13261" s="21"/>
    </row>
    <row r="13262" spans="2:2">
      <c r="B13262" s="21"/>
    </row>
    <row r="13263" spans="2:2">
      <c r="B13263" s="21"/>
    </row>
    <row r="13264" spans="2:2">
      <c r="B13264" s="21"/>
    </row>
    <row r="13265" spans="2:2">
      <c r="B13265" s="21"/>
    </row>
    <row r="13266" spans="2:2">
      <c r="B13266" s="21"/>
    </row>
    <row r="13267" spans="2:2">
      <c r="B13267" s="21"/>
    </row>
    <row r="13268" spans="2:2">
      <c r="B13268" s="21"/>
    </row>
    <row r="13269" spans="2:2">
      <c r="B13269" s="21"/>
    </row>
    <row r="13270" spans="2:2">
      <c r="B13270" s="21"/>
    </row>
    <row r="13271" spans="2:2">
      <c r="B13271" s="21"/>
    </row>
    <row r="13272" spans="2:2">
      <c r="B13272" s="21"/>
    </row>
    <row r="13273" spans="2:2">
      <c r="B13273" s="21"/>
    </row>
    <row r="13274" spans="2:2">
      <c r="B13274" s="21"/>
    </row>
    <row r="13275" spans="2:2">
      <c r="B13275" s="21"/>
    </row>
    <row r="13276" spans="2:2">
      <c r="B13276" s="21"/>
    </row>
    <row r="13277" spans="2:2">
      <c r="B13277" s="21"/>
    </row>
    <row r="13278" spans="2:2">
      <c r="B13278" s="21"/>
    </row>
    <row r="13279" spans="2:2">
      <c r="B13279" s="21"/>
    </row>
    <row r="13280" spans="2:2">
      <c r="B13280" s="21"/>
    </row>
    <row r="13281" spans="2:2">
      <c r="B13281" s="21"/>
    </row>
    <row r="13282" spans="2:2">
      <c r="B13282" s="21"/>
    </row>
    <row r="13283" spans="2:2">
      <c r="B13283" s="21"/>
    </row>
    <row r="13284" spans="2:2">
      <c r="B13284" s="21"/>
    </row>
    <row r="13285" spans="2:2">
      <c r="B13285" s="21"/>
    </row>
    <row r="13286" spans="2:2">
      <c r="B13286" s="21"/>
    </row>
    <row r="13287" spans="2:2">
      <c r="B13287" s="21"/>
    </row>
    <row r="13288" spans="2:2">
      <c r="B13288" s="21"/>
    </row>
    <row r="13289" spans="2:2">
      <c r="B13289" s="21"/>
    </row>
    <row r="13290" spans="2:2">
      <c r="B13290" s="21"/>
    </row>
    <row r="13291" spans="2:2">
      <c r="B13291" s="21"/>
    </row>
    <row r="13292" spans="2:2">
      <c r="B13292" s="21"/>
    </row>
    <row r="13293" spans="2:2">
      <c r="B13293" s="21"/>
    </row>
    <row r="13294" spans="2:2">
      <c r="B13294" s="21"/>
    </row>
    <row r="13295" spans="2:2">
      <c r="B13295" s="21"/>
    </row>
    <row r="13296" spans="2:2">
      <c r="B13296" s="21"/>
    </row>
    <row r="13297" spans="2:2">
      <c r="B13297" s="21"/>
    </row>
    <row r="13298" spans="2:2">
      <c r="B13298" s="21"/>
    </row>
    <row r="13299" spans="2:2">
      <c r="B13299" s="21"/>
    </row>
    <row r="13300" spans="2:2">
      <c r="B13300" s="21"/>
    </row>
    <row r="13301" spans="2:2">
      <c r="B13301" s="21"/>
    </row>
    <row r="13302" spans="2:2">
      <c r="B13302" s="21"/>
    </row>
    <row r="13303" spans="2:2">
      <c r="B13303" s="21"/>
    </row>
    <row r="13304" spans="2:2">
      <c r="B13304" s="21"/>
    </row>
    <row r="13305" spans="2:2">
      <c r="B13305" s="21"/>
    </row>
    <row r="13306" spans="2:2">
      <c r="B13306" s="21"/>
    </row>
    <row r="13307" spans="2:2">
      <c r="B13307" s="21"/>
    </row>
    <row r="13308" spans="2:2">
      <c r="B13308" s="21"/>
    </row>
    <row r="13309" spans="2:2">
      <c r="B13309" s="21"/>
    </row>
    <row r="13310" spans="2:2">
      <c r="B13310" s="21"/>
    </row>
    <row r="13311" spans="2:2">
      <c r="B13311" s="21"/>
    </row>
    <row r="13312" spans="2:2">
      <c r="B13312" s="21"/>
    </row>
    <row r="13313" spans="2:2">
      <c r="B13313" s="21"/>
    </row>
    <row r="13314" spans="2:2">
      <c r="B13314" s="21"/>
    </row>
    <row r="13315" spans="2:2">
      <c r="B13315" s="21"/>
    </row>
    <row r="13316" spans="2:2">
      <c r="B13316" s="21"/>
    </row>
    <row r="13317" spans="2:2">
      <c r="B13317" s="21"/>
    </row>
    <row r="13318" spans="2:2">
      <c r="B13318" s="21"/>
    </row>
    <row r="13319" spans="2:2">
      <c r="B13319" s="21"/>
    </row>
    <row r="13320" spans="2:2">
      <c r="B13320" s="21"/>
    </row>
    <row r="13321" spans="2:2">
      <c r="B13321" s="21"/>
    </row>
    <row r="13322" spans="2:2">
      <c r="B13322" s="21"/>
    </row>
    <row r="13323" spans="2:2">
      <c r="B13323" s="21"/>
    </row>
    <row r="13324" spans="2:2">
      <c r="B13324" s="21"/>
    </row>
    <row r="13325" spans="2:2">
      <c r="B13325" s="21"/>
    </row>
    <row r="13326" spans="2:2">
      <c r="B13326" s="21"/>
    </row>
    <row r="13327" spans="2:2">
      <c r="B13327" s="21"/>
    </row>
    <row r="13328" spans="2:2">
      <c r="B13328" s="21"/>
    </row>
    <row r="13329" spans="2:2">
      <c r="B13329" s="21"/>
    </row>
    <row r="13330" spans="2:2">
      <c r="B13330" s="21"/>
    </row>
    <row r="13331" spans="2:2">
      <c r="B13331" s="21"/>
    </row>
    <row r="13332" spans="2:2">
      <c r="B13332" s="21"/>
    </row>
    <row r="13333" spans="2:2">
      <c r="B13333" s="21"/>
    </row>
    <row r="13334" spans="2:2">
      <c r="B13334" s="21"/>
    </row>
    <row r="13335" spans="2:2">
      <c r="B13335" s="21"/>
    </row>
    <row r="13336" spans="2:2">
      <c r="B13336" s="21"/>
    </row>
    <row r="13337" spans="2:2">
      <c r="B13337" s="21"/>
    </row>
    <row r="13338" spans="2:2">
      <c r="B13338" s="21"/>
    </row>
    <row r="13339" spans="2:2">
      <c r="B13339" s="21"/>
    </row>
    <row r="13340" spans="2:2">
      <c r="B13340" s="21"/>
    </row>
    <row r="13341" spans="2:2">
      <c r="B13341" s="21"/>
    </row>
    <row r="13342" spans="2:2">
      <c r="B13342" s="21"/>
    </row>
    <row r="13343" spans="2:2">
      <c r="B13343" s="21"/>
    </row>
    <row r="13344" spans="2:2">
      <c r="B13344" s="21"/>
    </row>
    <row r="13345" spans="2:2">
      <c r="B13345" s="21"/>
    </row>
    <row r="13346" spans="2:2">
      <c r="B13346" s="21"/>
    </row>
    <row r="13347" spans="2:2">
      <c r="B13347" s="21"/>
    </row>
    <row r="13348" spans="2:2">
      <c r="B13348" s="21"/>
    </row>
    <row r="13349" spans="2:2">
      <c r="B13349" s="21"/>
    </row>
    <row r="13350" spans="2:2">
      <c r="B13350" s="21"/>
    </row>
    <row r="13351" spans="2:2">
      <c r="B13351" s="21"/>
    </row>
    <row r="13352" spans="2:2">
      <c r="B13352" s="21"/>
    </row>
    <row r="13353" spans="2:2">
      <c r="B13353" s="21"/>
    </row>
    <row r="13354" spans="2:2">
      <c r="B13354" s="21"/>
    </row>
    <row r="13355" spans="2:2">
      <c r="B13355" s="21"/>
    </row>
    <row r="13356" spans="2:2">
      <c r="B13356" s="21"/>
    </row>
    <row r="13357" spans="2:2">
      <c r="B13357" s="21"/>
    </row>
    <row r="13358" spans="2:2">
      <c r="B13358" s="21"/>
    </row>
    <row r="13359" spans="2:2">
      <c r="B13359" s="21"/>
    </row>
    <row r="13360" spans="2:2">
      <c r="B13360" s="21"/>
    </row>
    <row r="13361" spans="2:2">
      <c r="B13361" s="21"/>
    </row>
    <row r="13362" spans="2:2">
      <c r="B13362" s="21"/>
    </row>
    <row r="13363" spans="2:2">
      <c r="B13363" s="21"/>
    </row>
    <row r="13364" spans="2:2">
      <c r="B13364" s="21"/>
    </row>
    <row r="13365" spans="2:2">
      <c r="B13365" s="21"/>
    </row>
    <row r="13366" spans="2:2">
      <c r="B13366" s="21"/>
    </row>
    <row r="13367" spans="2:2">
      <c r="B13367" s="21"/>
    </row>
    <row r="13368" spans="2:2">
      <c r="B13368" s="21"/>
    </row>
    <row r="13369" spans="2:2">
      <c r="B13369" s="21"/>
    </row>
    <row r="13370" spans="2:2">
      <c r="B13370" s="21"/>
    </row>
    <row r="13371" spans="2:2">
      <c r="B13371" s="21"/>
    </row>
    <row r="13372" spans="2:2">
      <c r="B13372" s="21"/>
    </row>
    <row r="13373" spans="2:2">
      <c r="B13373" s="21"/>
    </row>
    <row r="13374" spans="2:2">
      <c r="B13374" s="21"/>
    </row>
    <row r="13375" spans="2:2">
      <c r="B13375" s="21"/>
    </row>
    <row r="13376" spans="2:2">
      <c r="B13376" s="21"/>
    </row>
    <row r="13377" spans="2:2">
      <c r="B13377" s="21"/>
    </row>
    <row r="13378" spans="2:2">
      <c r="B13378" s="21"/>
    </row>
    <row r="13379" spans="2:2">
      <c r="B13379" s="21"/>
    </row>
    <row r="13380" spans="2:2">
      <c r="B13380" s="21"/>
    </row>
    <row r="13381" spans="2:2">
      <c r="B13381" s="21"/>
    </row>
    <row r="13382" spans="2:2">
      <c r="B13382" s="21"/>
    </row>
    <row r="13383" spans="2:2">
      <c r="B13383" s="21"/>
    </row>
    <row r="13384" spans="2:2">
      <c r="B13384" s="21"/>
    </row>
    <row r="13385" spans="2:2">
      <c r="B13385" s="21"/>
    </row>
    <row r="13386" spans="2:2">
      <c r="B13386" s="21"/>
    </row>
    <row r="13387" spans="2:2">
      <c r="B13387" s="21"/>
    </row>
    <row r="13388" spans="2:2">
      <c r="B13388" s="21"/>
    </row>
    <row r="13389" spans="2:2">
      <c r="B13389" s="21"/>
    </row>
    <row r="13390" spans="2:2">
      <c r="B13390" s="21"/>
    </row>
    <row r="13391" spans="2:2">
      <c r="B13391" s="21"/>
    </row>
    <row r="13392" spans="2:2">
      <c r="B13392" s="21"/>
    </row>
    <row r="13393" spans="2:2">
      <c r="B13393" s="21"/>
    </row>
    <row r="13394" spans="2:2">
      <c r="B13394" s="21"/>
    </row>
    <row r="13395" spans="2:2">
      <c r="B13395" s="21"/>
    </row>
    <row r="13396" spans="2:2">
      <c r="B13396" s="21"/>
    </row>
    <row r="13397" spans="2:2">
      <c r="B13397" s="21"/>
    </row>
    <row r="13398" spans="2:2">
      <c r="B13398" s="21"/>
    </row>
    <row r="13399" spans="2:2">
      <c r="B13399" s="21"/>
    </row>
    <row r="13400" spans="2:2">
      <c r="B13400" s="21"/>
    </row>
    <row r="13401" spans="2:2">
      <c r="B13401" s="21"/>
    </row>
    <row r="13402" spans="2:2">
      <c r="B13402" s="21"/>
    </row>
    <row r="13403" spans="2:2">
      <c r="B13403" s="21"/>
    </row>
    <row r="13404" spans="2:2">
      <c r="B13404" s="21"/>
    </row>
    <row r="13405" spans="2:2">
      <c r="B13405" s="21"/>
    </row>
    <row r="13406" spans="2:2">
      <c r="B13406" s="21"/>
    </row>
    <row r="13407" spans="2:2">
      <c r="B13407" s="21"/>
    </row>
    <row r="13408" spans="2:2">
      <c r="B13408" s="21"/>
    </row>
    <row r="13409" spans="2:2">
      <c r="B13409" s="21"/>
    </row>
    <row r="13410" spans="2:2">
      <c r="B13410" s="21"/>
    </row>
    <row r="13411" spans="2:2">
      <c r="B13411" s="21"/>
    </row>
    <row r="13412" spans="2:2">
      <c r="B13412" s="21"/>
    </row>
    <row r="13413" spans="2:2">
      <c r="B13413" s="21"/>
    </row>
    <row r="13414" spans="2:2">
      <c r="B13414" s="21"/>
    </row>
    <row r="13415" spans="2:2">
      <c r="B13415" s="21"/>
    </row>
    <row r="13416" spans="2:2">
      <c r="B13416" s="21"/>
    </row>
    <row r="13417" spans="2:2">
      <c r="B13417" s="21"/>
    </row>
    <row r="13418" spans="2:2">
      <c r="B13418" s="21"/>
    </row>
    <row r="13419" spans="2:2">
      <c r="B13419" s="21"/>
    </row>
    <row r="13420" spans="2:2">
      <c r="B13420" s="21"/>
    </row>
    <row r="13421" spans="2:2">
      <c r="B13421" s="21"/>
    </row>
    <row r="13422" spans="2:2">
      <c r="B13422" s="21"/>
    </row>
    <row r="13423" spans="2:2">
      <c r="B13423" s="21"/>
    </row>
    <row r="13424" spans="2:2">
      <c r="B13424" s="21"/>
    </row>
    <row r="13425" spans="2:2">
      <c r="B13425" s="21"/>
    </row>
    <row r="13426" spans="2:2">
      <c r="B13426" s="21"/>
    </row>
    <row r="13427" spans="2:2">
      <c r="B13427" s="21"/>
    </row>
    <row r="13428" spans="2:2">
      <c r="B13428" s="21"/>
    </row>
    <row r="13429" spans="2:2">
      <c r="B13429" s="21"/>
    </row>
    <row r="13430" spans="2:2">
      <c r="B13430" s="21"/>
    </row>
    <row r="13431" spans="2:2">
      <c r="B13431" s="21"/>
    </row>
    <row r="13432" spans="2:2">
      <c r="B13432" s="21"/>
    </row>
    <row r="13433" spans="2:2">
      <c r="B13433" s="21"/>
    </row>
    <row r="13434" spans="2:2">
      <c r="B13434" s="21"/>
    </row>
    <row r="13435" spans="2:2">
      <c r="B13435" s="21"/>
    </row>
    <row r="13436" spans="2:2">
      <c r="B13436" s="21"/>
    </row>
    <row r="13437" spans="2:2">
      <c r="B13437" s="21"/>
    </row>
    <row r="13438" spans="2:2">
      <c r="B13438" s="21"/>
    </row>
    <row r="13439" spans="2:2">
      <c r="B13439" s="21"/>
    </row>
    <row r="13440" spans="2:2">
      <c r="B13440" s="21"/>
    </row>
    <row r="13441" spans="2:2">
      <c r="B13441" s="21"/>
    </row>
    <row r="13442" spans="2:2">
      <c r="B13442" s="21"/>
    </row>
    <row r="13443" spans="2:2">
      <c r="B13443" s="21"/>
    </row>
    <row r="13444" spans="2:2">
      <c r="B13444" s="21"/>
    </row>
    <row r="13445" spans="2:2">
      <c r="B13445" s="21"/>
    </row>
    <row r="13446" spans="2:2">
      <c r="B13446" s="21"/>
    </row>
    <row r="13447" spans="2:2">
      <c r="B13447" s="21"/>
    </row>
    <row r="13448" spans="2:2">
      <c r="B13448" s="21"/>
    </row>
    <row r="13449" spans="2:2">
      <c r="B13449" s="21"/>
    </row>
    <row r="13450" spans="2:2">
      <c r="B13450" s="21"/>
    </row>
    <row r="13451" spans="2:2">
      <c r="B13451" s="21"/>
    </row>
    <row r="13452" spans="2:2">
      <c r="B13452" s="21"/>
    </row>
    <row r="13453" spans="2:2">
      <c r="B13453" s="21"/>
    </row>
    <row r="13454" spans="2:2">
      <c r="B13454" s="21"/>
    </row>
    <row r="13455" spans="2:2">
      <c r="B13455" s="21"/>
    </row>
    <row r="13456" spans="2:2">
      <c r="B13456" s="21"/>
    </row>
    <row r="13457" spans="2:2">
      <c r="B13457" s="21"/>
    </row>
    <row r="13458" spans="2:2">
      <c r="B13458" s="21"/>
    </row>
    <row r="13459" spans="2:2">
      <c r="B13459" s="21"/>
    </row>
    <row r="13460" spans="2:2">
      <c r="B13460" s="21"/>
    </row>
    <row r="13461" spans="2:2">
      <c r="B13461" s="21"/>
    </row>
    <row r="13462" spans="2:2">
      <c r="B13462" s="21"/>
    </row>
    <row r="13463" spans="2:2">
      <c r="B13463" s="21"/>
    </row>
    <row r="13464" spans="2:2">
      <c r="B13464" s="21"/>
    </row>
    <row r="13465" spans="2:2">
      <c r="B13465" s="21"/>
    </row>
    <row r="13466" spans="2:2">
      <c r="B13466" s="21"/>
    </row>
    <row r="13467" spans="2:2">
      <c r="B13467" s="21"/>
    </row>
    <row r="13468" spans="2:2">
      <c r="B13468" s="21"/>
    </row>
    <row r="13469" spans="2:2">
      <c r="B13469" s="21"/>
    </row>
    <row r="13470" spans="2:2">
      <c r="B13470" s="21"/>
    </row>
    <row r="13471" spans="2:2">
      <c r="B13471" s="21"/>
    </row>
    <row r="13472" spans="2:2">
      <c r="B13472" s="21"/>
    </row>
    <row r="13473" spans="2:2">
      <c r="B13473" s="21"/>
    </row>
    <row r="13474" spans="2:2">
      <c r="B13474" s="21"/>
    </row>
    <row r="13475" spans="2:2">
      <c r="B13475" s="21"/>
    </row>
    <row r="13476" spans="2:2">
      <c r="B13476" s="21"/>
    </row>
    <row r="13477" spans="2:2">
      <c r="B13477" s="21"/>
    </row>
    <row r="13478" spans="2:2">
      <c r="B13478" s="21"/>
    </row>
    <row r="13479" spans="2:2">
      <c r="B13479" s="21"/>
    </row>
    <row r="13480" spans="2:2">
      <c r="B13480" s="21"/>
    </row>
    <row r="13481" spans="2:2">
      <c r="B13481" s="21"/>
    </row>
    <row r="13482" spans="2:2">
      <c r="B13482" s="21"/>
    </row>
    <row r="13483" spans="2:2">
      <c r="B13483" s="21"/>
    </row>
    <row r="13484" spans="2:2">
      <c r="B13484" s="21"/>
    </row>
    <row r="13485" spans="2:2">
      <c r="B13485" s="21"/>
    </row>
    <row r="13486" spans="2:2">
      <c r="B13486" s="21"/>
    </row>
    <row r="13487" spans="2:2">
      <c r="B13487" s="21"/>
    </row>
    <row r="13488" spans="2:2">
      <c r="B13488" s="21"/>
    </row>
    <row r="13489" spans="2:2">
      <c r="B13489" s="21"/>
    </row>
    <row r="13490" spans="2:2">
      <c r="B13490" s="21"/>
    </row>
    <row r="13491" spans="2:2">
      <c r="B13491" s="21"/>
    </row>
    <row r="13492" spans="2:2">
      <c r="B13492" s="21"/>
    </row>
    <row r="13493" spans="2:2">
      <c r="B13493" s="21"/>
    </row>
    <row r="13494" spans="2:2">
      <c r="B13494" s="21"/>
    </row>
    <row r="13495" spans="2:2">
      <c r="B13495" s="21"/>
    </row>
    <row r="13496" spans="2:2">
      <c r="B13496" s="21"/>
    </row>
    <row r="13497" spans="2:2">
      <c r="B13497" s="21"/>
    </row>
    <row r="13498" spans="2:2">
      <c r="B13498" s="21"/>
    </row>
    <row r="13499" spans="2:2">
      <c r="B13499" s="21"/>
    </row>
    <row r="13500" spans="2:2">
      <c r="B13500" s="21"/>
    </row>
    <row r="13501" spans="2:2">
      <c r="B13501" s="21"/>
    </row>
    <row r="13502" spans="2:2">
      <c r="B13502" s="21"/>
    </row>
    <row r="13503" spans="2:2">
      <c r="B13503" s="21"/>
    </row>
    <row r="13504" spans="2:2">
      <c r="B13504" s="21"/>
    </row>
    <row r="13505" spans="2:2">
      <c r="B13505" s="21"/>
    </row>
    <row r="13506" spans="2:2">
      <c r="B13506" s="21"/>
    </row>
    <row r="13507" spans="2:2">
      <c r="B13507" s="21"/>
    </row>
    <row r="13508" spans="2:2">
      <c r="B13508" s="21"/>
    </row>
    <row r="13509" spans="2:2">
      <c r="B13509" s="21"/>
    </row>
    <row r="13510" spans="2:2">
      <c r="B13510" s="21"/>
    </row>
    <row r="13511" spans="2:2">
      <c r="B13511" s="21"/>
    </row>
    <row r="13512" spans="2:2">
      <c r="B13512" s="21"/>
    </row>
    <row r="13513" spans="2:2">
      <c r="B13513" s="21"/>
    </row>
    <row r="13514" spans="2:2">
      <c r="B13514" s="21"/>
    </row>
    <row r="13515" spans="2:2">
      <c r="B13515" s="21"/>
    </row>
    <row r="13516" spans="2:2">
      <c r="B13516" s="21"/>
    </row>
    <row r="13517" spans="2:2">
      <c r="B13517" s="21"/>
    </row>
    <row r="13518" spans="2:2">
      <c r="B13518" s="21"/>
    </row>
    <row r="13519" spans="2:2">
      <c r="B13519" s="21"/>
    </row>
    <row r="13520" spans="2:2">
      <c r="B13520" s="21"/>
    </row>
    <row r="13521" spans="2:2">
      <c r="B13521" s="21"/>
    </row>
    <row r="13522" spans="2:2">
      <c r="B13522" s="21"/>
    </row>
    <row r="13523" spans="2:2">
      <c r="B13523" s="21"/>
    </row>
    <row r="13524" spans="2:2">
      <c r="B13524" s="21"/>
    </row>
    <row r="13525" spans="2:2">
      <c r="B13525" s="21"/>
    </row>
    <row r="13526" spans="2:2">
      <c r="B13526" s="21"/>
    </row>
    <row r="13527" spans="2:2">
      <c r="B13527" s="21"/>
    </row>
    <row r="13528" spans="2:2">
      <c r="B13528" s="21"/>
    </row>
    <row r="13529" spans="2:2">
      <c r="B13529" s="21"/>
    </row>
    <row r="13530" spans="2:2">
      <c r="B13530" s="21"/>
    </row>
    <row r="13531" spans="2:2">
      <c r="B13531" s="21"/>
    </row>
    <row r="13532" spans="2:2">
      <c r="B13532" s="21"/>
    </row>
    <row r="13533" spans="2:2">
      <c r="B13533" s="21"/>
    </row>
    <row r="13534" spans="2:2">
      <c r="B13534" s="21"/>
    </row>
    <row r="13535" spans="2:2">
      <c r="B13535" s="21"/>
    </row>
    <row r="13536" spans="2:2">
      <c r="B13536" s="21"/>
    </row>
    <row r="13537" spans="2:2">
      <c r="B13537" s="21"/>
    </row>
    <row r="13538" spans="2:2">
      <c r="B13538" s="21"/>
    </row>
    <row r="13539" spans="2:2">
      <c r="B13539" s="21"/>
    </row>
    <row r="13540" spans="2:2">
      <c r="B13540" s="21"/>
    </row>
    <row r="13541" spans="2:2">
      <c r="B13541" s="21"/>
    </row>
    <row r="13542" spans="2:2">
      <c r="B13542" s="21"/>
    </row>
    <row r="13543" spans="2:2">
      <c r="B13543" s="21"/>
    </row>
    <row r="13544" spans="2:2">
      <c r="B13544" s="21"/>
    </row>
    <row r="13545" spans="2:2">
      <c r="B13545" s="21"/>
    </row>
    <row r="13546" spans="2:2">
      <c r="B13546" s="21"/>
    </row>
    <row r="13547" spans="2:2">
      <c r="B13547" s="21"/>
    </row>
    <row r="13548" spans="2:2">
      <c r="B13548" s="21"/>
    </row>
    <row r="13549" spans="2:2">
      <c r="B13549" s="21"/>
    </row>
    <row r="13550" spans="2:2">
      <c r="B13550" s="21"/>
    </row>
    <row r="13551" spans="2:2">
      <c r="B13551" s="21"/>
    </row>
    <row r="13552" spans="2:2">
      <c r="B13552" s="21"/>
    </row>
    <row r="13553" spans="2:2">
      <c r="B13553" s="21"/>
    </row>
    <row r="13554" spans="2:2">
      <c r="B13554" s="21"/>
    </row>
    <row r="13555" spans="2:2">
      <c r="B13555" s="21"/>
    </row>
    <row r="13556" spans="2:2">
      <c r="B13556" s="21"/>
    </row>
    <row r="13557" spans="2:2">
      <c r="B13557" s="21"/>
    </row>
    <row r="13558" spans="2:2">
      <c r="B13558" s="21"/>
    </row>
    <row r="13559" spans="2:2">
      <c r="B13559" s="21"/>
    </row>
    <row r="13560" spans="2:2">
      <c r="B13560" s="21"/>
    </row>
    <row r="13561" spans="2:2">
      <c r="B13561" s="21"/>
    </row>
    <row r="13562" spans="2:2">
      <c r="B13562" s="21"/>
    </row>
    <row r="13563" spans="2:2">
      <c r="B13563" s="21"/>
    </row>
    <row r="13564" spans="2:2">
      <c r="B13564" s="21"/>
    </row>
    <row r="13565" spans="2:2">
      <c r="B13565" s="21"/>
    </row>
    <row r="13566" spans="2:2">
      <c r="B13566" s="21"/>
    </row>
    <row r="13567" spans="2:2">
      <c r="B13567" s="21"/>
    </row>
    <row r="13568" spans="2:2">
      <c r="B13568" s="21"/>
    </row>
    <row r="13569" spans="2:2">
      <c r="B13569" s="21"/>
    </row>
    <row r="13570" spans="2:2">
      <c r="B13570" s="21"/>
    </row>
    <row r="13571" spans="2:2">
      <c r="B13571" s="21"/>
    </row>
    <row r="13572" spans="2:2">
      <c r="B13572" s="21"/>
    </row>
    <row r="13573" spans="2:2">
      <c r="B13573" s="21"/>
    </row>
    <row r="13574" spans="2:2">
      <c r="B13574" s="21"/>
    </row>
    <row r="13575" spans="2:2">
      <c r="B13575" s="21"/>
    </row>
    <row r="13576" spans="2:2">
      <c r="B13576" s="21"/>
    </row>
    <row r="13577" spans="2:2">
      <c r="B13577" s="21"/>
    </row>
    <row r="13578" spans="2:2">
      <c r="B13578" s="21"/>
    </row>
    <row r="13579" spans="2:2">
      <c r="B13579" s="21"/>
    </row>
    <row r="13580" spans="2:2">
      <c r="B13580" s="21"/>
    </row>
    <row r="13581" spans="2:2">
      <c r="B13581" s="21"/>
    </row>
    <row r="13582" spans="2:2">
      <c r="B13582" s="21"/>
    </row>
    <row r="13583" spans="2:2">
      <c r="B13583" s="21"/>
    </row>
    <row r="13584" spans="2:2">
      <c r="B13584" s="21"/>
    </row>
    <row r="13585" spans="2:2">
      <c r="B13585" s="21"/>
    </row>
    <row r="13586" spans="2:2">
      <c r="B13586" s="21"/>
    </row>
    <row r="13587" spans="2:2">
      <c r="B13587" s="21"/>
    </row>
    <row r="13588" spans="2:2">
      <c r="B13588" s="21"/>
    </row>
    <row r="13589" spans="2:2">
      <c r="B13589" s="21"/>
    </row>
    <row r="13590" spans="2:2">
      <c r="B13590" s="21"/>
    </row>
    <row r="13591" spans="2:2">
      <c r="B13591" s="21"/>
    </row>
    <row r="13592" spans="2:2">
      <c r="B13592" s="21"/>
    </row>
    <row r="13593" spans="2:2">
      <c r="B13593" s="21"/>
    </row>
    <row r="13594" spans="2:2">
      <c r="B13594" s="21"/>
    </row>
    <row r="13595" spans="2:2">
      <c r="B13595" s="21"/>
    </row>
    <row r="13596" spans="2:2">
      <c r="B13596" s="21"/>
    </row>
    <row r="13597" spans="2:2">
      <c r="B13597" s="21"/>
    </row>
    <row r="13598" spans="2:2">
      <c r="B13598" s="21"/>
    </row>
    <row r="13599" spans="2:2">
      <c r="B13599" s="21"/>
    </row>
    <row r="13600" spans="2:2">
      <c r="B13600" s="21"/>
    </row>
    <row r="13601" spans="2:2">
      <c r="B13601" s="21"/>
    </row>
    <row r="13602" spans="2:2">
      <c r="B13602" s="21"/>
    </row>
    <row r="13603" spans="2:2">
      <c r="B13603" s="21"/>
    </row>
    <row r="13604" spans="2:2">
      <c r="B13604" s="21"/>
    </row>
    <row r="13605" spans="2:2">
      <c r="B13605" s="21"/>
    </row>
    <row r="13606" spans="2:2">
      <c r="B13606" s="21"/>
    </row>
    <row r="13607" spans="2:2">
      <c r="B13607" s="21"/>
    </row>
    <row r="13608" spans="2:2">
      <c r="B13608" s="21"/>
    </row>
    <row r="13609" spans="2:2">
      <c r="B13609" s="21"/>
    </row>
    <row r="13610" spans="2:2">
      <c r="B13610" s="21"/>
    </row>
    <row r="13611" spans="2:2">
      <c r="B13611" s="21"/>
    </row>
    <row r="13612" spans="2:2">
      <c r="B13612" s="21"/>
    </row>
    <row r="13613" spans="2:2">
      <c r="B13613" s="21"/>
    </row>
    <row r="13614" spans="2:2">
      <c r="B13614" s="21"/>
    </row>
    <row r="13615" spans="2:2">
      <c r="B13615" s="21"/>
    </row>
    <row r="13616" spans="2:2">
      <c r="B13616" s="21"/>
    </row>
    <row r="13617" spans="2:2">
      <c r="B13617" s="21"/>
    </row>
    <row r="13618" spans="2:2">
      <c r="B13618" s="21"/>
    </row>
    <row r="13619" spans="2:2">
      <c r="B13619" s="21"/>
    </row>
    <row r="13620" spans="2:2">
      <c r="B13620" s="21"/>
    </row>
    <row r="13621" spans="2:2">
      <c r="B13621" s="21"/>
    </row>
    <row r="13622" spans="2:2">
      <c r="B13622" s="21"/>
    </row>
    <row r="13623" spans="2:2">
      <c r="B13623" s="21"/>
    </row>
    <row r="13624" spans="2:2">
      <c r="B13624" s="21"/>
    </row>
    <row r="13625" spans="2:2">
      <c r="B13625" s="21"/>
    </row>
    <row r="13626" spans="2:2">
      <c r="B13626" s="21"/>
    </row>
    <row r="13627" spans="2:2">
      <c r="B13627" s="21"/>
    </row>
    <row r="13628" spans="2:2">
      <c r="B13628" s="21"/>
    </row>
    <row r="13629" spans="2:2">
      <c r="B13629" s="21"/>
    </row>
    <row r="13630" spans="2:2">
      <c r="B13630" s="21"/>
    </row>
    <row r="13631" spans="2:2">
      <c r="B13631" s="21"/>
    </row>
    <row r="13632" spans="2:2">
      <c r="B13632" s="21"/>
    </row>
    <row r="13633" spans="2:2">
      <c r="B13633" s="21"/>
    </row>
    <row r="13634" spans="2:2">
      <c r="B13634" s="21"/>
    </row>
    <row r="13635" spans="2:2">
      <c r="B13635" s="21"/>
    </row>
    <row r="13636" spans="2:2">
      <c r="B13636" s="21"/>
    </row>
    <row r="13637" spans="2:2">
      <c r="B13637" s="21"/>
    </row>
    <row r="13638" spans="2:2">
      <c r="B13638" s="21"/>
    </row>
    <row r="13639" spans="2:2">
      <c r="B13639" s="21"/>
    </row>
    <row r="13640" spans="2:2">
      <c r="B13640" s="21"/>
    </row>
    <row r="13641" spans="2:2">
      <c r="B13641" s="21"/>
    </row>
    <row r="13642" spans="2:2">
      <c r="B13642" s="21"/>
    </row>
    <row r="13643" spans="2:2">
      <c r="B13643" s="21"/>
    </row>
    <row r="13644" spans="2:2">
      <c r="B13644" s="21"/>
    </row>
    <row r="13645" spans="2:2">
      <c r="B13645" s="21"/>
    </row>
    <row r="13646" spans="2:2">
      <c r="B13646" s="21"/>
    </row>
    <row r="13647" spans="2:2">
      <c r="B13647" s="21"/>
    </row>
    <row r="13648" spans="2:2">
      <c r="B13648" s="21"/>
    </row>
    <row r="13649" spans="2:2">
      <c r="B13649" s="21"/>
    </row>
    <row r="13650" spans="2:2">
      <c r="B13650" s="21"/>
    </row>
    <row r="13651" spans="2:2">
      <c r="B13651" s="21"/>
    </row>
    <row r="13652" spans="2:2">
      <c r="B13652" s="21"/>
    </row>
    <row r="13653" spans="2:2">
      <c r="B13653" s="21"/>
    </row>
    <row r="13654" spans="2:2">
      <c r="B13654" s="21"/>
    </row>
    <row r="13655" spans="2:2">
      <c r="B13655" s="21"/>
    </row>
    <row r="13656" spans="2:2">
      <c r="B13656" s="21"/>
    </row>
    <row r="13657" spans="2:2">
      <c r="B13657" s="21"/>
    </row>
    <row r="13658" spans="2:2">
      <c r="B13658" s="21"/>
    </row>
    <row r="13659" spans="2:2">
      <c r="B13659" s="21"/>
    </row>
    <row r="13660" spans="2:2">
      <c r="B13660" s="21"/>
    </row>
    <row r="13661" spans="2:2">
      <c r="B13661" s="21"/>
    </row>
    <row r="13662" spans="2:2">
      <c r="B13662" s="21"/>
    </row>
    <row r="13663" spans="2:2">
      <c r="B13663" s="21"/>
    </row>
    <row r="13664" spans="2:2">
      <c r="B13664" s="21"/>
    </row>
    <row r="13665" spans="2:2">
      <c r="B13665" s="21"/>
    </row>
    <row r="13666" spans="2:2">
      <c r="B13666" s="21"/>
    </row>
    <row r="13667" spans="2:2">
      <c r="B13667" s="21"/>
    </row>
    <row r="13668" spans="2:2">
      <c r="B13668" s="21"/>
    </row>
    <row r="13669" spans="2:2">
      <c r="B13669" s="21"/>
    </row>
    <row r="13670" spans="2:2">
      <c r="B13670" s="21"/>
    </row>
    <row r="13671" spans="2:2">
      <c r="B13671" s="21"/>
    </row>
    <row r="13672" spans="2:2">
      <c r="B13672" s="21"/>
    </row>
    <row r="13673" spans="2:2">
      <c r="B13673" s="21"/>
    </row>
    <row r="13674" spans="2:2">
      <c r="B13674" s="21"/>
    </row>
    <row r="13675" spans="2:2">
      <c r="B13675" s="21"/>
    </row>
    <row r="13676" spans="2:2">
      <c r="B13676" s="21"/>
    </row>
    <row r="13677" spans="2:2">
      <c r="B13677" s="21"/>
    </row>
    <row r="13678" spans="2:2">
      <c r="B13678" s="21"/>
    </row>
    <row r="13679" spans="2:2">
      <c r="B13679" s="21"/>
    </row>
    <row r="13680" spans="2:2">
      <c r="B13680" s="21"/>
    </row>
    <row r="13681" spans="2:2">
      <c r="B13681" s="21"/>
    </row>
    <row r="13682" spans="2:2">
      <c r="B13682" s="21"/>
    </row>
    <row r="13683" spans="2:2">
      <c r="B13683" s="21"/>
    </row>
    <row r="13684" spans="2:2">
      <c r="B13684" s="21"/>
    </row>
    <row r="13685" spans="2:2">
      <c r="B13685" s="21"/>
    </row>
    <row r="13686" spans="2:2">
      <c r="B13686" s="21"/>
    </row>
    <row r="13687" spans="2:2">
      <c r="B13687" s="21"/>
    </row>
    <row r="13688" spans="2:2">
      <c r="B13688" s="21"/>
    </row>
    <row r="13689" spans="2:2">
      <c r="B13689" s="21"/>
    </row>
    <row r="13690" spans="2:2">
      <c r="B13690" s="21"/>
    </row>
    <row r="13691" spans="2:2">
      <c r="B13691" s="21"/>
    </row>
    <row r="13692" spans="2:2">
      <c r="B13692" s="21"/>
    </row>
    <row r="13693" spans="2:2">
      <c r="B13693" s="21"/>
    </row>
    <row r="13694" spans="2:2">
      <c r="B13694" s="21"/>
    </row>
    <row r="13695" spans="2:2">
      <c r="B13695" s="21"/>
    </row>
    <row r="13696" spans="2:2">
      <c r="B13696" s="21"/>
    </row>
    <row r="13697" spans="2:2">
      <c r="B13697" s="21"/>
    </row>
    <row r="13698" spans="2:2">
      <c r="B13698" s="21"/>
    </row>
    <row r="13699" spans="2:2">
      <c r="B13699" s="21"/>
    </row>
    <row r="13700" spans="2:2">
      <c r="B13700" s="21"/>
    </row>
    <row r="13701" spans="2:2">
      <c r="B13701" s="21"/>
    </row>
    <row r="13702" spans="2:2">
      <c r="B13702" s="21"/>
    </row>
    <row r="13703" spans="2:2">
      <c r="B13703" s="21"/>
    </row>
    <row r="13704" spans="2:2">
      <c r="B13704" s="21"/>
    </row>
    <row r="13705" spans="2:2">
      <c r="B13705" s="21"/>
    </row>
    <row r="13706" spans="2:2">
      <c r="B13706" s="21"/>
    </row>
    <row r="13707" spans="2:2">
      <c r="B13707" s="21"/>
    </row>
    <row r="13708" spans="2:2">
      <c r="B13708" s="21"/>
    </row>
    <row r="13709" spans="2:2">
      <c r="B13709" s="21"/>
    </row>
    <row r="13710" spans="2:2">
      <c r="B13710" s="21"/>
    </row>
    <row r="13711" spans="2:2">
      <c r="B13711" s="21"/>
    </row>
    <row r="13712" spans="2:2">
      <c r="B13712" s="21"/>
    </row>
    <row r="13713" spans="2:2">
      <c r="B13713" s="21"/>
    </row>
    <row r="13714" spans="2:2">
      <c r="B13714" s="21"/>
    </row>
    <row r="13715" spans="2:2">
      <c r="B13715" s="21"/>
    </row>
    <row r="13716" spans="2:2">
      <c r="B13716" s="21"/>
    </row>
    <row r="13717" spans="2:2">
      <c r="B13717" s="21"/>
    </row>
    <row r="13718" spans="2:2">
      <c r="B13718" s="21"/>
    </row>
    <row r="13719" spans="2:2">
      <c r="B13719" s="21"/>
    </row>
    <row r="13720" spans="2:2">
      <c r="B13720" s="21"/>
    </row>
    <row r="13721" spans="2:2">
      <c r="B13721" s="21"/>
    </row>
    <row r="13722" spans="2:2">
      <c r="B13722" s="21"/>
    </row>
    <row r="13723" spans="2:2">
      <c r="B13723" s="21"/>
    </row>
    <row r="13724" spans="2:2">
      <c r="B13724" s="21"/>
    </row>
    <row r="13725" spans="2:2">
      <c r="B13725" s="21"/>
    </row>
    <row r="13726" spans="2:2">
      <c r="B13726" s="21"/>
    </row>
    <row r="13727" spans="2:2">
      <c r="B13727" s="21"/>
    </row>
    <row r="13728" spans="2:2">
      <c r="B13728" s="21"/>
    </row>
    <row r="13729" spans="2:2">
      <c r="B13729" s="21"/>
    </row>
    <row r="13730" spans="2:2">
      <c r="B13730" s="21"/>
    </row>
    <row r="13731" spans="2:2">
      <c r="B13731" s="21"/>
    </row>
    <row r="13732" spans="2:2">
      <c r="B13732" s="21"/>
    </row>
    <row r="13733" spans="2:2">
      <c r="B13733" s="21"/>
    </row>
    <row r="13734" spans="2:2">
      <c r="B13734" s="21"/>
    </row>
    <row r="13735" spans="2:2">
      <c r="B13735" s="21"/>
    </row>
    <row r="13736" spans="2:2">
      <c r="B13736" s="21"/>
    </row>
    <row r="13737" spans="2:2">
      <c r="B13737" s="21"/>
    </row>
    <row r="13738" spans="2:2">
      <c r="B13738" s="21"/>
    </row>
    <row r="13739" spans="2:2">
      <c r="B13739" s="21"/>
    </row>
    <row r="13740" spans="2:2">
      <c r="B13740" s="21"/>
    </row>
    <row r="13741" spans="2:2">
      <c r="B13741" s="21"/>
    </row>
    <row r="13742" spans="2:2">
      <c r="B13742" s="21"/>
    </row>
    <row r="13743" spans="2:2">
      <c r="B13743" s="21"/>
    </row>
    <row r="13744" spans="2:2">
      <c r="B13744" s="21"/>
    </row>
    <row r="13745" spans="2:2">
      <c r="B13745" s="21"/>
    </row>
    <row r="13746" spans="2:2">
      <c r="B13746" s="21"/>
    </row>
    <row r="13747" spans="2:2">
      <c r="B13747" s="21"/>
    </row>
    <row r="13748" spans="2:2">
      <c r="B13748" s="21"/>
    </row>
    <row r="13749" spans="2:2">
      <c r="B13749" s="21"/>
    </row>
    <row r="13750" spans="2:2">
      <c r="B13750" s="21"/>
    </row>
    <row r="13751" spans="2:2">
      <c r="B13751" s="21"/>
    </row>
    <row r="13752" spans="2:2">
      <c r="B13752" s="21"/>
    </row>
    <row r="13753" spans="2:2">
      <c r="B13753" s="21"/>
    </row>
    <row r="13754" spans="2:2">
      <c r="B13754" s="21"/>
    </row>
    <row r="13755" spans="2:2">
      <c r="B13755" s="21"/>
    </row>
    <row r="13756" spans="2:2">
      <c r="B13756" s="21"/>
    </row>
    <row r="13757" spans="2:2">
      <c r="B13757" s="21"/>
    </row>
    <row r="13758" spans="2:2">
      <c r="B13758" s="21"/>
    </row>
    <row r="13759" spans="2:2">
      <c r="B13759" s="21"/>
    </row>
    <row r="13760" spans="2:2">
      <c r="B13760" s="21"/>
    </row>
    <row r="13761" spans="2:2">
      <c r="B13761" s="21"/>
    </row>
    <row r="13762" spans="2:2">
      <c r="B13762" s="21"/>
    </row>
    <row r="13763" spans="2:2">
      <c r="B13763" s="21"/>
    </row>
    <row r="13764" spans="2:2">
      <c r="B13764" s="21"/>
    </row>
    <row r="13765" spans="2:2">
      <c r="B13765" s="21"/>
    </row>
    <row r="13766" spans="2:2">
      <c r="B13766" s="21"/>
    </row>
    <row r="13767" spans="2:2">
      <c r="B13767" s="21"/>
    </row>
    <row r="13768" spans="2:2">
      <c r="B13768" s="21"/>
    </row>
    <row r="13769" spans="2:2">
      <c r="B13769" s="21"/>
    </row>
    <row r="13770" spans="2:2">
      <c r="B13770" s="21"/>
    </row>
    <row r="13771" spans="2:2">
      <c r="B13771" s="21"/>
    </row>
    <row r="13772" spans="2:2">
      <c r="B13772" s="21"/>
    </row>
    <row r="13773" spans="2:2">
      <c r="B13773" s="21"/>
    </row>
    <row r="13774" spans="2:2">
      <c r="B13774" s="21"/>
    </row>
    <row r="13775" spans="2:2">
      <c r="B13775" s="21"/>
    </row>
    <row r="13776" spans="2:2">
      <c r="B13776" s="21"/>
    </row>
    <row r="13777" spans="2:2">
      <c r="B13777" s="21"/>
    </row>
    <row r="13778" spans="2:2">
      <c r="B13778" s="21"/>
    </row>
    <row r="13779" spans="2:2">
      <c r="B13779" s="21"/>
    </row>
    <row r="13780" spans="2:2">
      <c r="B13780" s="21"/>
    </row>
    <row r="13781" spans="2:2">
      <c r="B13781" s="21"/>
    </row>
    <row r="13782" spans="2:2">
      <c r="B13782" s="21"/>
    </row>
    <row r="13783" spans="2:2">
      <c r="B13783" s="21"/>
    </row>
    <row r="13784" spans="2:2">
      <c r="B13784" s="21"/>
    </row>
    <row r="13785" spans="2:2">
      <c r="B13785" s="21"/>
    </row>
    <row r="13786" spans="2:2">
      <c r="B13786" s="21"/>
    </row>
    <row r="13787" spans="2:2">
      <c r="B13787" s="21"/>
    </row>
    <row r="13788" spans="2:2">
      <c r="B13788" s="21"/>
    </row>
    <row r="13789" spans="2:2">
      <c r="B13789" s="21"/>
    </row>
    <row r="13790" spans="2:2">
      <c r="B13790" s="21"/>
    </row>
    <row r="13791" spans="2:2">
      <c r="B13791" s="21"/>
    </row>
    <row r="13792" spans="2:2">
      <c r="B13792" s="21"/>
    </row>
    <row r="13793" spans="2:2">
      <c r="B13793" s="21"/>
    </row>
    <row r="13794" spans="2:2">
      <c r="B13794" s="21"/>
    </row>
    <row r="13795" spans="2:2">
      <c r="B13795" s="21"/>
    </row>
    <row r="13796" spans="2:2">
      <c r="B13796" s="21"/>
    </row>
    <row r="13797" spans="2:2">
      <c r="B13797" s="21"/>
    </row>
    <row r="13798" spans="2:2">
      <c r="B13798" s="21"/>
    </row>
    <row r="13799" spans="2:2">
      <c r="B13799" s="21"/>
    </row>
    <row r="13800" spans="2:2">
      <c r="B13800" s="21"/>
    </row>
    <row r="13801" spans="2:2">
      <c r="B13801" s="21"/>
    </row>
    <row r="13802" spans="2:2">
      <c r="B13802" s="21"/>
    </row>
    <row r="13803" spans="2:2">
      <c r="B13803" s="21"/>
    </row>
    <row r="13804" spans="2:2">
      <c r="B13804" s="21"/>
    </row>
    <row r="13805" spans="2:2">
      <c r="B13805" s="21"/>
    </row>
    <row r="13806" spans="2:2">
      <c r="B13806" s="21"/>
    </row>
    <row r="13807" spans="2:2">
      <c r="B13807" s="21"/>
    </row>
    <row r="13808" spans="2:2">
      <c r="B13808" s="21"/>
    </row>
    <row r="13809" spans="2:2">
      <c r="B13809" s="21"/>
    </row>
    <row r="13810" spans="2:2">
      <c r="B13810" s="21"/>
    </row>
    <row r="13811" spans="2:2">
      <c r="B13811" s="21"/>
    </row>
    <row r="13812" spans="2:2">
      <c r="B13812" s="21"/>
    </row>
    <row r="13813" spans="2:2">
      <c r="B13813" s="21"/>
    </row>
    <row r="13814" spans="2:2">
      <c r="B13814" s="21"/>
    </row>
    <row r="13815" spans="2:2">
      <c r="B13815" s="21"/>
    </row>
    <row r="13816" spans="2:2">
      <c r="B13816" s="21"/>
    </row>
    <row r="13817" spans="2:2">
      <c r="B13817" s="21"/>
    </row>
    <row r="13818" spans="2:2">
      <c r="B13818" s="21"/>
    </row>
    <row r="13819" spans="2:2">
      <c r="B13819" s="21"/>
    </row>
    <row r="13820" spans="2:2">
      <c r="B13820" s="21"/>
    </row>
    <row r="13821" spans="2:2">
      <c r="B13821" s="21"/>
    </row>
    <row r="13822" spans="2:2">
      <c r="B13822" s="21"/>
    </row>
    <row r="13823" spans="2:2">
      <c r="B13823" s="21"/>
    </row>
    <row r="13824" spans="2:2">
      <c r="B13824" s="21"/>
    </row>
    <row r="13825" spans="2:2">
      <c r="B13825" s="21"/>
    </row>
    <row r="13826" spans="2:2">
      <c r="B13826" s="21"/>
    </row>
    <row r="13827" spans="2:2">
      <c r="B13827" s="21"/>
    </row>
    <row r="13828" spans="2:2">
      <c r="B13828" s="21"/>
    </row>
    <row r="13829" spans="2:2">
      <c r="B13829" s="21"/>
    </row>
    <row r="13830" spans="2:2">
      <c r="B13830" s="21"/>
    </row>
    <row r="13831" spans="2:2">
      <c r="B13831" s="21"/>
    </row>
    <row r="13832" spans="2:2">
      <c r="B13832" s="21"/>
    </row>
    <row r="13833" spans="2:2">
      <c r="B13833" s="21"/>
    </row>
    <row r="13834" spans="2:2">
      <c r="B13834" s="21"/>
    </row>
    <row r="13835" spans="2:2">
      <c r="B13835" s="21"/>
    </row>
    <row r="13836" spans="2:2">
      <c r="B13836" s="21"/>
    </row>
    <row r="13837" spans="2:2">
      <c r="B13837" s="21"/>
    </row>
    <row r="13838" spans="2:2">
      <c r="B13838" s="21"/>
    </row>
    <row r="13839" spans="2:2">
      <c r="B13839" s="21"/>
    </row>
    <row r="13840" spans="2:2">
      <c r="B13840" s="21"/>
    </row>
    <row r="13841" spans="2:2">
      <c r="B13841" s="21"/>
    </row>
    <row r="13842" spans="2:2">
      <c r="B13842" s="21"/>
    </row>
    <row r="13843" spans="2:2">
      <c r="B13843" s="21"/>
    </row>
    <row r="13844" spans="2:2">
      <c r="B13844" s="21"/>
    </row>
    <row r="13845" spans="2:2">
      <c r="B13845" s="21"/>
    </row>
    <row r="13846" spans="2:2">
      <c r="B13846" s="21"/>
    </row>
    <row r="13847" spans="2:2">
      <c r="B13847" s="21"/>
    </row>
    <row r="13848" spans="2:2">
      <c r="B13848" s="21"/>
    </row>
    <row r="13849" spans="2:2">
      <c r="B13849" s="21"/>
    </row>
    <row r="13850" spans="2:2">
      <c r="B13850" s="21"/>
    </row>
    <row r="13851" spans="2:2">
      <c r="B13851" s="21"/>
    </row>
    <row r="13852" spans="2:2">
      <c r="B13852" s="21"/>
    </row>
    <row r="13853" spans="2:2">
      <c r="B13853" s="21"/>
    </row>
    <row r="13854" spans="2:2">
      <c r="B13854" s="21"/>
    </row>
    <row r="13855" spans="2:2">
      <c r="B13855" s="21"/>
    </row>
    <row r="13856" spans="2:2">
      <c r="B13856" s="21"/>
    </row>
    <row r="13857" spans="2:2">
      <c r="B13857" s="21"/>
    </row>
    <row r="13858" spans="2:2">
      <c r="B13858" s="21"/>
    </row>
    <row r="13859" spans="2:2">
      <c r="B13859" s="21"/>
    </row>
    <row r="13860" spans="2:2">
      <c r="B13860" s="21"/>
    </row>
    <row r="13861" spans="2:2">
      <c r="B13861" s="21"/>
    </row>
    <row r="13862" spans="2:2">
      <c r="B13862" s="21"/>
    </row>
    <row r="13863" spans="2:2">
      <c r="B13863" s="21"/>
    </row>
    <row r="13864" spans="2:2">
      <c r="B13864" s="21"/>
    </row>
    <row r="13865" spans="2:2">
      <c r="B13865" s="21"/>
    </row>
    <row r="13866" spans="2:2">
      <c r="B13866" s="21"/>
    </row>
    <row r="13867" spans="2:2">
      <c r="B13867" s="21"/>
    </row>
    <row r="13868" spans="2:2">
      <c r="B13868" s="21"/>
    </row>
    <row r="13869" spans="2:2">
      <c r="B13869" s="21"/>
    </row>
    <row r="13870" spans="2:2">
      <c r="B13870" s="21"/>
    </row>
    <row r="13871" spans="2:2">
      <c r="B13871" s="21"/>
    </row>
    <row r="13872" spans="2:2">
      <c r="B13872" s="21"/>
    </row>
    <row r="13873" spans="2:2">
      <c r="B13873" s="21"/>
    </row>
    <row r="13874" spans="2:2">
      <c r="B13874" s="21"/>
    </row>
    <row r="13875" spans="2:2">
      <c r="B13875" s="21"/>
    </row>
    <row r="13876" spans="2:2">
      <c r="B13876" s="21"/>
    </row>
    <row r="13877" spans="2:2">
      <c r="B13877" s="21"/>
    </row>
    <row r="13878" spans="2:2">
      <c r="B13878" s="21"/>
    </row>
    <row r="13879" spans="2:2">
      <c r="B13879" s="21"/>
    </row>
    <row r="13880" spans="2:2">
      <c r="B13880" s="21"/>
    </row>
    <row r="13881" spans="2:2">
      <c r="B13881" s="21"/>
    </row>
    <row r="13882" spans="2:2">
      <c r="B13882" s="21"/>
    </row>
    <row r="13883" spans="2:2">
      <c r="B13883" s="21"/>
    </row>
    <row r="13884" spans="2:2">
      <c r="B13884" s="21"/>
    </row>
    <row r="13885" spans="2:2">
      <c r="B13885" s="21"/>
    </row>
    <row r="13886" spans="2:2">
      <c r="B13886" s="21"/>
    </row>
    <row r="13887" spans="2:2">
      <c r="B13887" s="21"/>
    </row>
    <row r="13888" spans="2:2">
      <c r="B13888" s="21"/>
    </row>
    <row r="13889" spans="2:2">
      <c r="B13889" s="21"/>
    </row>
    <row r="13890" spans="2:2">
      <c r="B13890" s="21"/>
    </row>
    <row r="13891" spans="2:2">
      <c r="B13891" s="21"/>
    </row>
    <row r="13892" spans="2:2">
      <c r="B13892" s="21"/>
    </row>
    <row r="13893" spans="2:2">
      <c r="B13893" s="21"/>
    </row>
    <row r="13894" spans="2:2">
      <c r="B13894" s="21"/>
    </row>
    <row r="13895" spans="2:2">
      <c r="B13895" s="21"/>
    </row>
    <row r="13896" spans="2:2">
      <c r="B13896" s="21"/>
    </row>
    <row r="13897" spans="2:2">
      <c r="B13897" s="21"/>
    </row>
    <row r="13898" spans="2:2">
      <c r="B13898" s="21"/>
    </row>
    <row r="13899" spans="2:2">
      <c r="B13899" s="21"/>
    </row>
    <row r="13900" spans="2:2">
      <c r="B13900" s="21"/>
    </row>
    <row r="13901" spans="2:2">
      <c r="B13901" s="21"/>
    </row>
    <row r="13902" spans="2:2">
      <c r="B13902" s="21"/>
    </row>
    <row r="13903" spans="2:2">
      <c r="B13903" s="21"/>
    </row>
    <row r="13904" spans="2:2">
      <c r="B13904" s="21"/>
    </row>
    <row r="13905" spans="2:2">
      <c r="B13905" s="21"/>
    </row>
    <row r="13906" spans="2:2">
      <c r="B13906" s="21"/>
    </row>
    <row r="13907" spans="2:2">
      <c r="B13907" s="21"/>
    </row>
    <row r="13908" spans="2:2">
      <c r="B13908" s="21"/>
    </row>
    <row r="13909" spans="2:2">
      <c r="B13909" s="21"/>
    </row>
    <row r="13910" spans="2:2">
      <c r="B13910" s="21"/>
    </row>
    <row r="13911" spans="2:2">
      <c r="B13911" s="21"/>
    </row>
    <row r="13912" spans="2:2">
      <c r="B13912" s="21"/>
    </row>
    <row r="13913" spans="2:2">
      <c r="B13913" s="21"/>
    </row>
    <row r="13914" spans="2:2">
      <c r="B13914" s="21"/>
    </row>
    <row r="13915" spans="2:2">
      <c r="B13915" s="21"/>
    </row>
    <row r="13916" spans="2:2">
      <c r="B13916" s="21"/>
    </row>
    <row r="13917" spans="2:2">
      <c r="B13917" s="21"/>
    </row>
    <row r="13918" spans="2:2">
      <c r="B13918" s="21"/>
    </row>
    <row r="13919" spans="2:2">
      <c r="B13919" s="21"/>
    </row>
    <row r="13920" spans="2:2">
      <c r="B13920" s="21"/>
    </row>
    <row r="13921" spans="2:2">
      <c r="B13921" s="21"/>
    </row>
    <row r="13922" spans="2:2">
      <c r="B13922" s="21"/>
    </row>
    <row r="13923" spans="2:2">
      <c r="B13923" s="21"/>
    </row>
    <row r="13924" spans="2:2">
      <c r="B13924" s="21"/>
    </row>
    <row r="13925" spans="2:2">
      <c r="B13925" s="21"/>
    </row>
    <row r="13926" spans="2:2">
      <c r="B13926" s="21"/>
    </row>
    <row r="13927" spans="2:2">
      <c r="B13927" s="21"/>
    </row>
    <row r="13928" spans="2:2">
      <c r="B13928" s="21"/>
    </row>
    <row r="13929" spans="2:2">
      <c r="B13929" s="21"/>
    </row>
    <row r="13930" spans="2:2">
      <c r="B13930" s="21"/>
    </row>
    <row r="13931" spans="2:2">
      <c r="B13931" s="21"/>
    </row>
    <row r="13932" spans="2:2">
      <c r="B13932" s="21"/>
    </row>
    <row r="13933" spans="2:2">
      <c r="B13933" s="21"/>
    </row>
    <row r="13934" spans="2:2">
      <c r="B13934" s="21"/>
    </row>
    <row r="13935" spans="2:2">
      <c r="B13935" s="21"/>
    </row>
    <row r="13936" spans="2:2">
      <c r="B13936" s="21"/>
    </row>
    <row r="13937" spans="2:2">
      <c r="B13937" s="21"/>
    </row>
    <row r="13938" spans="2:2">
      <c r="B13938" s="21"/>
    </row>
    <row r="13939" spans="2:2">
      <c r="B13939" s="21"/>
    </row>
    <row r="13940" spans="2:2">
      <c r="B13940" s="21"/>
    </row>
    <row r="13941" spans="2:2">
      <c r="B13941" s="21"/>
    </row>
    <row r="13942" spans="2:2">
      <c r="B13942" s="21"/>
    </row>
    <row r="13943" spans="2:2">
      <c r="B13943" s="21"/>
    </row>
    <row r="13944" spans="2:2">
      <c r="B13944" s="21"/>
    </row>
    <row r="13945" spans="2:2">
      <c r="B13945" s="21"/>
    </row>
    <row r="13946" spans="2:2">
      <c r="B13946" s="21"/>
    </row>
    <row r="13947" spans="2:2">
      <c r="B13947" s="21"/>
    </row>
    <row r="13948" spans="2:2">
      <c r="B13948" s="21"/>
    </row>
    <row r="13949" spans="2:2">
      <c r="B13949" s="21"/>
    </row>
    <row r="13950" spans="2:2">
      <c r="B13950" s="21"/>
    </row>
    <row r="13951" spans="2:2">
      <c r="B13951" s="21"/>
    </row>
    <row r="13952" spans="2:2">
      <c r="B13952" s="21"/>
    </row>
    <row r="13953" spans="2:2">
      <c r="B13953" s="21"/>
    </row>
    <row r="13954" spans="2:2">
      <c r="B13954" s="21"/>
    </row>
    <row r="13955" spans="2:2">
      <c r="B13955" s="21"/>
    </row>
    <row r="13956" spans="2:2">
      <c r="B13956" s="21"/>
    </row>
    <row r="13957" spans="2:2">
      <c r="B13957" s="21"/>
    </row>
    <row r="13958" spans="2:2">
      <c r="B13958" s="21"/>
    </row>
    <row r="13959" spans="2:2">
      <c r="B13959" s="21"/>
    </row>
    <row r="13960" spans="2:2">
      <c r="B13960" s="21"/>
    </row>
    <row r="13961" spans="2:2">
      <c r="B13961" s="21"/>
    </row>
    <row r="13962" spans="2:2">
      <c r="B13962" s="21"/>
    </row>
    <row r="13963" spans="2:2">
      <c r="B13963" s="21"/>
    </row>
    <row r="13964" spans="2:2">
      <c r="B13964" s="21"/>
    </row>
    <row r="13965" spans="2:2">
      <c r="B13965" s="21"/>
    </row>
    <row r="13966" spans="2:2">
      <c r="B13966" s="21"/>
    </row>
    <row r="13967" spans="2:2">
      <c r="B13967" s="21"/>
    </row>
    <row r="13968" spans="2:2">
      <c r="B13968" s="21"/>
    </row>
    <row r="13969" spans="2:2">
      <c r="B13969" s="21"/>
    </row>
    <row r="13970" spans="2:2">
      <c r="B13970" s="21"/>
    </row>
    <row r="13971" spans="2:2">
      <c r="B13971" s="21"/>
    </row>
    <row r="13972" spans="2:2">
      <c r="B13972" s="21"/>
    </row>
    <row r="13973" spans="2:2">
      <c r="B13973" s="21"/>
    </row>
    <row r="13974" spans="2:2">
      <c r="B13974" s="21"/>
    </row>
    <row r="13975" spans="2:2">
      <c r="B13975" s="21"/>
    </row>
    <row r="13976" spans="2:2">
      <c r="B13976" s="21"/>
    </row>
    <row r="13977" spans="2:2">
      <c r="B13977" s="21"/>
    </row>
    <row r="13978" spans="2:2">
      <c r="B13978" s="21"/>
    </row>
    <row r="13979" spans="2:2">
      <c r="B13979" s="21"/>
    </row>
    <row r="13980" spans="2:2">
      <c r="B13980" s="21"/>
    </row>
    <row r="13981" spans="2:2">
      <c r="B13981" s="21"/>
    </row>
    <row r="13982" spans="2:2">
      <c r="B13982" s="21"/>
    </row>
    <row r="13983" spans="2:2">
      <c r="B13983" s="21"/>
    </row>
    <row r="13984" spans="2:2">
      <c r="B13984" s="21"/>
    </row>
    <row r="13985" spans="2:2">
      <c r="B13985" s="21"/>
    </row>
    <row r="13986" spans="2:2">
      <c r="B13986" s="21"/>
    </row>
    <row r="13987" spans="2:2">
      <c r="B13987" s="21"/>
    </row>
    <row r="13988" spans="2:2">
      <c r="B13988" s="21"/>
    </row>
    <row r="13989" spans="2:2">
      <c r="B13989" s="21"/>
    </row>
    <row r="13990" spans="2:2">
      <c r="B13990" s="21"/>
    </row>
    <row r="13991" spans="2:2">
      <c r="B13991" s="21"/>
    </row>
    <row r="13992" spans="2:2">
      <c r="B13992" s="21"/>
    </row>
    <row r="13993" spans="2:2">
      <c r="B13993" s="21"/>
    </row>
    <row r="13994" spans="2:2">
      <c r="B13994" s="21"/>
    </row>
    <row r="13995" spans="2:2">
      <c r="B13995" s="21"/>
    </row>
    <row r="13996" spans="2:2">
      <c r="B13996" s="21"/>
    </row>
    <row r="13997" spans="2:2">
      <c r="B13997" s="21"/>
    </row>
    <row r="13998" spans="2:2">
      <c r="B13998" s="21"/>
    </row>
    <row r="13999" spans="2:2">
      <c r="B13999" s="21"/>
    </row>
    <row r="14000" spans="2:2">
      <c r="B14000" s="21"/>
    </row>
    <row r="14001" spans="2:2">
      <c r="B14001" s="21"/>
    </row>
    <row r="14002" spans="2:2">
      <c r="B14002" s="21"/>
    </row>
    <row r="14003" spans="2:2">
      <c r="B14003" s="21"/>
    </row>
    <row r="14004" spans="2:2">
      <c r="B14004" s="21"/>
    </row>
    <row r="14005" spans="2:2">
      <c r="B14005" s="21"/>
    </row>
    <row r="14006" spans="2:2">
      <c r="B14006" s="21"/>
    </row>
    <row r="14007" spans="2:2">
      <c r="B14007" s="21"/>
    </row>
    <row r="14008" spans="2:2">
      <c r="B14008" s="21"/>
    </row>
    <row r="14009" spans="2:2">
      <c r="B14009" s="21"/>
    </row>
    <row r="14010" spans="2:2">
      <c r="B14010" s="21"/>
    </row>
    <row r="14011" spans="2:2">
      <c r="B14011" s="21"/>
    </row>
    <row r="14012" spans="2:2">
      <c r="B14012" s="21"/>
    </row>
    <row r="14013" spans="2:2">
      <c r="B14013" s="21"/>
    </row>
    <row r="14014" spans="2:2">
      <c r="B14014" s="21"/>
    </row>
    <row r="14015" spans="2:2">
      <c r="B14015" s="21"/>
    </row>
    <row r="14016" spans="2:2">
      <c r="B14016" s="21"/>
    </row>
    <row r="14017" spans="2:2">
      <c r="B14017" s="21"/>
    </row>
    <row r="14018" spans="2:2">
      <c r="B14018" s="21"/>
    </row>
    <row r="14019" spans="2:2">
      <c r="B14019" s="21"/>
    </row>
    <row r="14020" spans="2:2">
      <c r="B14020" s="21"/>
    </row>
    <row r="14021" spans="2:2">
      <c r="B14021" s="21"/>
    </row>
    <row r="14022" spans="2:2">
      <c r="B14022" s="21"/>
    </row>
    <row r="14023" spans="2:2">
      <c r="B14023" s="21"/>
    </row>
    <row r="14024" spans="2:2">
      <c r="B14024" s="21"/>
    </row>
    <row r="14025" spans="2:2">
      <c r="B14025" s="21"/>
    </row>
    <row r="14026" spans="2:2">
      <c r="B14026" s="21"/>
    </row>
    <row r="14027" spans="2:2">
      <c r="B14027" s="21"/>
    </row>
    <row r="14028" spans="2:2">
      <c r="B14028" s="21"/>
    </row>
    <row r="14029" spans="2:2">
      <c r="B14029" s="21"/>
    </row>
    <row r="14030" spans="2:2">
      <c r="B14030" s="21"/>
    </row>
    <row r="14031" spans="2:2">
      <c r="B14031" s="21"/>
    </row>
    <row r="14032" spans="2:2">
      <c r="B14032" s="21"/>
    </row>
    <row r="14033" spans="2:2">
      <c r="B14033" s="21"/>
    </row>
    <row r="14034" spans="2:2">
      <c r="B14034" s="21"/>
    </row>
    <row r="14035" spans="2:2">
      <c r="B14035" s="21"/>
    </row>
    <row r="14036" spans="2:2">
      <c r="B14036" s="21"/>
    </row>
    <row r="14037" spans="2:2">
      <c r="B14037" s="21"/>
    </row>
    <row r="14038" spans="2:2">
      <c r="B14038" s="21"/>
    </row>
    <row r="14039" spans="2:2">
      <c r="B14039" s="21"/>
    </row>
    <row r="14040" spans="2:2">
      <c r="B14040" s="21"/>
    </row>
    <row r="14041" spans="2:2">
      <c r="B14041" s="21"/>
    </row>
    <row r="14042" spans="2:2">
      <c r="B14042" s="21"/>
    </row>
    <row r="14043" spans="2:2">
      <c r="B14043" s="21"/>
    </row>
    <row r="14044" spans="2:2">
      <c r="B14044" s="21"/>
    </row>
    <row r="14045" spans="2:2">
      <c r="B14045" s="21"/>
    </row>
    <row r="14046" spans="2:2">
      <c r="B14046" s="21"/>
    </row>
    <row r="14047" spans="2:2">
      <c r="B14047" s="21"/>
    </row>
    <row r="14048" spans="2:2">
      <c r="B14048" s="21"/>
    </row>
    <row r="14049" spans="2:2">
      <c r="B14049" s="21"/>
    </row>
    <row r="14050" spans="2:2">
      <c r="B14050" s="21"/>
    </row>
    <row r="14051" spans="2:2">
      <c r="B14051" s="21"/>
    </row>
    <row r="14052" spans="2:2">
      <c r="B14052" s="21"/>
    </row>
    <row r="14053" spans="2:2">
      <c r="B14053" s="21"/>
    </row>
    <row r="14054" spans="2:2">
      <c r="B14054" s="21"/>
    </row>
    <row r="14055" spans="2:2">
      <c r="B14055" s="21"/>
    </row>
    <row r="14056" spans="2:2">
      <c r="B14056" s="21"/>
    </row>
    <row r="14057" spans="2:2">
      <c r="B14057" s="21"/>
    </row>
    <row r="14058" spans="2:2">
      <c r="B14058" s="21"/>
    </row>
    <row r="14059" spans="2:2">
      <c r="B14059" s="21"/>
    </row>
    <row r="14060" spans="2:2">
      <c r="B14060" s="21"/>
    </row>
    <row r="14061" spans="2:2">
      <c r="B14061" s="21"/>
    </row>
    <row r="14062" spans="2:2">
      <c r="B14062" s="21"/>
    </row>
    <row r="14063" spans="2:2">
      <c r="B14063" s="21"/>
    </row>
    <row r="14064" spans="2:2">
      <c r="B14064" s="21"/>
    </row>
    <row r="14065" spans="2:2">
      <c r="B14065" s="21"/>
    </row>
    <row r="14066" spans="2:2">
      <c r="B14066" s="21"/>
    </row>
    <row r="14067" spans="2:2">
      <c r="B14067" s="21"/>
    </row>
    <row r="14068" spans="2:2">
      <c r="B14068" s="21"/>
    </row>
    <row r="14069" spans="2:2">
      <c r="B14069" s="21"/>
    </row>
    <row r="14070" spans="2:2">
      <c r="B14070" s="21"/>
    </row>
    <row r="14071" spans="2:2">
      <c r="B14071" s="21"/>
    </row>
    <row r="14072" spans="2:2">
      <c r="B14072" s="21"/>
    </row>
    <row r="14073" spans="2:2">
      <c r="B14073" s="21"/>
    </row>
    <row r="14074" spans="2:2">
      <c r="B14074" s="21"/>
    </row>
    <row r="14075" spans="2:2">
      <c r="B14075" s="21"/>
    </row>
    <row r="14076" spans="2:2">
      <c r="B14076" s="21"/>
    </row>
    <row r="14077" spans="2:2">
      <c r="B14077" s="21"/>
    </row>
    <row r="14078" spans="2:2">
      <c r="B14078" s="21"/>
    </row>
    <row r="14079" spans="2:2">
      <c r="B14079" s="21"/>
    </row>
    <row r="14080" spans="2:2">
      <c r="B14080" s="21"/>
    </row>
    <row r="14081" spans="2:2">
      <c r="B14081" s="21"/>
    </row>
    <row r="14082" spans="2:2">
      <c r="B14082" s="21"/>
    </row>
    <row r="14083" spans="2:2">
      <c r="B14083" s="21"/>
    </row>
    <row r="14084" spans="2:2">
      <c r="B14084" s="21"/>
    </row>
    <row r="14085" spans="2:2">
      <c r="B14085" s="21"/>
    </row>
    <row r="14086" spans="2:2">
      <c r="B14086" s="21"/>
    </row>
    <row r="14087" spans="2:2">
      <c r="B14087" s="21"/>
    </row>
    <row r="14088" spans="2:2">
      <c r="B14088" s="21"/>
    </row>
    <row r="14089" spans="2:2">
      <c r="B14089" s="21"/>
    </row>
    <row r="14090" spans="2:2">
      <c r="B14090" s="21"/>
    </row>
    <row r="14091" spans="2:2">
      <c r="B14091" s="21"/>
    </row>
    <row r="14092" spans="2:2">
      <c r="B14092" s="21"/>
    </row>
    <row r="14093" spans="2:2">
      <c r="B14093" s="21"/>
    </row>
    <row r="14094" spans="2:2">
      <c r="B14094" s="21"/>
    </row>
    <row r="14095" spans="2:2">
      <c r="B14095" s="21"/>
    </row>
    <row r="14096" spans="2:2">
      <c r="B14096" s="21"/>
    </row>
    <row r="14097" spans="2:2">
      <c r="B14097" s="21"/>
    </row>
    <row r="14098" spans="2:2">
      <c r="B14098" s="21"/>
    </row>
    <row r="14099" spans="2:2">
      <c r="B14099" s="21"/>
    </row>
    <row r="14100" spans="2:2">
      <c r="B14100" s="21"/>
    </row>
    <row r="14101" spans="2:2">
      <c r="B14101" s="21"/>
    </row>
    <row r="14102" spans="2:2">
      <c r="B14102" s="21"/>
    </row>
    <row r="14103" spans="2:2">
      <c r="B14103" s="21"/>
    </row>
    <row r="14104" spans="2:2">
      <c r="B14104" s="21"/>
    </row>
    <row r="14105" spans="2:2">
      <c r="B14105" s="21"/>
    </row>
    <row r="14106" spans="2:2">
      <c r="B14106" s="21"/>
    </row>
    <row r="14107" spans="2:2">
      <c r="B14107" s="21"/>
    </row>
    <row r="14108" spans="2:2">
      <c r="B14108" s="21"/>
    </row>
    <row r="14109" spans="2:2">
      <c r="B14109" s="21"/>
    </row>
    <row r="14110" spans="2:2">
      <c r="B14110" s="21"/>
    </row>
    <row r="14111" spans="2:2">
      <c r="B14111" s="21"/>
    </row>
    <row r="14112" spans="2:2">
      <c r="B14112" s="21"/>
    </row>
    <row r="14113" spans="2:2">
      <c r="B14113" s="21"/>
    </row>
    <row r="14114" spans="2:2">
      <c r="B14114" s="21"/>
    </row>
    <row r="14115" spans="2:2">
      <c r="B14115" s="21"/>
    </row>
    <row r="14116" spans="2:2">
      <c r="B14116" s="21"/>
    </row>
    <row r="14117" spans="2:2">
      <c r="B14117" s="21"/>
    </row>
    <row r="14118" spans="2:2">
      <c r="B14118" s="21"/>
    </row>
    <row r="14119" spans="2:2">
      <c r="B14119" s="21"/>
    </row>
    <row r="14120" spans="2:2">
      <c r="B14120" s="21"/>
    </row>
    <row r="14121" spans="2:2">
      <c r="B14121" s="21"/>
    </row>
    <row r="14122" spans="2:2">
      <c r="B14122" s="21"/>
    </row>
    <row r="14123" spans="2:2">
      <c r="B14123" s="21"/>
    </row>
    <row r="14124" spans="2:2">
      <c r="B14124" s="21"/>
    </row>
    <row r="14125" spans="2:2">
      <c r="B14125" s="21"/>
    </row>
    <row r="14126" spans="2:2">
      <c r="B14126" s="21"/>
    </row>
    <row r="14127" spans="2:2">
      <c r="B14127" s="21"/>
    </row>
    <row r="14128" spans="2:2">
      <c r="B14128" s="21"/>
    </row>
    <row r="14129" spans="2:2">
      <c r="B14129" s="21"/>
    </row>
    <row r="14130" spans="2:2">
      <c r="B14130" s="21"/>
    </row>
    <row r="14131" spans="2:2">
      <c r="B14131" s="21"/>
    </row>
    <row r="14132" spans="2:2">
      <c r="B14132" s="21"/>
    </row>
    <row r="14133" spans="2:2">
      <c r="B14133" s="21"/>
    </row>
    <row r="14134" spans="2:2">
      <c r="B14134" s="21"/>
    </row>
    <row r="14135" spans="2:2">
      <c r="B14135" s="21"/>
    </row>
    <row r="14136" spans="2:2">
      <c r="B14136" s="21"/>
    </row>
    <row r="14137" spans="2:2">
      <c r="B14137" s="21"/>
    </row>
    <row r="14138" spans="2:2">
      <c r="B14138" s="21"/>
    </row>
    <row r="14139" spans="2:2">
      <c r="B14139" s="21"/>
    </row>
    <row r="14140" spans="2:2">
      <c r="B14140" s="21"/>
    </row>
    <row r="14141" spans="2:2">
      <c r="B14141" s="21"/>
    </row>
    <row r="14142" spans="2:2">
      <c r="B14142" s="21"/>
    </row>
    <row r="14143" spans="2:2">
      <c r="B14143" s="21"/>
    </row>
    <row r="14144" spans="2:2">
      <c r="B14144" s="21"/>
    </row>
    <row r="14145" spans="2:2">
      <c r="B14145" s="21"/>
    </row>
    <row r="14146" spans="2:2">
      <c r="B14146" s="21"/>
    </row>
    <row r="14147" spans="2:2">
      <c r="B14147" s="21"/>
    </row>
    <row r="14148" spans="2:2">
      <c r="B14148" s="21"/>
    </row>
    <row r="14149" spans="2:2">
      <c r="B14149" s="21"/>
    </row>
    <row r="14150" spans="2:2">
      <c r="B14150" s="21"/>
    </row>
    <row r="14151" spans="2:2">
      <c r="B14151" s="21"/>
    </row>
    <row r="14152" spans="2:2">
      <c r="B14152" s="21"/>
    </row>
    <row r="14153" spans="2:2">
      <c r="B14153" s="21"/>
    </row>
    <row r="14154" spans="2:2">
      <c r="B14154" s="21"/>
    </row>
    <row r="14155" spans="2:2">
      <c r="B14155" s="21"/>
    </row>
    <row r="14156" spans="2:2">
      <c r="B14156" s="21"/>
    </row>
    <row r="14157" spans="2:2">
      <c r="B14157" s="21"/>
    </row>
    <row r="14158" spans="2:2">
      <c r="B14158" s="21"/>
    </row>
    <row r="14159" spans="2:2">
      <c r="B14159" s="21"/>
    </row>
    <row r="14160" spans="2:2">
      <c r="B14160" s="21"/>
    </row>
    <row r="14161" spans="2:2">
      <c r="B14161" s="21"/>
    </row>
    <row r="14162" spans="2:2">
      <c r="B14162" s="21"/>
    </row>
    <row r="14163" spans="2:2">
      <c r="B14163" s="21"/>
    </row>
    <row r="14164" spans="2:2">
      <c r="B14164" s="21"/>
    </row>
    <row r="14165" spans="2:2">
      <c r="B14165" s="21"/>
    </row>
    <row r="14166" spans="2:2">
      <c r="B14166" s="21"/>
    </row>
    <row r="14167" spans="2:2">
      <c r="B14167" s="21"/>
    </row>
    <row r="14168" spans="2:2">
      <c r="B14168" s="21"/>
    </row>
    <row r="14169" spans="2:2">
      <c r="B14169" s="21"/>
    </row>
    <row r="14170" spans="2:2">
      <c r="B14170" s="21"/>
    </row>
    <row r="14171" spans="2:2">
      <c r="B14171" s="21"/>
    </row>
    <row r="14172" spans="2:2">
      <c r="B14172" s="21"/>
    </row>
    <row r="14173" spans="2:2">
      <c r="B14173" s="21"/>
    </row>
    <row r="14174" spans="2:2">
      <c r="B14174" s="21"/>
    </row>
    <row r="14175" spans="2:2">
      <c r="B14175" s="21"/>
    </row>
    <row r="14176" spans="2:2">
      <c r="B14176" s="21"/>
    </row>
    <row r="14177" spans="2:2">
      <c r="B14177" s="21"/>
    </row>
    <row r="14178" spans="2:2">
      <c r="B14178" s="21"/>
    </row>
    <row r="14179" spans="2:2">
      <c r="B14179" s="21"/>
    </row>
    <row r="14180" spans="2:2">
      <c r="B14180" s="21"/>
    </row>
    <row r="14181" spans="2:2">
      <c r="B14181" s="21"/>
    </row>
    <row r="14182" spans="2:2">
      <c r="B14182" s="21"/>
    </row>
    <row r="14183" spans="2:2">
      <c r="B14183" s="21"/>
    </row>
    <row r="14184" spans="2:2">
      <c r="B14184" s="21"/>
    </row>
    <row r="14185" spans="2:2">
      <c r="B14185" s="21"/>
    </row>
    <row r="14186" spans="2:2">
      <c r="B14186" s="21"/>
    </row>
    <row r="14187" spans="2:2">
      <c r="B14187" s="21"/>
    </row>
    <row r="14188" spans="2:2">
      <c r="B14188" s="21"/>
    </row>
    <row r="14189" spans="2:2">
      <c r="B14189" s="21"/>
    </row>
    <row r="14190" spans="2:2">
      <c r="B14190" s="21"/>
    </row>
    <row r="14191" spans="2:2">
      <c r="B14191" s="21"/>
    </row>
    <row r="14192" spans="2:2">
      <c r="B14192" s="21"/>
    </row>
    <row r="14193" spans="2:2">
      <c r="B14193" s="21"/>
    </row>
    <row r="14194" spans="2:2">
      <c r="B14194" s="21"/>
    </row>
    <row r="14195" spans="2:2">
      <c r="B14195" s="21"/>
    </row>
    <row r="14196" spans="2:2">
      <c r="B14196" s="21"/>
    </row>
    <row r="14197" spans="2:2">
      <c r="B14197" s="21"/>
    </row>
    <row r="14198" spans="2:2">
      <c r="B14198" s="21"/>
    </row>
    <row r="14199" spans="2:2">
      <c r="B14199" s="21"/>
    </row>
    <row r="14200" spans="2:2">
      <c r="B14200" s="21"/>
    </row>
    <row r="14201" spans="2:2">
      <c r="B14201" s="21"/>
    </row>
    <row r="14202" spans="2:2">
      <c r="B14202" s="21"/>
    </row>
    <row r="14203" spans="2:2">
      <c r="B14203" s="21"/>
    </row>
    <row r="14204" spans="2:2">
      <c r="B14204" s="21"/>
    </row>
    <row r="14205" spans="2:2">
      <c r="B14205" s="21"/>
    </row>
    <row r="14206" spans="2:2">
      <c r="B14206" s="21"/>
    </row>
    <row r="14207" spans="2:2">
      <c r="B14207" s="21"/>
    </row>
    <row r="14208" spans="2:2">
      <c r="B14208" s="21"/>
    </row>
    <row r="14209" spans="2:2">
      <c r="B14209" s="21"/>
    </row>
    <row r="14210" spans="2:2">
      <c r="B14210" s="21"/>
    </row>
    <row r="14211" spans="2:2">
      <c r="B14211" s="21"/>
    </row>
    <row r="14212" spans="2:2">
      <c r="B14212" s="21"/>
    </row>
    <row r="14213" spans="2:2">
      <c r="B14213" s="21"/>
    </row>
    <row r="14214" spans="2:2">
      <c r="B14214" s="21"/>
    </row>
    <row r="14215" spans="2:2">
      <c r="B14215" s="21"/>
    </row>
    <row r="14216" spans="2:2">
      <c r="B14216" s="21"/>
    </row>
    <row r="14217" spans="2:2">
      <c r="B14217" s="21"/>
    </row>
    <row r="14218" spans="2:2">
      <c r="B14218" s="21"/>
    </row>
    <row r="14219" spans="2:2">
      <c r="B14219" s="21"/>
    </row>
    <row r="14220" spans="2:2">
      <c r="B14220" s="21"/>
    </row>
    <row r="14221" spans="2:2">
      <c r="B14221" s="21"/>
    </row>
    <row r="14222" spans="2:2">
      <c r="B14222" s="21"/>
    </row>
    <row r="14223" spans="2:2">
      <c r="B14223" s="21"/>
    </row>
    <row r="14224" spans="2:2">
      <c r="B14224" s="21"/>
    </row>
    <row r="14225" spans="2:2">
      <c r="B14225" s="21"/>
    </row>
    <row r="14226" spans="2:2">
      <c r="B14226" s="21"/>
    </row>
    <row r="14227" spans="2:2">
      <c r="B14227" s="21"/>
    </row>
    <row r="14228" spans="2:2">
      <c r="B14228" s="21"/>
    </row>
    <row r="14229" spans="2:2">
      <c r="B14229" s="21"/>
    </row>
    <row r="14230" spans="2:2">
      <c r="B14230" s="21"/>
    </row>
    <row r="14231" spans="2:2">
      <c r="B14231" s="21"/>
    </row>
    <row r="14232" spans="2:2">
      <c r="B14232" s="21"/>
    </row>
    <row r="14233" spans="2:2">
      <c r="B14233" s="21"/>
    </row>
    <row r="14234" spans="2:2">
      <c r="B14234" s="21"/>
    </row>
    <row r="14235" spans="2:2">
      <c r="B14235" s="21"/>
    </row>
    <row r="14236" spans="2:2">
      <c r="B14236" s="21"/>
    </row>
    <row r="14237" spans="2:2">
      <c r="B14237" s="21"/>
    </row>
    <row r="14238" spans="2:2">
      <c r="B14238" s="21"/>
    </row>
    <row r="14239" spans="2:2">
      <c r="B14239" s="21"/>
    </row>
    <row r="14240" spans="2:2">
      <c r="B14240" s="21"/>
    </row>
    <row r="14241" spans="2:2">
      <c r="B14241" s="21"/>
    </row>
    <row r="14242" spans="2:2">
      <c r="B14242" s="21"/>
    </row>
    <row r="14243" spans="2:2">
      <c r="B14243" s="21"/>
    </row>
    <row r="14244" spans="2:2">
      <c r="B14244" s="21"/>
    </row>
    <row r="14245" spans="2:2">
      <c r="B14245" s="21"/>
    </row>
    <row r="14246" spans="2:2">
      <c r="B14246" s="21"/>
    </row>
    <row r="14247" spans="2:2">
      <c r="B14247" s="21"/>
    </row>
    <row r="14248" spans="2:2">
      <c r="B14248" s="21"/>
    </row>
    <row r="14249" spans="2:2">
      <c r="B14249" s="21"/>
    </row>
    <row r="14250" spans="2:2">
      <c r="B14250" s="21"/>
    </row>
    <row r="14251" spans="2:2">
      <c r="B14251" s="21"/>
    </row>
    <row r="14252" spans="2:2">
      <c r="B14252" s="21"/>
    </row>
    <row r="14253" spans="2:2">
      <c r="B14253" s="21"/>
    </row>
    <row r="14254" spans="2:2">
      <c r="B14254" s="21"/>
    </row>
    <row r="14255" spans="2:2">
      <c r="B14255" s="21"/>
    </row>
    <row r="14256" spans="2:2">
      <c r="B14256" s="21"/>
    </row>
    <row r="14257" spans="2:2">
      <c r="B14257" s="21"/>
    </row>
    <row r="14258" spans="2:2">
      <c r="B14258" s="21"/>
    </row>
    <row r="14259" spans="2:2">
      <c r="B14259" s="21"/>
    </row>
    <row r="14260" spans="2:2">
      <c r="B14260" s="21"/>
    </row>
    <row r="14261" spans="2:2">
      <c r="B14261" s="21"/>
    </row>
    <row r="14262" spans="2:2">
      <c r="B14262" s="21"/>
    </row>
    <row r="14263" spans="2:2">
      <c r="B14263" s="21"/>
    </row>
    <row r="14264" spans="2:2">
      <c r="B14264" s="21"/>
    </row>
    <row r="14265" spans="2:2">
      <c r="B14265" s="21"/>
    </row>
    <row r="14266" spans="2:2">
      <c r="B14266" s="21"/>
    </row>
    <row r="14267" spans="2:2">
      <c r="B14267" s="21"/>
    </row>
    <row r="14268" spans="2:2">
      <c r="B14268" s="21"/>
    </row>
    <row r="14269" spans="2:2">
      <c r="B14269" s="21"/>
    </row>
    <row r="14270" spans="2:2">
      <c r="B14270" s="21"/>
    </row>
    <row r="14271" spans="2:2">
      <c r="B14271" s="21"/>
    </row>
    <row r="14272" spans="2:2">
      <c r="B14272" s="21"/>
    </row>
    <row r="14273" spans="2:2">
      <c r="B14273" s="21"/>
    </row>
    <row r="14274" spans="2:2">
      <c r="B14274" s="21"/>
    </row>
    <row r="14275" spans="2:2">
      <c r="B14275" s="21"/>
    </row>
    <row r="14276" spans="2:2">
      <c r="B14276" s="21"/>
    </row>
    <row r="14277" spans="2:2">
      <c r="B14277" s="21"/>
    </row>
    <row r="14278" spans="2:2">
      <c r="B14278" s="21"/>
    </row>
    <row r="14279" spans="2:2">
      <c r="B14279" s="21"/>
    </row>
    <row r="14280" spans="2:2">
      <c r="B14280" s="21"/>
    </row>
    <row r="14281" spans="2:2">
      <c r="B14281" s="21"/>
    </row>
    <row r="14282" spans="2:2">
      <c r="B14282" s="21"/>
    </row>
    <row r="14283" spans="2:2">
      <c r="B14283" s="21"/>
    </row>
    <row r="14284" spans="2:2">
      <c r="B14284" s="21"/>
    </row>
    <row r="14285" spans="2:2">
      <c r="B14285" s="21"/>
    </row>
    <row r="14286" spans="2:2">
      <c r="B14286" s="21"/>
    </row>
    <row r="14287" spans="2:2">
      <c r="B14287" s="21"/>
    </row>
    <row r="14288" spans="2:2">
      <c r="B14288" s="21"/>
    </row>
    <row r="14289" spans="2:2">
      <c r="B14289" s="21"/>
    </row>
    <row r="14290" spans="2:2">
      <c r="B14290" s="21"/>
    </row>
    <row r="14291" spans="2:2">
      <c r="B14291" s="21"/>
    </row>
    <row r="14292" spans="2:2">
      <c r="B14292" s="21"/>
    </row>
    <row r="14293" spans="2:2">
      <c r="B14293" s="21"/>
    </row>
    <row r="14294" spans="2:2">
      <c r="B14294" s="21"/>
    </row>
    <row r="14295" spans="2:2">
      <c r="B14295" s="21"/>
    </row>
    <row r="14296" spans="2:2">
      <c r="B14296" s="21"/>
    </row>
    <row r="14297" spans="2:2">
      <c r="B14297" s="21"/>
    </row>
    <row r="14298" spans="2:2">
      <c r="B14298" s="21"/>
    </row>
    <row r="14299" spans="2:2">
      <c r="B14299" s="21"/>
    </row>
    <row r="14300" spans="2:2">
      <c r="B14300" s="21"/>
    </row>
    <row r="14301" spans="2:2">
      <c r="B14301" s="21"/>
    </row>
    <row r="14302" spans="2:2">
      <c r="B14302" s="21"/>
    </row>
    <row r="14303" spans="2:2">
      <c r="B14303" s="21"/>
    </row>
    <row r="14304" spans="2:2">
      <c r="B14304" s="21"/>
    </row>
    <row r="14305" spans="2:2">
      <c r="B14305" s="21"/>
    </row>
    <row r="14306" spans="2:2">
      <c r="B14306" s="21"/>
    </row>
    <row r="14307" spans="2:2">
      <c r="B14307" s="21"/>
    </row>
    <row r="14308" spans="2:2">
      <c r="B14308" s="21"/>
    </row>
    <row r="14309" spans="2:2">
      <c r="B14309" s="21"/>
    </row>
    <row r="14310" spans="2:2">
      <c r="B14310" s="21"/>
    </row>
    <row r="14311" spans="2:2">
      <c r="B14311" s="21"/>
    </row>
    <row r="14312" spans="2:2">
      <c r="B14312" s="21"/>
    </row>
    <row r="14313" spans="2:2">
      <c r="B14313" s="21"/>
    </row>
    <row r="14314" spans="2:2">
      <c r="B14314" s="21"/>
    </row>
    <row r="14315" spans="2:2">
      <c r="B14315" s="21"/>
    </row>
    <row r="14316" spans="2:2">
      <c r="B14316" s="21"/>
    </row>
    <row r="14317" spans="2:2">
      <c r="B14317" s="21"/>
    </row>
    <row r="14318" spans="2:2">
      <c r="B14318" s="21"/>
    </row>
    <row r="14319" spans="2:2">
      <c r="B14319" s="21"/>
    </row>
    <row r="14320" spans="2:2">
      <c r="B14320" s="21"/>
    </row>
    <row r="14321" spans="2:2">
      <c r="B14321" s="21"/>
    </row>
    <row r="14322" spans="2:2">
      <c r="B14322" s="21"/>
    </row>
    <row r="14323" spans="2:2">
      <c r="B14323" s="21"/>
    </row>
    <row r="14324" spans="2:2">
      <c r="B14324" s="21"/>
    </row>
    <row r="14325" spans="2:2">
      <c r="B14325" s="21"/>
    </row>
    <row r="14326" spans="2:2">
      <c r="B14326" s="21"/>
    </row>
    <row r="14327" spans="2:2">
      <c r="B14327" s="21"/>
    </row>
    <row r="14328" spans="2:2">
      <c r="B14328" s="21"/>
    </row>
    <row r="14329" spans="2:2">
      <c r="B14329" s="21"/>
    </row>
    <row r="14330" spans="2:2">
      <c r="B14330" s="21"/>
    </row>
    <row r="14331" spans="2:2">
      <c r="B14331" s="21"/>
    </row>
    <row r="14332" spans="2:2">
      <c r="B14332" s="21"/>
    </row>
    <row r="14333" spans="2:2">
      <c r="B14333" s="21"/>
    </row>
    <row r="14334" spans="2:2">
      <c r="B14334" s="21"/>
    </row>
    <row r="14335" spans="2:2">
      <c r="B14335" s="21"/>
    </row>
    <row r="14336" spans="2:2">
      <c r="B14336" s="21"/>
    </row>
    <row r="14337" spans="2:2">
      <c r="B14337" s="21"/>
    </row>
    <row r="14338" spans="2:2">
      <c r="B14338" s="21"/>
    </row>
    <row r="14339" spans="2:2">
      <c r="B14339" s="21"/>
    </row>
    <row r="14340" spans="2:2">
      <c r="B14340" s="21"/>
    </row>
    <row r="14341" spans="2:2">
      <c r="B14341" s="21"/>
    </row>
    <row r="14342" spans="2:2">
      <c r="B14342" s="21"/>
    </row>
    <row r="14343" spans="2:2">
      <c r="B14343" s="21"/>
    </row>
    <row r="14344" spans="2:2">
      <c r="B14344" s="21"/>
    </row>
    <row r="14345" spans="2:2">
      <c r="B14345" s="21"/>
    </row>
    <row r="14346" spans="2:2">
      <c r="B14346" s="21"/>
    </row>
    <row r="14347" spans="2:2">
      <c r="B14347" s="21"/>
    </row>
    <row r="14348" spans="2:2">
      <c r="B14348" s="21"/>
    </row>
    <row r="14349" spans="2:2">
      <c r="B14349" s="21"/>
    </row>
    <row r="14350" spans="2:2">
      <c r="B14350" s="21"/>
    </row>
    <row r="14351" spans="2:2">
      <c r="B14351" s="21"/>
    </row>
    <row r="14352" spans="2:2">
      <c r="B14352" s="21"/>
    </row>
    <row r="14353" spans="2:2">
      <c r="B14353" s="21"/>
    </row>
    <row r="14354" spans="2:2">
      <c r="B14354" s="21"/>
    </row>
    <row r="14355" spans="2:2">
      <c r="B14355" s="21"/>
    </row>
    <row r="14356" spans="2:2">
      <c r="B14356" s="21"/>
    </row>
    <row r="14357" spans="2:2">
      <c r="B14357" s="21"/>
    </row>
    <row r="14358" spans="2:2">
      <c r="B14358" s="21"/>
    </row>
    <row r="14359" spans="2:2">
      <c r="B14359" s="21"/>
    </row>
    <row r="14360" spans="2:2">
      <c r="B14360" s="21"/>
    </row>
    <row r="14361" spans="2:2">
      <c r="B14361" s="21"/>
    </row>
    <row r="14362" spans="2:2">
      <c r="B14362" s="21"/>
    </row>
    <row r="14363" spans="2:2">
      <c r="B14363" s="21"/>
    </row>
    <row r="14364" spans="2:2">
      <c r="B14364" s="21"/>
    </row>
    <row r="14365" spans="2:2">
      <c r="B14365" s="21"/>
    </row>
    <row r="14366" spans="2:2">
      <c r="B14366" s="21"/>
    </row>
    <row r="14367" spans="2:2">
      <c r="B14367" s="21"/>
    </row>
    <row r="14368" spans="2:2">
      <c r="B14368" s="21"/>
    </row>
    <row r="14369" spans="2:2">
      <c r="B14369" s="21"/>
    </row>
    <row r="14370" spans="2:2">
      <c r="B14370" s="21"/>
    </row>
    <row r="14371" spans="2:2">
      <c r="B14371" s="21"/>
    </row>
    <row r="14372" spans="2:2">
      <c r="B14372" s="21"/>
    </row>
    <row r="14373" spans="2:2">
      <c r="B14373" s="21"/>
    </row>
    <row r="14374" spans="2:2">
      <c r="B14374" s="21"/>
    </row>
    <row r="14375" spans="2:2">
      <c r="B14375" s="21"/>
    </row>
    <row r="14376" spans="2:2">
      <c r="B14376" s="21"/>
    </row>
    <row r="14377" spans="2:2">
      <c r="B14377" s="21"/>
    </row>
    <row r="14378" spans="2:2">
      <c r="B14378" s="21"/>
    </row>
    <row r="14379" spans="2:2">
      <c r="B14379" s="21"/>
    </row>
    <row r="14380" spans="2:2">
      <c r="B14380" s="21"/>
    </row>
    <row r="14381" spans="2:2">
      <c r="B14381" s="21"/>
    </row>
    <row r="14382" spans="2:2">
      <c r="B14382" s="21"/>
    </row>
    <row r="14383" spans="2:2">
      <c r="B14383" s="21"/>
    </row>
    <row r="14384" spans="2:2">
      <c r="B14384" s="21"/>
    </row>
    <row r="14385" spans="2:2">
      <c r="B14385" s="21"/>
    </row>
    <row r="14386" spans="2:2">
      <c r="B14386" s="21"/>
    </row>
    <row r="14387" spans="2:2">
      <c r="B14387" s="21"/>
    </row>
    <row r="14388" spans="2:2">
      <c r="B14388" s="21"/>
    </row>
    <row r="14389" spans="2:2">
      <c r="B14389" s="21"/>
    </row>
    <row r="14390" spans="2:2">
      <c r="B14390" s="21"/>
    </row>
    <row r="14391" spans="2:2">
      <c r="B14391" s="21"/>
    </row>
    <row r="14392" spans="2:2">
      <c r="B14392" s="21"/>
    </row>
    <row r="14393" spans="2:2">
      <c r="B14393" s="21"/>
    </row>
    <row r="14394" spans="2:2">
      <c r="B14394" s="21"/>
    </row>
    <row r="14395" spans="2:2">
      <c r="B14395" s="21"/>
    </row>
    <row r="14396" spans="2:2">
      <c r="B14396" s="21"/>
    </row>
    <row r="14397" spans="2:2">
      <c r="B14397" s="21"/>
    </row>
    <row r="14398" spans="2:2">
      <c r="B14398" s="21"/>
    </row>
    <row r="14399" spans="2:2">
      <c r="B14399" s="21"/>
    </row>
    <row r="14400" spans="2:2">
      <c r="B14400" s="21"/>
    </row>
    <row r="14401" spans="2:2">
      <c r="B14401" s="21"/>
    </row>
    <row r="14402" spans="2:2">
      <c r="B14402" s="21"/>
    </row>
    <row r="14403" spans="2:2">
      <c r="B14403" s="21"/>
    </row>
    <row r="14404" spans="2:2">
      <c r="B14404" s="21"/>
    </row>
    <row r="14405" spans="2:2">
      <c r="B14405" s="21"/>
    </row>
    <row r="14406" spans="2:2">
      <c r="B14406" s="21"/>
    </row>
    <row r="14407" spans="2:2">
      <c r="B14407" s="21"/>
    </row>
    <row r="14408" spans="2:2">
      <c r="B14408" s="21"/>
    </row>
    <row r="14409" spans="2:2">
      <c r="B14409" s="21"/>
    </row>
    <row r="14410" spans="2:2">
      <c r="B14410" s="21"/>
    </row>
    <row r="14411" spans="2:2">
      <c r="B14411" s="21"/>
    </row>
    <row r="14412" spans="2:2">
      <c r="B14412" s="21"/>
    </row>
    <row r="14413" spans="2:2">
      <c r="B14413" s="21"/>
    </row>
    <row r="14414" spans="2:2">
      <c r="B14414" s="21"/>
    </row>
    <row r="14415" spans="2:2">
      <c r="B14415" s="21"/>
    </row>
    <row r="14416" spans="2:2">
      <c r="B14416" s="21"/>
    </row>
    <row r="14417" spans="2:2">
      <c r="B14417" s="21"/>
    </row>
    <row r="14418" spans="2:2">
      <c r="B14418" s="21"/>
    </row>
    <row r="14419" spans="2:2">
      <c r="B14419" s="21"/>
    </row>
    <row r="14420" spans="2:2">
      <c r="B14420" s="21"/>
    </row>
    <row r="14421" spans="2:2">
      <c r="B14421" s="21"/>
    </row>
    <row r="14422" spans="2:2">
      <c r="B14422" s="21"/>
    </row>
    <row r="14423" spans="2:2">
      <c r="B14423" s="21"/>
    </row>
    <row r="14424" spans="2:2">
      <c r="B14424" s="21"/>
    </row>
    <row r="14425" spans="2:2">
      <c r="B14425" s="21"/>
    </row>
    <row r="14426" spans="2:2">
      <c r="B14426" s="21"/>
    </row>
    <row r="14427" spans="2:2">
      <c r="B14427" s="21"/>
    </row>
    <row r="14428" spans="2:2">
      <c r="B14428" s="21"/>
    </row>
    <row r="14429" spans="2:2">
      <c r="B14429" s="21"/>
    </row>
    <row r="14430" spans="2:2">
      <c r="B14430" s="21"/>
    </row>
    <row r="14431" spans="2:2">
      <c r="B14431" s="21"/>
    </row>
    <row r="14432" spans="2:2">
      <c r="B14432" s="21"/>
    </row>
    <row r="14433" spans="2:2">
      <c r="B14433" s="21"/>
    </row>
    <row r="14434" spans="2:2">
      <c r="B14434" s="21"/>
    </row>
    <row r="14435" spans="2:2">
      <c r="B14435" s="21"/>
    </row>
    <row r="14436" spans="2:2">
      <c r="B14436" s="21"/>
    </row>
    <row r="14437" spans="2:2">
      <c r="B14437" s="21"/>
    </row>
    <row r="14438" spans="2:2">
      <c r="B14438" s="21"/>
    </row>
    <row r="14439" spans="2:2">
      <c r="B14439" s="21"/>
    </row>
    <row r="14440" spans="2:2">
      <c r="B14440" s="21"/>
    </row>
    <row r="14441" spans="2:2">
      <c r="B14441" s="21"/>
    </row>
    <row r="14442" spans="2:2">
      <c r="B14442" s="21"/>
    </row>
    <row r="14443" spans="2:2">
      <c r="B14443" s="21"/>
    </row>
    <row r="14444" spans="2:2">
      <c r="B14444" s="21"/>
    </row>
    <row r="14445" spans="2:2">
      <c r="B14445" s="21"/>
    </row>
    <row r="14446" spans="2:2">
      <c r="B14446" s="21"/>
    </row>
    <row r="14447" spans="2:2">
      <c r="B14447" s="21"/>
    </row>
    <row r="14448" spans="2:2">
      <c r="B14448" s="21"/>
    </row>
    <row r="14449" spans="2:2">
      <c r="B14449" s="21"/>
    </row>
    <row r="14450" spans="2:2">
      <c r="B14450" s="21"/>
    </row>
    <row r="14451" spans="2:2">
      <c r="B14451" s="21"/>
    </row>
    <row r="14452" spans="2:2">
      <c r="B14452" s="21"/>
    </row>
    <row r="14453" spans="2:2">
      <c r="B14453" s="21"/>
    </row>
    <row r="14454" spans="2:2">
      <c r="B14454" s="21"/>
    </row>
    <row r="14455" spans="2:2">
      <c r="B14455" s="21"/>
    </row>
    <row r="14456" spans="2:2">
      <c r="B14456" s="21"/>
    </row>
    <row r="14457" spans="2:2">
      <c r="B14457" s="21"/>
    </row>
    <row r="14458" spans="2:2">
      <c r="B14458" s="21"/>
    </row>
    <row r="14459" spans="2:2">
      <c r="B14459" s="21"/>
    </row>
    <row r="14460" spans="2:2">
      <c r="B14460" s="21"/>
    </row>
    <row r="14461" spans="2:2">
      <c r="B14461" s="21"/>
    </row>
    <row r="14462" spans="2:2">
      <c r="B14462" s="21"/>
    </row>
    <row r="14463" spans="2:2">
      <c r="B14463" s="21"/>
    </row>
    <row r="14464" spans="2:2">
      <c r="B14464" s="21"/>
    </row>
    <row r="14465" spans="2:2">
      <c r="B14465" s="21"/>
    </row>
    <row r="14466" spans="2:2">
      <c r="B14466" s="21"/>
    </row>
    <row r="14467" spans="2:2">
      <c r="B14467" s="21"/>
    </row>
    <row r="14468" spans="2:2">
      <c r="B14468" s="21"/>
    </row>
    <row r="14469" spans="2:2">
      <c r="B14469" s="21"/>
    </row>
    <row r="14470" spans="2:2">
      <c r="B14470" s="21"/>
    </row>
    <row r="14471" spans="2:2">
      <c r="B14471" s="21"/>
    </row>
    <row r="14472" spans="2:2">
      <c r="B14472" s="21"/>
    </row>
    <row r="14473" spans="2:2">
      <c r="B14473" s="21"/>
    </row>
    <row r="14474" spans="2:2">
      <c r="B14474" s="21"/>
    </row>
    <row r="14475" spans="2:2">
      <c r="B14475" s="21"/>
    </row>
    <row r="14476" spans="2:2">
      <c r="B14476" s="21"/>
    </row>
    <row r="14477" spans="2:2">
      <c r="B14477" s="21"/>
    </row>
    <row r="14478" spans="2:2">
      <c r="B14478" s="21"/>
    </row>
    <row r="14479" spans="2:2">
      <c r="B14479" s="21"/>
    </row>
    <row r="14480" spans="2:2">
      <c r="B14480" s="21"/>
    </row>
    <row r="14481" spans="2:2">
      <c r="B14481" s="21"/>
    </row>
    <row r="14482" spans="2:2">
      <c r="B14482" s="21"/>
    </row>
    <row r="14483" spans="2:2">
      <c r="B14483" s="21"/>
    </row>
    <row r="14484" spans="2:2">
      <c r="B14484" s="21"/>
    </row>
    <row r="14485" spans="2:2">
      <c r="B14485" s="21"/>
    </row>
    <row r="14486" spans="2:2">
      <c r="B14486" s="21"/>
    </row>
    <row r="14487" spans="2:2">
      <c r="B14487" s="21"/>
    </row>
    <row r="14488" spans="2:2">
      <c r="B14488" s="21"/>
    </row>
    <row r="14489" spans="2:2">
      <c r="B14489" s="21"/>
    </row>
    <row r="14490" spans="2:2">
      <c r="B14490" s="21"/>
    </row>
    <row r="14491" spans="2:2">
      <c r="B14491" s="21"/>
    </row>
    <row r="14492" spans="2:2">
      <c r="B14492" s="21"/>
    </row>
    <row r="14493" spans="2:2">
      <c r="B14493" s="21"/>
    </row>
    <row r="14494" spans="2:2">
      <c r="B14494" s="21"/>
    </row>
    <row r="14495" spans="2:2">
      <c r="B14495" s="21"/>
    </row>
    <row r="14496" spans="2:2">
      <c r="B14496" s="21"/>
    </row>
    <row r="14497" spans="2:2">
      <c r="B14497" s="21"/>
    </row>
    <row r="14498" spans="2:2">
      <c r="B14498" s="21"/>
    </row>
    <row r="14499" spans="2:2">
      <c r="B14499" s="21"/>
    </row>
    <row r="14500" spans="2:2">
      <c r="B14500" s="21"/>
    </row>
    <row r="14501" spans="2:2">
      <c r="B14501" s="21"/>
    </row>
    <row r="14502" spans="2:2">
      <c r="B14502" s="21"/>
    </row>
    <row r="14503" spans="2:2">
      <c r="B14503" s="21"/>
    </row>
    <row r="14504" spans="2:2">
      <c r="B14504" s="21"/>
    </row>
    <row r="14505" spans="2:2">
      <c r="B14505" s="21"/>
    </row>
    <row r="14506" spans="2:2">
      <c r="B14506" s="21"/>
    </row>
    <row r="14507" spans="2:2">
      <c r="B14507" s="21"/>
    </row>
    <row r="14508" spans="2:2">
      <c r="B14508" s="21"/>
    </row>
    <row r="14509" spans="2:2">
      <c r="B14509" s="21"/>
    </row>
    <row r="14510" spans="2:2">
      <c r="B14510" s="21"/>
    </row>
    <row r="14511" spans="2:2">
      <c r="B14511" s="21"/>
    </row>
    <row r="14512" spans="2:2">
      <c r="B14512" s="21"/>
    </row>
    <row r="14513" spans="2:2">
      <c r="B14513" s="21"/>
    </row>
    <row r="14514" spans="2:2">
      <c r="B14514" s="21"/>
    </row>
    <row r="14515" spans="2:2">
      <c r="B14515" s="21"/>
    </row>
    <row r="14516" spans="2:2">
      <c r="B14516" s="21"/>
    </row>
    <row r="14517" spans="2:2">
      <c r="B14517" s="21"/>
    </row>
    <row r="14518" spans="2:2">
      <c r="B14518" s="21"/>
    </row>
    <row r="14519" spans="2:2">
      <c r="B14519" s="21"/>
    </row>
    <row r="14520" spans="2:2">
      <c r="B14520" s="21"/>
    </row>
    <row r="14521" spans="2:2">
      <c r="B14521" s="21"/>
    </row>
    <row r="14522" spans="2:2">
      <c r="B14522" s="21"/>
    </row>
    <row r="14523" spans="2:2">
      <c r="B14523" s="21"/>
    </row>
    <row r="14524" spans="2:2">
      <c r="B14524" s="21"/>
    </row>
    <row r="14525" spans="2:2">
      <c r="B14525" s="21"/>
    </row>
    <row r="14526" spans="2:2">
      <c r="B14526" s="21"/>
    </row>
    <row r="14527" spans="2:2">
      <c r="B14527" s="21"/>
    </row>
    <row r="14528" spans="2:2">
      <c r="B14528" s="21"/>
    </row>
    <row r="14529" spans="2:2">
      <c r="B14529" s="21"/>
    </row>
    <row r="14530" spans="2:2">
      <c r="B14530" s="21"/>
    </row>
    <row r="14531" spans="2:2">
      <c r="B14531" s="21"/>
    </row>
    <row r="14532" spans="2:2">
      <c r="B14532" s="21"/>
    </row>
    <row r="14533" spans="2:2">
      <c r="B14533" s="21"/>
    </row>
    <row r="14534" spans="2:2">
      <c r="B14534" s="21"/>
    </row>
    <row r="14535" spans="2:2">
      <c r="B14535" s="21"/>
    </row>
    <row r="14536" spans="2:2">
      <c r="B14536" s="21"/>
    </row>
    <row r="14537" spans="2:2">
      <c r="B14537" s="21"/>
    </row>
    <row r="14538" spans="2:2">
      <c r="B14538" s="21"/>
    </row>
    <row r="14539" spans="2:2">
      <c r="B14539" s="21"/>
    </row>
    <row r="14540" spans="2:2">
      <c r="B14540" s="21"/>
    </row>
    <row r="14541" spans="2:2">
      <c r="B14541" s="21"/>
    </row>
    <row r="14542" spans="2:2">
      <c r="B14542" s="21"/>
    </row>
    <row r="14543" spans="2:2">
      <c r="B14543" s="21"/>
    </row>
    <row r="14544" spans="2:2">
      <c r="B14544" s="21"/>
    </row>
    <row r="14545" spans="2:2">
      <c r="B14545" s="21"/>
    </row>
    <row r="14546" spans="2:2">
      <c r="B14546" s="21"/>
    </row>
    <row r="14547" spans="2:2">
      <c r="B14547" s="21"/>
    </row>
    <row r="14548" spans="2:2">
      <c r="B14548" s="21"/>
    </row>
    <row r="14549" spans="2:2">
      <c r="B14549" s="21"/>
    </row>
    <row r="14550" spans="2:2">
      <c r="B14550" s="21"/>
    </row>
    <row r="14551" spans="2:2">
      <c r="B14551" s="21"/>
    </row>
    <row r="14552" spans="2:2">
      <c r="B14552" s="21"/>
    </row>
    <row r="14553" spans="2:2">
      <c r="B14553" s="21"/>
    </row>
    <row r="14554" spans="2:2">
      <c r="B14554" s="21"/>
    </row>
    <row r="14555" spans="2:2">
      <c r="B14555" s="21"/>
    </row>
    <row r="14556" spans="2:2">
      <c r="B14556" s="21"/>
    </row>
    <row r="14557" spans="2:2">
      <c r="B14557" s="21"/>
    </row>
    <row r="14558" spans="2:2">
      <c r="B14558" s="21"/>
    </row>
    <row r="14559" spans="2:2">
      <c r="B14559" s="21"/>
    </row>
    <row r="14560" spans="2:2">
      <c r="B14560" s="21"/>
    </row>
    <row r="14561" spans="2:2">
      <c r="B14561" s="21"/>
    </row>
    <row r="14562" spans="2:2">
      <c r="B14562" s="21"/>
    </row>
    <row r="14563" spans="2:2">
      <c r="B14563" s="21"/>
    </row>
    <row r="14564" spans="2:2">
      <c r="B14564" s="21"/>
    </row>
    <row r="14565" spans="2:2">
      <c r="B14565" s="21"/>
    </row>
    <row r="14566" spans="2:2">
      <c r="B14566" s="21"/>
    </row>
    <row r="14567" spans="2:2">
      <c r="B14567" s="21"/>
    </row>
    <row r="14568" spans="2:2">
      <c r="B14568" s="21"/>
    </row>
    <row r="14569" spans="2:2">
      <c r="B14569" s="21"/>
    </row>
    <row r="14570" spans="2:2">
      <c r="B14570" s="21"/>
    </row>
    <row r="14571" spans="2:2">
      <c r="B14571" s="21"/>
    </row>
    <row r="14572" spans="2:2">
      <c r="B14572" s="21"/>
    </row>
    <row r="14573" spans="2:2">
      <c r="B14573" s="21"/>
    </row>
    <row r="14574" spans="2:2">
      <c r="B14574" s="21"/>
    </row>
    <row r="14575" spans="2:2">
      <c r="B14575" s="21"/>
    </row>
    <row r="14576" spans="2:2">
      <c r="B14576" s="21"/>
    </row>
    <row r="14577" spans="2:2">
      <c r="B14577" s="21"/>
    </row>
    <row r="14578" spans="2:2">
      <c r="B14578" s="21"/>
    </row>
    <row r="14579" spans="2:2">
      <c r="B14579" s="21"/>
    </row>
    <row r="14580" spans="2:2">
      <c r="B14580" s="21"/>
    </row>
    <row r="14581" spans="2:2">
      <c r="B14581" s="21"/>
    </row>
    <row r="14582" spans="2:2">
      <c r="B14582" s="21"/>
    </row>
    <row r="14583" spans="2:2">
      <c r="B14583" s="21"/>
    </row>
    <row r="14584" spans="2:2">
      <c r="B14584" s="21"/>
    </row>
    <row r="14585" spans="2:2">
      <c r="B14585" s="21"/>
    </row>
    <row r="14586" spans="2:2">
      <c r="B14586" s="21"/>
    </row>
    <row r="14587" spans="2:2">
      <c r="B14587" s="21"/>
    </row>
    <row r="14588" spans="2:2">
      <c r="B14588" s="21"/>
    </row>
    <row r="14589" spans="2:2">
      <c r="B14589" s="21"/>
    </row>
    <row r="14590" spans="2:2">
      <c r="B14590" s="21"/>
    </row>
    <row r="14591" spans="2:2">
      <c r="B14591" s="21"/>
    </row>
    <row r="14592" spans="2:2">
      <c r="B14592" s="21"/>
    </row>
    <row r="14593" spans="2:2">
      <c r="B14593" s="21"/>
    </row>
    <row r="14594" spans="2:2">
      <c r="B14594" s="21"/>
    </row>
    <row r="14595" spans="2:2">
      <c r="B14595" s="21"/>
    </row>
    <row r="14596" spans="2:2">
      <c r="B14596" s="21"/>
    </row>
    <row r="14597" spans="2:2">
      <c r="B14597" s="21"/>
    </row>
    <row r="14598" spans="2:2">
      <c r="B14598" s="21"/>
    </row>
    <row r="14599" spans="2:2">
      <c r="B14599" s="21"/>
    </row>
    <row r="14600" spans="2:2">
      <c r="B14600" s="21"/>
    </row>
    <row r="14601" spans="2:2">
      <c r="B14601" s="21"/>
    </row>
    <row r="14602" spans="2:2">
      <c r="B14602" s="21"/>
    </row>
    <row r="14603" spans="2:2">
      <c r="B14603" s="21"/>
    </row>
    <row r="14604" spans="2:2">
      <c r="B14604" s="21"/>
    </row>
    <row r="14605" spans="2:2">
      <c r="B14605" s="21"/>
    </row>
    <row r="14606" spans="2:2">
      <c r="B14606" s="21"/>
    </row>
    <row r="14607" spans="2:2">
      <c r="B14607" s="21"/>
    </row>
    <row r="14608" spans="2:2">
      <c r="B14608" s="21"/>
    </row>
    <row r="14609" spans="2:2">
      <c r="B14609" s="21"/>
    </row>
    <row r="14610" spans="2:2">
      <c r="B14610" s="21"/>
    </row>
    <row r="14611" spans="2:2">
      <c r="B14611" s="21"/>
    </row>
    <row r="14612" spans="2:2">
      <c r="B14612" s="21"/>
    </row>
    <row r="14613" spans="2:2">
      <c r="B14613" s="21"/>
    </row>
    <row r="14614" spans="2:2">
      <c r="B14614" s="21"/>
    </row>
    <row r="14615" spans="2:2">
      <c r="B14615" s="21"/>
    </row>
    <row r="14616" spans="2:2">
      <c r="B14616" s="21"/>
    </row>
    <row r="14617" spans="2:2">
      <c r="B14617" s="21"/>
    </row>
    <row r="14618" spans="2:2">
      <c r="B14618" s="21"/>
    </row>
    <row r="14619" spans="2:2">
      <c r="B14619" s="21"/>
    </row>
    <row r="14620" spans="2:2">
      <c r="B14620" s="21"/>
    </row>
    <row r="14621" spans="2:2">
      <c r="B14621" s="21"/>
    </row>
    <row r="14622" spans="2:2">
      <c r="B14622" s="21"/>
    </row>
    <row r="14623" spans="2:2">
      <c r="B14623" s="21"/>
    </row>
    <row r="14624" spans="2:2">
      <c r="B14624" s="21"/>
    </row>
    <row r="14625" spans="2:2">
      <c r="B14625" s="21"/>
    </row>
    <row r="14626" spans="2:2">
      <c r="B14626" s="21"/>
    </row>
    <row r="14627" spans="2:2">
      <c r="B14627" s="21"/>
    </row>
    <row r="14628" spans="2:2">
      <c r="B14628" s="21"/>
    </row>
    <row r="14629" spans="2:2">
      <c r="B14629" s="21"/>
    </row>
    <row r="14630" spans="2:2">
      <c r="B14630" s="21"/>
    </row>
    <row r="14631" spans="2:2">
      <c r="B14631" s="21"/>
    </row>
    <row r="14632" spans="2:2">
      <c r="B14632" s="21"/>
    </row>
    <row r="14633" spans="2:2">
      <c r="B14633" s="21"/>
    </row>
    <row r="14634" spans="2:2">
      <c r="B14634" s="21"/>
    </row>
    <row r="14635" spans="2:2">
      <c r="B14635" s="21"/>
    </row>
    <row r="14636" spans="2:2">
      <c r="B14636" s="21"/>
    </row>
    <row r="14637" spans="2:2">
      <c r="B14637" s="21"/>
    </row>
    <row r="14638" spans="2:2">
      <c r="B14638" s="21"/>
    </row>
    <row r="14639" spans="2:2">
      <c r="B14639" s="21"/>
    </row>
    <row r="14640" spans="2:2">
      <c r="B14640" s="21"/>
    </row>
    <row r="14641" spans="2:2">
      <c r="B14641" s="21"/>
    </row>
    <row r="14642" spans="2:2">
      <c r="B14642" s="21"/>
    </row>
    <row r="14643" spans="2:2">
      <c r="B14643" s="21"/>
    </row>
    <row r="14644" spans="2:2">
      <c r="B14644" s="21"/>
    </row>
    <row r="14645" spans="2:2">
      <c r="B14645" s="21"/>
    </row>
    <row r="14646" spans="2:2">
      <c r="B14646" s="21"/>
    </row>
    <row r="14647" spans="2:2">
      <c r="B14647" s="21"/>
    </row>
    <row r="14648" spans="2:2">
      <c r="B14648" s="21"/>
    </row>
    <row r="14649" spans="2:2">
      <c r="B14649" s="21"/>
    </row>
    <row r="14650" spans="2:2">
      <c r="B14650" s="21"/>
    </row>
    <row r="14651" spans="2:2">
      <c r="B14651" s="21"/>
    </row>
    <row r="14652" spans="2:2">
      <c r="B14652" s="21"/>
    </row>
    <row r="14653" spans="2:2">
      <c r="B14653" s="21"/>
    </row>
    <row r="14654" spans="2:2">
      <c r="B14654" s="21"/>
    </row>
    <row r="14655" spans="2:2">
      <c r="B14655" s="21"/>
    </row>
    <row r="14656" spans="2:2">
      <c r="B14656" s="21"/>
    </row>
    <row r="14657" spans="2:2">
      <c r="B14657" s="21"/>
    </row>
    <row r="14658" spans="2:2">
      <c r="B14658" s="21"/>
    </row>
    <row r="14659" spans="2:2">
      <c r="B14659" s="21"/>
    </row>
    <row r="14660" spans="2:2">
      <c r="B14660" s="21"/>
    </row>
    <row r="14661" spans="2:2">
      <c r="B14661" s="21"/>
    </row>
    <row r="14662" spans="2:2">
      <c r="B14662" s="21"/>
    </row>
    <row r="14663" spans="2:2">
      <c r="B14663" s="21"/>
    </row>
    <row r="14664" spans="2:2">
      <c r="B14664" s="21"/>
    </row>
    <row r="14665" spans="2:2">
      <c r="B14665" s="21"/>
    </row>
    <row r="14666" spans="2:2">
      <c r="B14666" s="21"/>
    </row>
    <row r="14667" spans="2:2">
      <c r="B14667" s="21"/>
    </row>
    <row r="14668" spans="2:2">
      <c r="B14668" s="21"/>
    </row>
    <row r="14669" spans="2:2">
      <c r="B14669" s="21"/>
    </row>
    <row r="14670" spans="2:2">
      <c r="B14670" s="21"/>
    </row>
    <row r="14671" spans="2:2">
      <c r="B14671" s="21"/>
    </row>
    <row r="14672" spans="2:2">
      <c r="B14672" s="21"/>
    </row>
    <row r="14673" spans="2:2">
      <c r="B14673" s="21"/>
    </row>
    <row r="14674" spans="2:2">
      <c r="B14674" s="21"/>
    </row>
    <row r="14675" spans="2:2">
      <c r="B14675" s="21"/>
    </row>
    <row r="14676" spans="2:2">
      <c r="B14676" s="21"/>
    </row>
    <row r="14677" spans="2:2">
      <c r="B14677" s="21"/>
    </row>
    <row r="14678" spans="2:2">
      <c r="B14678" s="21"/>
    </row>
    <row r="14679" spans="2:2">
      <c r="B14679" s="21"/>
    </row>
    <row r="14680" spans="2:2">
      <c r="B14680" s="21"/>
    </row>
    <row r="14681" spans="2:2">
      <c r="B14681" s="21"/>
    </row>
    <row r="14682" spans="2:2">
      <c r="B14682" s="21"/>
    </row>
    <row r="14683" spans="2:2">
      <c r="B14683" s="21"/>
    </row>
    <row r="14684" spans="2:2">
      <c r="B14684" s="21"/>
    </row>
    <row r="14685" spans="2:2">
      <c r="B14685" s="21"/>
    </row>
    <row r="14686" spans="2:2">
      <c r="B14686" s="21"/>
    </row>
    <row r="14687" spans="2:2">
      <c r="B14687" s="21"/>
    </row>
    <row r="14688" spans="2:2">
      <c r="B14688" s="21"/>
    </row>
    <row r="14689" spans="2:2">
      <c r="B14689" s="21"/>
    </row>
    <row r="14690" spans="2:2">
      <c r="B14690" s="21"/>
    </row>
    <row r="14691" spans="2:2">
      <c r="B14691" s="21"/>
    </row>
    <row r="14692" spans="2:2">
      <c r="B14692" s="21"/>
    </row>
    <row r="14693" spans="2:2">
      <c r="B14693" s="21"/>
    </row>
    <row r="14694" spans="2:2">
      <c r="B14694" s="21"/>
    </row>
    <row r="14695" spans="2:2">
      <c r="B14695" s="21"/>
    </row>
    <row r="14696" spans="2:2">
      <c r="B14696" s="21"/>
    </row>
    <row r="14697" spans="2:2">
      <c r="B14697" s="21"/>
    </row>
    <row r="14698" spans="2:2">
      <c r="B14698" s="21"/>
    </row>
    <row r="14699" spans="2:2">
      <c r="B14699" s="21"/>
    </row>
    <row r="14700" spans="2:2">
      <c r="B14700" s="21"/>
    </row>
    <row r="14701" spans="2:2">
      <c r="B14701" s="21"/>
    </row>
    <row r="14702" spans="2:2">
      <c r="B14702" s="21"/>
    </row>
    <row r="14703" spans="2:2">
      <c r="B14703" s="21"/>
    </row>
    <row r="14704" spans="2:2">
      <c r="B14704" s="21"/>
    </row>
    <row r="14705" spans="2:2">
      <c r="B14705" s="21"/>
    </row>
    <row r="14706" spans="2:2">
      <c r="B14706" s="21"/>
    </row>
    <row r="14707" spans="2:2">
      <c r="B14707" s="21"/>
    </row>
    <row r="14708" spans="2:2">
      <c r="B14708" s="21"/>
    </row>
    <row r="14709" spans="2:2">
      <c r="B14709" s="21"/>
    </row>
    <row r="14710" spans="2:2">
      <c r="B14710" s="21"/>
    </row>
    <row r="14711" spans="2:2">
      <c r="B14711" s="21"/>
    </row>
    <row r="14712" spans="2:2">
      <c r="B14712" s="21"/>
    </row>
    <row r="14713" spans="2:2">
      <c r="B14713" s="21"/>
    </row>
    <row r="14714" spans="2:2">
      <c r="B14714" s="21"/>
    </row>
    <row r="14715" spans="2:2">
      <c r="B14715" s="21"/>
    </row>
    <row r="14716" spans="2:2">
      <c r="B14716" s="21"/>
    </row>
    <row r="14717" spans="2:2">
      <c r="B14717" s="21"/>
    </row>
    <row r="14718" spans="2:2">
      <c r="B14718" s="21"/>
    </row>
    <row r="14719" spans="2:2">
      <c r="B14719" s="21"/>
    </row>
    <row r="14720" spans="2:2">
      <c r="B14720" s="21"/>
    </row>
    <row r="14721" spans="2:2">
      <c r="B14721" s="21"/>
    </row>
    <row r="14722" spans="2:2">
      <c r="B14722" s="21"/>
    </row>
    <row r="14723" spans="2:2">
      <c r="B14723" s="21"/>
    </row>
    <row r="14724" spans="2:2">
      <c r="B14724" s="21"/>
    </row>
    <row r="14725" spans="2:2">
      <c r="B14725" s="21"/>
    </row>
    <row r="14726" spans="2:2">
      <c r="B14726" s="21"/>
    </row>
    <row r="14727" spans="2:2">
      <c r="B14727" s="21"/>
    </row>
    <row r="14728" spans="2:2">
      <c r="B14728" s="21"/>
    </row>
    <row r="14729" spans="2:2">
      <c r="B14729" s="21"/>
    </row>
    <row r="14730" spans="2:2">
      <c r="B14730" s="21"/>
    </row>
    <row r="14731" spans="2:2">
      <c r="B14731" s="21"/>
    </row>
    <row r="14732" spans="2:2">
      <c r="B14732" s="21"/>
    </row>
    <row r="14733" spans="2:2">
      <c r="B14733" s="21"/>
    </row>
    <row r="14734" spans="2:2">
      <c r="B14734" s="21"/>
    </row>
    <row r="14735" spans="2:2">
      <c r="B14735" s="21"/>
    </row>
    <row r="14736" spans="2:2">
      <c r="B14736" s="21"/>
    </row>
    <row r="14737" spans="2:2">
      <c r="B14737" s="21"/>
    </row>
    <row r="14738" spans="2:2">
      <c r="B14738" s="21"/>
    </row>
    <row r="14739" spans="2:2">
      <c r="B14739" s="21"/>
    </row>
    <row r="14740" spans="2:2">
      <c r="B14740" s="21"/>
    </row>
    <row r="14741" spans="2:2">
      <c r="B14741" s="21"/>
    </row>
    <row r="14742" spans="2:2">
      <c r="B14742" s="21"/>
    </row>
    <row r="14743" spans="2:2">
      <c r="B14743" s="21"/>
    </row>
    <row r="14744" spans="2:2">
      <c r="B14744" s="21"/>
    </row>
    <row r="14745" spans="2:2">
      <c r="B14745" s="21"/>
    </row>
    <row r="14746" spans="2:2">
      <c r="B14746" s="21"/>
    </row>
    <row r="14747" spans="2:2">
      <c r="B14747" s="21"/>
    </row>
    <row r="14748" spans="2:2">
      <c r="B14748" s="21"/>
    </row>
    <row r="14749" spans="2:2">
      <c r="B14749" s="21"/>
    </row>
    <row r="14750" spans="2:2">
      <c r="B14750" s="21"/>
    </row>
    <row r="14751" spans="2:2">
      <c r="B14751" s="21"/>
    </row>
    <row r="14752" spans="2:2">
      <c r="B14752" s="21"/>
    </row>
    <row r="14753" spans="2:2">
      <c r="B14753" s="21"/>
    </row>
    <row r="14754" spans="2:2">
      <c r="B14754" s="21"/>
    </row>
    <row r="14755" spans="2:2">
      <c r="B14755" s="21"/>
    </row>
    <row r="14756" spans="2:2">
      <c r="B14756" s="21"/>
    </row>
    <row r="14757" spans="2:2">
      <c r="B14757" s="21"/>
    </row>
    <row r="14758" spans="2:2">
      <c r="B14758" s="21"/>
    </row>
    <row r="14759" spans="2:2">
      <c r="B14759" s="21"/>
    </row>
    <row r="14760" spans="2:2">
      <c r="B14760" s="21"/>
    </row>
    <row r="14761" spans="2:2">
      <c r="B14761" s="21"/>
    </row>
    <row r="14762" spans="2:2">
      <c r="B14762" s="21"/>
    </row>
    <row r="14763" spans="2:2">
      <c r="B14763" s="21"/>
    </row>
    <row r="14764" spans="2:2">
      <c r="B14764" s="21"/>
    </row>
    <row r="14765" spans="2:2">
      <c r="B14765" s="21"/>
    </row>
    <row r="14766" spans="2:2">
      <c r="B14766" s="21"/>
    </row>
    <row r="14767" spans="2:2">
      <c r="B14767" s="21"/>
    </row>
    <row r="14768" spans="2:2">
      <c r="B14768" s="21"/>
    </row>
    <row r="14769" spans="2:2">
      <c r="B14769" s="21"/>
    </row>
    <row r="14770" spans="2:2">
      <c r="B14770" s="21"/>
    </row>
    <row r="14771" spans="2:2">
      <c r="B14771" s="21"/>
    </row>
    <row r="14772" spans="2:2">
      <c r="B14772" s="21"/>
    </row>
    <row r="14773" spans="2:2">
      <c r="B14773" s="21"/>
    </row>
    <row r="14774" spans="2:2">
      <c r="B14774" s="21"/>
    </row>
    <row r="14775" spans="2:2">
      <c r="B14775" s="21"/>
    </row>
    <row r="14776" spans="2:2">
      <c r="B14776" s="21"/>
    </row>
    <row r="14777" spans="2:2">
      <c r="B14777" s="21"/>
    </row>
    <row r="14778" spans="2:2">
      <c r="B14778" s="21"/>
    </row>
    <row r="14779" spans="2:2">
      <c r="B14779" s="21"/>
    </row>
    <row r="14780" spans="2:2">
      <c r="B14780" s="21"/>
    </row>
    <row r="14781" spans="2:2">
      <c r="B14781" s="21"/>
    </row>
    <row r="14782" spans="2:2">
      <c r="B14782" s="21"/>
    </row>
    <row r="14783" spans="2:2">
      <c r="B14783" s="21"/>
    </row>
    <row r="14784" spans="2:2">
      <c r="B14784" s="21"/>
    </row>
    <row r="14785" spans="2:2">
      <c r="B14785" s="21"/>
    </row>
    <row r="14786" spans="2:2">
      <c r="B14786" s="21"/>
    </row>
    <row r="14787" spans="2:2">
      <c r="B14787" s="21"/>
    </row>
    <row r="14788" spans="2:2">
      <c r="B14788" s="21"/>
    </row>
    <row r="14789" spans="2:2">
      <c r="B14789" s="21"/>
    </row>
    <row r="14790" spans="2:2">
      <c r="B14790" s="21"/>
    </row>
    <row r="14791" spans="2:2">
      <c r="B14791" s="21"/>
    </row>
    <row r="14792" spans="2:2">
      <c r="B14792" s="21"/>
    </row>
    <row r="14793" spans="2:2">
      <c r="B14793" s="21"/>
    </row>
    <row r="14794" spans="2:2">
      <c r="B14794" s="21"/>
    </row>
    <row r="14795" spans="2:2">
      <c r="B14795" s="21"/>
    </row>
    <row r="14796" spans="2:2">
      <c r="B14796" s="21"/>
    </row>
    <row r="14797" spans="2:2">
      <c r="B14797" s="21"/>
    </row>
    <row r="14798" spans="2:2">
      <c r="B14798" s="21"/>
    </row>
    <row r="14799" spans="2:2">
      <c r="B14799" s="21"/>
    </row>
    <row r="14800" spans="2:2">
      <c r="B14800" s="21"/>
    </row>
    <row r="14801" spans="2:2">
      <c r="B14801" s="21"/>
    </row>
    <row r="14802" spans="2:2">
      <c r="B14802" s="21"/>
    </row>
    <row r="14803" spans="2:2">
      <c r="B14803" s="21"/>
    </row>
    <row r="14804" spans="2:2">
      <c r="B14804" s="21"/>
    </row>
    <row r="14805" spans="2:2">
      <c r="B14805" s="21"/>
    </row>
    <row r="14806" spans="2:2">
      <c r="B14806" s="21"/>
    </row>
    <row r="14807" spans="2:2">
      <c r="B14807" s="21"/>
    </row>
    <row r="14808" spans="2:2">
      <c r="B14808" s="21"/>
    </row>
    <row r="14809" spans="2:2">
      <c r="B14809" s="21"/>
    </row>
    <row r="14810" spans="2:2">
      <c r="B14810" s="21"/>
    </row>
    <row r="14811" spans="2:2">
      <c r="B14811" s="21"/>
    </row>
    <row r="14812" spans="2:2">
      <c r="B14812" s="21"/>
    </row>
    <row r="14813" spans="2:2">
      <c r="B14813" s="21"/>
    </row>
    <row r="14814" spans="2:2">
      <c r="B14814" s="21"/>
    </row>
    <row r="14815" spans="2:2">
      <c r="B14815" s="21"/>
    </row>
    <row r="14816" spans="2:2">
      <c r="B14816" s="21"/>
    </row>
    <row r="14817" spans="2:2">
      <c r="B14817" s="21"/>
    </row>
    <row r="14818" spans="2:2">
      <c r="B14818" s="21"/>
    </row>
    <row r="14819" spans="2:2">
      <c r="B14819" s="21"/>
    </row>
    <row r="14820" spans="2:2">
      <c r="B14820" s="21"/>
    </row>
    <row r="14821" spans="2:2">
      <c r="B14821" s="21"/>
    </row>
    <row r="14822" spans="2:2">
      <c r="B14822" s="21"/>
    </row>
    <row r="14823" spans="2:2">
      <c r="B14823" s="21"/>
    </row>
    <row r="14824" spans="2:2">
      <c r="B14824" s="21"/>
    </row>
    <row r="14825" spans="2:2">
      <c r="B14825" s="21"/>
    </row>
    <row r="14826" spans="2:2">
      <c r="B14826" s="21"/>
    </row>
    <row r="14827" spans="2:2">
      <c r="B14827" s="21"/>
    </row>
    <row r="14828" spans="2:2">
      <c r="B14828" s="21"/>
    </row>
    <row r="14829" spans="2:2">
      <c r="B14829" s="21"/>
    </row>
    <row r="14830" spans="2:2">
      <c r="B14830" s="21"/>
    </row>
    <row r="14831" spans="2:2">
      <c r="B14831" s="21"/>
    </row>
    <row r="14832" spans="2:2">
      <c r="B14832" s="21"/>
    </row>
    <row r="14833" spans="2:2">
      <c r="B14833" s="21"/>
    </row>
    <row r="14834" spans="2:2">
      <c r="B14834" s="21"/>
    </row>
    <row r="14835" spans="2:2">
      <c r="B14835" s="21"/>
    </row>
    <row r="14836" spans="2:2">
      <c r="B14836" s="21"/>
    </row>
    <row r="14837" spans="2:2">
      <c r="B14837" s="21"/>
    </row>
    <row r="14838" spans="2:2">
      <c r="B14838" s="21"/>
    </row>
    <row r="14839" spans="2:2">
      <c r="B14839" s="21"/>
    </row>
    <row r="14840" spans="2:2">
      <c r="B14840" s="21"/>
    </row>
    <row r="14841" spans="2:2">
      <c r="B14841" s="21"/>
    </row>
    <row r="14842" spans="2:2">
      <c r="B14842" s="21"/>
    </row>
    <row r="14843" spans="2:2">
      <c r="B14843" s="21"/>
    </row>
    <row r="14844" spans="2:2">
      <c r="B14844" s="21"/>
    </row>
    <row r="14845" spans="2:2">
      <c r="B14845" s="21"/>
    </row>
    <row r="14846" spans="2:2">
      <c r="B14846" s="21"/>
    </row>
    <row r="14847" spans="2:2">
      <c r="B14847" s="21"/>
    </row>
    <row r="14848" spans="2:2">
      <c r="B14848" s="21"/>
    </row>
    <row r="14849" spans="2:2">
      <c r="B14849" s="21"/>
    </row>
    <row r="14850" spans="2:2">
      <c r="B14850" s="21"/>
    </row>
    <row r="14851" spans="2:2">
      <c r="B14851" s="21"/>
    </row>
    <row r="14852" spans="2:2">
      <c r="B14852" s="21"/>
    </row>
    <row r="14853" spans="2:2">
      <c r="B14853" s="21"/>
    </row>
    <row r="14854" spans="2:2">
      <c r="B14854" s="21"/>
    </row>
    <row r="14855" spans="2:2">
      <c r="B14855" s="21"/>
    </row>
    <row r="14856" spans="2:2">
      <c r="B14856" s="21"/>
    </row>
    <row r="14857" spans="2:2">
      <c r="B14857" s="21"/>
    </row>
    <row r="14858" spans="2:2">
      <c r="B14858" s="21"/>
    </row>
    <row r="14859" spans="2:2">
      <c r="B14859" s="21"/>
    </row>
    <row r="14860" spans="2:2">
      <c r="B14860" s="21"/>
    </row>
    <row r="14861" spans="2:2">
      <c r="B14861" s="21"/>
    </row>
    <row r="14862" spans="2:2">
      <c r="B14862" s="21"/>
    </row>
    <row r="14863" spans="2:2">
      <c r="B14863" s="21"/>
    </row>
    <row r="14864" spans="2:2">
      <c r="B14864" s="21"/>
    </row>
    <row r="14865" spans="2:2">
      <c r="B14865" s="21"/>
    </row>
    <row r="14866" spans="2:2">
      <c r="B14866" s="21"/>
    </row>
    <row r="14867" spans="2:2">
      <c r="B14867" s="21"/>
    </row>
    <row r="14868" spans="2:2">
      <c r="B14868" s="21"/>
    </row>
    <row r="14869" spans="2:2">
      <c r="B14869" s="21"/>
    </row>
    <row r="14870" spans="2:2">
      <c r="B14870" s="21"/>
    </row>
    <row r="14871" spans="2:2">
      <c r="B14871" s="21"/>
    </row>
    <row r="14872" spans="2:2">
      <c r="B14872" s="21"/>
    </row>
    <row r="14873" spans="2:2">
      <c r="B14873" s="21"/>
    </row>
    <row r="14874" spans="2:2">
      <c r="B14874" s="21"/>
    </row>
    <row r="14875" spans="2:2">
      <c r="B14875" s="21"/>
    </row>
    <row r="14876" spans="2:2">
      <c r="B14876" s="21"/>
    </row>
    <row r="14877" spans="2:2">
      <c r="B14877" s="21"/>
    </row>
    <row r="14878" spans="2:2">
      <c r="B14878" s="21"/>
    </row>
    <row r="14879" spans="2:2">
      <c r="B14879" s="21"/>
    </row>
    <row r="14880" spans="2:2">
      <c r="B14880" s="21"/>
    </row>
    <row r="14881" spans="2:2">
      <c r="B14881" s="21"/>
    </row>
    <row r="14882" spans="2:2">
      <c r="B14882" s="21"/>
    </row>
    <row r="14883" spans="2:2">
      <c r="B14883" s="21"/>
    </row>
    <row r="14884" spans="2:2">
      <c r="B14884" s="21"/>
    </row>
    <row r="14885" spans="2:2">
      <c r="B14885" s="21"/>
    </row>
    <row r="14886" spans="2:2">
      <c r="B14886" s="21"/>
    </row>
    <row r="14887" spans="2:2">
      <c r="B14887" s="21"/>
    </row>
    <row r="14888" spans="2:2">
      <c r="B14888" s="21"/>
    </row>
    <row r="14889" spans="2:2">
      <c r="B14889" s="21"/>
    </row>
    <row r="14890" spans="2:2">
      <c r="B14890" s="21"/>
    </row>
    <row r="14891" spans="2:2">
      <c r="B14891" s="21"/>
    </row>
    <row r="14892" spans="2:2">
      <c r="B14892" s="21"/>
    </row>
    <row r="14893" spans="2:2">
      <c r="B14893" s="21"/>
    </row>
    <row r="14894" spans="2:2">
      <c r="B14894" s="21"/>
    </row>
    <row r="14895" spans="2:2">
      <c r="B14895" s="21"/>
    </row>
    <row r="14896" spans="2:2">
      <c r="B14896" s="21"/>
    </row>
    <row r="14897" spans="2:2">
      <c r="B14897" s="21"/>
    </row>
    <row r="14898" spans="2:2">
      <c r="B14898" s="21"/>
    </row>
    <row r="14899" spans="2:2">
      <c r="B14899" s="21"/>
    </row>
    <row r="14900" spans="2:2">
      <c r="B14900" s="21"/>
    </row>
    <row r="14901" spans="2:2">
      <c r="B14901" s="21"/>
    </row>
    <row r="14902" spans="2:2">
      <c r="B14902" s="21"/>
    </row>
    <row r="14903" spans="2:2">
      <c r="B14903" s="21"/>
    </row>
    <row r="14904" spans="2:2">
      <c r="B14904" s="21"/>
    </row>
    <row r="14905" spans="2:2">
      <c r="B14905" s="21"/>
    </row>
    <row r="14906" spans="2:2">
      <c r="B14906" s="21"/>
    </row>
    <row r="14907" spans="2:2">
      <c r="B14907" s="21"/>
    </row>
    <row r="14908" spans="2:2">
      <c r="B14908" s="21"/>
    </row>
    <row r="14909" spans="2:2">
      <c r="B14909" s="21"/>
    </row>
    <row r="14910" spans="2:2">
      <c r="B14910" s="21"/>
    </row>
    <row r="14911" spans="2:2">
      <c r="B14911" s="21"/>
    </row>
    <row r="14912" spans="2:2">
      <c r="B14912" s="21"/>
    </row>
    <row r="14913" spans="2:2">
      <c r="B14913" s="21"/>
    </row>
    <row r="14914" spans="2:2">
      <c r="B14914" s="21"/>
    </row>
    <row r="14915" spans="2:2">
      <c r="B14915" s="21"/>
    </row>
    <row r="14916" spans="2:2">
      <c r="B14916" s="21"/>
    </row>
    <row r="14917" spans="2:2">
      <c r="B14917" s="21"/>
    </row>
    <row r="14918" spans="2:2">
      <c r="B14918" s="21"/>
    </row>
    <row r="14919" spans="2:2">
      <c r="B14919" s="21"/>
    </row>
    <row r="14920" spans="2:2">
      <c r="B14920" s="21"/>
    </row>
    <row r="14921" spans="2:2">
      <c r="B14921" s="21"/>
    </row>
    <row r="14922" spans="2:2">
      <c r="B14922" s="21"/>
    </row>
    <row r="14923" spans="2:2">
      <c r="B14923" s="21"/>
    </row>
    <row r="14924" spans="2:2">
      <c r="B14924" s="21"/>
    </row>
    <row r="14925" spans="2:2">
      <c r="B14925" s="21"/>
    </row>
    <row r="14926" spans="2:2">
      <c r="B14926" s="21"/>
    </row>
    <row r="14927" spans="2:2">
      <c r="B14927" s="21"/>
    </row>
    <row r="14928" spans="2:2">
      <c r="B14928" s="21"/>
    </row>
    <row r="14929" spans="2:2">
      <c r="B14929" s="21"/>
    </row>
    <row r="14930" spans="2:2">
      <c r="B14930" s="21"/>
    </row>
    <row r="14931" spans="2:2">
      <c r="B14931" s="21"/>
    </row>
    <row r="14932" spans="2:2">
      <c r="B14932" s="21"/>
    </row>
    <row r="14933" spans="2:2">
      <c r="B14933" s="21"/>
    </row>
    <row r="14934" spans="2:2">
      <c r="B14934" s="21"/>
    </row>
    <row r="14935" spans="2:2">
      <c r="B14935" s="21"/>
    </row>
    <row r="14936" spans="2:2">
      <c r="B14936" s="21"/>
    </row>
    <row r="14937" spans="2:2">
      <c r="B14937" s="21"/>
    </row>
    <row r="14938" spans="2:2">
      <c r="B14938" s="21"/>
    </row>
    <row r="14939" spans="2:2">
      <c r="B14939" s="21"/>
    </row>
    <row r="14940" spans="2:2">
      <c r="B14940" s="21"/>
    </row>
    <row r="14941" spans="2:2">
      <c r="B14941" s="21"/>
    </row>
    <row r="14942" spans="2:2">
      <c r="B14942" s="21"/>
    </row>
    <row r="14943" spans="2:2">
      <c r="B14943" s="21"/>
    </row>
    <row r="14944" spans="2:2">
      <c r="B14944" s="21"/>
    </row>
    <row r="14945" spans="2:2">
      <c r="B14945" s="21"/>
    </row>
    <row r="14946" spans="2:2">
      <c r="B14946" s="21"/>
    </row>
    <row r="14947" spans="2:2">
      <c r="B14947" s="21"/>
    </row>
    <row r="14948" spans="2:2">
      <c r="B14948" s="21"/>
    </row>
    <row r="14949" spans="2:2">
      <c r="B14949" s="21"/>
    </row>
    <row r="14950" spans="2:2">
      <c r="B14950" s="21"/>
    </row>
    <row r="14951" spans="2:2">
      <c r="B14951" s="21"/>
    </row>
    <row r="14952" spans="2:2">
      <c r="B14952" s="21"/>
    </row>
    <row r="14953" spans="2:2">
      <c r="B14953" s="21"/>
    </row>
    <row r="14954" spans="2:2">
      <c r="B14954" s="21"/>
    </row>
    <row r="14955" spans="2:2">
      <c r="B14955" s="21"/>
    </row>
    <row r="14956" spans="2:2">
      <c r="B14956" s="21"/>
    </row>
    <row r="14957" spans="2:2">
      <c r="B14957" s="21"/>
    </row>
    <row r="14958" spans="2:2">
      <c r="B14958" s="21"/>
    </row>
    <row r="14959" spans="2:2">
      <c r="B14959" s="21"/>
    </row>
    <row r="14960" spans="2:2">
      <c r="B14960" s="21"/>
    </row>
    <row r="14961" spans="2:2">
      <c r="B14961" s="21"/>
    </row>
    <row r="14962" spans="2:2">
      <c r="B14962" s="21"/>
    </row>
    <row r="14963" spans="2:2">
      <c r="B14963" s="21"/>
    </row>
    <row r="14964" spans="2:2">
      <c r="B14964" s="21"/>
    </row>
    <row r="14965" spans="2:2">
      <c r="B14965" s="21"/>
    </row>
    <row r="14966" spans="2:2">
      <c r="B14966" s="21"/>
    </row>
    <row r="14967" spans="2:2">
      <c r="B14967" s="21"/>
    </row>
    <row r="14968" spans="2:2">
      <c r="B14968" s="21"/>
    </row>
    <row r="14969" spans="2:2">
      <c r="B14969" s="21"/>
    </row>
    <row r="14970" spans="2:2">
      <c r="B14970" s="21"/>
    </row>
    <row r="14971" spans="2:2">
      <c r="B14971" s="21"/>
    </row>
    <row r="14972" spans="2:2">
      <c r="B14972" s="21"/>
    </row>
    <row r="14973" spans="2:2">
      <c r="B14973" s="21"/>
    </row>
    <row r="14974" spans="2:2">
      <c r="B14974" s="21"/>
    </row>
    <row r="14975" spans="2:2">
      <c r="B14975" s="21"/>
    </row>
    <row r="14976" spans="2:2">
      <c r="B14976" s="21"/>
    </row>
    <row r="14977" spans="2:2">
      <c r="B14977" s="21"/>
    </row>
    <row r="14978" spans="2:2">
      <c r="B14978" s="21"/>
    </row>
    <row r="14979" spans="2:2">
      <c r="B14979" s="21"/>
    </row>
    <row r="14980" spans="2:2">
      <c r="B14980" s="21"/>
    </row>
    <row r="14981" spans="2:2">
      <c r="B14981" s="21"/>
    </row>
    <row r="14982" spans="2:2">
      <c r="B14982" s="21"/>
    </row>
    <row r="14983" spans="2:2">
      <c r="B14983" s="21"/>
    </row>
    <row r="14984" spans="2:2">
      <c r="B14984" s="21"/>
    </row>
    <row r="14985" spans="2:2">
      <c r="B14985" s="21"/>
    </row>
    <row r="14986" spans="2:2">
      <c r="B14986" s="21"/>
    </row>
    <row r="14987" spans="2:2">
      <c r="B14987" s="21"/>
    </row>
    <row r="14988" spans="2:2">
      <c r="B14988" s="21"/>
    </row>
    <row r="14989" spans="2:2">
      <c r="B14989" s="21"/>
    </row>
    <row r="14990" spans="2:2">
      <c r="B14990" s="21"/>
    </row>
    <row r="14991" spans="2:2">
      <c r="B14991" s="21"/>
    </row>
    <row r="14992" spans="2:2">
      <c r="B14992" s="21"/>
    </row>
    <row r="14993" spans="2:2">
      <c r="B14993" s="21"/>
    </row>
    <row r="14994" spans="2:2">
      <c r="B14994" s="21"/>
    </row>
    <row r="14995" spans="2:2">
      <c r="B14995" s="21"/>
    </row>
    <row r="14996" spans="2:2">
      <c r="B14996" s="21"/>
    </row>
    <row r="14997" spans="2:2">
      <c r="B14997" s="21"/>
    </row>
    <row r="14998" spans="2:2">
      <c r="B14998" s="21"/>
    </row>
    <row r="14999" spans="2:2">
      <c r="B14999" s="21"/>
    </row>
    <row r="15000" spans="2:2">
      <c r="B15000" s="21"/>
    </row>
    <row r="15001" spans="2:2">
      <c r="B15001" s="21"/>
    </row>
    <row r="15002" spans="2:2">
      <c r="B15002" s="21"/>
    </row>
    <row r="15003" spans="2:2">
      <c r="B15003" s="21"/>
    </row>
    <row r="15004" spans="2:2">
      <c r="B15004" s="21"/>
    </row>
    <row r="15005" spans="2:2">
      <c r="B15005" s="21"/>
    </row>
    <row r="15006" spans="2:2">
      <c r="B15006" s="21"/>
    </row>
    <row r="15007" spans="2:2">
      <c r="B15007" s="21"/>
    </row>
    <row r="15008" spans="2:2">
      <c r="B15008" s="21"/>
    </row>
    <row r="15009" spans="2:2">
      <c r="B15009" s="21"/>
    </row>
    <row r="15010" spans="2:2">
      <c r="B15010" s="21"/>
    </row>
    <row r="15011" spans="2:2">
      <c r="B15011" s="21"/>
    </row>
    <row r="15012" spans="2:2">
      <c r="B15012" s="21"/>
    </row>
    <row r="15013" spans="2:2">
      <c r="B15013" s="21"/>
    </row>
    <row r="15014" spans="2:2">
      <c r="B15014" s="21"/>
    </row>
    <row r="15015" spans="2:2">
      <c r="B15015" s="21"/>
    </row>
    <row r="15016" spans="2:2">
      <c r="B15016" s="21"/>
    </row>
    <row r="15017" spans="2:2">
      <c r="B15017" s="21"/>
    </row>
    <row r="15018" spans="2:2">
      <c r="B15018" s="21"/>
    </row>
    <row r="15019" spans="2:2">
      <c r="B15019" s="21"/>
    </row>
    <row r="15020" spans="2:2">
      <c r="B15020" s="21"/>
    </row>
    <row r="15021" spans="2:2">
      <c r="B15021" s="21"/>
    </row>
    <row r="15022" spans="2:2">
      <c r="B15022" s="21"/>
    </row>
    <row r="15023" spans="2:2">
      <c r="B15023" s="21"/>
    </row>
    <row r="15024" spans="2:2">
      <c r="B15024" s="21"/>
    </row>
    <row r="15025" spans="2:2">
      <c r="B15025" s="21"/>
    </row>
    <row r="15026" spans="2:2">
      <c r="B15026" s="21"/>
    </row>
    <row r="15027" spans="2:2">
      <c r="B15027" s="21"/>
    </row>
    <row r="15028" spans="2:2">
      <c r="B15028" s="21"/>
    </row>
    <row r="15029" spans="2:2">
      <c r="B15029" s="21"/>
    </row>
    <row r="15030" spans="2:2">
      <c r="B15030" s="21"/>
    </row>
    <row r="15031" spans="2:2">
      <c r="B15031" s="21"/>
    </row>
    <row r="15032" spans="2:2">
      <c r="B15032" s="21"/>
    </row>
    <row r="15033" spans="2:2">
      <c r="B15033" s="21"/>
    </row>
    <row r="15034" spans="2:2">
      <c r="B15034" s="21"/>
    </row>
    <row r="15035" spans="2:2">
      <c r="B15035" s="21"/>
    </row>
    <row r="15036" spans="2:2">
      <c r="B15036" s="21"/>
    </row>
    <row r="15037" spans="2:2">
      <c r="B15037" s="21"/>
    </row>
    <row r="15038" spans="2:2">
      <c r="B15038" s="21"/>
    </row>
    <row r="15039" spans="2:2">
      <c r="B15039" s="21"/>
    </row>
    <row r="15040" spans="2:2">
      <c r="B15040" s="21"/>
    </row>
    <row r="15041" spans="2:2">
      <c r="B15041" s="21"/>
    </row>
    <row r="15042" spans="2:2">
      <c r="B15042" s="21"/>
    </row>
    <row r="15043" spans="2:2">
      <c r="B15043" s="21"/>
    </row>
    <row r="15044" spans="2:2">
      <c r="B15044" s="21"/>
    </row>
    <row r="15045" spans="2:2">
      <c r="B15045" s="21"/>
    </row>
    <row r="15046" spans="2:2">
      <c r="B15046" s="21"/>
    </row>
    <row r="15047" spans="2:2">
      <c r="B15047" s="21"/>
    </row>
    <row r="15048" spans="2:2">
      <c r="B15048" s="21"/>
    </row>
    <row r="15049" spans="2:2">
      <c r="B15049" s="21"/>
    </row>
    <row r="15050" spans="2:2">
      <c r="B15050" s="21"/>
    </row>
    <row r="15051" spans="2:2">
      <c r="B15051" s="21"/>
    </row>
    <row r="15052" spans="2:2">
      <c r="B15052" s="21"/>
    </row>
    <row r="15053" spans="2:2">
      <c r="B15053" s="21"/>
    </row>
    <row r="15054" spans="2:2">
      <c r="B15054" s="21"/>
    </row>
    <row r="15055" spans="2:2">
      <c r="B15055" s="21"/>
    </row>
    <row r="15056" spans="2:2">
      <c r="B15056" s="21"/>
    </row>
    <row r="15057" spans="2:2">
      <c r="B15057" s="21"/>
    </row>
    <row r="15058" spans="2:2">
      <c r="B15058" s="21"/>
    </row>
    <row r="15059" spans="2:2">
      <c r="B15059" s="21"/>
    </row>
    <row r="15060" spans="2:2">
      <c r="B15060" s="21"/>
    </row>
    <row r="15061" spans="2:2">
      <c r="B15061" s="21"/>
    </row>
    <row r="15062" spans="2:2">
      <c r="B15062" s="21"/>
    </row>
    <row r="15063" spans="2:2">
      <c r="B15063" s="21"/>
    </row>
    <row r="15064" spans="2:2">
      <c r="B15064" s="21"/>
    </row>
    <row r="15065" spans="2:2">
      <c r="B15065" s="21"/>
    </row>
    <row r="15066" spans="2:2">
      <c r="B15066" s="21"/>
    </row>
    <row r="15067" spans="2:2">
      <c r="B15067" s="21"/>
    </row>
    <row r="15068" spans="2:2">
      <c r="B15068" s="21"/>
    </row>
    <row r="15069" spans="2:2">
      <c r="B15069" s="21"/>
    </row>
    <row r="15070" spans="2:2">
      <c r="B15070" s="21"/>
    </row>
    <row r="15071" spans="2:2">
      <c r="B15071" s="21"/>
    </row>
    <row r="15072" spans="2:2">
      <c r="B15072" s="21"/>
    </row>
    <row r="15073" spans="2:2">
      <c r="B15073" s="21"/>
    </row>
    <row r="15074" spans="2:2">
      <c r="B15074" s="21"/>
    </row>
    <row r="15075" spans="2:2">
      <c r="B15075" s="21"/>
    </row>
    <row r="15076" spans="2:2">
      <c r="B15076" s="21"/>
    </row>
    <row r="15077" spans="2:2">
      <c r="B15077" s="21"/>
    </row>
    <row r="15078" spans="2:2">
      <c r="B15078" s="21"/>
    </row>
    <row r="15079" spans="2:2">
      <c r="B15079" s="21"/>
    </row>
    <row r="15080" spans="2:2">
      <c r="B15080" s="21"/>
    </row>
    <row r="15081" spans="2:2">
      <c r="B15081" s="21"/>
    </row>
    <row r="15082" spans="2:2">
      <c r="B15082" s="21"/>
    </row>
    <row r="15083" spans="2:2">
      <c r="B15083" s="21"/>
    </row>
    <row r="15084" spans="2:2">
      <c r="B15084" s="21"/>
    </row>
    <row r="15085" spans="2:2">
      <c r="B15085" s="21"/>
    </row>
    <row r="15086" spans="2:2">
      <c r="B15086" s="21"/>
    </row>
    <row r="15087" spans="2:2">
      <c r="B15087" s="21"/>
    </row>
    <row r="15088" spans="2:2">
      <c r="B15088" s="21"/>
    </row>
    <row r="15089" spans="2:2">
      <c r="B15089" s="21"/>
    </row>
    <row r="15090" spans="2:2">
      <c r="B15090" s="21"/>
    </row>
    <row r="15091" spans="2:2">
      <c r="B15091" s="21"/>
    </row>
    <row r="15092" spans="2:2">
      <c r="B15092" s="21"/>
    </row>
    <row r="15093" spans="2:2">
      <c r="B15093" s="21"/>
    </row>
    <row r="15094" spans="2:2">
      <c r="B15094" s="21"/>
    </row>
    <row r="15095" spans="2:2">
      <c r="B15095" s="21"/>
    </row>
    <row r="15096" spans="2:2">
      <c r="B15096" s="21"/>
    </row>
    <row r="15097" spans="2:2">
      <c r="B15097" s="21"/>
    </row>
    <row r="15098" spans="2:2">
      <c r="B15098" s="21"/>
    </row>
    <row r="15099" spans="2:2">
      <c r="B15099" s="21"/>
    </row>
    <row r="15100" spans="2:2">
      <c r="B15100" s="21"/>
    </row>
    <row r="15101" spans="2:2">
      <c r="B15101" s="21"/>
    </row>
    <row r="15102" spans="2:2">
      <c r="B15102" s="21"/>
    </row>
    <row r="15103" spans="2:2">
      <c r="B15103" s="21"/>
    </row>
    <row r="15104" spans="2:2">
      <c r="B15104" s="21"/>
    </row>
    <row r="15105" spans="2:2">
      <c r="B15105" s="21"/>
    </row>
    <row r="15106" spans="2:2">
      <c r="B15106" s="21"/>
    </row>
    <row r="15107" spans="2:2">
      <c r="B15107" s="21"/>
    </row>
    <row r="15108" spans="2:2">
      <c r="B15108" s="21"/>
    </row>
    <row r="15109" spans="2:2">
      <c r="B15109" s="21"/>
    </row>
    <row r="15110" spans="2:2">
      <c r="B15110" s="21"/>
    </row>
    <row r="15111" spans="2:2">
      <c r="B15111" s="21"/>
    </row>
    <row r="15112" spans="2:2">
      <c r="B15112" s="21"/>
    </row>
    <row r="15113" spans="2:2">
      <c r="B15113" s="21"/>
    </row>
    <row r="15114" spans="2:2">
      <c r="B15114" s="21"/>
    </row>
    <row r="15115" spans="2:2">
      <c r="B15115" s="21"/>
    </row>
    <row r="15116" spans="2:2">
      <c r="B15116" s="21"/>
    </row>
    <row r="15117" spans="2:2">
      <c r="B15117" s="21"/>
    </row>
    <row r="15118" spans="2:2">
      <c r="B15118" s="21"/>
    </row>
    <row r="15119" spans="2:2">
      <c r="B15119" s="21"/>
    </row>
    <row r="15120" spans="2:2">
      <c r="B15120" s="21"/>
    </row>
    <row r="15121" spans="2:2">
      <c r="B15121" s="21"/>
    </row>
    <row r="15122" spans="2:2">
      <c r="B15122" s="21"/>
    </row>
    <row r="15123" spans="2:2">
      <c r="B15123" s="21"/>
    </row>
    <row r="15124" spans="2:2">
      <c r="B15124" s="21"/>
    </row>
    <row r="15125" spans="2:2">
      <c r="B15125" s="21"/>
    </row>
    <row r="15126" spans="2:2">
      <c r="B15126" s="21"/>
    </row>
    <row r="15127" spans="2:2">
      <c r="B15127" s="21"/>
    </row>
    <row r="15128" spans="2:2">
      <c r="B15128" s="21"/>
    </row>
    <row r="15129" spans="2:2">
      <c r="B15129" s="21"/>
    </row>
    <row r="15130" spans="2:2">
      <c r="B15130" s="21"/>
    </row>
    <row r="15131" spans="2:2">
      <c r="B15131" s="21"/>
    </row>
    <row r="15132" spans="2:2">
      <c r="B15132" s="21"/>
    </row>
    <row r="15133" spans="2:2">
      <c r="B15133" s="21"/>
    </row>
    <row r="15134" spans="2:2">
      <c r="B15134" s="21"/>
    </row>
    <row r="15135" spans="2:2">
      <c r="B15135" s="21"/>
    </row>
    <row r="15136" spans="2:2">
      <c r="B15136" s="21"/>
    </row>
    <row r="15137" spans="2:2">
      <c r="B15137" s="21"/>
    </row>
    <row r="15138" spans="2:2">
      <c r="B15138" s="21"/>
    </row>
    <row r="15139" spans="2:2">
      <c r="B15139" s="21"/>
    </row>
    <row r="15140" spans="2:2">
      <c r="B15140" s="21"/>
    </row>
    <row r="15141" spans="2:2">
      <c r="B15141" s="21"/>
    </row>
    <row r="15142" spans="2:2">
      <c r="B15142" s="21"/>
    </row>
    <row r="15143" spans="2:2">
      <c r="B15143" s="21"/>
    </row>
    <row r="15144" spans="2:2">
      <c r="B15144" s="21"/>
    </row>
    <row r="15145" spans="2:2">
      <c r="B15145" s="21"/>
    </row>
    <row r="15146" spans="2:2">
      <c r="B15146" s="21"/>
    </row>
    <row r="15147" spans="2:2">
      <c r="B15147" s="21"/>
    </row>
    <row r="15148" spans="2:2">
      <c r="B15148" s="21"/>
    </row>
    <row r="15149" spans="2:2">
      <c r="B15149" s="21"/>
    </row>
    <row r="15150" spans="2:2">
      <c r="B15150" s="21"/>
    </row>
    <row r="15151" spans="2:2">
      <c r="B15151" s="21"/>
    </row>
    <row r="15152" spans="2:2">
      <c r="B15152" s="21"/>
    </row>
    <row r="15153" spans="2:2">
      <c r="B15153" s="21"/>
    </row>
    <row r="15154" spans="2:2">
      <c r="B15154" s="21"/>
    </row>
    <row r="15155" spans="2:2">
      <c r="B15155" s="21"/>
    </row>
    <row r="15156" spans="2:2">
      <c r="B15156" s="21"/>
    </row>
    <row r="15157" spans="2:2">
      <c r="B15157" s="21"/>
    </row>
    <row r="15158" spans="2:2">
      <c r="B15158" s="21"/>
    </row>
    <row r="15159" spans="2:2">
      <c r="B15159" s="21"/>
    </row>
    <row r="15160" spans="2:2">
      <c r="B15160" s="21"/>
    </row>
    <row r="15161" spans="2:2">
      <c r="B15161" s="21"/>
    </row>
    <row r="15162" spans="2:2">
      <c r="B15162" s="21"/>
    </row>
    <row r="15163" spans="2:2">
      <c r="B15163" s="21"/>
    </row>
    <row r="15164" spans="2:2">
      <c r="B15164" s="21"/>
    </row>
    <row r="15165" spans="2:2">
      <c r="B15165" s="21"/>
    </row>
    <row r="15166" spans="2:2">
      <c r="B15166" s="21"/>
    </row>
    <row r="15167" spans="2:2">
      <c r="B15167" s="21"/>
    </row>
    <row r="15168" spans="2:2">
      <c r="B15168" s="21"/>
    </row>
    <row r="15169" spans="2:2">
      <c r="B15169" s="21"/>
    </row>
    <row r="15170" spans="2:2">
      <c r="B15170" s="21"/>
    </row>
    <row r="15171" spans="2:2">
      <c r="B15171" s="21"/>
    </row>
    <row r="15172" spans="2:2">
      <c r="B15172" s="21"/>
    </row>
    <row r="15173" spans="2:2">
      <c r="B15173" s="21"/>
    </row>
    <row r="15174" spans="2:2">
      <c r="B15174" s="21"/>
    </row>
    <row r="15175" spans="2:2">
      <c r="B15175" s="21"/>
    </row>
    <row r="15176" spans="2:2">
      <c r="B15176" s="21"/>
    </row>
    <row r="15177" spans="2:2">
      <c r="B15177" s="21"/>
    </row>
    <row r="15178" spans="2:2">
      <c r="B15178" s="21"/>
    </row>
    <row r="15179" spans="2:2">
      <c r="B15179" s="21"/>
    </row>
    <row r="15180" spans="2:2">
      <c r="B15180" s="21"/>
    </row>
    <row r="15181" spans="2:2">
      <c r="B15181" s="21"/>
    </row>
    <row r="15182" spans="2:2">
      <c r="B15182" s="21"/>
    </row>
    <row r="15183" spans="2:2">
      <c r="B15183" s="21"/>
    </row>
    <row r="15184" spans="2:2">
      <c r="B15184" s="21"/>
    </row>
    <row r="15185" spans="2:2">
      <c r="B15185" s="21"/>
    </row>
    <row r="15186" spans="2:2">
      <c r="B15186" s="21"/>
    </row>
    <row r="15187" spans="2:2">
      <c r="B15187" s="21"/>
    </row>
    <row r="15188" spans="2:2">
      <c r="B15188" s="21"/>
    </row>
    <row r="15189" spans="2:2">
      <c r="B15189" s="21"/>
    </row>
    <row r="15190" spans="2:2">
      <c r="B15190" s="21"/>
    </row>
    <row r="15191" spans="2:2">
      <c r="B15191" s="21"/>
    </row>
    <row r="15192" spans="2:2">
      <c r="B15192" s="21"/>
    </row>
    <row r="15193" spans="2:2">
      <c r="B15193" s="21"/>
    </row>
    <row r="15194" spans="2:2">
      <c r="B15194" s="21"/>
    </row>
    <row r="15195" spans="2:2">
      <c r="B15195" s="21"/>
    </row>
    <row r="15196" spans="2:2">
      <c r="B15196" s="21"/>
    </row>
    <row r="15197" spans="2:2">
      <c r="B15197" s="21"/>
    </row>
    <row r="15198" spans="2:2">
      <c r="B15198" s="21"/>
    </row>
    <row r="15199" spans="2:2">
      <c r="B15199" s="21"/>
    </row>
    <row r="15200" spans="2:2">
      <c r="B15200" s="21"/>
    </row>
    <row r="15201" spans="2:2">
      <c r="B15201" s="21"/>
    </row>
    <row r="15202" spans="2:2">
      <c r="B15202" s="21"/>
    </row>
    <row r="15203" spans="2:2">
      <c r="B15203" s="21"/>
    </row>
    <row r="15204" spans="2:2">
      <c r="B15204" s="21"/>
    </row>
    <row r="15205" spans="2:2">
      <c r="B15205" s="21"/>
    </row>
    <row r="15206" spans="2:2">
      <c r="B15206" s="21"/>
    </row>
    <row r="15207" spans="2:2">
      <c r="B15207" s="21"/>
    </row>
    <row r="15208" spans="2:2">
      <c r="B15208" s="21"/>
    </row>
    <row r="15209" spans="2:2">
      <c r="B15209" s="21"/>
    </row>
    <row r="15210" spans="2:2">
      <c r="B15210" s="21"/>
    </row>
    <row r="15211" spans="2:2">
      <c r="B15211" s="21"/>
    </row>
    <row r="15212" spans="2:2">
      <c r="B15212" s="21"/>
    </row>
    <row r="15213" spans="2:2">
      <c r="B15213" s="21"/>
    </row>
    <row r="15214" spans="2:2">
      <c r="B15214" s="21"/>
    </row>
    <row r="15215" spans="2:2">
      <c r="B15215" s="21"/>
    </row>
    <row r="15216" spans="2:2">
      <c r="B15216" s="21"/>
    </row>
    <row r="15217" spans="2:2">
      <c r="B15217" s="21"/>
    </row>
    <row r="15218" spans="2:2">
      <c r="B15218" s="21"/>
    </row>
    <row r="15219" spans="2:2">
      <c r="B15219" s="21"/>
    </row>
    <row r="15220" spans="2:2">
      <c r="B15220" s="21"/>
    </row>
    <row r="15221" spans="2:2">
      <c r="B15221" s="21"/>
    </row>
    <row r="15222" spans="2:2">
      <c r="B15222" s="21"/>
    </row>
    <row r="15223" spans="2:2">
      <c r="B15223" s="21"/>
    </row>
    <row r="15224" spans="2:2">
      <c r="B15224" s="21"/>
    </row>
    <row r="15225" spans="2:2">
      <c r="B15225" s="21"/>
    </row>
    <row r="15226" spans="2:2">
      <c r="B15226" s="21"/>
    </row>
    <row r="15227" spans="2:2">
      <c r="B15227" s="21"/>
    </row>
    <row r="15228" spans="2:2">
      <c r="B15228" s="21"/>
    </row>
    <row r="15229" spans="2:2">
      <c r="B15229" s="21"/>
    </row>
    <row r="15230" spans="2:2">
      <c r="B15230" s="21"/>
    </row>
    <row r="15231" spans="2:2">
      <c r="B15231" s="21"/>
    </row>
    <row r="15232" spans="2:2">
      <c r="B15232" s="21"/>
    </row>
    <row r="15233" spans="2:2">
      <c r="B15233" s="21"/>
    </row>
    <row r="15234" spans="2:2">
      <c r="B15234" s="21"/>
    </row>
    <row r="15235" spans="2:2">
      <c r="B15235" s="21"/>
    </row>
    <row r="15236" spans="2:2">
      <c r="B15236" s="21"/>
    </row>
    <row r="15237" spans="2:2">
      <c r="B15237" s="21"/>
    </row>
    <row r="15238" spans="2:2">
      <c r="B15238" s="21"/>
    </row>
    <row r="15239" spans="2:2">
      <c r="B15239" s="21"/>
    </row>
    <row r="15240" spans="2:2">
      <c r="B15240" s="21"/>
    </row>
    <row r="15241" spans="2:2">
      <c r="B15241" s="21"/>
    </row>
    <row r="15242" spans="2:2">
      <c r="B15242" s="21"/>
    </row>
    <row r="15243" spans="2:2">
      <c r="B15243" s="21"/>
    </row>
    <row r="15244" spans="2:2">
      <c r="B15244" s="21"/>
    </row>
    <row r="15245" spans="2:2">
      <c r="B15245" s="21"/>
    </row>
    <row r="15246" spans="2:2">
      <c r="B15246" s="21"/>
    </row>
    <row r="15247" spans="2:2">
      <c r="B15247" s="21"/>
    </row>
    <row r="15248" spans="2:2">
      <c r="B15248" s="21"/>
    </row>
    <row r="15249" spans="2:2">
      <c r="B15249" s="21"/>
    </row>
    <row r="15250" spans="2:2">
      <c r="B15250" s="21"/>
    </row>
    <row r="15251" spans="2:2">
      <c r="B15251" s="21"/>
    </row>
    <row r="15252" spans="2:2">
      <c r="B15252" s="21"/>
    </row>
    <row r="15253" spans="2:2">
      <c r="B15253" s="21"/>
    </row>
    <row r="15254" spans="2:2">
      <c r="B15254" s="21"/>
    </row>
    <row r="15255" spans="2:2">
      <c r="B15255" s="21"/>
    </row>
    <row r="15256" spans="2:2">
      <c r="B15256" s="21"/>
    </row>
    <row r="15257" spans="2:2">
      <c r="B15257" s="21"/>
    </row>
    <row r="15258" spans="2:2">
      <c r="B15258" s="21"/>
    </row>
    <row r="15259" spans="2:2">
      <c r="B15259" s="21"/>
    </row>
    <row r="15260" spans="2:2">
      <c r="B15260" s="21"/>
    </row>
    <row r="15261" spans="2:2">
      <c r="B15261" s="21"/>
    </row>
    <row r="15262" spans="2:2">
      <c r="B15262" s="21"/>
    </row>
    <row r="15263" spans="2:2">
      <c r="B15263" s="21"/>
    </row>
    <row r="15264" spans="2:2">
      <c r="B15264" s="21"/>
    </row>
    <row r="15265" spans="2:2">
      <c r="B15265" s="21"/>
    </row>
    <row r="15266" spans="2:2">
      <c r="B15266" s="21"/>
    </row>
    <row r="15267" spans="2:2">
      <c r="B15267" s="21"/>
    </row>
    <row r="15268" spans="2:2">
      <c r="B15268" s="21"/>
    </row>
    <row r="15269" spans="2:2">
      <c r="B15269" s="21"/>
    </row>
    <row r="15270" spans="2:2">
      <c r="B15270" s="21"/>
    </row>
    <row r="15271" spans="2:2">
      <c r="B15271" s="21"/>
    </row>
    <row r="15272" spans="2:2">
      <c r="B15272" s="21"/>
    </row>
    <row r="15273" spans="2:2">
      <c r="B15273" s="21"/>
    </row>
    <row r="15274" spans="2:2">
      <c r="B15274" s="21"/>
    </row>
    <row r="15275" spans="2:2">
      <c r="B15275" s="21"/>
    </row>
    <row r="15276" spans="2:2">
      <c r="B15276" s="21"/>
    </row>
    <row r="15277" spans="2:2">
      <c r="B15277" s="21"/>
    </row>
    <row r="15278" spans="2:2">
      <c r="B15278" s="21"/>
    </row>
    <row r="15279" spans="2:2">
      <c r="B15279" s="21"/>
    </row>
    <row r="15280" spans="2:2">
      <c r="B15280" s="21"/>
    </row>
    <row r="15281" spans="2:2">
      <c r="B15281" s="21"/>
    </row>
    <row r="15282" spans="2:2">
      <c r="B15282" s="21"/>
    </row>
    <row r="15283" spans="2:2">
      <c r="B15283" s="21"/>
    </row>
    <row r="15284" spans="2:2">
      <c r="B15284" s="21"/>
    </row>
    <row r="15285" spans="2:2">
      <c r="B15285" s="21"/>
    </row>
    <row r="15286" spans="2:2">
      <c r="B15286" s="21"/>
    </row>
    <row r="15287" spans="2:2">
      <c r="B15287" s="21"/>
    </row>
    <row r="15288" spans="2:2">
      <c r="B15288" s="21"/>
    </row>
    <row r="15289" spans="2:2">
      <c r="B15289" s="21"/>
    </row>
    <row r="15290" spans="2:2">
      <c r="B15290" s="21"/>
    </row>
    <row r="15291" spans="2:2">
      <c r="B15291" s="21"/>
    </row>
    <row r="15292" spans="2:2">
      <c r="B15292" s="21"/>
    </row>
    <row r="15293" spans="2:2">
      <c r="B15293" s="21"/>
    </row>
    <row r="15294" spans="2:2">
      <c r="B15294" s="21"/>
    </row>
    <row r="15295" spans="2:2">
      <c r="B15295" s="21"/>
    </row>
    <row r="15296" spans="2:2">
      <c r="B15296" s="21"/>
    </row>
    <row r="15297" spans="2:2">
      <c r="B15297" s="21"/>
    </row>
    <row r="15298" spans="2:2">
      <c r="B15298" s="21"/>
    </row>
    <row r="15299" spans="2:2">
      <c r="B15299" s="21"/>
    </row>
    <row r="15300" spans="2:2">
      <c r="B15300" s="21"/>
    </row>
    <row r="15301" spans="2:2">
      <c r="B15301" s="21"/>
    </row>
    <row r="15302" spans="2:2">
      <c r="B15302" s="21"/>
    </row>
    <row r="15303" spans="2:2">
      <c r="B15303" s="21"/>
    </row>
    <row r="15304" spans="2:2">
      <c r="B15304" s="21"/>
    </row>
    <row r="15305" spans="2:2">
      <c r="B15305" s="21"/>
    </row>
    <row r="15306" spans="2:2">
      <c r="B15306" s="21"/>
    </row>
    <row r="15307" spans="2:2">
      <c r="B15307" s="21"/>
    </row>
    <row r="15308" spans="2:2">
      <c r="B15308" s="21"/>
    </row>
    <row r="15309" spans="2:2">
      <c r="B15309" s="21"/>
    </row>
    <row r="15310" spans="2:2">
      <c r="B15310" s="21"/>
    </row>
    <row r="15311" spans="2:2">
      <c r="B15311" s="21"/>
    </row>
    <row r="15312" spans="2:2">
      <c r="B15312" s="21"/>
    </row>
    <row r="15313" spans="2:2">
      <c r="B15313" s="21"/>
    </row>
    <row r="15314" spans="2:2">
      <c r="B15314" s="21"/>
    </row>
    <row r="15315" spans="2:2">
      <c r="B15315" s="21"/>
    </row>
    <row r="15316" spans="2:2">
      <c r="B15316" s="21"/>
    </row>
    <row r="15317" spans="2:2">
      <c r="B15317" s="21"/>
    </row>
    <row r="15318" spans="2:2">
      <c r="B15318" s="21"/>
    </row>
    <row r="15319" spans="2:2">
      <c r="B15319" s="21"/>
    </row>
    <row r="15320" spans="2:2">
      <c r="B15320" s="21"/>
    </row>
    <row r="15321" spans="2:2">
      <c r="B15321" s="21"/>
    </row>
    <row r="15322" spans="2:2">
      <c r="B15322" s="21"/>
    </row>
    <row r="15323" spans="2:2">
      <c r="B15323" s="21"/>
    </row>
    <row r="15324" spans="2:2">
      <c r="B15324" s="21"/>
    </row>
    <row r="15325" spans="2:2">
      <c r="B15325" s="21"/>
    </row>
    <row r="15326" spans="2:2">
      <c r="B15326" s="21"/>
    </row>
    <row r="15327" spans="2:2">
      <c r="B15327" s="21"/>
    </row>
    <row r="15328" spans="2:2">
      <c r="B15328" s="21"/>
    </row>
    <row r="15329" spans="2:2">
      <c r="B15329" s="21"/>
    </row>
    <row r="15330" spans="2:2">
      <c r="B15330" s="21"/>
    </row>
    <row r="15331" spans="2:2">
      <c r="B15331" s="21"/>
    </row>
    <row r="15332" spans="2:2">
      <c r="B15332" s="21"/>
    </row>
    <row r="15333" spans="2:2">
      <c r="B15333" s="21"/>
    </row>
    <row r="15334" spans="2:2">
      <c r="B15334" s="21"/>
    </row>
    <row r="15335" spans="2:2">
      <c r="B15335" s="21"/>
    </row>
    <row r="15336" spans="2:2">
      <c r="B15336" s="21"/>
    </row>
    <row r="15337" spans="2:2">
      <c r="B15337" s="21"/>
    </row>
    <row r="15338" spans="2:2">
      <c r="B15338" s="21"/>
    </row>
    <row r="15339" spans="2:2">
      <c r="B15339" s="21"/>
    </row>
    <row r="15340" spans="2:2">
      <c r="B15340" s="21"/>
    </row>
    <row r="15341" spans="2:2">
      <c r="B15341" s="21"/>
    </row>
    <row r="15342" spans="2:2">
      <c r="B15342" s="21"/>
    </row>
    <row r="15343" spans="2:2">
      <c r="B15343" s="21"/>
    </row>
    <row r="15344" spans="2:2">
      <c r="B15344" s="21"/>
    </row>
    <row r="15345" spans="2:2">
      <c r="B15345" s="21"/>
    </row>
    <row r="15346" spans="2:2">
      <c r="B15346" s="21"/>
    </row>
    <row r="15347" spans="2:2">
      <c r="B15347" s="21"/>
    </row>
    <row r="15348" spans="2:2">
      <c r="B15348" s="21"/>
    </row>
    <row r="15349" spans="2:2">
      <c r="B15349" s="21"/>
    </row>
    <row r="15350" spans="2:2">
      <c r="B15350" s="21"/>
    </row>
    <row r="15351" spans="2:2">
      <c r="B15351" s="21"/>
    </row>
    <row r="15352" spans="2:2">
      <c r="B15352" s="21"/>
    </row>
    <row r="15353" spans="2:2">
      <c r="B15353" s="21"/>
    </row>
    <row r="15354" spans="2:2">
      <c r="B15354" s="21"/>
    </row>
    <row r="15355" spans="2:2">
      <c r="B15355" s="21"/>
    </row>
    <row r="15356" spans="2:2">
      <c r="B15356" s="21"/>
    </row>
    <row r="15357" spans="2:2">
      <c r="B15357" s="21"/>
    </row>
    <row r="15358" spans="2:2">
      <c r="B15358" s="21"/>
    </row>
    <row r="15359" spans="2:2">
      <c r="B15359" s="21"/>
    </row>
    <row r="15360" spans="2:2">
      <c r="B15360" s="21"/>
    </row>
    <row r="15361" spans="2:2">
      <c r="B15361" s="21"/>
    </row>
    <row r="15362" spans="2:2">
      <c r="B15362" s="21"/>
    </row>
    <row r="15363" spans="2:2">
      <c r="B15363" s="21"/>
    </row>
    <row r="15364" spans="2:2">
      <c r="B15364" s="21"/>
    </row>
    <row r="15365" spans="2:2">
      <c r="B15365" s="21"/>
    </row>
    <row r="15366" spans="2:2">
      <c r="B15366" s="21"/>
    </row>
    <row r="15367" spans="2:2">
      <c r="B15367" s="21"/>
    </row>
    <row r="15368" spans="2:2">
      <c r="B15368" s="21"/>
    </row>
    <row r="15369" spans="2:2">
      <c r="B15369" s="21"/>
    </row>
    <row r="15370" spans="2:2">
      <c r="B15370" s="21"/>
    </row>
    <row r="15371" spans="2:2">
      <c r="B15371" s="21"/>
    </row>
    <row r="15372" spans="2:2">
      <c r="B15372" s="21"/>
    </row>
    <row r="15373" spans="2:2">
      <c r="B15373" s="21"/>
    </row>
    <row r="15374" spans="2:2">
      <c r="B15374" s="21"/>
    </row>
    <row r="15375" spans="2:2">
      <c r="B15375" s="21"/>
    </row>
    <row r="15376" spans="2:2">
      <c r="B15376" s="21"/>
    </row>
    <row r="15377" spans="2:2">
      <c r="B15377" s="21"/>
    </row>
    <row r="15378" spans="2:2">
      <c r="B15378" s="21"/>
    </row>
    <row r="15379" spans="2:2">
      <c r="B15379" s="21"/>
    </row>
    <row r="15380" spans="2:2">
      <c r="B15380" s="21"/>
    </row>
    <row r="15381" spans="2:2">
      <c r="B15381" s="21"/>
    </row>
    <row r="15382" spans="2:2">
      <c r="B15382" s="21"/>
    </row>
    <row r="15383" spans="2:2">
      <c r="B15383" s="21"/>
    </row>
    <row r="15384" spans="2:2">
      <c r="B15384" s="21"/>
    </row>
    <row r="15385" spans="2:2">
      <c r="B15385" s="21"/>
    </row>
    <row r="15386" spans="2:2">
      <c r="B15386" s="21"/>
    </row>
    <row r="15387" spans="2:2">
      <c r="B15387" s="21"/>
    </row>
    <row r="15388" spans="2:2">
      <c r="B15388" s="21"/>
    </row>
    <row r="15389" spans="2:2">
      <c r="B15389" s="21"/>
    </row>
    <row r="15390" spans="2:2">
      <c r="B15390" s="21"/>
    </row>
    <row r="15391" spans="2:2">
      <c r="B15391" s="21"/>
    </row>
    <row r="15392" spans="2:2">
      <c r="B15392" s="21"/>
    </row>
    <row r="15393" spans="2:2">
      <c r="B15393" s="21"/>
    </row>
    <row r="15394" spans="2:2">
      <c r="B15394" s="21"/>
    </row>
    <row r="15395" spans="2:2">
      <c r="B15395" s="21"/>
    </row>
    <row r="15396" spans="2:2">
      <c r="B15396" s="21"/>
    </row>
    <row r="15397" spans="2:2">
      <c r="B15397" s="21"/>
    </row>
    <row r="15398" spans="2:2">
      <c r="B15398" s="21"/>
    </row>
    <row r="15399" spans="2:2">
      <c r="B15399" s="21"/>
    </row>
    <row r="15400" spans="2:2">
      <c r="B15400" s="21"/>
    </row>
    <row r="15401" spans="2:2">
      <c r="B15401" s="21"/>
    </row>
    <row r="15402" spans="2:2">
      <c r="B15402" s="21"/>
    </row>
    <row r="15403" spans="2:2">
      <c r="B15403" s="21"/>
    </row>
    <row r="15404" spans="2:2">
      <c r="B15404" s="21"/>
    </row>
    <row r="15405" spans="2:2">
      <c r="B15405" s="21"/>
    </row>
    <row r="15406" spans="2:2">
      <c r="B15406" s="21"/>
    </row>
    <row r="15407" spans="2:2">
      <c r="B15407" s="21"/>
    </row>
    <row r="15408" spans="2:2">
      <c r="B15408" s="21"/>
    </row>
    <row r="15409" spans="2:2">
      <c r="B15409" s="21"/>
    </row>
    <row r="15410" spans="2:2">
      <c r="B15410" s="21"/>
    </row>
    <row r="15411" spans="2:2">
      <c r="B15411" s="21"/>
    </row>
    <row r="15412" spans="2:2">
      <c r="B15412" s="21"/>
    </row>
    <row r="15413" spans="2:2">
      <c r="B15413" s="21"/>
    </row>
    <row r="15414" spans="2:2">
      <c r="B15414" s="21"/>
    </row>
    <row r="15415" spans="2:2">
      <c r="B15415" s="21"/>
    </row>
    <row r="15416" spans="2:2">
      <c r="B15416" s="21"/>
    </row>
    <row r="15417" spans="2:2">
      <c r="B15417" s="21"/>
    </row>
    <row r="15418" spans="2:2">
      <c r="B15418" s="21"/>
    </row>
    <row r="15419" spans="2:2">
      <c r="B15419" s="21"/>
    </row>
    <row r="15420" spans="2:2">
      <c r="B15420" s="21"/>
    </row>
    <row r="15421" spans="2:2">
      <c r="B15421" s="21"/>
    </row>
    <row r="15422" spans="2:2">
      <c r="B15422" s="21"/>
    </row>
    <row r="15423" spans="2:2">
      <c r="B15423" s="21"/>
    </row>
    <row r="15424" spans="2:2">
      <c r="B15424" s="21"/>
    </row>
    <row r="15425" spans="2:2">
      <c r="B15425" s="21"/>
    </row>
    <row r="15426" spans="2:2">
      <c r="B15426" s="21"/>
    </row>
    <row r="15427" spans="2:2">
      <c r="B15427" s="21"/>
    </row>
    <row r="15428" spans="2:2">
      <c r="B15428" s="21"/>
    </row>
    <row r="15429" spans="2:2">
      <c r="B15429" s="21"/>
    </row>
    <row r="15430" spans="2:2">
      <c r="B15430" s="21"/>
    </row>
    <row r="15431" spans="2:2">
      <c r="B15431" s="21"/>
    </row>
    <row r="15432" spans="2:2">
      <c r="B15432" s="21"/>
    </row>
    <row r="15433" spans="2:2">
      <c r="B15433" s="21"/>
    </row>
    <row r="15434" spans="2:2">
      <c r="B15434" s="21"/>
    </row>
    <row r="15435" spans="2:2">
      <c r="B15435" s="21"/>
    </row>
    <row r="15436" spans="2:2">
      <c r="B15436" s="21"/>
    </row>
    <row r="15437" spans="2:2">
      <c r="B15437" s="21"/>
    </row>
    <row r="15438" spans="2:2">
      <c r="B15438" s="21"/>
    </row>
    <row r="15439" spans="2:2">
      <c r="B15439" s="21"/>
    </row>
    <row r="15440" spans="2:2">
      <c r="B15440" s="21"/>
    </row>
    <row r="15441" spans="2:2">
      <c r="B15441" s="21"/>
    </row>
    <row r="15442" spans="2:2">
      <c r="B15442" s="21"/>
    </row>
    <row r="15443" spans="2:2">
      <c r="B15443" s="21"/>
    </row>
    <row r="15444" spans="2:2">
      <c r="B15444" s="21"/>
    </row>
    <row r="15445" spans="2:2">
      <c r="B15445" s="21"/>
    </row>
    <row r="15446" spans="2:2">
      <c r="B15446" s="21"/>
    </row>
    <row r="15447" spans="2:2">
      <c r="B15447" s="21"/>
    </row>
    <row r="15448" spans="2:2">
      <c r="B15448" s="21"/>
    </row>
    <row r="15449" spans="2:2">
      <c r="B15449" s="21"/>
    </row>
    <row r="15450" spans="2:2">
      <c r="B15450" s="21"/>
    </row>
    <row r="15451" spans="2:2">
      <c r="B15451" s="21"/>
    </row>
    <row r="15452" spans="2:2">
      <c r="B15452" s="21"/>
    </row>
    <row r="15453" spans="2:2">
      <c r="B15453" s="21"/>
    </row>
    <row r="15454" spans="2:2">
      <c r="B15454" s="21"/>
    </row>
    <row r="15455" spans="2:2">
      <c r="B15455" s="21"/>
    </row>
    <row r="15456" spans="2:2">
      <c r="B15456" s="21"/>
    </row>
    <row r="15457" spans="2:2">
      <c r="B15457" s="21"/>
    </row>
    <row r="15458" spans="2:2">
      <c r="B15458" s="21"/>
    </row>
    <row r="15459" spans="2:2">
      <c r="B15459" s="21"/>
    </row>
    <row r="15460" spans="2:2">
      <c r="B15460" s="21"/>
    </row>
    <row r="15461" spans="2:2">
      <c r="B15461" s="21"/>
    </row>
    <row r="15462" spans="2:2">
      <c r="B15462" s="21"/>
    </row>
    <row r="15463" spans="2:2">
      <c r="B15463" s="21"/>
    </row>
    <row r="15464" spans="2:2">
      <c r="B15464" s="21"/>
    </row>
    <row r="15465" spans="2:2">
      <c r="B15465" s="21"/>
    </row>
    <row r="15466" spans="2:2">
      <c r="B15466" s="21"/>
    </row>
    <row r="15467" spans="2:2">
      <c r="B15467" s="21"/>
    </row>
    <row r="15468" spans="2:2">
      <c r="B15468" s="21"/>
    </row>
    <row r="15469" spans="2:2">
      <c r="B15469" s="21"/>
    </row>
    <row r="15470" spans="2:2">
      <c r="B15470" s="21"/>
    </row>
    <row r="15471" spans="2:2">
      <c r="B15471" s="21"/>
    </row>
    <row r="15472" spans="2:2">
      <c r="B15472" s="21"/>
    </row>
    <row r="15473" spans="2:2">
      <c r="B15473" s="21"/>
    </row>
    <row r="15474" spans="2:2">
      <c r="B15474" s="21"/>
    </row>
    <row r="15475" spans="2:2">
      <c r="B15475" s="21"/>
    </row>
    <row r="15476" spans="2:2">
      <c r="B15476" s="21"/>
    </row>
    <row r="15477" spans="2:2">
      <c r="B15477" s="21"/>
    </row>
    <row r="15478" spans="2:2">
      <c r="B15478" s="21"/>
    </row>
    <row r="15479" spans="2:2">
      <c r="B15479" s="21"/>
    </row>
    <row r="15480" spans="2:2">
      <c r="B15480" s="21"/>
    </row>
    <row r="15481" spans="2:2">
      <c r="B15481" s="21"/>
    </row>
    <row r="15482" spans="2:2">
      <c r="B15482" s="21"/>
    </row>
    <row r="15483" spans="2:2">
      <c r="B15483" s="21"/>
    </row>
    <row r="15484" spans="2:2">
      <c r="B15484" s="21"/>
    </row>
    <row r="15485" spans="2:2">
      <c r="B15485" s="21"/>
    </row>
    <row r="15486" spans="2:2">
      <c r="B15486" s="21"/>
    </row>
    <row r="15487" spans="2:2">
      <c r="B15487" s="21"/>
    </row>
    <row r="15488" spans="2:2">
      <c r="B15488" s="21"/>
    </row>
    <row r="15489" spans="2:2">
      <c r="B15489" s="21"/>
    </row>
    <row r="15490" spans="2:2">
      <c r="B15490" s="21"/>
    </row>
    <row r="15491" spans="2:2">
      <c r="B15491" s="21"/>
    </row>
    <row r="15492" spans="2:2">
      <c r="B15492" s="21"/>
    </row>
    <row r="15493" spans="2:2">
      <c r="B15493" s="21"/>
    </row>
    <row r="15494" spans="2:2">
      <c r="B15494" s="21"/>
    </row>
    <row r="15495" spans="2:2">
      <c r="B15495" s="21"/>
    </row>
    <row r="15496" spans="2:2">
      <c r="B15496" s="21"/>
    </row>
    <row r="15497" spans="2:2">
      <c r="B15497" s="21"/>
    </row>
    <row r="15498" spans="2:2">
      <c r="B15498" s="21"/>
    </row>
    <row r="15499" spans="2:2">
      <c r="B15499" s="21"/>
    </row>
    <row r="15500" spans="2:2">
      <c r="B15500" s="21"/>
    </row>
    <row r="15501" spans="2:2">
      <c r="B15501" s="21"/>
    </row>
    <row r="15502" spans="2:2">
      <c r="B15502" s="21"/>
    </row>
    <row r="15503" spans="2:2">
      <c r="B15503" s="21"/>
    </row>
    <row r="15504" spans="2:2">
      <c r="B15504" s="21"/>
    </row>
    <row r="15505" spans="2:2">
      <c r="B15505" s="21"/>
    </row>
    <row r="15506" spans="2:2">
      <c r="B15506" s="21"/>
    </row>
    <row r="15507" spans="2:2">
      <c r="B15507" s="21"/>
    </row>
    <row r="15508" spans="2:2">
      <c r="B15508" s="21"/>
    </row>
    <row r="15509" spans="2:2">
      <c r="B15509" s="21"/>
    </row>
    <row r="15510" spans="2:2">
      <c r="B15510" s="21"/>
    </row>
    <row r="15511" spans="2:2">
      <c r="B15511" s="21"/>
    </row>
    <row r="15512" spans="2:2">
      <c r="B15512" s="21"/>
    </row>
    <row r="15513" spans="2:2">
      <c r="B15513" s="21"/>
    </row>
    <row r="15514" spans="2:2">
      <c r="B15514" s="21"/>
    </row>
    <row r="15515" spans="2:2">
      <c r="B15515" s="21"/>
    </row>
    <row r="15516" spans="2:2">
      <c r="B15516" s="21"/>
    </row>
    <row r="15517" spans="2:2">
      <c r="B15517" s="21"/>
    </row>
    <row r="15518" spans="2:2">
      <c r="B15518" s="21"/>
    </row>
    <row r="15519" spans="2:2">
      <c r="B15519" s="21"/>
    </row>
    <row r="15520" spans="2:2">
      <c r="B15520" s="21"/>
    </row>
    <row r="15521" spans="2:2">
      <c r="B15521" s="21"/>
    </row>
    <row r="15522" spans="2:2">
      <c r="B15522" s="21"/>
    </row>
    <row r="15523" spans="2:2">
      <c r="B15523" s="21"/>
    </row>
    <row r="15524" spans="2:2">
      <c r="B15524" s="21"/>
    </row>
    <row r="15525" spans="2:2">
      <c r="B15525" s="21"/>
    </row>
    <row r="15526" spans="2:2">
      <c r="B15526" s="21"/>
    </row>
    <row r="15527" spans="2:2">
      <c r="B15527" s="21"/>
    </row>
    <row r="15528" spans="2:2">
      <c r="B15528" s="21"/>
    </row>
    <row r="15529" spans="2:2">
      <c r="B15529" s="21"/>
    </row>
    <row r="15530" spans="2:2">
      <c r="B15530" s="21"/>
    </row>
    <row r="15531" spans="2:2">
      <c r="B15531" s="21"/>
    </row>
    <row r="15532" spans="2:2">
      <c r="B15532" s="21"/>
    </row>
    <row r="15533" spans="2:2">
      <c r="B15533" s="21"/>
    </row>
    <row r="15534" spans="2:2">
      <c r="B15534" s="21"/>
    </row>
    <row r="15535" spans="2:2">
      <c r="B15535" s="21"/>
    </row>
    <row r="15536" spans="2:2">
      <c r="B15536" s="21"/>
    </row>
    <row r="15537" spans="2:2">
      <c r="B15537" s="21"/>
    </row>
    <row r="15538" spans="2:2">
      <c r="B15538" s="21"/>
    </row>
    <row r="15539" spans="2:2">
      <c r="B15539" s="21"/>
    </row>
    <row r="15540" spans="2:2">
      <c r="B15540" s="21"/>
    </row>
    <row r="15541" spans="2:2">
      <c r="B15541" s="21"/>
    </row>
    <row r="15542" spans="2:2">
      <c r="B15542" s="21"/>
    </row>
    <row r="15543" spans="2:2">
      <c r="B15543" s="21"/>
    </row>
    <row r="15544" spans="2:2">
      <c r="B15544" s="21"/>
    </row>
    <row r="15545" spans="2:2">
      <c r="B15545" s="21"/>
    </row>
    <row r="15546" spans="2:2">
      <c r="B15546" s="21"/>
    </row>
    <row r="15547" spans="2:2">
      <c r="B15547" s="21"/>
    </row>
    <row r="15548" spans="2:2">
      <c r="B15548" s="21"/>
    </row>
    <row r="15549" spans="2:2">
      <c r="B15549" s="21"/>
    </row>
    <row r="15550" spans="2:2">
      <c r="B15550" s="21"/>
    </row>
    <row r="15551" spans="2:2">
      <c r="B15551" s="21"/>
    </row>
    <row r="15552" spans="2:2">
      <c r="B15552" s="21"/>
    </row>
    <row r="15553" spans="2:2">
      <c r="B15553" s="21"/>
    </row>
    <row r="15554" spans="2:2">
      <c r="B15554" s="21"/>
    </row>
    <row r="15555" spans="2:2">
      <c r="B15555" s="21"/>
    </row>
    <row r="15556" spans="2:2">
      <c r="B15556" s="21"/>
    </row>
    <row r="15557" spans="2:2">
      <c r="B15557" s="21"/>
    </row>
    <row r="15558" spans="2:2">
      <c r="B15558" s="21"/>
    </row>
    <row r="15559" spans="2:2">
      <c r="B15559" s="21"/>
    </row>
    <row r="15560" spans="2:2">
      <c r="B15560" s="21"/>
    </row>
    <row r="15561" spans="2:2">
      <c r="B15561" s="21"/>
    </row>
    <row r="15562" spans="2:2">
      <c r="B15562" s="21"/>
    </row>
    <row r="15563" spans="2:2">
      <c r="B15563" s="21"/>
    </row>
    <row r="15564" spans="2:2">
      <c r="B15564" s="21"/>
    </row>
    <row r="15565" spans="2:2">
      <c r="B15565" s="21"/>
    </row>
    <row r="15566" spans="2:2">
      <c r="B15566" s="21"/>
    </row>
    <row r="15567" spans="2:2">
      <c r="B15567" s="21"/>
    </row>
    <row r="15568" spans="2:2">
      <c r="B15568" s="21"/>
    </row>
    <row r="15569" spans="2:2">
      <c r="B15569" s="21"/>
    </row>
    <row r="15570" spans="2:2">
      <c r="B15570" s="21"/>
    </row>
    <row r="15571" spans="2:2">
      <c r="B15571" s="21"/>
    </row>
    <row r="15572" spans="2:2">
      <c r="B15572" s="21"/>
    </row>
    <row r="15573" spans="2:2">
      <c r="B15573" s="21"/>
    </row>
    <row r="15574" spans="2:2">
      <c r="B15574" s="21"/>
    </row>
    <row r="15575" spans="2:2">
      <c r="B15575" s="21"/>
    </row>
    <row r="15576" spans="2:2">
      <c r="B15576" s="21"/>
    </row>
    <row r="15577" spans="2:2">
      <c r="B15577" s="21"/>
    </row>
    <row r="15578" spans="2:2">
      <c r="B15578" s="21"/>
    </row>
    <row r="15579" spans="2:2">
      <c r="B15579" s="21"/>
    </row>
    <row r="15580" spans="2:2">
      <c r="B15580" s="21"/>
    </row>
    <row r="15581" spans="2:2">
      <c r="B15581" s="21"/>
    </row>
    <row r="15582" spans="2:2">
      <c r="B15582" s="21"/>
    </row>
    <row r="15583" spans="2:2">
      <c r="B15583" s="21"/>
    </row>
    <row r="15584" spans="2:2">
      <c r="B15584" s="21"/>
    </row>
    <row r="15585" spans="2:2">
      <c r="B15585" s="21"/>
    </row>
    <row r="15586" spans="2:2">
      <c r="B15586" s="21"/>
    </row>
    <row r="15587" spans="2:2">
      <c r="B15587" s="21"/>
    </row>
    <row r="15588" spans="2:2">
      <c r="B15588" s="21"/>
    </row>
    <row r="15589" spans="2:2">
      <c r="B15589" s="21"/>
    </row>
    <row r="15590" spans="2:2">
      <c r="B15590" s="21"/>
    </row>
    <row r="15591" spans="2:2">
      <c r="B15591" s="21"/>
    </row>
    <row r="15592" spans="2:2">
      <c r="B15592" s="21"/>
    </row>
    <row r="15593" spans="2:2">
      <c r="B15593" s="21"/>
    </row>
    <row r="15594" spans="2:2">
      <c r="B15594" s="21"/>
    </row>
    <row r="15595" spans="2:2">
      <c r="B15595" s="21"/>
    </row>
    <row r="15596" spans="2:2">
      <c r="B15596" s="21"/>
    </row>
    <row r="15597" spans="2:2">
      <c r="B15597" s="21"/>
    </row>
    <row r="15598" spans="2:2">
      <c r="B15598" s="21"/>
    </row>
    <row r="15599" spans="2:2">
      <c r="B15599" s="21"/>
    </row>
    <row r="15600" spans="2:2">
      <c r="B15600" s="21"/>
    </row>
    <row r="15601" spans="2:2">
      <c r="B15601" s="21"/>
    </row>
    <row r="15602" spans="2:2">
      <c r="B15602" s="21"/>
    </row>
    <row r="15603" spans="2:2">
      <c r="B15603" s="21"/>
    </row>
    <row r="15604" spans="2:2">
      <c r="B15604" s="21"/>
    </row>
    <row r="15605" spans="2:2">
      <c r="B15605" s="21"/>
    </row>
    <row r="15606" spans="2:2">
      <c r="B15606" s="21"/>
    </row>
    <row r="15607" spans="2:2">
      <c r="B15607" s="21"/>
    </row>
    <row r="15608" spans="2:2">
      <c r="B15608" s="21"/>
    </row>
    <row r="15609" spans="2:2">
      <c r="B15609" s="21"/>
    </row>
    <row r="15610" spans="2:2">
      <c r="B15610" s="21"/>
    </row>
    <row r="15611" spans="2:2">
      <c r="B15611" s="21"/>
    </row>
    <row r="15612" spans="2:2">
      <c r="B15612" s="21"/>
    </row>
    <row r="15613" spans="2:2">
      <c r="B15613" s="21"/>
    </row>
    <row r="15614" spans="2:2">
      <c r="B15614" s="21"/>
    </row>
    <row r="15615" spans="2:2">
      <c r="B15615" s="21"/>
    </row>
    <row r="15616" spans="2:2">
      <c r="B15616" s="21"/>
    </row>
    <row r="15617" spans="2:2">
      <c r="B15617" s="21"/>
    </row>
    <row r="15618" spans="2:2">
      <c r="B15618" s="21"/>
    </row>
    <row r="15619" spans="2:2">
      <c r="B15619" s="21"/>
    </row>
    <row r="15620" spans="2:2">
      <c r="B15620" s="21"/>
    </row>
    <row r="15621" spans="2:2">
      <c r="B15621" s="21"/>
    </row>
    <row r="15622" spans="2:2">
      <c r="B15622" s="21"/>
    </row>
    <row r="15623" spans="2:2">
      <c r="B15623" s="21"/>
    </row>
    <row r="15624" spans="2:2">
      <c r="B15624" s="21"/>
    </row>
    <row r="15625" spans="2:2">
      <c r="B15625" s="21"/>
    </row>
    <row r="15626" spans="2:2">
      <c r="B15626" s="21"/>
    </row>
    <row r="15627" spans="2:2">
      <c r="B15627" s="21"/>
    </row>
    <row r="15628" spans="2:2">
      <c r="B15628" s="21"/>
    </row>
    <row r="15629" spans="2:2">
      <c r="B15629" s="21"/>
    </row>
    <row r="15630" spans="2:2">
      <c r="B15630" s="21"/>
    </row>
    <row r="15631" spans="2:2">
      <c r="B15631" s="21"/>
    </row>
    <row r="15632" spans="2:2">
      <c r="B15632" s="21"/>
    </row>
    <row r="15633" spans="2:2">
      <c r="B15633" s="21"/>
    </row>
    <row r="15634" spans="2:2">
      <c r="B15634" s="21"/>
    </row>
    <row r="15635" spans="2:2">
      <c r="B15635" s="21"/>
    </row>
    <row r="15636" spans="2:2">
      <c r="B15636" s="21"/>
    </row>
    <row r="15637" spans="2:2">
      <c r="B15637" s="21"/>
    </row>
    <row r="15638" spans="2:2">
      <c r="B15638" s="21"/>
    </row>
    <row r="15639" spans="2:2">
      <c r="B15639" s="21"/>
    </row>
    <row r="15640" spans="2:2">
      <c r="B15640" s="21"/>
    </row>
    <row r="15641" spans="2:2">
      <c r="B15641" s="21"/>
    </row>
    <row r="15642" spans="2:2">
      <c r="B15642" s="21"/>
    </row>
    <row r="15643" spans="2:2">
      <c r="B15643" s="21"/>
    </row>
    <row r="15644" spans="2:2">
      <c r="B15644" s="21"/>
    </row>
    <row r="15645" spans="2:2">
      <c r="B15645" s="21"/>
    </row>
    <row r="15646" spans="2:2">
      <c r="B15646" s="21"/>
    </row>
    <row r="15647" spans="2:2">
      <c r="B15647" s="21"/>
    </row>
    <row r="15648" spans="2:2">
      <c r="B15648" s="21"/>
    </row>
    <row r="15649" spans="2:2">
      <c r="B15649" s="21"/>
    </row>
    <row r="15650" spans="2:2">
      <c r="B15650" s="21"/>
    </row>
    <row r="15651" spans="2:2">
      <c r="B15651" s="21"/>
    </row>
    <row r="15652" spans="2:2">
      <c r="B15652" s="21"/>
    </row>
    <row r="15653" spans="2:2">
      <c r="B15653" s="21"/>
    </row>
    <row r="15654" spans="2:2">
      <c r="B15654" s="21"/>
    </row>
    <row r="15655" spans="2:2">
      <c r="B15655" s="21"/>
    </row>
    <row r="15656" spans="2:2">
      <c r="B15656" s="21"/>
    </row>
    <row r="15657" spans="2:2">
      <c r="B15657" s="21"/>
    </row>
    <row r="15658" spans="2:2">
      <c r="B15658" s="21"/>
    </row>
    <row r="15659" spans="2:2">
      <c r="B15659" s="21"/>
    </row>
    <row r="15660" spans="2:2">
      <c r="B15660" s="21"/>
    </row>
    <row r="15661" spans="2:2">
      <c r="B15661" s="21"/>
    </row>
    <row r="15662" spans="2:2">
      <c r="B15662" s="21"/>
    </row>
    <row r="15663" spans="2:2">
      <c r="B15663" s="21"/>
    </row>
    <row r="15664" spans="2:2">
      <c r="B15664" s="21"/>
    </row>
    <row r="15665" spans="2:2">
      <c r="B15665" s="21"/>
    </row>
    <row r="15666" spans="2:2">
      <c r="B15666" s="21"/>
    </row>
    <row r="15667" spans="2:2">
      <c r="B15667" s="21"/>
    </row>
    <row r="15668" spans="2:2">
      <c r="B15668" s="21"/>
    </row>
    <row r="15669" spans="2:2">
      <c r="B15669" s="21"/>
    </row>
    <row r="15670" spans="2:2">
      <c r="B15670" s="21"/>
    </row>
    <row r="15671" spans="2:2">
      <c r="B15671" s="21"/>
    </row>
    <row r="15672" spans="2:2">
      <c r="B15672" s="21"/>
    </row>
    <row r="15673" spans="2:2">
      <c r="B15673" s="21"/>
    </row>
    <row r="15674" spans="2:2">
      <c r="B15674" s="21"/>
    </row>
    <row r="15675" spans="2:2">
      <c r="B15675" s="21"/>
    </row>
    <row r="15676" spans="2:2">
      <c r="B15676" s="21"/>
    </row>
    <row r="15677" spans="2:2">
      <c r="B15677" s="21"/>
    </row>
    <row r="15678" spans="2:2">
      <c r="B15678" s="21"/>
    </row>
    <row r="15679" spans="2:2">
      <c r="B15679" s="21"/>
    </row>
    <row r="15680" spans="2:2">
      <c r="B15680" s="21"/>
    </row>
    <row r="15681" spans="2:2">
      <c r="B15681" s="21"/>
    </row>
    <row r="15682" spans="2:2">
      <c r="B15682" s="21"/>
    </row>
    <row r="15683" spans="2:2">
      <c r="B15683" s="21"/>
    </row>
    <row r="15684" spans="2:2">
      <c r="B15684" s="21"/>
    </row>
    <row r="15685" spans="2:2">
      <c r="B15685" s="21"/>
    </row>
    <row r="15686" spans="2:2">
      <c r="B15686" s="21"/>
    </row>
    <row r="15687" spans="2:2">
      <c r="B15687" s="21"/>
    </row>
    <row r="15688" spans="2:2">
      <c r="B15688" s="21"/>
    </row>
    <row r="15689" spans="2:2">
      <c r="B15689" s="21"/>
    </row>
    <row r="15690" spans="2:2">
      <c r="B15690" s="21"/>
    </row>
    <row r="15691" spans="2:2">
      <c r="B15691" s="21"/>
    </row>
    <row r="15692" spans="2:2">
      <c r="B15692" s="21"/>
    </row>
    <row r="15693" spans="2:2">
      <c r="B15693" s="21"/>
    </row>
    <row r="15694" spans="2:2">
      <c r="B15694" s="21"/>
    </row>
    <row r="15695" spans="2:2">
      <c r="B15695" s="21"/>
    </row>
    <row r="15696" spans="2:2">
      <c r="B15696" s="21"/>
    </row>
    <row r="15697" spans="2:2">
      <c r="B15697" s="21"/>
    </row>
    <row r="15698" spans="2:2">
      <c r="B15698" s="21"/>
    </row>
    <row r="15699" spans="2:2">
      <c r="B15699" s="21"/>
    </row>
    <row r="15700" spans="2:2">
      <c r="B15700" s="21"/>
    </row>
    <row r="15701" spans="2:2">
      <c r="B15701" s="21"/>
    </row>
    <row r="15702" spans="2:2">
      <c r="B15702" s="21"/>
    </row>
    <row r="15703" spans="2:2">
      <c r="B15703" s="21"/>
    </row>
    <row r="15704" spans="2:2">
      <c r="B15704" s="21"/>
    </row>
    <row r="15705" spans="2:2">
      <c r="B15705" s="21"/>
    </row>
    <row r="15706" spans="2:2">
      <c r="B15706" s="21"/>
    </row>
    <row r="15707" spans="2:2">
      <c r="B15707" s="21"/>
    </row>
    <row r="15708" spans="2:2">
      <c r="B15708" s="21"/>
    </row>
    <row r="15709" spans="2:2">
      <c r="B15709" s="21"/>
    </row>
    <row r="15710" spans="2:2">
      <c r="B15710" s="21"/>
    </row>
    <row r="15711" spans="2:2">
      <c r="B15711" s="21"/>
    </row>
    <row r="15712" spans="2:2">
      <c r="B15712" s="21"/>
    </row>
    <row r="15713" spans="2:2">
      <c r="B15713" s="21"/>
    </row>
    <row r="15714" spans="2:2">
      <c r="B15714" s="21"/>
    </row>
    <row r="15715" spans="2:2">
      <c r="B15715" s="21"/>
    </row>
    <row r="15716" spans="2:2">
      <c r="B15716" s="21"/>
    </row>
    <row r="15717" spans="2:2">
      <c r="B15717" s="21"/>
    </row>
    <row r="15718" spans="2:2">
      <c r="B15718" s="21"/>
    </row>
    <row r="15719" spans="2:2">
      <c r="B15719" s="21"/>
    </row>
    <row r="15720" spans="2:2">
      <c r="B15720" s="21"/>
    </row>
    <row r="15721" spans="2:2">
      <c r="B15721" s="21"/>
    </row>
    <row r="15722" spans="2:2">
      <c r="B15722" s="21"/>
    </row>
    <row r="15723" spans="2:2">
      <c r="B15723" s="21"/>
    </row>
    <row r="15724" spans="2:2">
      <c r="B15724" s="21"/>
    </row>
    <row r="15725" spans="2:2">
      <c r="B15725" s="21"/>
    </row>
    <row r="15726" spans="2:2">
      <c r="B15726" s="21"/>
    </row>
    <row r="15727" spans="2:2">
      <c r="B15727" s="21"/>
    </row>
    <row r="15728" spans="2:2">
      <c r="B15728" s="21"/>
    </row>
    <row r="15729" spans="2:2">
      <c r="B15729" s="21"/>
    </row>
    <row r="15730" spans="2:2">
      <c r="B15730" s="21"/>
    </row>
    <row r="15731" spans="2:2">
      <c r="B15731" s="21"/>
    </row>
    <row r="15732" spans="2:2">
      <c r="B15732" s="21"/>
    </row>
    <row r="15733" spans="2:2">
      <c r="B15733" s="21"/>
    </row>
    <row r="15734" spans="2:2">
      <c r="B15734" s="21"/>
    </row>
    <row r="15735" spans="2:2">
      <c r="B15735" s="21"/>
    </row>
    <row r="15736" spans="2:2">
      <c r="B15736" s="21"/>
    </row>
    <row r="15737" spans="2:2">
      <c r="B15737" s="21"/>
    </row>
    <row r="15738" spans="2:2">
      <c r="B15738" s="21"/>
    </row>
    <row r="15739" spans="2:2">
      <c r="B15739" s="21"/>
    </row>
    <row r="15740" spans="2:2">
      <c r="B15740" s="21"/>
    </row>
    <row r="15741" spans="2:2">
      <c r="B15741" s="21"/>
    </row>
    <row r="15742" spans="2:2">
      <c r="B15742" s="21"/>
    </row>
    <row r="15743" spans="2:2">
      <c r="B15743" s="21"/>
    </row>
    <row r="15744" spans="2:2">
      <c r="B15744" s="21"/>
    </row>
    <row r="15745" spans="2:2">
      <c r="B15745" s="21"/>
    </row>
    <row r="15746" spans="2:2">
      <c r="B15746" s="21"/>
    </row>
    <row r="15747" spans="2:2">
      <c r="B15747" s="21"/>
    </row>
    <row r="15748" spans="2:2">
      <c r="B15748" s="21"/>
    </row>
    <row r="15749" spans="2:2">
      <c r="B15749" s="21"/>
    </row>
    <row r="15750" spans="2:2">
      <c r="B15750" s="21"/>
    </row>
    <row r="15751" spans="2:2">
      <c r="B15751" s="21"/>
    </row>
    <row r="15752" spans="2:2">
      <c r="B15752" s="21"/>
    </row>
    <row r="15753" spans="2:2">
      <c r="B15753" s="21"/>
    </row>
    <row r="15754" spans="2:2">
      <c r="B15754" s="21"/>
    </row>
    <row r="15755" spans="2:2">
      <c r="B15755" s="21"/>
    </row>
    <row r="15756" spans="2:2">
      <c r="B15756" s="21"/>
    </row>
    <row r="15757" spans="2:2">
      <c r="B15757" s="21"/>
    </row>
    <row r="15758" spans="2:2">
      <c r="B15758" s="21"/>
    </row>
    <row r="15759" spans="2:2">
      <c r="B15759" s="21"/>
    </row>
    <row r="15760" spans="2:2">
      <c r="B15760" s="21"/>
    </row>
    <row r="15761" spans="2:2">
      <c r="B15761" s="21"/>
    </row>
    <row r="15762" spans="2:2">
      <c r="B15762" s="21"/>
    </row>
    <row r="15763" spans="2:2">
      <c r="B15763" s="21"/>
    </row>
    <row r="15764" spans="2:2">
      <c r="B15764" s="21"/>
    </row>
    <row r="15765" spans="2:2">
      <c r="B15765" s="21"/>
    </row>
    <row r="15766" spans="2:2">
      <c r="B15766" s="21"/>
    </row>
    <row r="15767" spans="2:2">
      <c r="B15767" s="21"/>
    </row>
    <row r="15768" spans="2:2">
      <c r="B15768" s="21"/>
    </row>
    <row r="15769" spans="2:2">
      <c r="B15769" s="21"/>
    </row>
    <row r="15770" spans="2:2">
      <c r="B15770" s="21"/>
    </row>
    <row r="15771" spans="2:2">
      <c r="B15771" s="21"/>
    </row>
    <row r="15772" spans="2:2">
      <c r="B15772" s="21"/>
    </row>
    <row r="15773" spans="2:2">
      <c r="B15773" s="21"/>
    </row>
    <row r="15774" spans="2:2">
      <c r="B15774" s="21"/>
    </row>
    <row r="15775" spans="2:2">
      <c r="B15775" s="21"/>
    </row>
    <row r="15776" spans="2:2">
      <c r="B15776" s="21"/>
    </row>
    <row r="15777" spans="2:2">
      <c r="B15777" s="21"/>
    </row>
    <row r="15778" spans="2:2">
      <c r="B15778" s="21"/>
    </row>
    <row r="15779" spans="2:2">
      <c r="B15779" s="21"/>
    </row>
    <row r="15780" spans="2:2">
      <c r="B15780" s="21"/>
    </row>
    <row r="15781" spans="2:2">
      <c r="B15781" s="21"/>
    </row>
    <row r="15782" spans="2:2">
      <c r="B15782" s="21"/>
    </row>
    <row r="15783" spans="2:2">
      <c r="B15783" s="21"/>
    </row>
    <row r="15784" spans="2:2">
      <c r="B15784" s="21"/>
    </row>
    <row r="15785" spans="2:2">
      <c r="B15785" s="21"/>
    </row>
    <row r="15786" spans="2:2">
      <c r="B15786" s="21"/>
    </row>
    <row r="15787" spans="2:2">
      <c r="B15787" s="21"/>
    </row>
    <row r="15788" spans="2:2">
      <c r="B15788" s="21"/>
    </row>
    <row r="15789" spans="2:2">
      <c r="B15789" s="21"/>
    </row>
    <row r="15790" spans="2:2">
      <c r="B15790" s="21"/>
    </row>
    <row r="15791" spans="2:2">
      <c r="B15791" s="21"/>
    </row>
    <row r="15792" spans="2:2">
      <c r="B15792" s="21"/>
    </row>
    <row r="15793" spans="2:2">
      <c r="B15793" s="21"/>
    </row>
    <row r="15794" spans="2:2">
      <c r="B15794" s="21"/>
    </row>
    <row r="15795" spans="2:2">
      <c r="B15795" s="21"/>
    </row>
    <row r="15796" spans="2:2">
      <c r="B15796" s="21"/>
    </row>
    <row r="15797" spans="2:2">
      <c r="B15797" s="21"/>
    </row>
    <row r="15798" spans="2:2">
      <c r="B15798" s="21"/>
    </row>
    <row r="15799" spans="2:2">
      <c r="B15799" s="21"/>
    </row>
    <row r="15800" spans="2:2">
      <c r="B15800" s="21"/>
    </row>
    <row r="15801" spans="2:2">
      <c r="B15801" s="21"/>
    </row>
    <row r="15802" spans="2:2">
      <c r="B15802" s="21"/>
    </row>
    <row r="15803" spans="2:2">
      <c r="B15803" s="21"/>
    </row>
    <row r="15804" spans="2:2">
      <c r="B15804" s="21"/>
    </row>
    <row r="15805" spans="2:2">
      <c r="B15805" s="21"/>
    </row>
    <row r="15806" spans="2:2">
      <c r="B15806" s="21"/>
    </row>
    <row r="15807" spans="2:2">
      <c r="B15807" s="21"/>
    </row>
    <row r="15808" spans="2:2">
      <c r="B15808" s="21"/>
    </row>
    <row r="15809" spans="2:2">
      <c r="B15809" s="21"/>
    </row>
    <row r="15810" spans="2:2">
      <c r="B15810" s="21"/>
    </row>
    <row r="15811" spans="2:2">
      <c r="B15811" s="21"/>
    </row>
    <row r="15812" spans="2:2">
      <c r="B15812" s="21"/>
    </row>
    <row r="15813" spans="2:2">
      <c r="B15813" s="21"/>
    </row>
    <row r="15814" spans="2:2">
      <c r="B15814" s="21"/>
    </row>
    <row r="15815" spans="2:2">
      <c r="B15815" s="21"/>
    </row>
    <row r="15816" spans="2:2">
      <c r="B15816" s="21"/>
    </row>
    <row r="15817" spans="2:2">
      <c r="B15817" s="21"/>
    </row>
    <row r="15818" spans="2:2">
      <c r="B15818" s="21"/>
    </row>
    <row r="15819" spans="2:2">
      <c r="B15819" s="21"/>
    </row>
    <row r="15820" spans="2:2">
      <c r="B15820" s="21"/>
    </row>
    <row r="15821" spans="2:2">
      <c r="B15821" s="21"/>
    </row>
    <row r="15822" spans="2:2">
      <c r="B15822" s="21"/>
    </row>
    <row r="15823" spans="2:2">
      <c r="B15823" s="21"/>
    </row>
    <row r="15824" spans="2:2">
      <c r="B15824" s="21"/>
    </row>
    <row r="15825" spans="2:2">
      <c r="B15825" s="21"/>
    </row>
    <row r="15826" spans="2:2">
      <c r="B15826" s="21"/>
    </row>
    <row r="15827" spans="2:2">
      <c r="B15827" s="21"/>
    </row>
    <row r="15828" spans="2:2">
      <c r="B15828" s="21"/>
    </row>
    <row r="15829" spans="2:2">
      <c r="B15829" s="21"/>
    </row>
    <row r="15830" spans="2:2">
      <c r="B15830" s="21"/>
    </row>
    <row r="15831" spans="2:2">
      <c r="B15831" s="21"/>
    </row>
    <row r="15832" spans="2:2">
      <c r="B15832" s="21"/>
    </row>
    <row r="15833" spans="2:2">
      <c r="B15833" s="21"/>
    </row>
    <row r="15834" spans="2:2">
      <c r="B15834" s="21"/>
    </row>
    <row r="15835" spans="2:2">
      <c r="B15835" s="21"/>
    </row>
    <row r="15836" spans="2:2">
      <c r="B15836" s="21"/>
    </row>
    <row r="15837" spans="2:2">
      <c r="B15837" s="21"/>
    </row>
    <row r="15838" spans="2:2">
      <c r="B15838" s="21"/>
    </row>
    <row r="15839" spans="2:2">
      <c r="B15839" s="21"/>
    </row>
    <row r="15840" spans="2:2">
      <c r="B15840" s="21"/>
    </row>
    <row r="15841" spans="2:2">
      <c r="B15841" s="21"/>
    </row>
    <row r="15842" spans="2:2">
      <c r="B15842" s="21"/>
    </row>
    <row r="15843" spans="2:2">
      <c r="B15843" s="21"/>
    </row>
    <row r="15844" spans="2:2">
      <c r="B15844" s="21"/>
    </row>
    <row r="15845" spans="2:2">
      <c r="B15845" s="21"/>
    </row>
    <row r="15846" spans="2:2">
      <c r="B15846" s="21"/>
    </row>
    <row r="15847" spans="2:2">
      <c r="B15847" s="21"/>
    </row>
    <row r="15848" spans="2:2">
      <c r="B15848" s="21"/>
    </row>
    <row r="15849" spans="2:2">
      <c r="B15849" s="21"/>
    </row>
    <row r="15850" spans="2:2">
      <c r="B15850" s="21"/>
    </row>
    <row r="15851" spans="2:2">
      <c r="B15851" s="21"/>
    </row>
    <row r="15852" spans="2:2">
      <c r="B15852" s="21"/>
    </row>
    <row r="15853" spans="2:2">
      <c r="B15853" s="21"/>
    </row>
    <row r="15854" spans="2:2">
      <c r="B15854" s="21"/>
    </row>
    <row r="15855" spans="2:2">
      <c r="B15855" s="21"/>
    </row>
    <row r="15856" spans="2:2">
      <c r="B15856" s="21"/>
    </row>
    <row r="15857" spans="2:2">
      <c r="B15857" s="21"/>
    </row>
    <row r="15858" spans="2:2">
      <c r="B15858" s="21"/>
    </row>
    <row r="15859" spans="2:2">
      <c r="B15859" s="21"/>
    </row>
    <row r="15860" spans="2:2">
      <c r="B15860" s="21"/>
    </row>
    <row r="15861" spans="2:2">
      <c r="B15861" s="21"/>
    </row>
    <row r="15862" spans="2:2">
      <c r="B15862" s="21"/>
    </row>
    <row r="15863" spans="2:2">
      <c r="B15863" s="21"/>
    </row>
    <row r="15864" spans="2:2">
      <c r="B15864" s="21"/>
    </row>
    <row r="15865" spans="2:2">
      <c r="B15865" s="21"/>
    </row>
    <row r="15866" spans="2:2">
      <c r="B15866" s="21"/>
    </row>
    <row r="15867" spans="2:2">
      <c r="B15867" s="21"/>
    </row>
    <row r="15868" spans="2:2">
      <c r="B15868" s="21"/>
    </row>
    <row r="15869" spans="2:2">
      <c r="B15869" s="21"/>
    </row>
    <row r="15870" spans="2:2">
      <c r="B15870" s="21"/>
    </row>
    <row r="15871" spans="2:2">
      <c r="B15871" s="21"/>
    </row>
    <row r="15872" spans="2:2">
      <c r="B15872" s="21"/>
    </row>
    <row r="15873" spans="2:2">
      <c r="B15873" s="21"/>
    </row>
    <row r="15874" spans="2:2">
      <c r="B15874" s="21"/>
    </row>
    <row r="15875" spans="2:2">
      <c r="B15875" s="21"/>
    </row>
    <row r="15876" spans="2:2">
      <c r="B15876" s="21"/>
    </row>
    <row r="15877" spans="2:2">
      <c r="B15877" s="21"/>
    </row>
    <row r="15878" spans="2:2">
      <c r="B15878" s="21"/>
    </row>
    <row r="15879" spans="2:2">
      <c r="B15879" s="21"/>
    </row>
    <row r="15880" spans="2:2">
      <c r="B15880" s="21"/>
    </row>
    <row r="15881" spans="2:2">
      <c r="B15881" s="21"/>
    </row>
    <row r="15882" spans="2:2">
      <c r="B15882" s="21"/>
    </row>
    <row r="15883" spans="2:2">
      <c r="B15883" s="21"/>
    </row>
    <row r="15884" spans="2:2">
      <c r="B15884" s="21"/>
    </row>
    <row r="15885" spans="2:2">
      <c r="B15885" s="21"/>
    </row>
    <row r="15886" spans="2:2">
      <c r="B15886" s="21"/>
    </row>
    <row r="15887" spans="2:2">
      <c r="B15887" s="21"/>
    </row>
    <row r="15888" spans="2:2">
      <c r="B15888" s="21"/>
    </row>
    <row r="15889" spans="2:2">
      <c r="B15889" s="21"/>
    </row>
    <row r="15890" spans="2:2">
      <c r="B15890" s="21"/>
    </row>
    <row r="15891" spans="2:2">
      <c r="B15891" s="21"/>
    </row>
    <row r="15892" spans="2:2">
      <c r="B15892" s="21"/>
    </row>
    <row r="15893" spans="2:2">
      <c r="B15893" s="21"/>
    </row>
    <row r="15894" spans="2:2">
      <c r="B15894" s="21"/>
    </row>
    <row r="15895" spans="2:2">
      <c r="B15895" s="21"/>
    </row>
    <row r="15896" spans="2:2">
      <c r="B15896" s="21"/>
    </row>
    <row r="15897" spans="2:2">
      <c r="B15897" s="21"/>
    </row>
    <row r="15898" spans="2:2">
      <c r="B15898" s="21"/>
    </row>
    <row r="15899" spans="2:2">
      <c r="B15899" s="21"/>
    </row>
    <row r="15900" spans="2:2">
      <c r="B15900" s="21"/>
    </row>
    <row r="15901" spans="2:2">
      <c r="B15901" s="21"/>
    </row>
    <row r="15902" spans="2:2">
      <c r="B15902" s="21"/>
    </row>
    <row r="15903" spans="2:2">
      <c r="B15903" s="21"/>
    </row>
    <row r="15904" spans="2:2">
      <c r="B15904" s="21"/>
    </row>
    <row r="15905" spans="2:2">
      <c r="B15905" s="21"/>
    </row>
    <row r="15906" spans="2:2">
      <c r="B15906" s="21"/>
    </row>
    <row r="15907" spans="2:2">
      <c r="B15907" s="21"/>
    </row>
    <row r="15908" spans="2:2">
      <c r="B15908" s="21"/>
    </row>
    <row r="15909" spans="2:2">
      <c r="B15909" s="21"/>
    </row>
    <row r="15910" spans="2:2">
      <c r="B15910" s="21"/>
    </row>
    <row r="15911" spans="2:2">
      <c r="B15911" s="21"/>
    </row>
    <row r="15912" spans="2:2">
      <c r="B15912" s="21"/>
    </row>
    <row r="15913" spans="2:2">
      <c r="B15913" s="21"/>
    </row>
    <row r="15914" spans="2:2">
      <c r="B15914" s="21"/>
    </row>
    <row r="15915" spans="2:2">
      <c r="B15915" s="21"/>
    </row>
    <row r="15916" spans="2:2">
      <c r="B15916" s="21"/>
    </row>
    <row r="15917" spans="2:2">
      <c r="B15917" s="21"/>
    </row>
    <row r="15918" spans="2:2">
      <c r="B15918" s="21"/>
    </row>
    <row r="15919" spans="2:2">
      <c r="B15919" s="21"/>
    </row>
    <row r="15920" spans="2:2">
      <c r="B15920" s="21"/>
    </row>
    <row r="15921" spans="2:2">
      <c r="B15921" s="21"/>
    </row>
    <row r="15922" spans="2:2">
      <c r="B15922" s="21"/>
    </row>
    <row r="15923" spans="2:2">
      <c r="B15923" s="21"/>
    </row>
    <row r="15924" spans="2:2">
      <c r="B15924" s="21"/>
    </row>
    <row r="15925" spans="2:2">
      <c r="B15925" s="21"/>
    </row>
    <row r="15926" spans="2:2">
      <c r="B15926" s="21"/>
    </row>
    <row r="15927" spans="2:2">
      <c r="B15927" s="21"/>
    </row>
    <row r="15928" spans="2:2">
      <c r="B15928" s="21"/>
    </row>
    <row r="15929" spans="2:2">
      <c r="B15929" s="21"/>
    </row>
    <row r="15930" spans="2:2">
      <c r="B15930" s="21"/>
    </row>
    <row r="15931" spans="2:2">
      <c r="B15931" s="21"/>
    </row>
    <row r="15932" spans="2:2">
      <c r="B15932" s="21"/>
    </row>
    <row r="15933" spans="2:2">
      <c r="B15933" s="21"/>
    </row>
    <row r="15934" spans="2:2">
      <c r="B15934" s="21"/>
    </row>
    <row r="15935" spans="2:2">
      <c r="B15935" s="21"/>
    </row>
    <row r="15936" spans="2:2">
      <c r="B15936" s="21"/>
    </row>
    <row r="15937" spans="2:2">
      <c r="B15937" s="21"/>
    </row>
    <row r="15938" spans="2:2">
      <c r="B15938" s="21"/>
    </row>
    <row r="15939" spans="2:2">
      <c r="B15939" s="21"/>
    </row>
    <row r="15940" spans="2:2">
      <c r="B15940" s="21"/>
    </row>
    <row r="15941" spans="2:2">
      <c r="B15941" s="21"/>
    </row>
    <row r="15942" spans="2:2">
      <c r="B15942" s="21"/>
    </row>
    <row r="15943" spans="2:2">
      <c r="B15943" s="21"/>
    </row>
    <row r="15944" spans="2:2">
      <c r="B15944" s="21"/>
    </row>
    <row r="15945" spans="2:2">
      <c r="B15945" s="21"/>
    </row>
    <row r="15946" spans="2:2">
      <c r="B15946" s="21"/>
    </row>
    <row r="15947" spans="2:2">
      <c r="B15947" s="21"/>
    </row>
    <row r="15948" spans="2:2">
      <c r="B15948" s="21"/>
    </row>
    <row r="15949" spans="2:2">
      <c r="B15949" s="21"/>
    </row>
    <row r="15950" spans="2:2">
      <c r="B15950" s="21"/>
    </row>
    <row r="15951" spans="2:2">
      <c r="B15951" s="21"/>
    </row>
    <row r="15952" spans="2:2">
      <c r="B15952" s="21"/>
    </row>
    <row r="15953" spans="2:2">
      <c r="B15953" s="21"/>
    </row>
    <row r="15954" spans="2:2">
      <c r="B15954" s="21"/>
    </row>
    <row r="15955" spans="2:2">
      <c r="B15955" s="21"/>
    </row>
    <row r="15956" spans="2:2">
      <c r="B15956" s="21"/>
    </row>
    <row r="15957" spans="2:2">
      <c r="B15957" s="21"/>
    </row>
    <row r="15958" spans="2:2">
      <c r="B15958" s="21"/>
    </row>
    <row r="15959" spans="2:2">
      <c r="B15959" s="21"/>
    </row>
    <row r="15960" spans="2:2">
      <c r="B15960" s="21"/>
    </row>
    <row r="15961" spans="2:2">
      <c r="B15961" s="21"/>
    </row>
    <row r="15962" spans="2:2">
      <c r="B15962" s="21"/>
    </row>
    <row r="15963" spans="2:2">
      <c r="B15963" s="21"/>
    </row>
    <row r="15964" spans="2:2">
      <c r="B15964" s="21"/>
    </row>
    <row r="15965" spans="2:2">
      <c r="B15965" s="21"/>
    </row>
    <row r="15966" spans="2:2">
      <c r="B15966" s="21"/>
    </row>
    <row r="15967" spans="2:2">
      <c r="B15967" s="21"/>
    </row>
    <row r="15968" spans="2:2">
      <c r="B15968" s="21"/>
    </row>
    <row r="15969" spans="2:2">
      <c r="B15969" s="21"/>
    </row>
    <row r="15970" spans="2:2">
      <c r="B15970" s="21"/>
    </row>
    <row r="15971" spans="2:2">
      <c r="B15971" s="21"/>
    </row>
    <row r="15972" spans="2:2">
      <c r="B15972" s="21"/>
    </row>
    <row r="15973" spans="2:2">
      <c r="B15973" s="21"/>
    </row>
    <row r="15974" spans="2:2">
      <c r="B15974" s="21"/>
    </row>
    <row r="15975" spans="2:2">
      <c r="B15975" s="21"/>
    </row>
    <row r="15976" spans="2:2">
      <c r="B15976" s="21"/>
    </row>
    <row r="15977" spans="2:2">
      <c r="B15977" s="21"/>
    </row>
    <row r="15978" spans="2:2">
      <c r="B15978" s="21"/>
    </row>
    <row r="15979" spans="2:2">
      <c r="B15979" s="21"/>
    </row>
    <row r="15980" spans="2:2">
      <c r="B15980" s="21"/>
    </row>
    <row r="15981" spans="2:2">
      <c r="B15981" s="21"/>
    </row>
    <row r="15982" spans="2:2">
      <c r="B15982" s="21"/>
    </row>
    <row r="15983" spans="2:2">
      <c r="B15983" s="21"/>
    </row>
    <row r="15984" spans="2:2">
      <c r="B15984" s="21"/>
    </row>
    <row r="15985" spans="2:2">
      <c r="B15985" s="21"/>
    </row>
    <row r="15986" spans="2:2">
      <c r="B15986" s="21"/>
    </row>
    <row r="15987" spans="2:2">
      <c r="B15987" s="21"/>
    </row>
    <row r="15988" spans="2:2">
      <c r="B15988" s="21"/>
    </row>
    <row r="15989" spans="2:2">
      <c r="B15989" s="21"/>
    </row>
    <row r="15990" spans="2:2">
      <c r="B15990" s="21"/>
    </row>
    <row r="15991" spans="2:2">
      <c r="B15991" s="21"/>
    </row>
    <row r="15992" spans="2:2">
      <c r="B15992" s="21"/>
    </row>
    <row r="15993" spans="2:2">
      <c r="B15993" s="21"/>
    </row>
    <row r="15994" spans="2:2">
      <c r="B15994" s="21"/>
    </row>
    <row r="15995" spans="2:2">
      <c r="B15995" s="21"/>
    </row>
    <row r="15996" spans="2:2">
      <c r="B15996" s="21"/>
    </row>
    <row r="15997" spans="2:2">
      <c r="B15997" s="21"/>
    </row>
    <row r="15998" spans="2:2">
      <c r="B15998" s="21"/>
    </row>
    <row r="15999" spans="2:2">
      <c r="B15999" s="21"/>
    </row>
    <row r="16000" spans="2:2">
      <c r="B16000" s="21"/>
    </row>
    <row r="16001" spans="2:2">
      <c r="B16001" s="21"/>
    </row>
    <row r="16002" spans="2:2">
      <c r="B16002" s="21"/>
    </row>
    <row r="16003" spans="2:2">
      <c r="B16003" s="21"/>
    </row>
    <row r="16004" spans="2:2">
      <c r="B16004" s="21"/>
    </row>
    <row r="16005" spans="2:2">
      <c r="B16005" s="21"/>
    </row>
    <row r="16006" spans="2:2">
      <c r="B16006" s="21"/>
    </row>
    <row r="16007" spans="2:2">
      <c r="B16007" s="21"/>
    </row>
    <row r="16008" spans="2:2">
      <c r="B16008" s="21"/>
    </row>
    <row r="16009" spans="2:2">
      <c r="B16009" s="21"/>
    </row>
    <row r="16010" spans="2:2">
      <c r="B16010" s="21"/>
    </row>
    <row r="16011" spans="2:2">
      <c r="B16011" s="21"/>
    </row>
    <row r="16012" spans="2:2">
      <c r="B16012" s="21"/>
    </row>
    <row r="16013" spans="2:2">
      <c r="B16013" s="21"/>
    </row>
    <row r="16014" spans="2:2">
      <c r="B16014" s="21"/>
    </row>
    <row r="16015" spans="2:2">
      <c r="B16015" s="21"/>
    </row>
    <row r="16016" spans="2:2">
      <c r="B16016" s="21"/>
    </row>
    <row r="16017" spans="2:2">
      <c r="B16017" s="21"/>
    </row>
    <row r="16018" spans="2:2">
      <c r="B16018" s="21"/>
    </row>
    <row r="16019" spans="2:2">
      <c r="B16019" s="21"/>
    </row>
    <row r="16020" spans="2:2">
      <c r="B16020" s="21"/>
    </row>
    <row r="16021" spans="2:2">
      <c r="B16021" s="21"/>
    </row>
    <row r="16022" spans="2:2">
      <c r="B16022" s="21"/>
    </row>
    <row r="16023" spans="2:2">
      <c r="B16023" s="21"/>
    </row>
    <row r="16024" spans="2:2">
      <c r="B16024" s="21"/>
    </row>
    <row r="16025" spans="2:2">
      <c r="B16025" s="21"/>
    </row>
    <row r="16026" spans="2:2">
      <c r="B16026" s="21"/>
    </row>
    <row r="16027" spans="2:2">
      <c r="B16027" s="21"/>
    </row>
    <row r="16028" spans="2:2">
      <c r="B16028" s="21"/>
    </row>
    <row r="16029" spans="2:2">
      <c r="B16029" s="21"/>
    </row>
    <row r="16030" spans="2:2">
      <c r="B16030" s="21"/>
    </row>
    <row r="16031" spans="2:2">
      <c r="B16031" s="21"/>
    </row>
    <row r="16032" spans="2:2">
      <c r="B16032" s="21"/>
    </row>
    <row r="16033" spans="2:2">
      <c r="B16033" s="21"/>
    </row>
    <row r="16034" spans="2:2">
      <c r="B16034" s="21"/>
    </row>
    <row r="16035" spans="2:2">
      <c r="B16035" s="21"/>
    </row>
    <row r="16036" spans="2:2">
      <c r="B16036" s="21"/>
    </row>
    <row r="16037" spans="2:2">
      <c r="B16037" s="21"/>
    </row>
    <row r="16038" spans="2:2">
      <c r="B16038" s="21"/>
    </row>
    <row r="16039" spans="2:2">
      <c r="B16039" s="21"/>
    </row>
    <row r="16040" spans="2:2">
      <c r="B16040" s="21"/>
    </row>
    <row r="16041" spans="2:2">
      <c r="B16041" s="21"/>
    </row>
    <row r="16042" spans="2:2">
      <c r="B16042" s="21"/>
    </row>
    <row r="16043" spans="2:2">
      <c r="B16043" s="21"/>
    </row>
    <row r="16044" spans="2:2">
      <c r="B16044" s="21"/>
    </row>
    <row r="16045" spans="2:2">
      <c r="B16045" s="21"/>
    </row>
    <row r="16046" spans="2:2">
      <c r="B16046" s="21"/>
    </row>
    <row r="16047" spans="2:2">
      <c r="B16047" s="21"/>
    </row>
    <row r="16048" spans="2:2">
      <c r="B16048" s="21"/>
    </row>
    <row r="16049" spans="2:2">
      <c r="B16049" s="21"/>
    </row>
    <row r="16050" spans="2:2">
      <c r="B16050" s="21"/>
    </row>
    <row r="16051" spans="2:2">
      <c r="B16051" s="21"/>
    </row>
    <row r="16052" spans="2:2">
      <c r="B16052" s="21"/>
    </row>
    <row r="16053" spans="2:2">
      <c r="B16053" s="21"/>
    </row>
    <row r="16054" spans="2:2">
      <c r="B16054" s="21"/>
    </row>
    <row r="16055" spans="2:2">
      <c r="B16055" s="21"/>
    </row>
    <row r="16056" spans="2:2">
      <c r="B16056" s="21"/>
    </row>
    <row r="16057" spans="2:2">
      <c r="B16057" s="21"/>
    </row>
    <row r="16058" spans="2:2">
      <c r="B16058" s="21"/>
    </row>
    <row r="16059" spans="2:2">
      <c r="B16059" s="21"/>
    </row>
    <row r="16060" spans="2:2">
      <c r="B16060" s="21"/>
    </row>
    <row r="16061" spans="2:2">
      <c r="B16061" s="21"/>
    </row>
    <row r="16062" spans="2:2">
      <c r="B16062" s="21"/>
    </row>
    <row r="16063" spans="2:2">
      <c r="B16063" s="21"/>
    </row>
    <row r="16064" spans="2:2">
      <c r="B16064" s="21"/>
    </row>
    <row r="16065" spans="2:2">
      <c r="B16065" s="21"/>
    </row>
    <row r="16066" spans="2:2">
      <c r="B16066" s="21"/>
    </row>
    <row r="16067" spans="2:2">
      <c r="B16067" s="21"/>
    </row>
    <row r="16068" spans="2:2">
      <c r="B16068" s="21"/>
    </row>
    <row r="16069" spans="2:2">
      <c r="B16069" s="21"/>
    </row>
    <row r="16070" spans="2:2">
      <c r="B16070" s="21"/>
    </row>
    <row r="16071" spans="2:2">
      <c r="B16071" s="21"/>
    </row>
    <row r="16072" spans="2:2">
      <c r="B16072" s="21"/>
    </row>
    <row r="16073" spans="2:2">
      <c r="B16073" s="21"/>
    </row>
    <row r="16074" spans="2:2">
      <c r="B16074" s="21"/>
    </row>
    <row r="16075" spans="2:2">
      <c r="B16075" s="21"/>
    </row>
    <row r="16076" spans="2:2">
      <c r="B16076" s="21"/>
    </row>
    <row r="16077" spans="2:2">
      <c r="B16077" s="21"/>
    </row>
    <row r="16078" spans="2:2">
      <c r="B16078" s="21"/>
    </row>
    <row r="16079" spans="2:2">
      <c r="B16079" s="21"/>
    </row>
    <row r="16080" spans="2:2">
      <c r="B16080" s="21"/>
    </row>
    <row r="16081" spans="2:2">
      <c r="B16081" s="21"/>
    </row>
    <row r="16082" spans="2:2">
      <c r="B16082" s="21"/>
    </row>
    <row r="16083" spans="2:2">
      <c r="B16083" s="21"/>
    </row>
    <row r="16084" spans="2:2">
      <c r="B16084" s="21"/>
    </row>
    <row r="16085" spans="2:2">
      <c r="B16085" s="21"/>
    </row>
    <row r="16086" spans="2:2">
      <c r="B16086" s="21"/>
    </row>
    <row r="16087" spans="2:2">
      <c r="B16087" s="21"/>
    </row>
    <row r="16088" spans="2:2">
      <c r="B16088" s="21"/>
    </row>
    <row r="16089" spans="2:2">
      <c r="B16089" s="21"/>
    </row>
    <row r="16090" spans="2:2">
      <c r="B16090" s="21"/>
    </row>
    <row r="16091" spans="2:2">
      <c r="B16091" s="21"/>
    </row>
    <row r="16092" spans="2:2">
      <c r="B16092" s="21"/>
    </row>
    <row r="16093" spans="2:2">
      <c r="B16093" s="21"/>
    </row>
    <row r="16094" spans="2:2">
      <c r="B16094" s="21"/>
    </row>
    <row r="16095" spans="2:2">
      <c r="B16095" s="21"/>
    </row>
    <row r="16096" spans="2:2">
      <c r="B16096" s="21"/>
    </row>
    <row r="16097" spans="2:2">
      <c r="B16097" s="21"/>
    </row>
    <row r="16098" spans="2:2">
      <c r="B16098" s="21"/>
    </row>
    <row r="16099" spans="2:2">
      <c r="B16099" s="21"/>
    </row>
    <row r="16100" spans="2:2">
      <c r="B16100" s="21"/>
    </row>
    <row r="16101" spans="2:2">
      <c r="B16101" s="21"/>
    </row>
    <row r="16102" spans="2:2">
      <c r="B16102" s="21"/>
    </row>
    <row r="16103" spans="2:2">
      <c r="B16103" s="21"/>
    </row>
    <row r="16104" spans="2:2">
      <c r="B16104" s="21"/>
    </row>
    <row r="16105" spans="2:2">
      <c r="B16105" s="21"/>
    </row>
    <row r="16106" spans="2:2">
      <c r="B16106" s="21"/>
    </row>
    <row r="16107" spans="2:2">
      <c r="B16107" s="21"/>
    </row>
    <row r="16108" spans="2:2">
      <c r="B16108" s="21"/>
    </row>
    <row r="16109" spans="2:2">
      <c r="B16109" s="21"/>
    </row>
    <row r="16110" spans="2:2">
      <c r="B16110" s="21"/>
    </row>
    <row r="16111" spans="2:2">
      <c r="B16111" s="21"/>
    </row>
    <row r="16112" spans="2:2">
      <c r="B16112" s="21"/>
    </row>
    <row r="16113" spans="2:2">
      <c r="B16113" s="21"/>
    </row>
    <row r="16114" spans="2:2">
      <c r="B16114" s="21"/>
    </row>
    <row r="16115" spans="2:2">
      <c r="B16115" s="21"/>
    </row>
    <row r="16116" spans="2:2">
      <c r="B16116" s="21"/>
    </row>
    <row r="16117" spans="2:2">
      <c r="B16117" s="21"/>
    </row>
    <row r="16118" spans="2:2">
      <c r="B16118" s="21"/>
    </row>
    <row r="16119" spans="2:2">
      <c r="B16119" s="21"/>
    </row>
    <row r="16120" spans="2:2">
      <c r="B16120" s="21"/>
    </row>
    <row r="16121" spans="2:2">
      <c r="B16121" s="21"/>
    </row>
    <row r="16122" spans="2:2">
      <c r="B16122" s="21"/>
    </row>
    <row r="16123" spans="2:2">
      <c r="B16123" s="21"/>
    </row>
    <row r="16124" spans="2:2">
      <c r="B16124" s="21"/>
    </row>
    <row r="16125" spans="2:2">
      <c r="B16125" s="21"/>
    </row>
    <row r="16126" spans="2:2">
      <c r="B16126" s="21"/>
    </row>
    <row r="16127" spans="2:2">
      <c r="B16127" s="21"/>
    </row>
    <row r="16128" spans="2:2">
      <c r="B16128" s="21"/>
    </row>
    <row r="16129" spans="2:2">
      <c r="B16129" s="21"/>
    </row>
    <row r="16130" spans="2:2">
      <c r="B16130" s="21"/>
    </row>
    <row r="16131" spans="2:2">
      <c r="B16131" s="21"/>
    </row>
    <row r="16132" spans="2:2">
      <c r="B16132" s="21"/>
    </row>
    <row r="16133" spans="2:2">
      <c r="B16133" s="21"/>
    </row>
    <row r="16134" spans="2:2">
      <c r="B16134" s="21"/>
    </row>
    <row r="16135" spans="2:2">
      <c r="B16135" s="21"/>
    </row>
    <row r="16136" spans="2:2">
      <c r="B16136" s="21"/>
    </row>
    <row r="16137" spans="2:2">
      <c r="B16137" s="21"/>
    </row>
    <row r="16138" spans="2:2">
      <c r="B16138" s="21"/>
    </row>
    <row r="16139" spans="2:2">
      <c r="B16139" s="21"/>
    </row>
    <row r="16140" spans="2:2">
      <c r="B16140" s="21"/>
    </row>
    <row r="16141" spans="2:2">
      <c r="B16141" s="21"/>
    </row>
    <row r="16142" spans="2:2">
      <c r="B16142" s="21"/>
    </row>
    <row r="16143" spans="2:2">
      <c r="B16143" s="21"/>
    </row>
    <row r="16144" spans="2:2">
      <c r="B16144" s="21"/>
    </row>
    <row r="16145" spans="2:2">
      <c r="B16145" s="21"/>
    </row>
    <row r="16146" spans="2:2">
      <c r="B16146" s="21"/>
    </row>
    <row r="16147" spans="2:2">
      <c r="B16147" s="21"/>
    </row>
    <row r="16148" spans="2:2">
      <c r="B16148" s="21"/>
    </row>
    <row r="16149" spans="2:2">
      <c r="B16149" s="21"/>
    </row>
    <row r="16150" spans="2:2">
      <c r="B16150" s="21"/>
    </row>
    <row r="16151" spans="2:2">
      <c r="B16151" s="21"/>
    </row>
    <row r="16152" spans="2:2">
      <c r="B16152" s="21"/>
    </row>
    <row r="16153" spans="2:2">
      <c r="B16153" s="21"/>
    </row>
    <row r="16154" spans="2:2">
      <c r="B16154" s="21"/>
    </row>
    <row r="16155" spans="2:2">
      <c r="B16155" s="21"/>
    </row>
    <row r="16156" spans="2:2">
      <c r="B16156" s="21"/>
    </row>
    <row r="16157" spans="2:2">
      <c r="B16157" s="21"/>
    </row>
    <row r="16158" spans="2:2">
      <c r="B16158" s="21"/>
    </row>
    <row r="16159" spans="2:2">
      <c r="B16159" s="21"/>
    </row>
    <row r="16160" spans="2:2">
      <c r="B16160" s="21"/>
    </row>
    <row r="16161" spans="2:2">
      <c r="B16161" s="21"/>
    </row>
    <row r="16162" spans="2:2">
      <c r="B16162" s="21"/>
    </row>
    <row r="16163" spans="2:2">
      <c r="B16163" s="21"/>
    </row>
    <row r="16164" spans="2:2">
      <c r="B16164" s="21"/>
    </row>
    <row r="16165" spans="2:2">
      <c r="B16165" s="21"/>
    </row>
    <row r="16166" spans="2:2">
      <c r="B16166" s="21"/>
    </row>
    <row r="16167" spans="2:2">
      <c r="B16167" s="21"/>
    </row>
    <row r="16168" spans="2:2">
      <c r="B16168" s="21"/>
    </row>
    <row r="16169" spans="2:2">
      <c r="B16169" s="21"/>
    </row>
    <row r="16170" spans="2:2">
      <c r="B16170" s="21"/>
    </row>
    <row r="16171" spans="2:2">
      <c r="B16171" s="21"/>
    </row>
    <row r="16172" spans="2:2">
      <c r="B16172" s="21"/>
    </row>
    <row r="16173" spans="2:2">
      <c r="B16173" s="21"/>
    </row>
    <row r="16174" spans="2:2">
      <c r="B16174" s="21"/>
    </row>
    <row r="16175" spans="2:2">
      <c r="B16175" s="21"/>
    </row>
    <row r="16176" spans="2:2">
      <c r="B16176" s="21"/>
    </row>
    <row r="16177" spans="2:2">
      <c r="B16177" s="21"/>
    </row>
    <row r="16178" spans="2:2">
      <c r="B16178" s="21"/>
    </row>
    <row r="16179" spans="2:2">
      <c r="B16179" s="21"/>
    </row>
    <row r="16180" spans="2:2">
      <c r="B16180" s="21"/>
    </row>
    <row r="16181" spans="2:2">
      <c r="B16181" s="21"/>
    </row>
    <row r="16182" spans="2:2">
      <c r="B16182" s="21"/>
    </row>
    <row r="16183" spans="2:2">
      <c r="B16183" s="21"/>
    </row>
    <row r="16184" spans="2:2">
      <c r="B16184" s="21"/>
    </row>
    <row r="16185" spans="2:2">
      <c r="B16185" s="21"/>
    </row>
    <row r="16186" spans="2:2">
      <c r="B16186" s="21"/>
    </row>
    <row r="16187" spans="2:2">
      <c r="B16187" s="21"/>
    </row>
    <row r="16188" spans="2:2">
      <c r="B16188" s="21"/>
    </row>
    <row r="16189" spans="2:2">
      <c r="B16189" s="21"/>
    </row>
    <row r="16190" spans="2:2">
      <c r="B16190" s="21"/>
    </row>
    <row r="16191" spans="2:2">
      <c r="B16191" s="21"/>
    </row>
    <row r="16192" spans="2:2">
      <c r="B16192" s="21"/>
    </row>
    <row r="16193" spans="2:2">
      <c r="B16193" s="21"/>
    </row>
    <row r="16194" spans="2:2">
      <c r="B16194" s="21"/>
    </row>
    <row r="16195" spans="2:2">
      <c r="B16195" s="21"/>
    </row>
    <row r="16196" spans="2:2">
      <c r="B16196" s="21"/>
    </row>
    <row r="16197" spans="2:2">
      <c r="B16197" s="21"/>
    </row>
    <row r="16198" spans="2:2">
      <c r="B16198" s="21"/>
    </row>
    <row r="16199" spans="2:2">
      <c r="B16199" s="21"/>
    </row>
    <row r="16200" spans="2:2">
      <c r="B16200" s="21"/>
    </row>
    <row r="16201" spans="2:2">
      <c r="B16201" s="21"/>
    </row>
    <row r="16202" spans="2:2">
      <c r="B16202" s="21"/>
    </row>
    <row r="16203" spans="2:2">
      <c r="B16203" s="21"/>
    </row>
    <row r="16204" spans="2:2">
      <c r="B16204" s="21"/>
    </row>
    <row r="16205" spans="2:2">
      <c r="B16205" s="21"/>
    </row>
    <row r="16206" spans="2:2">
      <c r="B16206" s="21"/>
    </row>
    <row r="16207" spans="2:2">
      <c r="B16207" s="21"/>
    </row>
    <row r="16208" spans="2:2">
      <c r="B16208" s="21"/>
    </row>
    <row r="16209" spans="2:2">
      <c r="B16209" s="21"/>
    </row>
    <row r="16210" spans="2:2">
      <c r="B16210" s="21"/>
    </row>
    <row r="16211" spans="2:2">
      <c r="B16211" s="21"/>
    </row>
    <row r="16212" spans="2:2">
      <c r="B16212" s="21"/>
    </row>
    <row r="16213" spans="2:2">
      <c r="B16213" s="21"/>
    </row>
    <row r="16214" spans="2:2">
      <c r="B16214" s="21"/>
    </row>
    <row r="16215" spans="2:2">
      <c r="B16215" s="21"/>
    </row>
    <row r="16216" spans="2:2">
      <c r="B16216" s="21"/>
    </row>
    <row r="16217" spans="2:2">
      <c r="B16217" s="21"/>
    </row>
    <row r="16218" spans="2:2">
      <c r="B16218" s="21"/>
    </row>
    <row r="16219" spans="2:2">
      <c r="B16219" s="21"/>
    </row>
    <row r="16220" spans="2:2">
      <c r="B16220" s="21"/>
    </row>
    <row r="16221" spans="2:2">
      <c r="B16221" s="21"/>
    </row>
    <row r="16222" spans="2:2">
      <c r="B16222" s="21"/>
    </row>
    <row r="16223" spans="2:2">
      <c r="B16223" s="21"/>
    </row>
    <row r="16224" spans="2:2">
      <c r="B16224" s="21"/>
    </row>
    <row r="16225" spans="2:2">
      <c r="B16225" s="21"/>
    </row>
    <row r="16226" spans="2:2">
      <c r="B16226" s="21"/>
    </row>
    <row r="16227" spans="2:2">
      <c r="B16227" s="21"/>
    </row>
    <row r="16228" spans="2:2">
      <c r="B16228" s="21"/>
    </row>
    <row r="16229" spans="2:2">
      <c r="B16229" s="21"/>
    </row>
    <row r="16230" spans="2:2">
      <c r="B16230" s="21"/>
    </row>
    <row r="16231" spans="2:2">
      <c r="B16231" s="21"/>
    </row>
    <row r="16232" spans="2:2">
      <c r="B16232" s="21"/>
    </row>
    <row r="16233" spans="2:2">
      <c r="B16233" s="21"/>
    </row>
    <row r="16234" spans="2:2">
      <c r="B16234" s="21"/>
    </row>
    <row r="16235" spans="2:2">
      <c r="B16235" s="21"/>
    </row>
    <row r="16236" spans="2:2">
      <c r="B16236" s="21"/>
    </row>
    <row r="16237" spans="2:2">
      <c r="B16237" s="21"/>
    </row>
    <row r="16238" spans="2:2">
      <c r="B16238" s="21"/>
    </row>
    <row r="16239" spans="2:2">
      <c r="B16239" s="21"/>
    </row>
    <row r="16240" spans="2:2">
      <c r="B16240" s="21"/>
    </row>
    <row r="16241" spans="2:2">
      <c r="B16241" s="21"/>
    </row>
    <row r="16242" spans="2:2">
      <c r="B16242" s="21"/>
    </row>
    <row r="16243" spans="2:2">
      <c r="B16243" s="21"/>
    </row>
    <row r="16244" spans="2:2">
      <c r="B16244" s="21"/>
    </row>
    <row r="16245" spans="2:2">
      <c r="B16245" s="21"/>
    </row>
    <row r="16246" spans="2:2">
      <c r="B16246" s="21"/>
    </row>
    <row r="16247" spans="2:2">
      <c r="B16247" s="21"/>
    </row>
    <row r="16248" spans="2:2">
      <c r="B16248" s="21"/>
    </row>
    <row r="16249" spans="2:2">
      <c r="B16249" s="21"/>
    </row>
    <row r="16250" spans="2:2">
      <c r="B16250" s="21"/>
    </row>
    <row r="16251" spans="2:2">
      <c r="B16251" s="21"/>
    </row>
    <row r="16252" spans="2:2">
      <c r="B16252" s="21"/>
    </row>
    <row r="16253" spans="2:2">
      <c r="B16253" s="21"/>
    </row>
    <row r="16254" spans="2:2">
      <c r="B16254" s="21"/>
    </row>
    <row r="16255" spans="2:2">
      <c r="B16255" s="21"/>
    </row>
    <row r="16256" spans="2:2">
      <c r="B16256" s="21"/>
    </row>
    <row r="16257" spans="2:2">
      <c r="B16257" s="21"/>
    </row>
    <row r="16258" spans="2:2">
      <c r="B16258" s="21"/>
    </row>
    <row r="16259" spans="2:2">
      <c r="B16259" s="21"/>
    </row>
    <row r="16260" spans="2:2">
      <c r="B16260" s="21"/>
    </row>
    <row r="16261" spans="2:2">
      <c r="B16261" s="21"/>
    </row>
    <row r="16262" spans="2:2">
      <c r="B16262" s="21"/>
    </row>
    <row r="16263" spans="2:2">
      <c r="B16263" s="21"/>
    </row>
    <row r="16264" spans="2:2">
      <c r="B16264" s="21"/>
    </row>
    <row r="16265" spans="2:2">
      <c r="B16265" s="21"/>
    </row>
    <row r="16266" spans="2:2">
      <c r="B16266" s="21"/>
    </row>
    <row r="16267" spans="2:2">
      <c r="B16267" s="21"/>
    </row>
    <row r="16268" spans="2:2">
      <c r="B16268" s="21"/>
    </row>
    <row r="16269" spans="2:2">
      <c r="B16269" s="21"/>
    </row>
    <row r="16270" spans="2:2">
      <c r="B16270" s="21"/>
    </row>
    <row r="16271" spans="2:2">
      <c r="B16271" s="21"/>
    </row>
    <row r="16272" spans="2:2">
      <c r="B16272" s="21"/>
    </row>
    <row r="16273" spans="2:2">
      <c r="B16273" s="21"/>
    </row>
    <row r="16274" spans="2:2">
      <c r="B16274" s="21"/>
    </row>
    <row r="16275" spans="2:2">
      <c r="B16275" s="21"/>
    </row>
    <row r="16276" spans="2:2">
      <c r="B16276" s="21"/>
    </row>
    <row r="16277" spans="2:2">
      <c r="B16277" s="21"/>
    </row>
    <row r="16278" spans="2:2">
      <c r="B16278" s="21"/>
    </row>
    <row r="16279" spans="2:2">
      <c r="B16279" s="21"/>
    </row>
    <row r="16280" spans="2:2">
      <c r="B16280" s="21"/>
    </row>
    <row r="16281" spans="2:2">
      <c r="B16281" s="21"/>
    </row>
    <row r="16282" spans="2:2">
      <c r="B16282" s="21"/>
    </row>
    <row r="16283" spans="2:2">
      <c r="B16283" s="21"/>
    </row>
    <row r="16284" spans="2:2">
      <c r="B16284" s="21"/>
    </row>
    <row r="16285" spans="2:2">
      <c r="B16285" s="21"/>
    </row>
    <row r="16286" spans="2:2">
      <c r="B16286" s="21"/>
    </row>
    <row r="16287" spans="2:2">
      <c r="B16287" s="21"/>
    </row>
    <row r="16288" spans="2:2">
      <c r="B16288" s="21"/>
    </row>
    <row r="16289" spans="2:2">
      <c r="B16289" s="21"/>
    </row>
    <row r="16290" spans="2:2">
      <c r="B16290" s="21"/>
    </row>
    <row r="16291" spans="2:2">
      <c r="B16291" s="21"/>
    </row>
    <row r="16292" spans="2:2">
      <c r="B16292" s="21"/>
    </row>
    <row r="16293" spans="2:2">
      <c r="B16293" s="21"/>
    </row>
    <row r="16294" spans="2:2">
      <c r="B16294" s="21"/>
    </row>
    <row r="16295" spans="2:2">
      <c r="B16295" s="21"/>
    </row>
    <row r="16296" spans="2:2">
      <c r="B16296" s="21"/>
    </row>
    <row r="16297" spans="2:2">
      <c r="B16297" s="21"/>
    </row>
    <row r="16298" spans="2:2">
      <c r="B16298" s="21"/>
    </row>
    <row r="16299" spans="2:2">
      <c r="B16299" s="21"/>
    </row>
    <row r="16300" spans="2:2">
      <c r="B16300" s="21"/>
    </row>
    <row r="16301" spans="2:2">
      <c r="B16301" s="21"/>
    </row>
    <row r="16302" spans="2:2">
      <c r="B16302" s="21"/>
    </row>
    <row r="16303" spans="2:2">
      <c r="B16303" s="21"/>
    </row>
    <row r="16304" spans="2:2">
      <c r="B16304" s="21"/>
    </row>
    <row r="16305" spans="2:2">
      <c r="B16305" s="21"/>
    </row>
    <row r="16306" spans="2:2">
      <c r="B16306" s="21"/>
    </row>
    <row r="16307" spans="2:2">
      <c r="B16307" s="21"/>
    </row>
    <row r="16308" spans="2:2">
      <c r="B16308" s="21"/>
    </row>
    <row r="16309" spans="2:2">
      <c r="B16309" s="21"/>
    </row>
    <row r="16310" spans="2:2">
      <c r="B16310" s="21"/>
    </row>
    <row r="16311" spans="2:2">
      <c r="B16311" s="21"/>
    </row>
    <row r="16312" spans="2:2">
      <c r="B16312" s="21"/>
    </row>
    <row r="16313" spans="2:2">
      <c r="B16313" s="21"/>
    </row>
    <row r="16314" spans="2:2">
      <c r="B16314" s="21"/>
    </row>
    <row r="16315" spans="2:2">
      <c r="B16315" s="21"/>
    </row>
    <row r="16316" spans="2:2">
      <c r="B16316" s="21"/>
    </row>
    <row r="16317" spans="2:2">
      <c r="B16317" s="21"/>
    </row>
    <row r="16318" spans="2:2">
      <c r="B16318" s="21"/>
    </row>
    <row r="16319" spans="2:2">
      <c r="B16319" s="21"/>
    </row>
    <row r="16320" spans="2:2">
      <c r="B16320" s="21"/>
    </row>
    <row r="16321" spans="2:2">
      <c r="B16321" s="21"/>
    </row>
    <row r="16322" spans="2:2">
      <c r="B16322" s="21"/>
    </row>
    <row r="16323" spans="2:2">
      <c r="B16323" s="21"/>
    </row>
    <row r="16324" spans="2:2">
      <c r="B16324" s="21"/>
    </row>
    <row r="16325" spans="2:2">
      <c r="B16325" s="21"/>
    </row>
    <row r="16326" spans="2:2">
      <c r="B16326" s="21"/>
    </row>
    <row r="16327" spans="2:2">
      <c r="B16327" s="21"/>
    </row>
    <row r="16328" spans="2:2">
      <c r="B16328" s="21"/>
    </row>
    <row r="16329" spans="2:2">
      <c r="B16329" s="21"/>
    </row>
    <row r="16330" spans="2:2">
      <c r="B16330" s="21"/>
    </row>
    <row r="16331" spans="2:2">
      <c r="B16331" s="21"/>
    </row>
    <row r="16332" spans="2:2">
      <c r="B16332" s="21"/>
    </row>
    <row r="16333" spans="2:2">
      <c r="B16333" s="21"/>
    </row>
    <row r="16334" spans="2:2">
      <c r="B16334" s="21"/>
    </row>
    <row r="16335" spans="2:2">
      <c r="B16335" s="21"/>
    </row>
    <row r="16336" spans="2:2">
      <c r="B16336" s="21"/>
    </row>
    <row r="16337" spans="2:2">
      <c r="B16337" s="21"/>
    </row>
    <row r="16338" spans="2:2">
      <c r="B16338" s="21"/>
    </row>
    <row r="16339" spans="2:2">
      <c r="B16339" s="21"/>
    </row>
    <row r="16340" spans="2:2">
      <c r="B16340" s="21"/>
    </row>
    <row r="16341" spans="2:2">
      <c r="B16341" s="21"/>
    </row>
    <row r="16342" spans="2:2">
      <c r="B16342" s="21"/>
    </row>
    <row r="16343" spans="2:2">
      <c r="B16343" s="21"/>
    </row>
    <row r="16344" spans="2:2">
      <c r="B16344" s="21"/>
    </row>
    <row r="16345" spans="2:2">
      <c r="B16345" s="21"/>
    </row>
    <row r="16346" spans="2:2">
      <c r="B16346" s="21"/>
    </row>
    <row r="16347" spans="2:2">
      <c r="B16347" s="21"/>
    </row>
    <row r="16348" spans="2:2">
      <c r="B16348" s="21"/>
    </row>
    <row r="16349" spans="2:2">
      <c r="B16349" s="21"/>
    </row>
    <row r="16350" spans="2:2">
      <c r="B16350" s="21"/>
    </row>
    <row r="16351" spans="2:2">
      <c r="B16351" s="21"/>
    </row>
    <row r="16352" spans="2:2">
      <c r="B16352" s="21"/>
    </row>
    <row r="16353" spans="2:2">
      <c r="B16353" s="21"/>
    </row>
    <row r="16354" spans="2:2">
      <c r="B16354" s="21"/>
    </row>
    <row r="16355" spans="2:2">
      <c r="B16355" s="21"/>
    </row>
    <row r="16356" spans="2:2">
      <c r="B16356" s="21"/>
    </row>
    <row r="16357" spans="2:2">
      <c r="B16357" s="21"/>
    </row>
    <row r="16358" spans="2:2">
      <c r="B16358" s="21"/>
    </row>
    <row r="16359" spans="2:2">
      <c r="B16359" s="21"/>
    </row>
    <row r="16360" spans="2:2">
      <c r="B16360" s="21"/>
    </row>
    <row r="16361" spans="2:2">
      <c r="B16361" s="21"/>
    </row>
    <row r="16362" spans="2:2">
      <c r="B16362" s="21"/>
    </row>
    <row r="16363" spans="2:2">
      <c r="B16363" s="21"/>
    </row>
    <row r="16364" spans="2:2">
      <c r="B16364" s="21"/>
    </row>
    <row r="16365" spans="2:2">
      <c r="B16365" s="21"/>
    </row>
    <row r="16366" spans="2:2">
      <c r="B16366" s="21"/>
    </row>
    <row r="16367" spans="2:2">
      <c r="B16367" s="21"/>
    </row>
    <row r="16368" spans="2:2">
      <c r="B16368" s="21"/>
    </row>
    <row r="16369" spans="2:2">
      <c r="B16369" s="21"/>
    </row>
    <row r="16370" spans="2:2">
      <c r="B16370" s="21"/>
    </row>
    <row r="16371" spans="2:2">
      <c r="B16371" s="21"/>
    </row>
    <row r="16372" spans="2:2">
      <c r="B16372" s="21"/>
    </row>
    <row r="16373" spans="2:2">
      <c r="B16373" s="21"/>
    </row>
    <row r="16374" spans="2:2">
      <c r="B16374" s="21"/>
    </row>
    <row r="16375" spans="2:2">
      <c r="B16375" s="21"/>
    </row>
    <row r="16376" spans="2:2">
      <c r="B16376" s="21"/>
    </row>
    <row r="16377" spans="2:2">
      <c r="B16377" s="21"/>
    </row>
    <row r="16378" spans="2:2">
      <c r="B16378" s="21"/>
    </row>
    <row r="16379" spans="2:2">
      <c r="B16379" s="21"/>
    </row>
    <row r="16380" spans="2:2">
      <c r="B16380" s="21"/>
    </row>
    <row r="16381" spans="2:2">
      <c r="B16381" s="21"/>
    </row>
    <row r="16382" spans="2:2">
      <c r="B16382" s="21"/>
    </row>
    <row r="16383" spans="2:2">
      <c r="B16383" s="21"/>
    </row>
    <row r="16384" spans="2:2">
      <c r="B16384" s="21"/>
    </row>
    <row r="16385" spans="2:2">
      <c r="B16385" s="21"/>
    </row>
    <row r="16386" spans="2:2">
      <c r="B16386" s="21"/>
    </row>
    <row r="16387" spans="2:2">
      <c r="B16387" s="21"/>
    </row>
    <row r="16388" spans="2:2">
      <c r="B16388" s="21"/>
    </row>
    <row r="16389" spans="2:2">
      <c r="B16389" s="21"/>
    </row>
    <row r="16390" spans="2:2">
      <c r="B16390" s="21"/>
    </row>
    <row r="16391" spans="2:2">
      <c r="B16391" s="21"/>
    </row>
    <row r="16392" spans="2:2">
      <c r="B16392" s="21"/>
    </row>
    <row r="16393" spans="2:2">
      <c r="B16393" s="21"/>
    </row>
    <row r="16394" spans="2:2">
      <c r="B16394" s="21"/>
    </row>
    <row r="16395" spans="2:2">
      <c r="B16395" s="21"/>
    </row>
    <row r="16396" spans="2:2">
      <c r="B16396" s="21"/>
    </row>
    <row r="16397" spans="2:2">
      <c r="B16397" s="21"/>
    </row>
    <row r="16398" spans="2:2">
      <c r="B16398" s="21"/>
    </row>
    <row r="16399" spans="2:2">
      <c r="B16399" s="21"/>
    </row>
    <row r="16400" spans="2:2">
      <c r="B16400" s="21"/>
    </row>
    <row r="16401" spans="2:2">
      <c r="B16401" s="21"/>
    </row>
    <row r="16402" spans="2:2">
      <c r="B16402" s="21"/>
    </row>
    <row r="16403" spans="2:2">
      <c r="B16403" s="21"/>
    </row>
    <row r="16404" spans="2:2">
      <c r="B16404" s="21"/>
    </row>
    <row r="16405" spans="2:2">
      <c r="B16405" s="21"/>
    </row>
    <row r="16406" spans="2:2">
      <c r="B16406" s="21"/>
    </row>
    <row r="16407" spans="2:2">
      <c r="B16407" s="21"/>
    </row>
    <row r="16408" spans="2:2">
      <c r="B16408" s="21"/>
    </row>
    <row r="16409" spans="2:2">
      <c r="B16409" s="21"/>
    </row>
    <row r="16410" spans="2:2">
      <c r="B16410" s="21"/>
    </row>
    <row r="16411" spans="2:2">
      <c r="B16411" s="21"/>
    </row>
    <row r="16412" spans="2:2">
      <c r="B16412" s="21"/>
    </row>
    <row r="16413" spans="2:2">
      <c r="B16413" s="21"/>
    </row>
    <row r="16414" spans="2:2">
      <c r="B16414" s="21"/>
    </row>
    <row r="16415" spans="2:2">
      <c r="B16415" s="21"/>
    </row>
    <row r="16416" spans="2:2">
      <c r="B16416" s="21"/>
    </row>
    <row r="16417" spans="2:2">
      <c r="B16417" s="21"/>
    </row>
    <row r="16418" spans="2:2">
      <c r="B16418" s="21"/>
    </row>
    <row r="16419" spans="2:2">
      <c r="B16419" s="21"/>
    </row>
    <row r="16420" spans="2:2">
      <c r="B16420" s="21"/>
    </row>
    <row r="16421" spans="2:2">
      <c r="B16421" s="21"/>
    </row>
    <row r="16422" spans="2:2">
      <c r="B16422" s="21"/>
    </row>
    <row r="16423" spans="2:2">
      <c r="B16423" s="21"/>
    </row>
    <row r="16424" spans="2:2">
      <c r="B16424" s="21"/>
    </row>
    <row r="16425" spans="2:2">
      <c r="B16425" s="21"/>
    </row>
    <row r="16426" spans="2:2">
      <c r="B16426" s="21"/>
    </row>
    <row r="16427" spans="2:2">
      <c r="B16427" s="21"/>
    </row>
    <row r="16428" spans="2:2">
      <c r="B16428" s="21"/>
    </row>
    <row r="16429" spans="2:2">
      <c r="B16429" s="21"/>
    </row>
    <row r="16430" spans="2:2">
      <c r="B16430" s="21"/>
    </row>
    <row r="16431" spans="2:2">
      <c r="B16431" s="21"/>
    </row>
    <row r="16432" spans="2:2">
      <c r="B16432" s="21"/>
    </row>
    <row r="16433" spans="2:2">
      <c r="B16433" s="21"/>
    </row>
    <row r="16434" spans="2:2">
      <c r="B16434" s="21"/>
    </row>
    <row r="16435" spans="2:2">
      <c r="B16435" s="21"/>
    </row>
    <row r="16436" spans="2:2">
      <c r="B16436" s="21"/>
    </row>
    <row r="16437" spans="2:2">
      <c r="B16437" s="21"/>
    </row>
    <row r="16438" spans="2:2">
      <c r="B16438" s="21"/>
    </row>
    <row r="16439" spans="2:2">
      <c r="B16439" s="21"/>
    </row>
    <row r="16440" spans="2:2">
      <c r="B16440" s="21"/>
    </row>
    <row r="16441" spans="2:2">
      <c r="B16441" s="21"/>
    </row>
    <row r="16442" spans="2:2">
      <c r="B16442" s="21"/>
    </row>
    <row r="16443" spans="2:2">
      <c r="B16443" s="21"/>
    </row>
    <row r="16444" spans="2:2">
      <c r="B16444" s="21"/>
    </row>
    <row r="16445" spans="2:2">
      <c r="B16445" s="21"/>
    </row>
    <row r="16446" spans="2:2">
      <c r="B16446" s="21"/>
    </row>
    <row r="16447" spans="2:2">
      <c r="B16447" s="21"/>
    </row>
    <row r="16448" spans="2:2">
      <c r="B16448" s="21"/>
    </row>
    <row r="16449" spans="2:2">
      <c r="B16449" s="21"/>
    </row>
    <row r="16450" spans="2:2">
      <c r="B16450" s="21"/>
    </row>
    <row r="16451" spans="2:2">
      <c r="B16451" s="21"/>
    </row>
    <row r="16452" spans="2:2">
      <c r="B16452" s="21"/>
    </row>
    <row r="16453" spans="2:2">
      <c r="B16453" s="21"/>
    </row>
    <row r="16454" spans="2:2">
      <c r="B16454" s="21"/>
    </row>
    <row r="16455" spans="2:2">
      <c r="B16455" s="21"/>
    </row>
    <row r="16456" spans="2:2">
      <c r="B16456" s="21"/>
    </row>
    <row r="16457" spans="2:2">
      <c r="B16457" s="21"/>
    </row>
    <row r="16458" spans="2:2">
      <c r="B16458" s="21"/>
    </row>
    <row r="16459" spans="2:2">
      <c r="B16459" s="21"/>
    </row>
    <row r="16460" spans="2:2">
      <c r="B16460" s="21"/>
    </row>
    <row r="16461" spans="2:2">
      <c r="B16461" s="21"/>
    </row>
    <row r="16462" spans="2:2">
      <c r="B16462" s="21"/>
    </row>
    <row r="16463" spans="2:2">
      <c r="B16463" s="21"/>
    </row>
    <row r="16464" spans="2:2">
      <c r="B16464" s="21"/>
    </row>
    <row r="16465" spans="2:2">
      <c r="B16465" s="21"/>
    </row>
    <row r="16466" spans="2:2">
      <c r="B16466" s="21"/>
    </row>
    <row r="16467" spans="2:2">
      <c r="B16467" s="21"/>
    </row>
    <row r="16468" spans="2:2">
      <c r="B16468" s="21"/>
    </row>
    <row r="16469" spans="2:2">
      <c r="B16469" s="21"/>
    </row>
    <row r="16470" spans="2:2">
      <c r="B16470" s="21"/>
    </row>
    <row r="16471" spans="2:2">
      <c r="B16471" s="21"/>
    </row>
    <row r="16472" spans="2:2">
      <c r="B16472" s="21"/>
    </row>
    <row r="16473" spans="2:2">
      <c r="B16473" s="21"/>
    </row>
    <row r="16474" spans="2:2">
      <c r="B16474" s="21"/>
    </row>
    <row r="16475" spans="2:2">
      <c r="B16475" s="21"/>
    </row>
    <row r="16476" spans="2:2">
      <c r="B16476" s="21"/>
    </row>
    <row r="16477" spans="2:2">
      <c r="B16477" s="21"/>
    </row>
    <row r="16478" spans="2:2">
      <c r="B16478" s="21"/>
    </row>
    <row r="16479" spans="2:2">
      <c r="B16479" s="21"/>
    </row>
    <row r="16480" spans="2:2">
      <c r="B16480" s="21"/>
    </row>
    <row r="16481" spans="2:2">
      <c r="B16481" s="21"/>
    </row>
    <row r="16482" spans="2:2">
      <c r="B16482" s="21"/>
    </row>
    <row r="16483" spans="2:2">
      <c r="B16483" s="21"/>
    </row>
    <row r="16484" spans="2:2">
      <c r="B16484" s="21"/>
    </row>
    <row r="16485" spans="2:2">
      <c r="B16485" s="21"/>
    </row>
    <row r="16486" spans="2:2">
      <c r="B16486" s="21"/>
    </row>
    <row r="16487" spans="2:2">
      <c r="B16487" s="21"/>
    </row>
    <row r="16488" spans="2:2">
      <c r="B16488" s="21"/>
    </row>
    <row r="16489" spans="2:2">
      <c r="B16489" s="21"/>
    </row>
    <row r="16490" spans="2:2">
      <c r="B16490" s="21"/>
    </row>
    <row r="16491" spans="2:2">
      <c r="B16491" s="21"/>
    </row>
    <row r="16492" spans="2:2">
      <c r="B16492" s="21"/>
    </row>
    <row r="16493" spans="2:2">
      <c r="B16493" s="21"/>
    </row>
    <row r="16494" spans="2:2">
      <c r="B16494" s="21"/>
    </row>
    <row r="16495" spans="2:2">
      <c r="B16495" s="21"/>
    </row>
    <row r="16496" spans="2:2">
      <c r="B16496" s="21"/>
    </row>
    <row r="16497" spans="2:2">
      <c r="B16497" s="21"/>
    </row>
    <row r="16498" spans="2:2">
      <c r="B16498" s="21"/>
    </row>
    <row r="16499" spans="2:2">
      <c r="B16499" s="21"/>
    </row>
    <row r="16500" spans="2:2">
      <c r="B16500" s="21"/>
    </row>
    <row r="16501" spans="2:2">
      <c r="B16501" s="21"/>
    </row>
    <row r="16502" spans="2:2">
      <c r="B16502" s="21"/>
    </row>
    <row r="16503" spans="2:2">
      <c r="B16503" s="21"/>
    </row>
    <row r="16504" spans="2:2">
      <c r="B16504" s="21"/>
    </row>
    <row r="16505" spans="2:2">
      <c r="B16505" s="21"/>
    </row>
    <row r="16506" spans="2:2">
      <c r="B16506" s="21"/>
    </row>
    <row r="16507" spans="2:2">
      <c r="B16507" s="21"/>
    </row>
    <row r="16508" spans="2:2">
      <c r="B16508" s="21"/>
    </row>
    <row r="16509" spans="2:2">
      <c r="B16509" s="21"/>
    </row>
    <row r="16510" spans="2:2">
      <c r="B16510" s="21"/>
    </row>
    <row r="16511" spans="2:2">
      <c r="B16511" s="21"/>
    </row>
    <row r="16512" spans="2:2">
      <c r="B16512" s="21"/>
    </row>
    <row r="16513" spans="2:2">
      <c r="B16513" s="21"/>
    </row>
    <row r="16514" spans="2:2">
      <c r="B16514" s="21"/>
    </row>
    <row r="16515" spans="2:2">
      <c r="B16515" s="21"/>
    </row>
    <row r="16516" spans="2:2">
      <c r="B16516" s="21"/>
    </row>
    <row r="16517" spans="2:2">
      <c r="B16517" s="21"/>
    </row>
    <row r="16518" spans="2:2">
      <c r="B16518" s="21"/>
    </row>
    <row r="16519" spans="2:2">
      <c r="B16519" s="21"/>
    </row>
    <row r="16520" spans="2:2">
      <c r="B16520" s="21"/>
    </row>
    <row r="16521" spans="2:2">
      <c r="B16521" s="21"/>
    </row>
    <row r="16522" spans="2:2">
      <c r="B16522" s="21"/>
    </row>
    <row r="16523" spans="2:2">
      <c r="B16523" s="21"/>
    </row>
    <row r="16524" spans="2:2">
      <c r="B16524" s="21"/>
    </row>
    <row r="16525" spans="2:2">
      <c r="B16525" s="21"/>
    </row>
    <row r="16526" spans="2:2">
      <c r="B16526" s="21"/>
    </row>
    <row r="16527" spans="2:2">
      <c r="B16527" s="21"/>
    </row>
    <row r="16528" spans="2:2">
      <c r="B16528" s="21"/>
    </row>
    <row r="16529" spans="2:2">
      <c r="B16529" s="21"/>
    </row>
    <row r="16530" spans="2:2">
      <c r="B16530" s="21"/>
    </row>
    <row r="16531" spans="2:2">
      <c r="B16531" s="21"/>
    </row>
    <row r="16532" spans="2:2">
      <c r="B16532" s="21"/>
    </row>
    <row r="16533" spans="2:2">
      <c r="B16533" s="21"/>
    </row>
    <row r="16534" spans="2:2">
      <c r="B16534" s="21"/>
    </row>
    <row r="16535" spans="2:2">
      <c r="B16535" s="21"/>
    </row>
    <row r="16536" spans="2:2">
      <c r="B16536" s="21"/>
    </row>
    <row r="16537" spans="2:2">
      <c r="B16537" s="21"/>
    </row>
    <row r="16538" spans="2:2">
      <c r="B16538" s="21"/>
    </row>
    <row r="16539" spans="2:2">
      <c r="B16539" s="21"/>
    </row>
    <row r="16540" spans="2:2">
      <c r="B16540" s="21"/>
    </row>
    <row r="16541" spans="2:2">
      <c r="B16541" s="21"/>
    </row>
    <row r="16542" spans="2:2">
      <c r="B16542" s="21"/>
    </row>
    <row r="16543" spans="2:2">
      <c r="B16543" s="21"/>
    </row>
    <row r="16544" spans="2:2">
      <c r="B16544" s="21"/>
    </row>
    <row r="16545" spans="2:2">
      <c r="B16545" s="21"/>
    </row>
    <row r="16546" spans="2:2">
      <c r="B16546" s="21"/>
    </row>
    <row r="16547" spans="2:2">
      <c r="B16547" s="21"/>
    </row>
    <row r="16548" spans="2:2">
      <c r="B16548" s="21"/>
    </row>
    <row r="16549" spans="2:2">
      <c r="B16549" s="21"/>
    </row>
    <row r="16550" spans="2:2">
      <c r="B16550" s="21"/>
    </row>
    <row r="16551" spans="2:2">
      <c r="B16551" s="21"/>
    </row>
    <row r="16552" spans="2:2">
      <c r="B16552" s="21"/>
    </row>
    <row r="16553" spans="2:2">
      <c r="B16553" s="21"/>
    </row>
    <row r="16554" spans="2:2">
      <c r="B16554" s="21"/>
    </row>
    <row r="16555" spans="2:2">
      <c r="B16555" s="21"/>
    </row>
    <row r="16556" spans="2:2">
      <c r="B16556" s="21"/>
    </row>
    <row r="16557" spans="2:2">
      <c r="B16557" s="21"/>
    </row>
    <row r="16558" spans="2:2">
      <c r="B16558" s="21"/>
    </row>
    <row r="16559" spans="2:2">
      <c r="B16559" s="21"/>
    </row>
    <row r="16560" spans="2:2">
      <c r="B16560" s="21"/>
    </row>
    <row r="16561" spans="2:2">
      <c r="B16561" s="21"/>
    </row>
    <row r="16562" spans="2:2">
      <c r="B16562" s="21"/>
    </row>
    <row r="16563" spans="2:2">
      <c r="B16563" s="21"/>
    </row>
    <row r="16564" spans="2:2">
      <c r="B16564" s="21"/>
    </row>
    <row r="16565" spans="2:2">
      <c r="B16565" s="21"/>
    </row>
    <row r="16566" spans="2:2">
      <c r="B16566" s="21"/>
    </row>
    <row r="16567" spans="2:2">
      <c r="B16567" s="21"/>
    </row>
    <row r="16568" spans="2:2">
      <c r="B16568" s="21"/>
    </row>
    <row r="16569" spans="2:2">
      <c r="B16569" s="21"/>
    </row>
    <row r="16570" spans="2:2">
      <c r="B16570" s="21"/>
    </row>
    <row r="16571" spans="2:2">
      <c r="B16571" s="21"/>
    </row>
    <row r="16572" spans="2:2">
      <c r="B16572" s="21"/>
    </row>
    <row r="16573" spans="2:2">
      <c r="B16573" s="21"/>
    </row>
    <row r="16574" spans="2:2">
      <c r="B16574" s="21"/>
    </row>
    <row r="16575" spans="2:2">
      <c r="B16575" s="21"/>
    </row>
    <row r="16576" spans="2:2">
      <c r="B16576" s="21"/>
    </row>
    <row r="16577" spans="2:2">
      <c r="B16577" s="21"/>
    </row>
    <row r="16578" spans="2:2">
      <c r="B16578" s="21"/>
    </row>
    <row r="16579" spans="2:2">
      <c r="B16579" s="21"/>
    </row>
    <row r="16580" spans="2:2">
      <c r="B16580" s="21"/>
    </row>
    <row r="16581" spans="2:2">
      <c r="B16581" s="21"/>
    </row>
    <row r="16582" spans="2:2">
      <c r="B16582" s="21"/>
    </row>
    <row r="16583" spans="2:2">
      <c r="B16583" s="21"/>
    </row>
    <row r="16584" spans="2:2">
      <c r="B16584" s="21"/>
    </row>
    <row r="16585" spans="2:2">
      <c r="B16585" s="21"/>
    </row>
    <row r="16586" spans="2:2">
      <c r="B16586" s="21"/>
    </row>
    <row r="16587" spans="2:2">
      <c r="B16587" s="21"/>
    </row>
    <row r="16588" spans="2:2">
      <c r="B16588" s="21"/>
    </row>
    <row r="16589" spans="2:2">
      <c r="B16589" s="21"/>
    </row>
    <row r="16590" spans="2:2">
      <c r="B16590" s="21"/>
    </row>
    <row r="16591" spans="2:2">
      <c r="B16591" s="21"/>
    </row>
    <row r="16592" spans="2:2">
      <c r="B16592" s="21"/>
    </row>
    <row r="16593" spans="2:2">
      <c r="B16593" s="21"/>
    </row>
    <row r="16594" spans="2:2">
      <c r="B16594" s="21"/>
    </row>
    <row r="16595" spans="2:2">
      <c r="B16595" s="21"/>
    </row>
    <row r="16596" spans="2:2">
      <c r="B16596" s="21"/>
    </row>
    <row r="16597" spans="2:2">
      <c r="B16597" s="21"/>
    </row>
    <row r="16598" spans="2:2">
      <c r="B16598" s="21"/>
    </row>
    <row r="16599" spans="2:2">
      <c r="B16599" s="21"/>
    </row>
    <row r="16600" spans="2:2">
      <c r="B16600" s="21"/>
    </row>
    <row r="16601" spans="2:2">
      <c r="B16601" s="21"/>
    </row>
    <row r="16602" spans="2:2">
      <c r="B16602" s="21"/>
    </row>
    <row r="16603" spans="2:2">
      <c r="B16603" s="21"/>
    </row>
    <row r="16604" spans="2:2">
      <c r="B16604" s="21"/>
    </row>
    <row r="16605" spans="2:2">
      <c r="B16605" s="21"/>
    </row>
    <row r="16606" spans="2:2">
      <c r="B16606" s="21"/>
    </row>
    <row r="16607" spans="2:2">
      <c r="B16607" s="21"/>
    </row>
    <row r="16608" spans="2:2">
      <c r="B16608" s="21"/>
    </row>
    <row r="16609" spans="2:2">
      <c r="B16609" s="21"/>
    </row>
    <row r="16610" spans="2:2">
      <c r="B16610" s="21"/>
    </row>
    <row r="16611" spans="2:2">
      <c r="B16611" s="21"/>
    </row>
    <row r="16612" spans="2:2">
      <c r="B16612" s="21"/>
    </row>
    <row r="16613" spans="2:2">
      <c r="B16613" s="21"/>
    </row>
    <row r="16614" spans="2:2">
      <c r="B16614" s="21"/>
    </row>
    <row r="16615" spans="2:2">
      <c r="B16615" s="21"/>
    </row>
    <row r="16616" spans="2:2">
      <c r="B16616" s="21"/>
    </row>
    <row r="16617" spans="2:2">
      <c r="B16617" s="21"/>
    </row>
    <row r="16618" spans="2:2">
      <c r="B16618" s="21"/>
    </row>
    <row r="16619" spans="2:2">
      <c r="B16619" s="21"/>
    </row>
    <row r="16620" spans="2:2">
      <c r="B16620" s="21"/>
    </row>
    <row r="16621" spans="2:2">
      <c r="B16621" s="21"/>
    </row>
    <row r="16622" spans="2:2">
      <c r="B16622" s="21"/>
    </row>
    <row r="16623" spans="2:2">
      <c r="B16623" s="21"/>
    </row>
    <row r="16624" spans="2:2">
      <c r="B16624" s="21"/>
    </row>
    <row r="16625" spans="2:2">
      <c r="B16625" s="21"/>
    </row>
    <row r="16626" spans="2:2">
      <c r="B16626" s="21"/>
    </row>
    <row r="16627" spans="2:2">
      <c r="B16627" s="21"/>
    </row>
    <row r="16628" spans="2:2">
      <c r="B16628" s="21"/>
    </row>
    <row r="16629" spans="2:2">
      <c r="B16629" s="21"/>
    </row>
    <row r="16630" spans="2:2">
      <c r="B16630" s="21"/>
    </row>
    <row r="16631" spans="2:2">
      <c r="B16631" s="21"/>
    </row>
    <row r="16632" spans="2:2">
      <c r="B16632" s="21"/>
    </row>
    <row r="16633" spans="2:2">
      <c r="B16633" s="21"/>
    </row>
    <row r="16634" spans="2:2">
      <c r="B16634" s="21"/>
    </row>
    <row r="16635" spans="2:2">
      <c r="B16635" s="21"/>
    </row>
    <row r="16636" spans="2:2">
      <c r="B16636" s="21"/>
    </row>
    <row r="16637" spans="2:2">
      <c r="B16637" s="21"/>
    </row>
    <row r="16638" spans="2:2">
      <c r="B16638" s="21"/>
    </row>
    <row r="16639" spans="2:2">
      <c r="B16639" s="21"/>
    </row>
    <row r="16640" spans="2:2">
      <c r="B16640" s="21"/>
    </row>
    <row r="16641" spans="2:2">
      <c r="B16641" s="21"/>
    </row>
    <row r="16642" spans="2:2">
      <c r="B16642" s="21"/>
    </row>
    <row r="16643" spans="2:2">
      <c r="B16643" s="21"/>
    </row>
    <row r="16644" spans="2:2">
      <c r="B16644" s="21"/>
    </row>
    <row r="16645" spans="2:2">
      <c r="B16645" s="21"/>
    </row>
    <row r="16646" spans="2:2">
      <c r="B16646" s="21"/>
    </row>
    <row r="16647" spans="2:2">
      <c r="B16647" s="21"/>
    </row>
    <row r="16648" spans="2:2">
      <c r="B16648" s="21"/>
    </row>
    <row r="16649" spans="2:2">
      <c r="B16649" s="21"/>
    </row>
    <row r="16650" spans="2:2">
      <c r="B16650" s="21"/>
    </row>
    <row r="16651" spans="2:2">
      <c r="B16651" s="21"/>
    </row>
    <row r="16652" spans="2:2">
      <c r="B16652" s="21"/>
    </row>
    <row r="16653" spans="2:2">
      <c r="B16653" s="21"/>
    </row>
    <row r="16654" spans="2:2">
      <c r="B16654" s="21"/>
    </row>
    <row r="16655" spans="2:2">
      <c r="B16655" s="21"/>
    </row>
    <row r="16656" spans="2:2">
      <c r="B16656" s="21"/>
    </row>
    <row r="16657" spans="2:2">
      <c r="B16657" s="21"/>
    </row>
    <row r="16658" spans="2:2">
      <c r="B16658" s="21"/>
    </row>
    <row r="16659" spans="2:2">
      <c r="B16659" s="21"/>
    </row>
    <row r="16660" spans="2:2">
      <c r="B16660" s="21"/>
    </row>
    <row r="16661" spans="2:2">
      <c r="B16661" s="21"/>
    </row>
    <row r="16662" spans="2:2">
      <c r="B16662" s="21"/>
    </row>
    <row r="16663" spans="2:2">
      <c r="B16663" s="21"/>
    </row>
    <row r="16664" spans="2:2">
      <c r="B16664" s="21"/>
    </row>
    <row r="16665" spans="2:2">
      <c r="B16665" s="21"/>
    </row>
    <row r="16666" spans="2:2">
      <c r="B16666" s="21"/>
    </row>
    <row r="16667" spans="2:2">
      <c r="B16667" s="21"/>
    </row>
    <row r="16668" spans="2:2">
      <c r="B16668" s="21"/>
    </row>
    <row r="16669" spans="2:2">
      <c r="B16669" s="21"/>
    </row>
    <row r="16670" spans="2:2">
      <c r="B16670" s="21"/>
    </row>
    <row r="16671" spans="2:2">
      <c r="B16671" s="21"/>
    </row>
    <row r="16672" spans="2:2">
      <c r="B16672" s="21"/>
    </row>
    <row r="16673" spans="2:2">
      <c r="B16673" s="21"/>
    </row>
    <row r="16674" spans="2:2">
      <c r="B16674" s="21"/>
    </row>
    <row r="16675" spans="2:2">
      <c r="B16675" s="21"/>
    </row>
    <row r="16676" spans="2:2">
      <c r="B16676" s="21"/>
    </row>
    <row r="16677" spans="2:2">
      <c r="B16677" s="21"/>
    </row>
    <row r="16678" spans="2:2">
      <c r="B16678" s="21"/>
    </row>
    <row r="16679" spans="2:2">
      <c r="B16679" s="21"/>
    </row>
    <row r="16680" spans="2:2">
      <c r="B16680" s="21"/>
    </row>
    <row r="16681" spans="2:2">
      <c r="B16681" s="21"/>
    </row>
    <row r="16682" spans="2:2">
      <c r="B16682" s="21"/>
    </row>
    <row r="16683" spans="2:2">
      <c r="B16683" s="21"/>
    </row>
    <row r="16684" spans="2:2">
      <c r="B16684" s="21"/>
    </row>
    <row r="16685" spans="2:2">
      <c r="B16685" s="21"/>
    </row>
    <row r="16686" spans="2:2">
      <c r="B16686" s="21"/>
    </row>
    <row r="16687" spans="2:2">
      <c r="B16687" s="21"/>
    </row>
    <row r="16688" spans="2:2">
      <c r="B16688" s="21"/>
    </row>
    <row r="16689" spans="2:2">
      <c r="B16689" s="21"/>
    </row>
    <row r="16690" spans="2:2">
      <c r="B16690" s="21"/>
    </row>
    <row r="16691" spans="2:2">
      <c r="B16691" s="21"/>
    </row>
    <row r="16692" spans="2:2">
      <c r="B16692" s="21"/>
    </row>
    <row r="16693" spans="2:2">
      <c r="B16693" s="21"/>
    </row>
    <row r="16694" spans="2:2">
      <c r="B16694" s="21"/>
    </row>
    <row r="16695" spans="2:2">
      <c r="B16695" s="21"/>
    </row>
    <row r="16696" spans="2:2">
      <c r="B16696" s="21"/>
    </row>
    <row r="16697" spans="2:2">
      <c r="B16697" s="21"/>
    </row>
    <row r="16698" spans="2:2">
      <c r="B16698" s="21"/>
    </row>
    <row r="16699" spans="2:2">
      <c r="B16699" s="21"/>
    </row>
    <row r="16700" spans="2:2">
      <c r="B16700" s="21"/>
    </row>
    <row r="16701" spans="2:2">
      <c r="B16701" s="21"/>
    </row>
    <row r="16702" spans="2:2">
      <c r="B16702" s="21"/>
    </row>
    <row r="16703" spans="2:2">
      <c r="B16703" s="21"/>
    </row>
    <row r="16704" spans="2:2">
      <c r="B16704" s="21"/>
    </row>
    <row r="16705" spans="2:2">
      <c r="B16705" s="21"/>
    </row>
    <row r="16706" spans="2:2">
      <c r="B16706" s="21"/>
    </row>
    <row r="16707" spans="2:2">
      <c r="B16707" s="21"/>
    </row>
    <row r="16708" spans="2:2">
      <c r="B16708" s="21"/>
    </row>
    <row r="16709" spans="2:2">
      <c r="B16709" s="21"/>
    </row>
    <row r="16710" spans="2:2">
      <c r="B16710" s="21"/>
    </row>
    <row r="16711" spans="2:2">
      <c r="B16711" s="21"/>
    </row>
    <row r="16712" spans="2:2">
      <c r="B16712" s="21"/>
    </row>
    <row r="16713" spans="2:2">
      <c r="B16713" s="21"/>
    </row>
    <row r="16714" spans="2:2">
      <c r="B16714" s="21"/>
    </row>
    <row r="16715" spans="2:2">
      <c r="B16715" s="21"/>
    </row>
    <row r="16716" spans="2:2">
      <c r="B16716" s="21"/>
    </row>
    <row r="16717" spans="2:2">
      <c r="B16717" s="21"/>
    </row>
    <row r="16718" spans="2:2">
      <c r="B16718" s="21"/>
    </row>
    <row r="16719" spans="2:2">
      <c r="B16719" s="21"/>
    </row>
    <row r="16720" spans="2:2">
      <c r="B16720" s="21"/>
    </row>
    <row r="16721" spans="2:2">
      <c r="B16721" s="21"/>
    </row>
    <row r="16722" spans="2:2">
      <c r="B16722" s="21"/>
    </row>
    <row r="16723" spans="2:2">
      <c r="B16723" s="21"/>
    </row>
    <row r="16724" spans="2:2">
      <c r="B16724" s="21"/>
    </row>
    <row r="16725" spans="2:2">
      <c r="B16725" s="21"/>
    </row>
    <row r="16726" spans="2:2">
      <c r="B16726" s="21"/>
    </row>
    <row r="16727" spans="2:2">
      <c r="B16727" s="21"/>
    </row>
    <row r="16728" spans="2:2">
      <c r="B16728" s="21"/>
    </row>
    <row r="16729" spans="2:2">
      <c r="B16729" s="21"/>
    </row>
    <row r="16730" spans="2:2">
      <c r="B16730" s="21"/>
    </row>
    <row r="16731" spans="2:2">
      <c r="B16731" s="21"/>
    </row>
    <row r="16732" spans="2:2">
      <c r="B16732" s="21"/>
    </row>
    <row r="16733" spans="2:2">
      <c r="B16733" s="21"/>
    </row>
    <row r="16734" spans="2:2">
      <c r="B16734" s="21"/>
    </row>
    <row r="16735" spans="2:2">
      <c r="B16735" s="21"/>
    </row>
    <row r="16736" spans="2:2">
      <c r="B16736" s="21"/>
    </row>
    <row r="16737" spans="2:2">
      <c r="B16737" s="21"/>
    </row>
    <row r="16738" spans="2:2">
      <c r="B16738" s="21"/>
    </row>
    <row r="16739" spans="2:2">
      <c r="B16739" s="21"/>
    </row>
    <row r="16740" spans="2:2">
      <c r="B16740" s="21"/>
    </row>
    <row r="16741" spans="2:2">
      <c r="B16741" s="21"/>
    </row>
    <row r="16742" spans="2:2">
      <c r="B16742" s="21"/>
    </row>
    <row r="16743" spans="2:2">
      <c r="B16743" s="21"/>
    </row>
    <row r="16744" spans="2:2">
      <c r="B16744" s="21"/>
    </row>
    <row r="16745" spans="2:2">
      <c r="B16745" s="21"/>
    </row>
    <row r="16746" spans="2:2">
      <c r="B16746" s="21"/>
    </row>
    <row r="16747" spans="2:2">
      <c r="B16747" s="21"/>
    </row>
    <row r="16748" spans="2:2">
      <c r="B16748" s="21"/>
    </row>
  </sheetData>
  <mergeCells count="10">
    <mergeCell ref="B49:E49"/>
    <mergeCell ref="B69:I69"/>
    <mergeCell ref="B1:E1"/>
    <mergeCell ref="G1:J1"/>
    <mergeCell ref="L1:O1"/>
    <mergeCell ref="N15:P15"/>
    <mergeCell ref="J15:L15"/>
    <mergeCell ref="F15:H15"/>
    <mergeCell ref="B15:D15"/>
    <mergeCell ref="B39:F39"/>
  </mergeCells>
  <conditionalFormatting sqref="C51:E57">
    <cfRule type="colorScale" priority="3">
      <colorScale>
        <cfvo type="min"/>
        <cfvo type="percentile" val="50"/>
        <cfvo type="max"/>
        <color rgb="FF98CB89"/>
        <color theme="0"/>
        <color theme="5" tint="0.39997558519241921"/>
      </colorScale>
    </cfRule>
  </conditionalFormatting>
  <conditionalFormatting sqref="C60:E64">
    <cfRule type="colorScale" priority="2">
      <colorScale>
        <cfvo type="min"/>
        <cfvo type="percentile" val="50"/>
        <cfvo type="max"/>
        <color rgb="FF98CB89"/>
        <color theme="0"/>
        <color theme="5" tint="0.39997558519241921"/>
      </colorScale>
    </cfRule>
  </conditionalFormatting>
  <conditionalFormatting sqref="C181:M185">
    <cfRule type="colorScale" priority="1">
      <colorScale>
        <cfvo type="min"/>
        <cfvo type="percentile" val="50"/>
        <cfvo type="max"/>
        <color rgb="FF98CB89"/>
        <color theme="0"/>
        <color theme="5" tint="0.39997558519241921"/>
      </colorScale>
    </cfRule>
  </conditionalFormatting>
  <conditionalFormatting sqref="D17:D29">
    <cfRule type="cellIs" dxfId="18" priority="9" operator="greaterThan">
      <formula>0.005</formula>
    </cfRule>
    <cfRule type="cellIs" dxfId="17" priority="8" operator="lessThan">
      <formula>-0.005</formula>
    </cfRule>
  </conditionalFormatting>
  <conditionalFormatting sqref="D27 D17">
    <cfRule type="colorScale" priority="10">
      <colorScale>
        <cfvo type="formula" val="$E$3&gt;-1%"/>
        <cfvo type="max"/>
        <color theme="5"/>
        <color rgb="FFFFEF9C"/>
      </colorScale>
    </cfRule>
  </conditionalFormatting>
  <conditionalFormatting sqref="D31:D32">
    <cfRule type="cellIs" dxfId="16" priority="6" operator="lessThan">
      <formula>-0.005</formula>
    </cfRule>
    <cfRule type="cellIs" dxfId="15" priority="7" operator="greaterThan">
      <formula>0.005</formula>
    </cfRule>
  </conditionalFormatting>
  <conditionalFormatting sqref="E3">
    <cfRule type="colorScale" priority="51">
      <colorScale>
        <cfvo type="formula" val="$E$3&gt;-1%"/>
        <cfvo type="max"/>
        <color theme="5"/>
        <color rgb="FFFFEF9C"/>
      </colorScale>
    </cfRule>
  </conditionalFormatting>
  <conditionalFormatting sqref="E3:E12">
    <cfRule type="cellIs" dxfId="14" priority="49" operator="lessThan">
      <formula>-0.01</formula>
    </cfRule>
    <cfRule type="cellIs" dxfId="13" priority="50" operator="greaterThan">
      <formula>0.01</formula>
    </cfRule>
  </conditionalFormatting>
  <conditionalFormatting sqref="F41:F45">
    <cfRule type="cellIs" dxfId="12" priority="5" operator="greaterThan">
      <formula>0</formula>
    </cfRule>
    <cfRule type="cellIs" dxfId="11" priority="4" operator="lessThan">
      <formula>0</formula>
    </cfRule>
  </conditionalFormatting>
  <conditionalFormatting sqref="H17:H27">
    <cfRule type="cellIs" dxfId="10" priority="36" operator="lessThan">
      <formula>-0.005</formula>
    </cfRule>
    <cfRule type="cellIs" dxfId="9" priority="37" operator="greaterThan">
      <formula>0.005</formula>
    </cfRule>
  </conditionalFormatting>
  <conditionalFormatting sqref="H27 H17">
    <cfRule type="colorScale" priority="38">
      <colorScale>
        <cfvo type="formula" val="$E$3&gt;-1%"/>
        <cfvo type="max"/>
        <color theme="5"/>
        <color rgb="FFFFEF9C"/>
      </colorScale>
    </cfRule>
  </conditionalFormatting>
  <conditionalFormatting sqref="J3">
    <cfRule type="colorScale" priority="48">
      <colorScale>
        <cfvo type="formula" val="$E$3&gt;-1%"/>
        <cfvo type="max"/>
        <color theme="5"/>
        <color rgb="FFFFEF9C"/>
      </colorScale>
    </cfRule>
  </conditionalFormatting>
  <conditionalFormatting sqref="J3:J12">
    <cfRule type="cellIs" dxfId="7" priority="46" operator="lessThan">
      <formula>-0.01</formula>
    </cfRule>
    <cfRule type="cellIs" dxfId="6" priority="47" operator="greaterThan">
      <formula>0.1</formula>
    </cfRule>
  </conditionalFormatting>
  <conditionalFormatting sqref="L17:L32">
    <cfRule type="cellIs" dxfId="5" priority="31" operator="greaterThan">
      <formula>0.005</formula>
    </cfRule>
    <cfRule type="cellIs" dxfId="4" priority="30" operator="lessThan">
      <formula>-0.005</formula>
    </cfRule>
  </conditionalFormatting>
  <conditionalFormatting sqref="L27:L28 L17">
    <cfRule type="colorScale" priority="32">
      <colorScale>
        <cfvo type="formula" val="$E$3&gt;-1%"/>
        <cfvo type="max"/>
        <color theme="5"/>
        <color rgb="FFFFEF9C"/>
      </colorScale>
    </cfRule>
  </conditionalFormatting>
  <conditionalFormatting sqref="O3">
    <cfRule type="colorScale" priority="45">
      <colorScale>
        <cfvo type="formula" val="$E$3&gt;-1%"/>
        <cfvo type="max"/>
        <color theme="5"/>
        <color rgb="FFFFEF9C"/>
      </colorScale>
    </cfRule>
  </conditionalFormatting>
  <conditionalFormatting sqref="O3:O12">
    <cfRule type="cellIs" dxfId="3" priority="43" operator="lessThan">
      <formula>-0.1</formula>
    </cfRule>
    <cfRule type="cellIs" dxfId="2" priority="44" operator="greaterThan">
      <formula>0.1</formula>
    </cfRule>
  </conditionalFormatting>
  <conditionalFormatting sqref="P17:P33">
    <cfRule type="cellIs" dxfId="1" priority="27" operator="lessThan">
      <formula>-0.005</formula>
    </cfRule>
    <cfRule type="cellIs" dxfId="0" priority="28" operator="greaterThan">
      <formula>0.005</formula>
    </cfRule>
  </conditionalFormatting>
  <conditionalFormatting sqref="P27:P28 P17 P33">
    <cfRule type="colorScale" priority="29">
      <colorScale>
        <cfvo type="formula" val="$E$3&gt;-1%"/>
        <cfvo type="max"/>
        <color theme="5"/>
        <color rgb="FFFFEF9C"/>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ontainsText" priority="25" operator="containsText" id="{2997D682-2CFA-D446-A685-9A2C5495190C}">
            <xm:f>NOT(ISERROR(SEARCH("-",H20)))</xm:f>
            <xm:f>"-"</xm:f>
            <x14:dxf>
              <fill>
                <patternFill>
                  <bgColor theme="0"/>
                </patternFill>
              </fill>
            </x14:dxf>
          </x14:cfRule>
          <xm:sqref>H20</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0CB2F-5BF9-B048-A239-4405574AEC85}">
  <dimension ref="A1:P19"/>
  <sheetViews>
    <sheetView workbookViewId="0">
      <selection activeCell="B10" sqref="B10"/>
    </sheetView>
  </sheetViews>
  <sheetFormatPr baseColWidth="10" defaultRowHeight="13"/>
  <cols>
    <col min="2" max="2" width="10.83203125" style="70"/>
  </cols>
  <sheetData>
    <row r="1" spans="1:7" ht="18">
      <c r="A1" s="214" t="s">
        <v>623</v>
      </c>
      <c r="B1" s="239" t="s">
        <v>339</v>
      </c>
      <c r="F1" s="431" t="s">
        <v>345</v>
      </c>
      <c r="G1" s="431"/>
    </row>
    <row r="2" spans="1:7">
      <c r="A2" s="214" t="s">
        <v>620</v>
      </c>
      <c r="B2" s="240">
        <v>215</v>
      </c>
      <c r="F2" s="214" t="s">
        <v>332</v>
      </c>
      <c r="G2" s="214">
        <v>0.30528804986472946</v>
      </c>
    </row>
    <row r="3" spans="1:7">
      <c r="A3" s="214" t="s">
        <v>604</v>
      </c>
      <c r="B3" s="240">
        <v>200</v>
      </c>
      <c r="F3" s="214" t="s">
        <v>341</v>
      </c>
      <c r="G3" s="214">
        <v>1.0950798845488659E-2</v>
      </c>
    </row>
    <row r="4" spans="1:7">
      <c r="A4" s="214" t="s">
        <v>618</v>
      </c>
      <c r="B4" s="240">
        <v>1</v>
      </c>
      <c r="F4" s="214" t="s">
        <v>342</v>
      </c>
      <c r="G4" s="214">
        <v>56.06809008890194</v>
      </c>
    </row>
    <row r="5" spans="1:7">
      <c r="A5" s="214" t="s">
        <v>596</v>
      </c>
      <c r="B5" s="240">
        <v>0.05</v>
      </c>
      <c r="F5" s="214" t="s">
        <v>343</v>
      </c>
      <c r="G5" s="214">
        <v>-2.1280375338600898E-2</v>
      </c>
    </row>
    <row r="6" spans="1:7">
      <c r="A6" s="214" t="s">
        <v>619</v>
      </c>
      <c r="B6" s="240">
        <v>0.2</v>
      </c>
      <c r="F6" s="214" t="s">
        <v>622</v>
      </c>
      <c r="G6" s="214">
        <v>43.210559793982668</v>
      </c>
    </row>
    <row r="7" spans="1:7">
      <c r="A7" s="214" t="s">
        <v>621</v>
      </c>
      <c r="B7" s="239" t="s">
        <v>599</v>
      </c>
    </row>
    <row r="10" spans="1:7">
      <c r="B10" s="239" t="s">
        <v>628</v>
      </c>
    </row>
    <row r="12" spans="1:7">
      <c r="A12" s="214" t="s">
        <v>625</v>
      </c>
      <c r="B12" s="217">
        <v>0.9</v>
      </c>
    </row>
    <row r="13" spans="1:7">
      <c r="A13" s="214" t="s">
        <v>624</v>
      </c>
      <c r="B13" s="217">
        <v>1</v>
      </c>
    </row>
    <row r="14" spans="1:7">
      <c r="A14" s="214" t="s">
        <v>627</v>
      </c>
      <c r="B14" s="217">
        <v>1.1000000000000001</v>
      </c>
    </row>
    <row r="15" spans="1:7">
      <c r="A15" s="214" t="s">
        <v>626</v>
      </c>
      <c r="B15" s="217">
        <v>1.2</v>
      </c>
    </row>
    <row r="19" spans="14:16">
      <c r="N19" s="20" t="s">
        <v>805</v>
      </c>
      <c r="O19" s="20"/>
      <c r="P19" s="271">
        <v>45870</v>
      </c>
    </row>
  </sheetData>
  <mergeCells count="1">
    <mergeCell ref="F1:G1"/>
  </mergeCells>
  <dataValidations count="2">
    <dataValidation type="list" allowBlank="1" showInputMessage="1" showErrorMessage="1" sqref="B10" xr:uid="{AD42FD5B-5F3F-0743-A142-8A503C0668B6}">
      <formula1>"Call,Put,Synthetic Long,Synthetic Short,Bull Call Spread,Bear Put Spread,Covered Call,Protective Put,Collar,Straddle,Butterfly Spread,Iron Condor,Calendar Spread"</formula1>
    </dataValidation>
    <dataValidation type="list" allowBlank="1" showInputMessage="1" showErrorMessage="1" sqref="B7" xr:uid="{3A206CBD-314E-2943-BBE0-202C9318F375}">
      <formula1>"call, put"</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EA802-CFCA-3E4D-9EDF-D61F2A83AAE8}">
  <dimension ref="A4:F145"/>
  <sheetViews>
    <sheetView showGridLines="0" workbookViewId="0">
      <selection activeCell="B4" sqref="B4"/>
    </sheetView>
  </sheetViews>
  <sheetFormatPr baseColWidth="10" defaultRowHeight="13"/>
  <cols>
    <col min="1" max="1" width="41.1640625" bestFit="1" customWidth="1"/>
    <col min="2" max="2" width="28" bestFit="1" customWidth="1"/>
  </cols>
  <sheetData>
    <row r="4" spans="1:6" ht="16">
      <c r="A4" s="286" t="s">
        <v>672</v>
      </c>
      <c r="B4" s="275" t="s">
        <v>664</v>
      </c>
    </row>
    <row r="5" spans="1:6">
      <c r="B5" s="20"/>
    </row>
    <row r="6" spans="1:6">
      <c r="A6" s="20"/>
      <c r="B6" s="20"/>
      <c r="E6" s="20"/>
      <c r="F6" s="20"/>
    </row>
    <row r="7" spans="1:6" ht="14">
      <c r="A7" s="20"/>
      <c r="B7" s="276" t="s">
        <v>598</v>
      </c>
      <c r="E7" s="20"/>
      <c r="F7" s="20"/>
    </row>
    <row r="8" spans="1:6" ht="14">
      <c r="A8" s="241" t="s">
        <v>183</v>
      </c>
      <c r="B8" s="287" t="s">
        <v>339</v>
      </c>
      <c r="E8" s="20"/>
      <c r="F8" s="20"/>
    </row>
    <row r="9" spans="1:6" ht="14">
      <c r="A9" s="241" t="s">
        <v>597</v>
      </c>
      <c r="B9" s="287">
        <v>20250815</v>
      </c>
      <c r="E9" s="20"/>
      <c r="F9" s="20"/>
    </row>
    <row r="10" spans="1:6" ht="14">
      <c r="A10" s="241" t="s">
        <v>669</v>
      </c>
      <c r="B10" s="287">
        <v>200</v>
      </c>
      <c r="E10" s="20"/>
    </row>
    <row r="11" spans="1:6" ht="14">
      <c r="A11" s="241" t="s">
        <v>394</v>
      </c>
      <c r="B11" s="287" t="s">
        <v>391</v>
      </c>
      <c r="E11" s="20"/>
      <c r="F11" s="20"/>
    </row>
    <row r="12" spans="1:6" ht="14">
      <c r="A12" s="241" t="s">
        <v>630</v>
      </c>
      <c r="B12" s="287">
        <v>2</v>
      </c>
      <c r="D12" s="20"/>
      <c r="F12" s="20"/>
    </row>
    <row r="13" spans="1:6" ht="14">
      <c r="A13" s="241" t="s">
        <v>631</v>
      </c>
      <c r="B13" s="287">
        <v>6</v>
      </c>
      <c r="F13" s="20"/>
    </row>
    <row r="16" spans="1:6" ht="16">
      <c r="B16" s="275" t="s">
        <v>632</v>
      </c>
    </row>
    <row r="17" spans="1:4" ht="14">
      <c r="A17" s="241" t="s">
        <v>183</v>
      </c>
      <c r="B17" s="239" t="s">
        <v>339</v>
      </c>
    </row>
    <row r="18" spans="1:4" ht="14">
      <c r="A18" s="241" t="s">
        <v>597</v>
      </c>
      <c r="B18" s="239">
        <v>20250815</v>
      </c>
    </row>
    <row r="19" spans="1:4" ht="14">
      <c r="A19" s="241" t="s">
        <v>629</v>
      </c>
      <c r="B19" s="239">
        <v>200</v>
      </c>
    </row>
    <row r="20" spans="1:4" ht="14">
      <c r="A20" s="241" t="s">
        <v>394</v>
      </c>
      <c r="B20" s="239" t="s">
        <v>391</v>
      </c>
    </row>
    <row r="21" spans="1:4" ht="14">
      <c r="A21" s="241" t="s">
        <v>630</v>
      </c>
      <c r="B21" s="240">
        <v>2</v>
      </c>
      <c r="D21" s="20"/>
    </row>
    <row r="22" spans="1:4" ht="14">
      <c r="A22" s="241" t="s">
        <v>631</v>
      </c>
      <c r="B22" s="239">
        <v>6</v>
      </c>
    </row>
    <row r="27" spans="1:4" ht="16">
      <c r="B27" s="275" t="s">
        <v>646</v>
      </c>
    </row>
    <row r="28" spans="1:4" ht="14">
      <c r="A28" s="241" t="s">
        <v>633</v>
      </c>
      <c r="B28" s="239" t="s">
        <v>339</v>
      </c>
    </row>
    <row r="29" spans="1:4" ht="14">
      <c r="A29" s="241" t="s">
        <v>634</v>
      </c>
      <c r="B29" s="239">
        <v>20250815</v>
      </c>
    </row>
    <row r="30" spans="1:4" ht="14">
      <c r="A30" s="241" t="s">
        <v>635</v>
      </c>
      <c r="B30" s="240">
        <v>200</v>
      </c>
    </row>
    <row r="31" spans="1:4" ht="14">
      <c r="A31" s="241" t="s">
        <v>630</v>
      </c>
      <c r="B31" s="240">
        <v>5</v>
      </c>
    </row>
    <row r="32" spans="1:4" ht="14">
      <c r="A32" s="241" t="s">
        <v>647</v>
      </c>
      <c r="B32" s="240">
        <v>6</v>
      </c>
      <c r="D32" s="20"/>
    </row>
    <row r="38" spans="1:4" ht="16">
      <c r="B38" s="275" t="s">
        <v>648</v>
      </c>
    </row>
    <row r="39" spans="1:4" ht="14">
      <c r="A39" s="241" t="s">
        <v>633</v>
      </c>
      <c r="B39" s="239" t="s">
        <v>339</v>
      </c>
    </row>
    <row r="40" spans="1:4" ht="14">
      <c r="A40" s="241" t="s">
        <v>634</v>
      </c>
      <c r="B40" s="239">
        <v>20250815</v>
      </c>
    </row>
    <row r="41" spans="1:4" ht="14">
      <c r="A41" s="241" t="s">
        <v>635</v>
      </c>
      <c r="B41" s="240">
        <v>100</v>
      </c>
    </row>
    <row r="42" spans="1:4" ht="14">
      <c r="A42" s="241" t="s">
        <v>630</v>
      </c>
      <c r="B42" s="240">
        <v>5</v>
      </c>
    </row>
    <row r="43" spans="1:4" ht="14">
      <c r="A43" s="241" t="s">
        <v>647</v>
      </c>
      <c r="B43" s="240">
        <v>60</v>
      </c>
      <c r="D43" s="20"/>
    </row>
    <row r="49" spans="1:4" ht="16">
      <c r="B49" s="275" t="s">
        <v>636</v>
      </c>
    </row>
    <row r="50" spans="1:4" ht="14">
      <c r="A50" s="241" t="s">
        <v>633</v>
      </c>
      <c r="B50" s="239" t="s">
        <v>339</v>
      </c>
    </row>
    <row r="51" spans="1:4" ht="14">
      <c r="A51" s="241" t="s">
        <v>637</v>
      </c>
      <c r="B51" s="239">
        <v>20250815</v>
      </c>
    </row>
    <row r="52" spans="1:4" ht="14">
      <c r="A52" s="241" t="s">
        <v>638</v>
      </c>
      <c r="B52" s="240">
        <v>190</v>
      </c>
    </row>
    <row r="53" spans="1:4" ht="14">
      <c r="A53" s="241" t="s">
        <v>639</v>
      </c>
      <c r="B53" s="240">
        <v>200</v>
      </c>
    </row>
    <row r="54" spans="1:4" ht="14">
      <c r="A54" s="241" t="s">
        <v>630</v>
      </c>
      <c r="B54" s="240">
        <v>5</v>
      </c>
    </row>
    <row r="55" spans="1:4" ht="14">
      <c r="A55" s="241" t="s">
        <v>649</v>
      </c>
      <c r="B55" s="240">
        <v>6.5</v>
      </c>
      <c r="D55" s="20"/>
    </row>
    <row r="60" spans="1:4" ht="16">
      <c r="B60" s="275" t="s">
        <v>640</v>
      </c>
    </row>
    <row r="61" spans="1:4" ht="14">
      <c r="A61" s="241" t="s">
        <v>633</v>
      </c>
      <c r="B61" s="239" t="s">
        <v>339</v>
      </c>
    </row>
    <row r="62" spans="1:4" ht="14">
      <c r="A62" s="241" t="s">
        <v>637</v>
      </c>
      <c r="B62" s="239">
        <v>20250815</v>
      </c>
    </row>
    <row r="63" spans="1:4" ht="14">
      <c r="A63" s="241" t="s">
        <v>638</v>
      </c>
      <c r="B63" s="240">
        <v>200</v>
      </c>
    </row>
    <row r="64" spans="1:4" ht="14">
      <c r="A64" s="241" t="s">
        <v>639</v>
      </c>
      <c r="B64" s="240">
        <v>190</v>
      </c>
    </row>
    <row r="65" spans="1:4" ht="14">
      <c r="A65" s="241" t="s">
        <v>630</v>
      </c>
      <c r="B65" s="240">
        <v>1</v>
      </c>
    </row>
    <row r="66" spans="1:4" ht="14">
      <c r="A66" s="241" t="s">
        <v>649</v>
      </c>
      <c r="B66" s="240">
        <v>5</v>
      </c>
      <c r="D66" s="20"/>
    </row>
    <row r="71" spans="1:4" ht="16">
      <c r="B71" s="275" t="s">
        <v>628</v>
      </c>
    </row>
    <row r="72" spans="1:4" ht="14">
      <c r="A72" s="241" t="s">
        <v>633</v>
      </c>
      <c r="B72" s="239" t="s">
        <v>339</v>
      </c>
    </row>
    <row r="73" spans="1:4" ht="14">
      <c r="A73" s="241" t="s">
        <v>634</v>
      </c>
      <c r="B73" s="239">
        <v>20250815</v>
      </c>
    </row>
    <row r="74" spans="1:4" ht="14">
      <c r="A74" s="241" t="s">
        <v>336</v>
      </c>
      <c r="B74" s="239">
        <v>200</v>
      </c>
    </row>
    <row r="75" spans="1:4" ht="14">
      <c r="A75" s="241" t="s">
        <v>630</v>
      </c>
      <c r="B75" s="240">
        <v>1</v>
      </c>
    </row>
    <row r="76" spans="1:4" ht="14">
      <c r="A76" s="241" t="s">
        <v>649</v>
      </c>
      <c r="B76" s="240">
        <v>5</v>
      </c>
      <c r="D76" s="20"/>
    </row>
    <row r="81" spans="1:4" ht="16">
      <c r="B81" s="275" t="s">
        <v>650</v>
      </c>
    </row>
    <row r="82" spans="1:4" ht="14">
      <c r="A82" s="241" t="s">
        <v>633</v>
      </c>
      <c r="B82" s="239" t="s">
        <v>339</v>
      </c>
    </row>
    <row r="83" spans="1:4" ht="14">
      <c r="A83" s="241" t="s">
        <v>634</v>
      </c>
      <c r="B83" s="239">
        <v>20250815</v>
      </c>
    </row>
    <row r="84" spans="1:4" ht="14">
      <c r="A84" s="241" t="s">
        <v>336</v>
      </c>
      <c r="B84" s="239">
        <v>250</v>
      </c>
    </row>
    <row r="85" spans="1:4" ht="14">
      <c r="A85" s="241" t="s">
        <v>630</v>
      </c>
      <c r="B85" s="239">
        <v>3</v>
      </c>
    </row>
    <row r="86" spans="1:4" ht="14">
      <c r="A86" s="241" t="s">
        <v>649</v>
      </c>
      <c r="B86" s="239">
        <v>5</v>
      </c>
      <c r="D86" s="20"/>
    </row>
    <row r="91" spans="1:4" ht="16">
      <c r="B91" s="275" t="s">
        <v>641</v>
      </c>
    </row>
    <row r="92" spans="1:4" ht="14">
      <c r="A92" s="241" t="s">
        <v>633</v>
      </c>
      <c r="B92" s="239" t="s">
        <v>339</v>
      </c>
    </row>
    <row r="93" spans="1:4" ht="14">
      <c r="A93" s="241" t="s">
        <v>651</v>
      </c>
      <c r="B93" s="239">
        <v>20250815</v>
      </c>
    </row>
    <row r="94" spans="1:4" ht="14">
      <c r="A94" s="241" t="s">
        <v>652</v>
      </c>
      <c r="B94" s="240">
        <v>120</v>
      </c>
    </row>
    <row r="95" spans="1:4" ht="14">
      <c r="A95" s="241" t="s">
        <v>653</v>
      </c>
      <c r="B95" s="240">
        <v>140</v>
      </c>
    </row>
    <row r="96" spans="1:4" ht="14">
      <c r="A96" s="241" t="s">
        <v>630</v>
      </c>
      <c r="B96" s="240">
        <v>1</v>
      </c>
    </row>
    <row r="97" spans="1:4" ht="14">
      <c r="A97" s="241" t="s">
        <v>649</v>
      </c>
      <c r="B97" s="240">
        <v>0.5</v>
      </c>
      <c r="D97" s="20"/>
    </row>
    <row r="102" spans="1:4" ht="16">
      <c r="B102" s="275" t="s">
        <v>642</v>
      </c>
    </row>
    <row r="103" spans="1:4" ht="14">
      <c r="A103" s="241" t="s">
        <v>633</v>
      </c>
      <c r="B103" s="239" t="s">
        <v>339</v>
      </c>
    </row>
    <row r="104" spans="1:4" ht="14">
      <c r="A104" s="241" t="s">
        <v>637</v>
      </c>
      <c r="B104" s="239">
        <v>20250815</v>
      </c>
    </row>
    <row r="105" spans="1:4" ht="14">
      <c r="A105" s="241" t="s">
        <v>635</v>
      </c>
      <c r="B105" s="240">
        <v>180</v>
      </c>
    </row>
    <row r="106" spans="1:4" ht="14">
      <c r="A106" s="241" t="s">
        <v>630</v>
      </c>
      <c r="B106" s="240">
        <v>1</v>
      </c>
    </row>
    <row r="107" spans="1:4" ht="14">
      <c r="A107" s="241" t="s">
        <v>649</v>
      </c>
      <c r="B107" s="240">
        <v>6</v>
      </c>
      <c r="D107" s="20"/>
    </row>
    <row r="108" spans="1:4" ht="14">
      <c r="A108" s="241" t="s">
        <v>670</v>
      </c>
      <c r="B108" s="239" t="s">
        <v>390</v>
      </c>
    </row>
    <row r="113" spans="1:4" ht="16">
      <c r="B113" s="275" t="s">
        <v>643</v>
      </c>
    </row>
    <row r="114" spans="1:4" ht="14">
      <c r="A114" s="241" t="s">
        <v>633</v>
      </c>
      <c r="B114" s="239" t="s">
        <v>339</v>
      </c>
    </row>
    <row r="115" spans="1:4" ht="14">
      <c r="A115" s="241" t="s">
        <v>651</v>
      </c>
      <c r="B115" s="239">
        <v>20250815</v>
      </c>
    </row>
    <row r="116" spans="1:4" ht="14">
      <c r="A116" s="241" t="s">
        <v>656</v>
      </c>
      <c r="B116" s="240">
        <v>150</v>
      </c>
    </row>
    <row r="117" spans="1:4" ht="14">
      <c r="A117" s="241" t="s">
        <v>657</v>
      </c>
      <c r="B117" s="240">
        <v>190</v>
      </c>
    </row>
    <row r="118" spans="1:4" ht="14">
      <c r="A118" s="241" t="s">
        <v>658</v>
      </c>
      <c r="B118" s="240">
        <v>220</v>
      </c>
    </row>
    <row r="119" spans="1:4" ht="14">
      <c r="A119" s="241" t="s">
        <v>655</v>
      </c>
      <c r="B119" s="240">
        <v>1</v>
      </c>
    </row>
    <row r="120" spans="1:4" ht="14">
      <c r="A120" s="241" t="s">
        <v>649</v>
      </c>
      <c r="B120" s="240">
        <v>0.5</v>
      </c>
      <c r="D120" s="20"/>
    </row>
    <row r="126" spans="1:4" ht="16">
      <c r="B126" s="275" t="s">
        <v>644</v>
      </c>
    </row>
    <row r="127" spans="1:4" ht="14">
      <c r="A127" s="241" t="s">
        <v>633</v>
      </c>
      <c r="B127" s="239" t="s">
        <v>339</v>
      </c>
    </row>
    <row r="128" spans="1:4" ht="14">
      <c r="A128" s="241" t="s">
        <v>645</v>
      </c>
      <c r="B128" s="239">
        <v>20250815</v>
      </c>
    </row>
    <row r="129" spans="1:4" ht="14">
      <c r="A129" s="241" t="s">
        <v>659</v>
      </c>
      <c r="B129" s="240">
        <v>180</v>
      </c>
    </row>
    <row r="130" spans="1:4" ht="14">
      <c r="A130" s="241" t="s">
        <v>660</v>
      </c>
      <c r="B130" s="240">
        <v>190</v>
      </c>
    </row>
    <row r="131" spans="1:4" ht="14">
      <c r="A131" s="241" t="s">
        <v>661</v>
      </c>
      <c r="B131" s="240">
        <v>210</v>
      </c>
    </row>
    <row r="132" spans="1:4" ht="14">
      <c r="A132" s="241" t="s">
        <v>662</v>
      </c>
      <c r="B132" s="240">
        <v>230</v>
      </c>
    </row>
    <row r="133" spans="1:4" ht="14">
      <c r="A133" s="241" t="s">
        <v>663</v>
      </c>
      <c r="B133" s="240">
        <v>1</v>
      </c>
    </row>
    <row r="134" spans="1:4" ht="14">
      <c r="A134" s="241" t="s">
        <v>654</v>
      </c>
      <c r="B134" s="240">
        <v>3</v>
      </c>
      <c r="D134" s="20"/>
    </row>
    <row r="138" spans="1:4" ht="16">
      <c r="B138" s="275" t="s">
        <v>664</v>
      </c>
    </row>
    <row r="139" spans="1:4" ht="14">
      <c r="A139" s="241" t="s">
        <v>671</v>
      </c>
      <c r="B139" s="239" t="s">
        <v>339</v>
      </c>
    </row>
    <row r="140" spans="1:4" ht="14">
      <c r="A140" s="241" t="s">
        <v>621</v>
      </c>
      <c r="B140" s="239" t="s">
        <v>668</v>
      </c>
    </row>
    <row r="141" spans="1:4" ht="14">
      <c r="A141" s="241" t="s">
        <v>604</v>
      </c>
      <c r="B141" s="240">
        <v>180</v>
      </c>
    </row>
    <row r="142" spans="1:4" ht="14">
      <c r="A142" s="241" t="s">
        <v>665</v>
      </c>
      <c r="B142" s="240">
        <v>20250815</v>
      </c>
    </row>
    <row r="143" spans="1:4" ht="14">
      <c r="A143" s="241" t="s">
        <v>666</v>
      </c>
      <c r="B143" s="240">
        <v>20250919</v>
      </c>
    </row>
    <row r="144" spans="1:4" ht="14">
      <c r="A144" s="241" t="s">
        <v>667</v>
      </c>
      <c r="B144" s="240">
        <v>1</v>
      </c>
    </row>
    <row r="145" spans="1:2" ht="14">
      <c r="A145" s="241" t="s">
        <v>654</v>
      </c>
      <c r="B145" s="240">
        <v>2.1</v>
      </c>
    </row>
  </sheetData>
  <dataValidations count="1">
    <dataValidation type="list" allowBlank="1" showInputMessage="1" showErrorMessage="1" sqref="B4" xr:uid="{6874F655-FA37-B747-BA6F-DC1FCE45B17B}">
      <formula1>"Call,Put,Synthetic Long,Synthetic Short,Bull Call Spread,Bear Put Spread,Covered Call,Protective Put,Collar,Straddle,Butterfly Spread,Iron Condor,Calendar Spread"</formula1>
    </dataValidation>
  </dataValidation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3F56D-4541-DC4D-A8D9-0D4F8FAF2D77}">
  <sheetPr codeName="Sheet4"/>
  <dimension ref="A1:P21"/>
  <sheetViews>
    <sheetView topLeftCell="A2" zoomScale="120" zoomScaleNormal="120" workbookViewId="0">
      <selection activeCell="B9" sqref="B9"/>
    </sheetView>
  </sheetViews>
  <sheetFormatPr baseColWidth="10" defaultRowHeight="13"/>
  <cols>
    <col min="2" max="2" width="18.1640625" customWidth="1"/>
    <col min="5" max="5" width="20.33203125" bestFit="1" customWidth="1"/>
    <col min="6" max="6" width="12.6640625" bestFit="1" customWidth="1"/>
    <col min="8" max="8" width="11.6640625" bestFit="1" customWidth="1"/>
    <col min="11" max="11" width="11.6640625" bestFit="1" customWidth="1"/>
  </cols>
  <sheetData>
    <row r="1" spans="1:11">
      <c r="A1" s="20"/>
      <c r="E1" s="20"/>
    </row>
    <row r="2" spans="1:11">
      <c r="A2" s="20"/>
      <c r="B2" s="64"/>
    </row>
    <row r="6" spans="1:11">
      <c r="H6" s="20"/>
    </row>
    <row r="7" spans="1:11" ht="25">
      <c r="A7" s="420" t="s">
        <v>326</v>
      </c>
      <c r="B7" s="420"/>
      <c r="D7" s="420" t="s">
        <v>480</v>
      </c>
      <c r="E7" s="420"/>
      <c r="F7" s="63"/>
      <c r="G7" s="420" t="s">
        <v>345</v>
      </c>
      <c r="H7" s="420"/>
      <c r="J7" s="420" t="s">
        <v>214</v>
      </c>
      <c r="K7" s="420"/>
    </row>
    <row r="8" spans="1:11" ht="14">
      <c r="A8" s="213" t="s">
        <v>333</v>
      </c>
      <c r="B8" s="225" t="s">
        <v>339</v>
      </c>
      <c r="C8" s="64"/>
      <c r="E8" s="20"/>
      <c r="F8" s="63"/>
      <c r="H8" s="20"/>
    </row>
    <row r="9" spans="1:11" ht="14">
      <c r="A9" s="213" t="s">
        <v>476</v>
      </c>
      <c r="B9" s="225">
        <v>250</v>
      </c>
      <c r="D9" s="217" t="s">
        <v>329</v>
      </c>
      <c r="E9" s="218">
        <f ca="1">(LN(B15/B9)+B12+(B17^2)/2*B16)/(B17*SQRT(B16))</f>
        <v>-0.33360487920229293</v>
      </c>
      <c r="F9" s="63"/>
      <c r="G9" s="214" t="s">
        <v>332</v>
      </c>
      <c r="H9" s="221">
        <f>'BSM data'!B8</f>
        <v>0.3481714288082815</v>
      </c>
      <c r="J9" s="214" t="s">
        <v>482</v>
      </c>
      <c r="K9" s="212">
        <v>36</v>
      </c>
    </row>
    <row r="10" spans="1:11" ht="14">
      <c r="A10" s="213" t="s">
        <v>478</v>
      </c>
      <c r="B10" s="226">
        <v>46191</v>
      </c>
      <c r="C10" s="210"/>
      <c r="D10" s="217" t="s">
        <v>330</v>
      </c>
      <c r="E10" s="218">
        <f ca="1">E9-B17*SQRT(B16)</f>
        <v>-0.56965121155037179</v>
      </c>
      <c r="F10" s="63"/>
      <c r="G10" s="214" t="s">
        <v>341</v>
      </c>
      <c r="H10" s="222">
        <f>'BSM data'!E8</f>
        <v>7.121987595213636E-3</v>
      </c>
      <c r="J10" s="214" t="s">
        <v>481</v>
      </c>
      <c r="K10" s="216">
        <f>B15</f>
        <v>213.44000244140625</v>
      </c>
    </row>
    <row r="11" spans="1:11" ht="14">
      <c r="A11" s="213" t="s">
        <v>337</v>
      </c>
      <c r="B11" s="225" t="s">
        <v>338</v>
      </c>
      <c r="C11" s="65"/>
      <c r="E11" s="65"/>
      <c r="F11" s="63"/>
      <c r="G11" s="214" t="s">
        <v>342</v>
      </c>
      <c r="H11" s="223">
        <f>'BSM data'!F8</f>
        <v>0.75027829931737422</v>
      </c>
      <c r="J11" s="214" t="s">
        <v>483</v>
      </c>
      <c r="K11" s="221">
        <f>H9</f>
        <v>0.3481714288082815</v>
      </c>
    </row>
    <row r="12" spans="1:11" ht="14">
      <c r="A12" s="213" t="s">
        <v>328</v>
      </c>
      <c r="B12" s="227">
        <v>5.1499999999999997E-2</v>
      </c>
      <c r="C12" s="139"/>
      <c r="D12" s="217" t="s">
        <v>322</v>
      </c>
      <c r="E12" s="218">
        <f ca="1">_xlfn.NORM.DIST(E9,0,1,TRUE)</f>
        <v>0.36933886796424947</v>
      </c>
      <c r="F12" s="63"/>
      <c r="G12" s="214" t="s">
        <v>343</v>
      </c>
      <c r="H12" s="221">
        <f>'BSM data'!G8</f>
        <v>-3.4323280869040372E-2</v>
      </c>
    </row>
    <row r="13" spans="1:11">
      <c r="B13" s="20"/>
      <c r="C13" s="20"/>
      <c r="D13" s="217" t="s">
        <v>323</v>
      </c>
      <c r="E13" s="218">
        <f ca="1">_xlfn.NORM.DIST(E10,0,1,TRUE)</f>
        <v>0.28445714344599016</v>
      </c>
      <c r="F13" s="63"/>
      <c r="G13" s="214" t="s">
        <v>327</v>
      </c>
      <c r="H13" s="224">
        <f>'BSM data'!A8</f>
        <v>0.2501508647594492</v>
      </c>
      <c r="J13" s="214" t="s">
        <v>214</v>
      </c>
      <c r="K13" s="215">
        <f>(K11*K10)/K9</f>
        <v>2.0642697393018752</v>
      </c>
    </row>
    <row r="14" spans="1:11">
      <c r="A14" s="432" t="s">
        <v>479</v>
      </c>
      <c r="B14" s="432"/>
      <c r="D14" s="217" t="s">
        <v>324</v>
      </c>
      <c r="E14" s="219">
        <f ca="1">_xlfn.NORM.DIST(-E9,0,1,TRUE)</f>
        <v>0.63066113203575047</v>
      </c>
      <c r="H14" s="20"/>
    </row>
    <row r="15" spans="1:11">
      <c r="A15" s="214" t="s">
        <v>334</v>
      </c>
      <c r="B15" s="216">
        <f>'BSM data'!H8</f>
        <v>213.44000244140625</v>
      </c>
      <c r="D15" s="217" t="s">
        <v>325</v>
      </c>
      <c r="E15" s="219">
        <f ca="1">_xlfn.NORM.DIST(-E10,0,1,TRUE)</f>
        <v>0.71554285655400984</v>
      </c>
    </row>
    <row r="16" spans="1:11">
      <c r="A16" s="214" t="s">
        <v>477</v>
      </c>
      <c r="B16" s="216">
        <f ca="1">(B10-TODAY())/365</f>
        <v>0.8904109589041096</v>
      </c>
    </row>
    <row r="17" spans="1:16">
      <c r="A17" s="214" t="s">
        <v>327</v>
      </c>
      <c r="B17" s="220">
        <f>'BSM data'!A8</f>
        <v>0.2501508647594492</v>
      </c>
    </row>
    <row r="18" spans="1:16">
      <c r="B18" s="20"/>
    </row>
    <row r="21" spans="1:16">
      <c r="I21" s="20"/>
      <c r="J21" s="20"/>
      <c r="K21" s="20"/>
      <c r="L21" s="20"/>
      <c r="M21" s="20"/>
      <c r="N21" s="20"/>
      <c r="O21" s="20"/>
      <c r="P21" s="20"/>
    </row>
  </sheetData>
  <mergeCells count="5">
    <mergeCell ref="A7:B7"/>
    <mergeCell ref="D7:E7"/>
    <mergeCell ref="G7:H7"/>
    <mergeCell ref="J7:K7"/>
    <mergeCell ref="A14:B14"/>
  </mergeCells>
  <pageMargins left="0.7" right="0.7" top="0.75" bottom="0.75"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366F-128C-BE4C-888A-7C5BD0FB7DDE}">
  <sheetPr codeName="Sheet6"/>
  <dimension ref="A2:H8"/>
  <sheetViews>
    <sheetView workbookViewId="0">
      <selection activeCell="B3" sqref="B3"/>
    </sheetView>
  </sheetViews>
  <sheetFormatPr baseColWidth="10" defaultRowHeight="13"/>
  <sheetData>
    <row r="2" spans="1:8">
      <c r="A2" s="20" t="s">
        <v>183</v>
      </c>
      <c r="B2" s="20" t="str">
        <f>BSM!B8</f>
        <v>AAPL</v>
      </c>
    </row>
    <row r="3" spans="1:8">
      <c r="A3" s="20" t="s">
        <v>335</v>
      </c>
      <c r="B3" s="21">
        <f>BSM!B10</f>
        <v>46191</v>
      </c>
      <c r="E3" s="21"/>
    </row>
    <row r="4" spans="1:8">
      <c r="A4" s="20" t="s">
        <v>336</v>
      </c>
      <c r="B4">
        <f>BSM!B9</f>
        <v>250</v>
      </c>
    </row>
    <row r="5" spans="1:8">
      <c r="A5" s="20" t="s">
        <v>337</v>
      </c>
      <c r="B5" s="20" t="str">
        <f>BSM!B11</f>
        <v>C</v>
      </c>
    </row>
    <row r="7" spans="1:8">
      <c r="A7" s="20" t="s">
        <v>327</v>
      </c>
      <c r="B7" s="20" t="s">
        <v>332</v>
      </c>
      <c r="C7" s="20" t="s">
        <v>331</v>
      </c>
      <c r="D7" s="20" t="s">
        <v>340</v>
      </c>
      <c r="E7" s="20" t="s">
        <v>341</v>
      </c>
      <c r="F7" s="20" t="s">
        <v>342</v>
      </c>
      <c r="G7" s="20" t="s">
        <v>343</v>
      </c>
      <c r="H7" s="20" t="s">
        <v>344</v>
      </c>
    </row>
    <row r="8" spans="1:8">
      <c r="A8">
        <v>0.2501508647594492</v>
      </c>
      <c r="B8">
        <v>0.3481714288082815</v>
      </c>
      <c r="C8">
        <v>10.743604430347743</v>
      </c>
      <c r="D8">
        <v>1.0303022991753639</v>
      </c>
      <c r="E8">
        <v>7.121987595213636E-3</v>
      </c>
      <c r="F8">
        <v>0.75027829931737422</v>
      </c>
      <c r="G8">
        <v>-3.4323280869040372E-2</v>
      </c>
      <c r="H8">
        <v>213.44000244140625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FBE2-4B5C-E44F-85FD-B776E225D73B}">
  <dimension ref="A1:AS331"/>
  <sheetViews>
    <sheetView workbookViewId="0">
      <selection activeCell="G10" sqref="G10"/>
    </sheetView>
  </sheetViews>
  <sheetFormatPr baseColWidth="10" defaultRowHeight="13"/>
  <cols>
    <col min="1" max="1" width="21.5" bestFit="1" customWidth="1"/>
    <col min="2" max="2" width="16.6640625" bestFit="1" customWidth="1"/>
    <col min="3" max="3" width="15.83203125" style="21" bestFit="1" customWidth="1"/>
    <col min="4" max="4" width="12.33203125" style="64" bestFit="1" customWidth="1"/>
    <col min="5" max="5" width="10.33203125" bestFit="1" customWidth="1"/>
    <col min="6" max="6" width="10.1640625" bestFit="1" customWidth="1"/>
    <col min="7" max="7" width="6.6640625" style="64" bestFit="1" customWidth="1"/>
    <col min="8" max="8" width="9.1640625" bestFit="1" customWidth="1"/>
    <col min="9" max="9" width="6.6640625" style="64" bestFit="1" customWidth="1"/>
    <col min="10" max="10" width="18.5" bestFit="1" customWidth="1"/>
    <col min="11" max="11" width="6.1640625" bestFit="1" customWidth="1"/>
    <col min="12" max="12" width="14.6640625" bestFit="1" customWidth="1"/>
    <col min="13" max="13" width="6.1640625" bestFit="1" customWidth="1"/>
    <col min="14" max="14" width="15.1640625" bestFit="1" customWidth="1"/>
    <col min="15" max="15" width="6.1640625" bestFit="1" customWidth="1"/>
    <col min="16" max="16" width="13.6640625" bestFit="1" customWidth="1"/>
    <col min="17" max="17" width="6.1640625" bestFit="1" customWidth="1"/>
    <col min="18" max="18" width="14.6640625" bestFit="1" customWidth="1"/>
    <col min="19" max="19" width="6.1640625" bestFit="1" customWidth="1"/>
    <col min="20" max="20" width="13.83203125" bestFit="1" customWidth="1"/>
    <col min="21" max="21" width="6.1640625" bestFit="1" customWidth="1"/>
    <col min="22" max="22" width="15" bestFit="1" customWidth="1"/>
    <col min="23" max="23" width="6.1640625" bestFit="1" customWidth="1"/>
    <col min="24" max="24" width="14.33203125" bestFit="1" customWidth="1"/>
    <col min="25" max="25" width="6.1640625" bestFit="1" customWidth="1"/>
    <col min="26" max="26" width="16" bestFit="1" customWidth="1"/>
    <col min="27" max="27" width="12.6640625" bestFit="1" customWidth="1"/>
    <col min="28" max="28" width="15.83203125" bestFit="1" customWidth="1"/>
    <col min="29" max="29" width="12.5" bestFit="1" customWidth="1"/>
    <col min="30" max="30" width="19.83203125" bestFit="1" customWidth="1"/>
    <col min="31" max="31" width="16.5" bestFit="1" customWidth="1"/>
    <col min="32" max="32" width="15" bestFit="1" customWidth="1"/>
    <col min="33" max="33" width="11.6640625" bestFit="1" customWidth="1"/>
    <col min="34" max="34" width="19" bestFit="1" customWidth="1"/>
    <col min="35" max="35" width="15.5" bestFit="1" customWidth="1"/>
    <col min="36" max="36" width="16" bestFit="1" customWidth="1"/>
    <col min="37" max="37" width="12.6640625" bestFit="1" customWidth="1"/>
    <col min="38" max="38" width="20.1640625" bestFit="1" customWidth="1"/>
    <col min="39" max="39" width="16.83203125" bestFit="1" customWidth="1"/>
    <col min="40" max="40" width="17.83203125" bestFit="1" customWidth="1"/>
    <col min="41" max="41" width="14.33203125" bestFit="1" customWidth="1"/>
    <col min="42" max="42" width="18.6640625" bestFit="1" customWidth="1"/>
    <col min="43" max="43" width="15.1640625" bestFit="1" customWidth="1"/>
    <col min="44" max="44" width="16.33203125" bestFit="1" customWidth="1"/>
    <col min="45" max="45" width="12.83203125" bestFit="1" customWidth="1"/>
    <col min="46" max="46" width="5.1640625" bestFit="1" customWidth="1"/>
    <col min="47" max="47" width="3.1640625" bestFit="1" customWidth="1"/>
    <col min="48" max="48" width="5.1640625" bestFit="1" customWidth="1"/>
    <col min="49" max="49" width="3.1640625" bestFit="1" customWidth="1"/>
    <col min="50" max="50" width="5.1640625" bestFit="1" customWidth="1"/>
    <col min="51" max="51" width="3.1640625" bestFit="1" customWidth="1"/>
    <col min="52" max="52" width="5.1640625" bestFit="1" customWidth="1"/>
    <col min="53" max="53" width="3.1640625" bestFit="1" customWidth="1"/>
    <col min="54" max="54" width="5.1640625" bestFit="1" customWidth="1"/>
    <col min="55" max="55" width="3.1640625" bestFit="1" customWidth="1"/>
    <col min="56" max="56" width="5.1640625" bestFit="1" customWidth="1"/>
    <col min="57" max="57" width="3.1640625" bestFit="1" customWidth="1"/>
    <col min="58" max="58" width="5.1640625" bestFit="1" customWidth="1"/>
    <col min="59" max="59" width="3.1640625" bestFit="1" customWidth="1"/>
    <col min="60" max="60" width="5.1640625" bestFit="1" customWidth="1"/>
    <col min="61" max="61" width="3.1640625" bestFit="1" customWidth="1"/>
    <col min="62" max="62" width="5.1640625" bestFit="1" customWidth="1"/>
    <col min="63" max="63" width="3.1640625" bestFit="1" customWidth="1"/>
    <col min="64" max="64" width="5.1640625" bestFit="1" customWidth="1"/>
    <col min="65" max="65" width="3.1640625" bestFit="1" customWidth="1"/>
    <col min="66" max="66" width="5.1640625" bestFit="1" customWidth="1"/>
    <col min="67" max="67" width="3.1640625" bestFit="1" customWidth="1"/>
    <col min="68" max="68" width="5.1640625" bestFit="1" customWidth="1"/>
    <col min="69" max="69" width="3.1640625" bestFit="1" customWidth="1"/>
    <col min="70" max="70" width="5.1640625" bestFit="1" customWidth="1"/>
    <col min="71" max="71" width="3.1640625" bestFit="1" customWidth="1"/>
    <col min="72" max="72" width="5.1640625" bestFit="1" customWidth="1"/>
    <col min="73" max="73" width="3.1640625" bestFit="1" customWidth="1"/>
    <col min="74" max="74" width="5.1640625" bestFit="1" customWidth="1"/>
    <col min="75" max="75" width="3.1640625" bestFit="1" customWidth="1"/>
    <col min="76" max="76" width="5.1640625" bestFit="1" customWidth="1"/>
    <col min="77" max="77" width="3.1640625" bestFit="1" customWidth="1"/>
    <col min="78" max="78" width="5.1640625" bestFit="1" customWidth="1"/>
    <col min="79" max="79" width="3.1640625" bestFit="1" customWidth="1"/>
    <col min="80" max="80" width="5.1640625" bestFit="1" customWidth="1"/>
    <col min="81" max="81" width="3.1640625" bestFit="1" customWidth="1"/>
    <col min="82" max="82" width="5.1640625" bestFit="1" customWidth="1"/>
    <col min="83" max="83" width="3.1640625" bestFit="1" customWidth="1"/>
    <col min="84" max="84" width="5.1640625" bestFit="1" customWidth="1"/>
    <col min="85" max="85" width="3.1640625" bestFit="1" customWidth="1"/>
    <col min="86" max="86" width="5.1640625" bestFit="1" customWidth="1"/>
    <col min="87" max="87" width="3.1640625" bestFit="1" customWidth="1"/>
    <col min="88" max="88" width="5.1640625" bestFit="1" customWidth="1"/>
    <col min="89" max="89" width="3.1640625" bestFit="1" customWidth="1"/>
    <col min="90" max="90" width="5.1640625" bestFit="1" customWidth="1"/>
    <col min="91" max="91" width="3.1640625" bestFit="1" customWidth="1"/>
    <col min="92" max="92" width="5.1640625" bestFit="1" customWidth="1"/>
    <col min="93" max="93" width="3.1640625" bestFit="1" customWidth="1"/>
    <col min="94" max="94" width="5.1640625" bestFit="1" customWidth="1"/>
    <col min="95" max="95" width="3.1640625" bestFit="1" customWidth="1"/>
    <col min="96" max="96" width="5.1640625" bestFit="1" customWidth="1"/>
    <col min="97" max="97" width="3.1640625" bestFit="1" customWidth="1"/>
    <col min="98" max="98" width="5.1640625" bestFit="1" customWidth="1"/>
    <col min="99" max="99" width="3.1640625" bestFit="1" customWidth="1"/>
    <col min="100" max="100" width="5.1640625" bestFit="1" customWidth="1"/>
    <col min="101" max="101" width="3.1640625" bestFit="1" customWidth="1"/>
    <col min="102" max="102" width="5.1640625" bestFit="1" customWidth="1"/>
    <col min="103" max="103" width="3.1640625" bestFit="1" customWidth="1"/>
    <col min="104" max="104" width="5.1640625" bestFit="1" customWidth="1"/>
    <col min="105" max="105" width="3.1640625" bestFit="1" customWidth="1"/>
    <col min="106" max="106" width="5.1640625" bestFit="1" customWidth="1"/>
    <col min="107" max="107" width="3.1640625" bestFit="1" customWidth="1"/>
    <col min="108" max="108" width="5.1640625" bestFit="1" customWidth="1"/>
    <col min="109" max="109" width="3.1640625" bestFit="1" customWidth="1"/>
    <col min="110" max="110" width="5.1640625" bestFit="1" customWidth="1"/>
    <col min="111" max="111" width="3.1640625" bestFit="1" customWidth="1"/>
    <col min="112" max="112" width="5.1640625" bestFit="1" customWidth="1"/>
    <col min="113" max="113" width="3.1640625" bestFit="1" customWidth="1"/>
    <col min="114" max="114" width="5.1640625" bestFit="1" customWidth="1"/>
    <col min="115" max="115" width="3.1640625" bestFit="1" customWidth="1"/>
    <col min="116" max="116" width="5.1640625" bestFit="1" customWidth="1"/>
    <col min="117" max="117" width="3.1640625" bestFit="1" customWidth="1"/>
    <col min="118" max="118" width="5.1640625" bestFit="1" customWidth="1"/>
    <col min="119" max="119" width="3.1640625" bestFit="1" customWidth="1"/>
    <col min="120" max="120" width="5.1640625" bestFit="1" customWidth="1"/>
    <col min="121" max="121" width="3.1640625" bestFit="1" customWidth="1"/>
    <col min="122" max="122" width="5.1640625" bestFit="1" customWidth="1"/>
    <col min="123" max="123" width="3.1640625" bestFit="1" customWidth="1"/>
    <col min="124" max="124" width="5.1640625" bestFit="1" customWidth="1"/>
    <col min="125" max="125" width="3.1640625" bestFit="1" customWidth="1"/>
    <col min="126" max="126" width="5.1640625" bestFit="1" customWidth="1"/>
    <col min="127" max="127" width="3.1640625" bestFit="1" customWidth="1"/>
    <col min="128" max="128" width="5.1640625" bestFit="1" customWidth="1"/>
    <col min="129" max="129" width="3.1640625" bestFit="1" customWidth="1"/>
    <col min="130" max="130" width="5.1640625" bestFit="1" customWidth="1"/>
    <col min="131" max="131" width="3.1640625" bestFit="1" customWidth="1"/>
    <col min="132" max="132" width="5.1640625" bestFit="1" customWidth="1"/>
    <col min="133" max="133" width="3.1640625" bestFit="1" customWidth="1"/>
    <col min="134" max="134" width="5.1640625" bestFit="1" customWidth="1"/>
    <col min="135" max="135" width="3.1640625" bestFit="1" customWidth="1"/>
    <col min="136" max="136" width="5.1640625" bestFit="1" customWidth="1"/>
    <col min="137" max="137" width="3.1640625" bestFit="1" customWidth="1"/>
    <col min="138" max="138" width="5.1640625" bestFit="1" customWidth="1"/>
    <col min="139" max="139" width="3.1640625" bestFit="1" customWidth="1"/>
    <col min="140" max="140" width="5.1640625" bestFit="1" customWidth="1"/>
    <col min="141" max="141" width="3.1640625" bestFit="1" customWidth="1"/>
    <col min="142" max="142" width="5.1640625" bestFit="1" customWidth="1"/>
    <col min="143" max="143" width="3.1640625" bestFit="1" customWidth="1"/>
    <col min="144" max="144" width="5.1640625" bestFit="1" customWidth="1"/>
    <col min="145" max="173" width="3.1640625" bestFit="1" customWidth="1"/>
    <col min="174" max="225" width="4.1640625" bestFit="1" customWidth="1"/>
    <col min="226" max="226" width="6.1640625" bestFit="1" customWidth="1"/>
    <col min="227" max="229" width="4.1640625" bestFit="1" customWidth="1"/>
    <col min="230" max="230" width="6.1640625" bestFit="1" customWidth="1"/>
    <col min="231" max="233" width="4.1640625" bestFit="1" customWidth="1"/>
    <col min="234" max="234" width="6.1640625" bestFit="1" customWidth="1"/>
    <col min="235" max="238" width="4.1640625" bestFit="1" customWidth="1"/>
    <col min="239" max="239" width="6.1640625" bestFit="1" customWidth="1"/>
    <col min="240" max="244" width="4.1640625" bestFit="1" customWidth="1"/>
    <col min="245" max="245" width="6.1640625" bestFit="1" customWidth="1"/>
    <col min="246" max="250" width="4.1640625" bestFit="1" customWidth="1"/>
    <col min="251" max="251" width="6.1640625" bestFit="1" customWidth="1"/>
    <col min="252" max="256" width="4.1640625" bestFit="1" customWidth="1"/>
    <col min="257" max="257" width="6.1640625" bestFit="1" customWidth="1"/>
    <col min="258" max="262" width="4.1640625" bestFit="1" customWidth="1"/>
    <col min="263" max="263" width="6.1640625" bestFit="1" customWidth="1"/>
    <col min="264" max="268" width="4.1640625" bestFit="1" customWidth="1"/>
    <col min="269" max="269" width="6.1640625" bestFit="1" customWidth="1"/>
    <col min="270" max="272" width="4.1640625" bestFit="1" customWidth="1"/>
    <col min="273" max="273" width="6.1640625" bestFit="1" customWidth="1"/>
    <col min="274" max="274" width="4.1640625" bestFit="1" customWidth="1"/>
    <col min="275" max="275" width="6.1640625" bestFit="1" customWidth="1"/>
    <col min="276" max="276" width="4.1640625" bestFit="1" customWidth="1"/>
    <col min="277" max="277" width="6.1640625" bestFit="1" customWidth="1"/>
    <col min="278" max="279" width="4.1640625" bestFit="1" customWidth="1"/>
    <col min="280" max="280" width="6.1640625" bestFit="1" customWidth="1"/>
    <col min="281" max="285" width="4.1640625" bestFit="1" customWidth="1"/>
    <col min="286" max="286" width="6.1640625" bestFit="1" customWidth="1"/>
    <col min="287" max="291" width="4.1640625" bestFit="1" customWidth="1"/>
    <col min="292" max="292" width="6.1640625" bestFit="1" customWidth="1"/>
    <col min="293" max="315" width="4.1640625" bestFit="1" customWidth="1"/>
  </cols>
  <sheetData>
    <row r="1" spans="1:8">
      <c r="B1" s="20"/>
    </row>
    <row r="2" spans="1:8" ht="25">
      <c r="A2" s="433" t="s">
        <v>501</v>
      </c>
      <c r="B2" s="433"/>
      <c r="E2" s="420" t="s">
        <v>530</v>
      </c>
      <c r="F2" s="420"/>
    </row>
    <row r="3" spans="1:8" ht="14">
      <c r="A3" s="241" t="s">
        <v>379</v>
      </c>
      <c r="B3" s="239" t="s">
        <v>497</v>
      </c>
      <c r="E3" s="217" t="s">
        <v>241</v>
      </c>
      <c r="F3" s="247">
        <v>46073</v>
      </c>
      <c r="H3" t="str">
        <f>TEXT(F3,"yyyymmdd")</f>
        <v>20260220</v>
      </c>
    </row>
    <row r="4" spans="1:8" ht="20">
      <c r="A4" s="241" t="s">
        <v>380</v>
      </c>
      <c r="B4" s="239" t="s">
        <v>383</v>
      </c>
      <c r="C4" s="244"/>
      <c r="E4" s="217" t="s">
        <v>336</v>
      </c>
      <c r="F4" s="240">
        <v>300</v>
      </c>
      <c r="G4" s="243"/>
    </row>
    <row r="5" spans="1:8" ht="20">
      <c r="A5" s="241" t="s">
        <v>381</v>
      </c>
      <c r="B5" s="239" t="s">
        <v>384</v>
      </c>
      <c r="C5" s="244"/>
      <c r="E5" s="217" t="s">
        <v>393</v>
      </c>
      <c r="F5" s="239" t="s">
        <v>338</v>
      </c>
      <c r="G5" s="243"/>
    </row>
    <row r="6" spans="1:8" ht="20">
      <c r="A6" s="241" t="s">
        <v>382</v>
      </c>
      <c r="B6" s="239" t="s">
        <v>42</v>
      </c>
      <c r="E6" s="217" t="s">
        <v>531</v>
      </c>
      <c r="F6" s="240">
        <v>100</v>
      </c>
      <c r="G6" s="243"/>
    </row>
    <row r="7" spans="1:8" ht="20">
      <c r="A7" s="242"/>
      <c r="G7" s="243"/>
    </row>
    <row r="8" spans="1:8">
      <c r="E8" s="217" t="s">
        <v>394</v>
      </c>
      <c r="F8" s="239" t="s">
        <v>391</v>
      </c>
    </row>
    <row r="9" spans="1:8" ht="25">
      <c r="A9" s="433" t="s">
        <v>509</v>
      </c>
      <c r="B9" s="433"/>
      <c r="E9" s="217" t="s">
        <v>395</v>
      </c>
      <c r="F9" s="239" t="s">
        <v>389</v>
      </c>
    </row>
    <row r="10" spans="1:8">
      <c r="A10" s="212" t="s">
        <v>504</v>
      </c>
      <c r="B10" s="240" t="s">
        <v>497</v>
      </c>
      <c r="E10" s="217" t="s">
        <v>396</v>
      </c>
      <c r="F10" s="240">
        <v>11</v>
      </c>
    </row>
    <row r="11" spans="1:8">
      <c r="A11" s="212" t="s">
        <v>505</v>
      </c>
      <c r="B11" s="240">
        <v>272093</v>
      </c>
    </row>
    <row r="12" spans="1:8">
      <c r="A12" s="212" t="s">
        <v>399</v>
      </c>
      <c r="B12" s="240" t="s">
        <v>384</v>
      </c>
    </row>
    <row r="13" spans="1:8">
      <c r="A13" s="212" t="s">
        <v>506</v>
      </c>
      <c r="B13" s="240" t="s">
        <v>385</v>
      </c>
    </row>
    <row r="14" spans="1:8">
      <c r="A14" s="212" t="s">
        <v>507</v>
      </c>
      <c r="B14" s="240" t="s">
        <v>532</v>
      </c>
    </row>
    <row r="15" spans="1:8">
      <c r="A15" s="212" t="s">
        <v>508</v>
      </c>
      <c r="B15" s="240" t="s">
        <v>386</v>
      </c>
    </row>
    <row r="18" spans="1:45" ht="25">
      <c r="A18" s="434" t="s">
        <v>510</v>
      </c>
      <c r="B18" s="434"/>
    </row>
    <row r="19" spans="1:45">
      <c r="A19" s="214" t="s">
        <v>387</v>
      </c>
      <c r="B19" s="214" t="s">
        <v>388</v>
      </c>
      <c r="C19" s="245" t="s">
        <v>513</v>
      </c>
      <c r="D19" s="246" t="s">
        <v>514</v>
      </c>
      <c r="E19" s="21"/>
      <c r="F19" s="21"/>
      <c r="H19" s="21"/>
      <c r="J19" s="21"/>
      <c r="K19" s="21"/>
      <c r="L19" s="21"/>
      <c r="M19" s="21"/>
      <c r="N19" s="21"/>
      <c r="O19" s="21"/>
      <c r="P19" s="21"/>
      <c r="Q19" s="21"/>
      <c r="R19" s="21"/>
      <c r="S19" s="21"/>
      <c r="T19" s="21"/>
      <c r="U19" s="21"/>
      <c r="V19" s="21"/>
      <c r="W19" s="21"/>
      <c r="X19" s="21"/>
      <c r="AA19" t="s">
        <v>519</v>
      </c>
      <c r="AB19" t="s">
        <v>522</v>
      </c>
      <c r="AC19" t="s">
        <v>523</v>
      </c>
      <c r="AD19" t="s">
        <v>526</v>
      </c>
      <c r="AE19" t="s">
        <v>527</v>
      </c>
      <c r="AF19" t="s">
        <v>513</v>
      </c>
      <c r="AG19" t="s">
        <v>514</v>
      </c>
      <c r="AH19" t="s">
        <v>517</v>
      </c>
      <c r="AI19" t="s">
        <v>518</v>
      </c>
      <c r="AJ19" t="s">
        <v>515</v>
      </c>
      <c r="AK19" t="s">
        <v>516</v>
      </c>
      <c r="AL19" t="s">
        <v>511</v>
      </c>
      <c r="AM19" t="s">
        <v>512</v>
      </c>
      <c r="AN19" t="s">
        <v>528</v>
      </c>
      <c r="AO19" t="s">
        <v>529</v>
      </c>
      <c r="AP19" t="s">
        <v>524</v>
      </c>
      <c r="AQ19" t="s">
        <v>525</v>
      </c>
      <c r="AR19" t="s">
        <v>520</v>
      </c>
      <c r="AS19" t="s">
        <v>521</v>
      </c>
    </row>
    <row r="20" spans="1:45">
      <c r="A20" t="s">
        <v>392</v>
      </c>
      <c r="B20" t="s">
        <v>497</v>
      </c>
      <c r="C20" s="244">
        <v>45849</v>
      </c>
      <c r="D20" s="64">
        <v>125</v>
      </c>
      <c r="E20" s="21"/>
      <c r="F20" s="21"/>
      <c r="H20" s="21"/>
      <c r="J20" s="21"/>
      <c r="K20" s="21"/>
      <c r="L20" s="21"/>
      <c r="M20" s="21"/>
      <c r="N20" s="21"/>
      <c r="O20" s="21"/>
      <c r="P20" s="21"/>
      <c r="Q20" s="21"/>
      <c r="R20" s="21"/>
      <c r="S20" s="21"/>
      <c r="T20" s="21"/>
      <c r="U20" s="21"/>
      <c r="V20" s="21"/>
      <c r="W20" s="21"/>
      <c r="X20" s="21"/>
      <c r="Z20" s="21"/>
      <c r="AA20">
        <v>5</v>
      </c>
      <c r="AB20" s="21">
        <v>45841</v>
      </c>
      <c r="AC20">
        <v>5</v>
      </c>
      <c r="AD20" s="21">
        <v>45841</v>
      </c>
      <c r="AE20">
        <v>5</v>
      </c>
      <c r="AF20" s="21">
        <v>45841</v>
      </c>
      <c r="AG20">
        <v>5</v>
      </c>
      <c r="AH20" s="21">
        <v>45841</v>
      </c>
      <c r="AI20">
        <v>5</v>
      </c>
      <c r="AJ20" s="21">
        <v>45841</v>
      </c>
      <c r="AK20">
        <v>5</v>
      </c>
      <c r="AL20" s="21">
        <v>45841</v>
      </c>
      <c r="AM20">
        <v>5</v>
      </c>
      <c r="AN20" s="21">
        <v>45841</v>
      </c>
      <c r="AO20">
        <v>5</v>
      </c>
      <c r="AP20" s="21">
        <v>45841</v>
      </c>
      <c r="AQ20">
        <v>5</v>
      </c>
      <c r="AR20" s="21">
        <v>45841</v>
      </c>
      <c r="AS20">
        <v>5</v>
      </c>
    </row>
    <row r="21" spans="1:45">
      <c r="C21" s="21">
        <v>45856</v>
      </c>
      <c r="D21" s="64">
        <v>130</v>
      </c>
      <c r="E21" s="21"/>
      <c r="F21" s="21"/>
      <c r="H21" s="21"/>
      <c r="J21" s="21"/>
      <c r="K21" s="21"/>
      <c r="L21" s="21"/>
      <c r="M21" s="21"/>
      <c r="N21" s="21"/>
      <c r="O21" s="21"/>
      <c r="P21" s="21"/>
      <c r="Q21" s="21"/>
      <c r="R21" s="21"/>
      <c r="S21" s="21"/>
      <c r="T21" s="21"/>
      <c r="U21" s="21"/>
      <c r="V21" s="21"/>
      <c r="W21" s="21"/>
      <c r="X21" s="21"/>
      <c r="Z21" s="21"/>
      <c r="AA21">
        <v>10</v>
      </c>
      <c r="AB21" s="21">
        <v>45849</v>
      </c>
      <c r="AC21">
        <v>10</v>
      </c>
      <c r="AD21" s="21">
        <v>45849</v>
      </c>
      <c r="AE21">
        <v>10</v>
      </c>
      <c r="AF21" s="21">
        <v>45849</v>
      </c>
      <c r="AG21">
        <v>10</v>
      </c>
      <c r="AH21" s="21">
        <v>45849</v>
      </c>
      <c r="AI21">
        <v>10</v>
      </c>
      <c r="AJ21" s="21">
        <v>45849</v>
      </c>
      <c r="AK21">
        <v>10</v>
      </c>
      <c r="AL21" s="21">
        <v>45849</v>
      </c>
      <c r="AM21">
        <v>10</v>
      </c>
      <c r="AN21" s="21">
        <v>45849</v>
      </c>
      <c r="AO21">
        <v>10</v>
      </c>
      <c r="AP21" s="21">
        <v>45849</v>
      </c>
      <c r="AQ21">
        <v>10</v>
      </c>
      <c r="AR21" s="21">
        <v>45849</v>
      </c>
      <c r="AS21">
        <v>10</v>
      </c>
    </row>
    <row r="22" spans="1:45">
      <c r="C22" s="21">
        <v>45863</v>
      </c>
      <c r="D22" s="64">
        <v>135</v>
      </c>
      <c r="E22" s="21"/>
      <c r="F22" s="21"/>
      <c r="H22" s="21"/>
      <c r="J22" s="21"/>
      <c r="K22" s="21"/>
      <c r="L22" s="21"/>
      <c r="M22" s="21"/>
      <c r="N22" s="21"/>
      <c r="O22" s="21"/>
      <c r="P22" s="21"/>
      <c r="Q22" s="21"/>
      <c r="R22" s="21"/>
      <c r="S22" s="21"/>
      <c r="T22" s="21"/>
      <c r="U22" s="21"/>
      <c r="V22" s="21"/>
      <c r="W22" s="21"/>
      <c r="X22" s="21"/>
      <c r="Z22" s="21"/>
      <c r="AA22">
        <v>15</v>
      </c>
      <c r="AB22" s="21">
        <v>45856</v>
      </c>
      <c r="AC22">
        <v>15</v>
      </c>
      <c r="AD22" s="21">
        <v>45856</v>
      </c>
      <c r="AE22">
        <v>15</v>
      </c>
      <c r="AF22" s="21">
        <v>45856</v>
      </c>
      <c r="AG22">
        <v>15</v>
      </c>
      <c r="AH22" s="21">
        <v>45856</v>
      </c>
      <c r="AI22">
        <v>15</v>
      </c>
      <c r="AJ22" s="21">
        <v>45856</v>
      </c>
      <c r="AK22">
        <v>15</v>
      </c>
      <c r="AL22" s="21">
        <v>45856</v>
      </c>
      <c r="AM22">
        <v>15</v>
      </c>
      <c r="AN22" s="21">
        <v>45856</v>
      </c>
      <c r="AO22">
        <v>15</v>
      </c>
      <c r="AP22" s="21">
        <v>45856</v>
      </c>
      <c r="AQ22">
        <v>15</v>
      </c>
      <c r="AR22" s="21">
        <v>45856</v>
      </c>
      <c r="AS22">
        <v>15</v>
      </c>
    </row>
    <row r="23" spans="1:45">
      <c r="C23" s="21">
        <v>45870</v>
      </c>
      <c r="D23" s="64">
        <v>140</v>
      </c>
      <c r="E23" s="21"/>
      <c r="F23" s="21"/>
      <c r="H23" s="21"/>
      <c r="J23" s="21"/>
      <c r="K23" s="21"/>
      <c r="L23" s="21"/>
      <c r="M23" s="21"/>
      <c r="N23" s="21"/>
      <c r="O23" s="21"/>
      <c r="P23" s="21"/>
      <c r="Q23" s="21"/>
      <c r="R23" s="21"/>
      <c r="S23" s="21"/>
      <c r="T23" s="21"/>
      <c r="U23" s="21"/>
      <c r="V23" s="21"/>
      <c r="W23" s="21"/>
      <c r="X23" s="21"/>
      <c r="Z23" s="21"/>
      <c r="AA23">
        <v>20</v>
      </c>
      <c r="AB23" s="21">
        <v>45863</v>
      </c>
      <c r="AC23">
        <v>20</v>
      </c>
      <c r="AD23" s="21">
        <v>45863</v>
      </c>
      <c r="AE23">
        <v>20</v>
      </c>
      <c r="AF23" s="21">
        <v>45863</v>
      </c>
      <c r="AG23">
        <v>20</v>
      </c>
      <c r="AH23" s="21">
        <v>45863</v>
      </c>
      <c r="AI23">
        <v>20</v>
      </c>
      <c r="AJ23" s="21">
        <v>45863</v>
      </c>
      <c r="AK23">
        <v>20</v>
      </c>
      <c r="AL23" s="21">
        <v>45863</v>
      </c>
      <c r="AM23">
        <v>20</v>
      </c>
      <c r="AN23" s="21">
        <v>45863</v>
      </c>
      <c r="AO23">
        <v>20</v>
      </c>
      <c r="AP23" s="21">
        <v>45863</v>
      </c>
      <c r="AQ23">
        <v>20</v>
      </c>
      <c r="AR23" s="21">
        <v>45863</v>
      </c>
      <c r="AS23">
        <v>20</v>
      </c>
    </row>
    <row r="24" spans="1:45">
      <c r="C24" s="21">
        <v>45877</v>
      </c>
      <c r="D24" s="64">
        <v>145</v>
      </c>
      <c r="F24" s="21"/>
      <c r="H24" s="21"/>
      <c r="J24" s="21"/>
      <c r="L24" s="21"/>
      <c r="N24" s="21"/>
      <c r="P24" s="21"/>
      <c r="R24" s="21"/>
      <c r="T24" s="21"/>
      <c r="V24" s="21"/>
      <c r="X24" s="21"/>
      <c r="Z24" s="21"/>
      <c r="AA24">
        <v>25</v>
      </c>
      <c r="AB24" s="21">
        <v>45870</v>
      </c>
      <c r="AC24">
        <v>25</v>
      </c>
      <c r="AD24" s="21">
        <v>45870</v>
      </c>
      <c r="AE24">
        <v>25</v>
      </c>
      <c r="AF24" s="21">
        <v>45870</v>
      </c>
      <c r="AG24">
        <v>25</v>
      </c>
      <c r="AH24" s="21">
        <v>45870</v>
      </c>
      <c r="AI24">
        <v>25</v>
      </c>
      <c r="AJ24" s="21">
        <v>45870</v>
      </c>
      <c r="AK24">
        <v>25</v>
      </c>
      <c r="AL24" s="21">
        <v>45870</v>
      </c>
      <c r="AM24">
        <v>25</v>
      </c>
      <c r="AN24" s="21">
        <v>45870</v>
      </c>
      <c r="AO24">
        <v>25</v>
      </c>
      <c r="AP24" s="21">
        <v>45870</v>
      </c>
      <c r="AQ24">
        <v>25</v>
      </c>
      <c r="AR24" s="21">
        <v>45870</v>
      </c>
      <c r="AS24">
        <v>25</v>
      </c>
    </row>
    <row r="25" spans="1:45">
      <c r="C25" s="21">
        <v>45884</v>
      </c>
      <c r="D25" s="64">
        <v>150</v>
      </c>
      <c r="F25" s="21"/>
      <c r="H25" s="21"/>
      <c r="J25" s="21"/>
      <c r="L25" s="21"/>
      <c r="N25" s="21"/>
      <c r="P25" s="21"/>
      <c r="R25" s="21"/>
      <c r="T25" s="21"/>
      <c r="V25" s="21"/>
      <c r="X25" s="21"/>
      <c r="Z25" s="21"/>
      <c r="AA25">
        <v>30</v>
      </c>
      <c r="AB25" s="21">
        <v>45877</v>
      </c>
      <c r="AC25">
        <v>30</v>
      </c>
      <c r="AD25" s="21">
        <v>45877</v>
      </c>
      <c r="AE25">
        <v>30</v>
      </c>
      <c r="AF25" s="21">
        <v>45877</v>
      </c>
      <c r="AG25">
        <v>30</v>
      </c>
      <c r="AH25" s="21">
        <v>45877</v>
      </c>
      <c r="AI25">
        <v>30</v>
      </c>
      <c r="AJ25" s="21">
        <v>45877</v>
      </c>
      <c r="AK25">
        <v>30</v>
      </c>
      <c r="AL25" s="21">
        <v>45877</v>
      </c>
      <c r="AM25">
        <v>30</v>
      </c>
      <c r="AN25" s="21">
        <v>45877</v>
      </c>
      <c r="AO25">
        <v>30</v>
      </c>
      <c r="AP25" s="21">
        <v>45877</v>
      </c>
      <c r="AQ25">
        <v>30</v>
      </c>
      <c r="AR25" s="21">
        <v>45877</v>
      </c>
      <c r="AS25">
        <v>30</v>
      </c>
    </row>
    <row r="26" spans="1:45">
      <c r="A26" s="20"/>
      <c r="C26" s="21">
        <v>45891</v>
      </c>
      <c r="D26" s="64">
        <v>155</v>
      </c>
      <c r="F26" s="21"/>
      <c r="H26" s="21"/>
      <c r="J26" s="21"/>
      <c r="L26" s="21"/>
      <c r="N26" s="21"/>
      <c r="P26" s="21"/>
      <c r="R26" s="21"/>
      <c r="T26" s="21"/>
      <c r="V26" s="21"/>
      <c r="X26" s="21"/>
      <c r="Z26" s="21"/>
      <c r="AA26">
        <v>35</v>
      </c>
      <c r="AB26" s="21">
        <v>45884</v>
      </c>
      <c r="AC26">
        <v>35</v>
      </c>
      <c r="AD26" s="21">
        <v>45884</v>
      </c>
      <c r="AE26">
        <v>35</v>
      </c>
      <c r="AF26" s="21">
        <v>45884</v>
      </c>
      <c r="AG26">
        <v>35</v>
      </c>
      <c r="AH26" s="21">
        <v>45884</v>
      </c>
      <c r="AI26">
        <v>35</v>
      </c>
      <c r="AJ26" s="21">
        <v>45884</v>
      </c>
      <c r="AK26">
        <v>35</v>
      </c>
      <c r="AL26" s="21">
        <v>45884</v>
      </c>
      <c r="AM26">
        <v>35</v>
      </c>
      <c r="AN26" s="21">
        <v>45884</v>
      </c>
      <c r="AO26">
        <v>35</v>
      </c>
      <c r="AP26" s="21">
        <v>45884</v>
      </c>
      <c r="AQ26">
        <v>35</v>
      </c>
      <c r="AR26" s="21">
        <v>45884</v>
      </c>
      <c r="AS26">
        <v>35</v>
      </c>
    </row>
    <row r="27" spans="1:45">
      <c r="B27" s="23"/>
      <c r="C27" s="21">
        <v>45898</v>
      </c>
      <c r="D27" s="64">
        <v>160</v>
      </c>
      <c r="F27" s="21"/>
      <c r="H27" s="21"/>
      <c r="J27" s="21"/>
      <c r="L27" s="21"/>
      <c r="N27" s="21"/>
      <c r="P27" s="21"/>
      <c r="R27" s="21"/>
      <c r="T27" s="21"/>
      <c r="V27" s="21"/>
      <c r="X27" s="21"/>
      <c r="Z27" s="21"/>
      <c r="AA27">
        <v>40</v>
      </c>
      <c r="AB27" s="21">
        <v>45891</v>
      </c>
      <c r="AC27">
        <v>40</v>
      </c>
      <c r="AD27" s="21">
        <v>45891</v>
      </c>
      <c r="AE27">
        <v>40</v>
      </c>
      <c r="AF27" s="21">
        <v>45891</v>
      </c>
      <c r="AG27">
        <v>40</v>
      </c>
      <c r="AH27" s="21">
        <v>45891</v>
      </c>
      <c r="AI27">
        <v>40</v>
      </c>
      <c r="AJ27" s="21">
        <v>45891</v>
      </c>
      <c r="AK27">
        <v>40</v>
      </c>
      <c r="AL27" s="21">
        <v>45891</v>
      </c>
      <c r="AM27">
        <v>40</v>
      </c>
      <c r="AN27" s="21">
        <v>45891</v>
      </c>
      <c r="AO27">
        <v>40</v>
      </c>
      <c r="AP27" s="21">
        <v>45891</v>
      </c>
      <c r="AQ27">
        <v>40</v>
      </c>
      <c r="AR27" s="21">
        <v>45891</v>
      </c>
      <c r="AS27">
        <v>40</v>
      </c>
    </row>
    <row r="28" spans="1:45">
      <c r="A28" s="136"/>
      <c r="C28" s="21">
        <v>45919</v>
      </c>
      <c r="D28" s="64">
        <v>165</v>
      </c>
      <c r="E28" s="21"/>
      <c r="F28" s="21"/>
      <c r="H28" s="21"/>
      <c r="J28" s="21"/>
      <c r="K28" s="21"/>
      <c r="L28" s="21"/>
      <c r="M28" s="21"/>
      <c r="N28" s="21"/>
      <c r="O28" s="21"/>
      <c r="P28" s="21"/>
      <c r="Q28" s="21"/>
      <c r="R28" s="21"/>
      <c r="S28" s="21"/>
      <c r="T28" s="21"/>
      <c r="U28" s="21"/>
      <c r="V28" s="21"/>
      <c r="W28" s="21"/>
      <c r="X28" s="21"/>
      <c r="Z28" s="21"/>
      <c r="AA28">
        <v>45</v>
      </c>
      <c r="AB28" s="21">
        <v>45919</v>
      </c>
      <c r="AC28">
        <v>45</v>
      </c>
      <c r="AD28" s="21">
        <v>45919</v>
      </c>
      <c r="AE28">
        <v>45</v>
      </c>
      <c r="AF28" s="21">
        <v>45919</v>
      </c>
      <c r="AG28">
        <v>45</v>
      </c>
      <c r="AH28" s="21">
        <v>45919</v>
      </c>
      <c r="AI28">
        <v>45</v>
      </c>
      <c r="AJ28" s="21">
        <v>45919</v>
      </c>
      <c r="AK28">
        <v>45</v>
      </c>
      <c r="AL28" s="21">
        <v>45919</v>
      </c>
      <c r="AM28">
        <v>45</v>
      </c>
      <c r="AN28" s="21">
        <v>45919</v>
      </c>
      <c r="AO28">
        <v>45</v>
      </c>
      <c r="AP28" s="21">
        <v>45919</v>
      </c>
      <c r="AQ28">
        <v>45</v>
      </c>
      <c r="AR28" s="21">
        <v>45919</v>
      </c>
      <c r="AS28">
        <v>45</v>
      </c>
    </row>
    <row r="29" spans="1:45">
      <c r="C29" s="21">
        <v>45947</v>
      </c>
      <c r="D29" s="64">
        <v>170</v>
      </c>
      <c r="E29" s="21"/>
      <c r="F29" s="21"/>
      <c r="H29" s="21"/>
      <c r="J29" s="21"/>
      <c r="K29" s="21"/>
      <c r="L29" s="21"/>
      <c r="M29" s="21"/>
      <c r="N29" s="21"/>
      <c r="O29" s="21"/>
      <c r="P29" s="21"/>
      <c r="Q29" s="21"/>
      <c r="R29" s="21"/>
      <c r="S29" s="21"/>
      <c r="T29" s="21"/>
      <c r="U29" s="21"/>
      <c r="V29" s="21"/>
      <c r="W29" s="21"/>
      <c r="X29" s="21"/>
      <c r="Z29" s="21"/>
      <c r="AA29">
        <v>50</v>
      </c>
      <c r="AB29" s="21">
        <v>45947</v>
      </c>
      <c r="AC29">
        <v>50</v>
      </c>
      <c r="AD29" s="21">
        <v>45947</v>
      </c>
      <c r="AE29">
        <v>50</v>
      </c>
      <c r="AF29" s="21">
        <v>45947</v>
      </c>
      <c r="AG29">
        <v>50</v>
      </c>
      <c r="AH29" s="21">
        <v>45947</v>
      </c>
      <c r="AI29">
        <v>50</v>
      </c>
      <c r="AJ29" s="21">
        <v>45947</v>
      </c>
      <c r="AK29">
        <v>50</v>
      </c>
      <c r="AL29" s="21">
        <v>45947</v>
      </c>
      <c r="AM29">
        <v>50</v>
      </c>
      <c r="AN29" s="21">
        <v>45947</v>
      </c>
      <c r="AO29">
        <v>50</v>
      </c>
      <c r="AP29" s="21">
        <v>45947</v>
      </c>
      <c r="AQ29">
        <v>50</v>
      </c>
      <c r="AR29" s="21">
        <v>45947</v>
      </c>
      <c r="AS29">
        <v>50</v>
      </c>
    </row>
    <row r="30" spans="1:45">
      <c r="C30" s="21">
        <v>46010</v>
      </c>
      <c r="D30" s="64">
        <v>175</v>
      </c>
      <c r="F30" s="21"/>
      <c r="H30" s="21"/>
      <c r="J30" s="21"/>
      <c r="L30" s="21"/>
      <c r="N30" s="21"/>
      <c r="P30" s="21"/>
      <c r="R30" s="21"/>
      <c r="T30" s="21"/>
      <c r="V30" s="21"/>
      <c r="X30" s="21"/>
      <c r="Z30" s="21"/>
      <c r="AA30">
        <v>55</v>
      </c>
      <c r="AB30" s="21">
        <v>45982</v>
      </c>
      <c r="AC30">
        <v>55</v>
      </c>
      <c r="AD30" s="21">
        <v>45982</v>
      </c>
      <c r="AE30">
        <v>55</v>
      </c>
      <c r="AF30" s="21">
        <v>45982</v>
      </c>
      <c r="AG30">
        <v>55</v>
      </c>
      <c r="AH30" s="21">
        <v>45982</v>
      </c>
      <c r="AI30">
        <v>55</v>
      </c>
      <c r="AJ30" s="21">
        <v>45982</v>
      </c>
      <c r="AK30">
        <v>55</v>
      </c>
      <c r="AL30" s="21">
        <v>45982</v>
      </c>
      <c r="AM30">
        <v>55</v>
      </c>
      <c r="AN30" s="21">
        <v>45982</v>
      </c>
      <c r="AO30">
        <v>55</v>
      </c>
      <c r="AP30" s="21">
        <v>45982</v>
      </c>
      <c r="AQ30">
        <v>55</v>
      </c>
      <c r="AR30" s="21">
        <v>45982</v>
      </c>
      <c r="AS30">
        <v>55</v>
      </c>
    </row>
    <row r="31" spans="1:45">
      <c r="C31" s="21">
        <v>46038</v>
      </c>
      <c r="D31" s="64">
        <v>180</v>
      </c>
      <c r="E31" s="21"/>
      <c r="F31" s="21"/>
      <c r="H31" s="21"/>
      <c r="J31" s="21"/>
      <c r="K31" s="21"/>
      <c r="L31" s="21"/>
      <c r="M31" s="21"/>
      <c r="N31" s="21"/>
      <c r="O31" s="21"/>
      <c r="P31" s="21"/>
      <c r="Q31" s="21"/>
      <c r="R31" s="21"/>
      <c r="S31" s="21"/>
      <c r="T31" s="21"/>
      <c r="U31" s="21"/>
      <c r="V31" s="21"/>
      <c r="W31" s="21"/>
      <c r="X31" s="21"/>
      <c r="Z31" s="21"/>
      <c r="AA31">
        <v>60</v>
      </c>
      <c r="AB31" s="21">
        <v>46010</v>
      </c>
      <c r="AC31">
        <v>60</v>
      </c>
      <c r="AD31" s="21">
        <v>46010</v>
      </c>
      <c r="AE31">
        <v>60</v>
      </c>
      <c r="AF31" s="21">
        <v>46010</v>
      </c>
      <c r="AG31">
        <v>60</v>
      </c>
      <c r="AH31" s="21">
        <v>46010</v>
      </c>
      <c r="AI31">
        <v>60</v>
      </c>
      <c r="AJ31" s="21">
        <v>46010</v>
      </c>
      <c r="AK31">
        <v>60</v>
      </c>
      <c r="AL31" s="21">
        <v>46010</v>
      </c>
      <c r="AM31">
        <v>60</v>
      </c>
      <c r="AN31" s="21">
        <v>46010</v>
      </c>
      <c r="AO31">
        <v>60</v>
      </c>
      <c r="AP31" s="21">
        <v>46010</v>
      </c>
      <c r="AQ31">
        <v>60</v>
      </c>
      <c r="AR31" s="21">
        <v>46010</v>
      </c>
      <c r="AS31">
        <v>60</v>
      </c>
    </row>
    <row r="32" spans="1:45">
      <c r="C32" s="21">
        <v>46073</v>
      </c>
      <c r="D32" s="64">
        <v>185</v>
      </c>
      <c r="F32" s="21"/>
      <c r="H32" s="21"/>
      <c r="J32" s="21"/>
      <c r="L32" s="21"/>
      <c r="N32" s="21"/>
      <c r="P32" s="21"/>
      <c r="R32" s="21"/>
      <c r="T32" s="21"/>
      <c r="V32" s="21"/>
      <c r="X32" s="21"/>
      <c r="Z32" s="21"/>
      <c r="AA32">
        <v>65</v>
      </c>
      <c r="AB32" s="21">
        <v>46038</v>
      </c>
      <c r="AC32">
        <v>65</v>
      </c>
      <c r="AD32" s="21">
        <v>46038</v>
      </c>
      <c r="AE32">
        <v>65</v>
      </c>
      <c r="AF32" s="21">
        <v>46038</v>
      </c>
      <c r="AG32">
        <v>65</v>
      </c>
      <c r="AH32" s="21">
        <v>46038</v>
      </c>
      <c r="AI32">
        <v>65</v>
      </c>
      <c r="AJ32" s="21">
        <v>46038</v>
      </c>
      <c r="AK32">
        <v>65</v>
      </c>
      <c r="AL32" s="21">
        <v>46038</v>
      </c>
      <c r="AM32">
        <v>65</v>
      </c>
      <c r="AN32" s="21">
        <v>46038</v>
      </c>
      <c r="AO32">
        <v>65</v>
      </c>
      <c r="AP32" s="21">
        <v>46038</v>
      </c>
      <c r="AQ32">
        <v>65</v>
      </c>
      <c r="AR32" s="21">
        <v>46038</v>
      </c>
      <c r="AS32">
        <v>65</v>
      </c>
    </row>
    <row r="33" spans="3:45">
      <c r="C33" s="21">
        <v>46101</v>
      </c>
      <c r="D33" s="64">
        <v>190</v>
      </c>
      <c r="F33" s="21"/>
      <c r="H33" s="21"/>
      <c r="J33" s="21"/>
      <c r="L33" s="21"/>
      <c r="N33" s="21"/>
      <c r="P33" s="21"/>
      <c r="R33" s="21"/>
      <c r="T33" s="21"/>
      <c r="V33" s="21"/>
      <c r="X33" s="21"/>
      <c r="Z33" s="21"/>
      <c r="AA33">
        <v>70</v>
      </c>
      <c r="AB33" s="21">
        <v>46073</v>
      </c>
      <c r="AC33">
        <v>70</v>
      </c>
      <c r="AD33" s="21">
        <v>46073</v>
      </c>
      <c r="AE33">
        <v>70</v>
      </c>
      <c r="AF33" s="21">
        <v>46073</v>
      </c>
      <c r="AG33">
        <v>70</v>
      </c>
      <c r="AH33" s="21">
        <v>46073</v>
      </c>
      <c r="AI33">
        <v>70</v>
      </c>
      <c r="AJ33" s="21">
        <v>46073</v>
      </c>
      <c r="AK33">
        <v>70</v>
      </c>
      <c r="AL33" s="21">
        <v>46073</v>
      </c>
      <c r="AM33">
        <v>70</v>
      </c>
      <c r="AN33" s="21">
        <v>46073</v>
      </c>
      <c r="AO33">
        <v>70</v>
      </c>
      <c r="AP33" s="21">
        <v>46073</v>
      </c>
      <c r="AQ33">
        <v>70</v>
      </c>
      <c r="AR33" s="21">
        <v>46073</v>
      </c>
      <c r="AS33">
        <v>70</v>
      </c>
    </row>
    <row r="34" spans="3:45">
      <c r="C34" s="21">
        <v>46157</v>
      </c>
      <c r="D34" s="64">
        <v>195</v>
      </c>
      <c r="E34" s="21"/>
      <c r="F34" s="21"/>
      <c r="H34" s="21"/>
      <c r="J34" s="21"/>
      <c r="K34" s="21"/>
      <c r="L34" s="21"/>
      <c r="M34" s="21"/>
      <c r="N34" s="21"/>
      <c r="O34" s="21"/>
      <c r="P34" s="21"/>
      <c r="Q34" s="21"/>
      <c r="R34" s="21"/>
      <c r="S34" s="21"/>
      <c r="T34" s="21"/>
      <c r="U34" s="21"/>
      <c r="V34" s="21"/>
      <c r="W34" s="21"/>
      <c r="X34" s="21"/>
      <c r="Z34" s="21"/>
      <c r="AA34">
        <v>75</v>
      </c>
      <c r="AB34" s="21">
        <v>46101</v>
      </c>
      <c r="AC34">
        <v>75</v>
      </c>
      <c r="AD34" s="21">
        <v>46101</v>
      </c>
      <c r="AE34">
        <v>75</v>
      </c>
      <c r="AF34" s="21">
        <v>46101</v>
      </c>
      <c r="AG34">
        <v>75</v>
      </c>
      <c r="AH34" s="21">
        <v>46101</v>
      </c>
      <c r="AI34">
        <v>75</v>
      </c>
      <c r="AJ34" s="21">
        <v>46101</v>
      </c>
      <c r="AK34">
        <v>75</v>
      </c>
      <c r="AL34" s="21">
        <v>46101</v>
      </c>
      <c r="AM34">
        <v>75</v>
      </c>
      <c r="AN34" s="21">
        <v>46101</v>
      </c>
      <c r="AO34">
        <v>75</v>
      </c>
      <c r="AP34" s="21">
        <v>46101</v>
      </c>
      <c r="AQ34">
        <v>75</v>
      </c>
      <c r="AR34" s="21">
        <v>46101</v>
      </c>
      <c r="AS34">
        <v>75</v>
      </c>
    </row>
    <row r="35" spans="3:45">
      <c r="C35" s="21">
        <v>46191</v>
      </c>
      <c r="D35" s="64">
        <v>200</v>
      </c>
      <c r="E35" s="21"/>
      <c r="F35" s="21"/>
      <c r="H35" s="21"/>
      <c r="J35" s="21"/>
      <c r="K35" s="21"/>
      <c r="L35" s="21"/>
      <c r="M35" s="21"/>
      <c r="N35" s="21"/>
      <c r="O35" s="21"/>
      <c r="P35" s="21"/>
      <c r="Q35" s="21"/>
      <c r="R35" s="21"/>
      <c r="S35" s="21"/>
      <c r="T35" s="21"/>
      <c r="U35" s="21"/>
      <c r="V35" s="21"/>
      <c r="W35" s="21"/>
      <c r="X35" s="21"/>
      <c r="Z35" s="21"/>
      <c r="AA35">
        <v>80</v>
      </c>
      <c r="AB35" s="21">
        <v>46157</v>
      </c>
      <c r="AC35">
        <v>80</v>
      </c>
      <c r="AD35" s="21">
        <v>46157</v>
      </c>
      <c r="AE35">
        <v>80</v>
      </c>
      <c r="AF35" s="21">
        <v>46157</v>
      </c>
      <c r="AG35">
        <v>80</v>
      </c>
      <c r="AH35" s="21">
        <v>46157</v>
      </c>
      <c r="AI35">
        <v>80</v>
      </c>
      <c r="AJ35" s="21">
        <v>46157</v>
      </c>
      <c r="AK35">
        <v>80</v>
      </c>
      <c r="AL35" s="21">
        <v>46157</v>
      </c>
      <c r="AM35">
        <v>80</v>
      </c>
      <c r="AN35" s="21">
        <v>46157</v>
      </c>
      <c r="AO35">
        <v>80</v>
      </c>
      <c r="AP35" s="21">
        <v>46157</v>
      </c>
      <c r="AQ35">
        <v>80</v>
      </c>
      <c r="AR35" s="21">
        <v>46157</v>
      </c>
      <c r="AS35">
        <v>80</v>
      </c>
    </row>
    <row r="36" spans="3:45">
      <c r="C36" s="21">
        <v>46283</v>
      </c>
      <c r="D36" s="64">
        <v>205</v>
      </c>
      <c r="F36" s="21"/>
      <c r="H36" s="21"/>
      <c r="J36" s="21"/>
      <c r="L36" s="21"/>
      <c r="N36" s="21"/>
      <c r="P36" s="21"/>
      <c r="R36" s="21"/>
      <c r="T36" s="21"/>
      <c r="V36" s="21"/>
      <c r="X36" s="21"/>
      <c r="Z36" s="21"/>
      <c r="AA36">
        <v>85</v>
      </c>
      <c r="AB36" s="21">
        <v>46191</v>
      </c>
      <c r="AC36">
        <v>85</v>
      </c>
      <c r="AD36" s="21">
        <v>46191</v>
      </c>
      <c r="AE36">
        <v>85</v>
      </c>
      <c r="AF36" s="21">
        <v>46191</v>
      </c>
      <c r="AG36">
        <v>85</v>
      </c>
      <c r="AH36" s="21">
        <v>46191</v>
      </c>
      <c r="AI36">
        <v>85</v>
      </c>
      <c r="AJ36" s="21">
        <v>46191</v>
      </c>
      <c r="AK36">
        <v>85</v>
      </c>
      <c r="AL36" s="21">
        <v>46191</v>
      </c>
      <c r="AM36">
        <v>85</v>
      </c>
      <c r="AN36" s="21">
        <v>46191</v>
      </c>
      <c r="AO36">
        <v>85</v>
      </c>
      <c r="AP36" s="21">
        <v>46191</v>
      </c>
      <c r="AQ36">
        <v>85</v>
      </c>
      <c r="AR36" s="21">
        <v>46191</v>
      </c>
      <c r="AS36">
        <v>85</v>
      </c>
    </row>
    <row r="37" spans="3:45">
      <c r="C37" s="21">
        <v>46374</v>
      </c>
      <c r="D37" s="64">
        <v>210</v>
      </c>
      <c r="F37" s="21"/>
      <c r="H37" s="21"/>
      <c r="J37" s="21"/>
      <c r="L37" s="21"/>
      <c r="N37" s="21"/>
      <c r="P37" s="21"/>
      <c r="R37" s="21"/>
      <c r="T37" s="21"/>
      <c r="V37" s="21"/>
      <c r="X37" s="21"/>
      <c r="Z37" s="21"/>
      <c r="AA37">
        <v>90</v>
      </c>
      <c r="AB37" s="21">
        <v>46283</v>
      </c>
      <c r="AC37">
        <v>90</v>
      </c>
      <c r="AD37" s="21">
        <v>46283</v>
      </c>
      <c r="AE37">
        <v>90</v>
      </c>
      <c r="AF37" s="21">
        <v>46283</v>
      </c>
      <c r="AG37">
        <v>90</v>
      </c>
      <c r="AH37" s="21">
        <v>46283</v>
      </c>
      <c r="AI37">
        <v>90</v>
      </c>
      <c r="AJ37" s="21">
        <v>46283</v>
      </c>
      <c r="AK37">
        <v>90</v>
      </c>
      <c r="AL37" s="21">
        <v>46283</v>
      </c>
      <c r="AM37">
        <v>90</v>
      </c>
      <c r="AN37" s="21">
        <v>46283</v>
      </c>
      <c r="AO37">
        <v>90</v>
      </c>
      <c r="AP37" s="21">
        <v>46283</v>
      </c>
      <c r="AQ37">
        <v>90</v>
      </c>
      <c r="AR37" s="21">
        <v>46283</v>
      </c>
      <c r="AS37">
        <v>90</v>
      </c>
    </row>
    <row r="38" spans="3:45">
      <c r="C38" s="21">
        <v>46402</v>
      </c>
      <c r="D38" s="64">
        <v>215</v>
      </c>
      <c r="E38" s="21"/>
      <c r="F38" s="21"/>
      <c r="H38" s="21"/>
      <c r="J38" s="21"/>
      <c r="K38" s="21"/>
      <c r="L38" s="21"/>
      <c r="M38" s="21"/>
      <c r="N38" s="21"/>
      <c r="O38" s="21"/>
      <c r="P38" s="21"/>
      <c r="Q38" s="21"/>
      <c r="R38" s="21"/>
      <c r="S38" s="21"/>
      <c r="T38" s="21"/>
      <c r="U38" s="21"/>
      <c r="V38" s="21"/>
      <c r="W38" s="21"/>
      <c r="X38" s="21"/>
      <c r="Z38" s="21"/>
      <c r="AA38">
        <v>95</v>
      </c>
      <c r="AB38" s="21">
        <v>46374</v>
      </c>
      <c r="AC38">
        <v>95</v>
      </c>
      <c r="AD38" s="21">
        <v>46374</v>
      </c>
      <c r="AE38">
        <v>95</v>
      </c>
      <c r="AF38" s="21">
        <v>46374</v>
      </c>
      <c r="AG38">
        <v>95</v>
      </c>
      <c r="AH38" s="21">
        <v>46374</v>
      </c>
      <c r="AI38">
        <v>95</v>
      </c>
      <c r="AJ38" s="21">
        <v>46374</v>
      </c>
      <c r="AK38">
        <v>95</v>
      </c>
      <c r="AL38" s="21">
        <v>46374</v>
      </c>
      <c r="AM38">
        <v>95</v>
      </c>
      <c r="AN38" s="21">
        <v>46374</v>
      </c>
      <c r="AO38">
        <v>95</v>
      </c>
      <c r="AP38" s="21">
        <v>46374</v>
      </c>
      <c r="AQ38">
        <v>95</v>
      </c>
      <c r="AR38" s="21">
        <v>46374</v>
      </c>
      <c r="AS38">
        <v>95</v>
      </c>
    </row>
    <row r="39" spans="3:45">
      <c r="C39" s="21">
        <v>46555</v>
      </c>
      <c r="D39" s="64">
        <v>220</v>
      </c>
      <c r="E39" s="21"/>
      <c r="F39" s="21"/>
      <c r="H39" s="21"/>
      <c r="J39" s="21"/>
      <c r="K39" s="21"/>
      <c r="L39" s="21"/>
      <c r="M39" s="21"/>
      <c r="N39" s="21"/>
      <c r="O39" s="21"/>
      <c r="P39" s="21"/>
      <c r="Q39" s="21"/>
      <c r="R39" s="21"/>
      <c r="S39" s="21"/>
      <c r="T39" s="21"/>
      <c r="U39" s="21"/>
      <c r="V39" s="21"/>
      <c r="W39" s="21"/>
      <c r="X39" s="21"/>
      <c r="Z39" s="21"/>
      <c r="AA39">
        <v>100</v>
      </c>
      <c r="AB39" s="21">
        <v>46402</v>
      </c>
      <c r="AC39">
        <v>100</v>
      </c>
      <c r="AD39" s="21">
        <v>46402</v>
      </c>
      <c r="AE39">
        <v>100</v>
      </c>
      <c r="AF39" s="21">
        <v>46402</v>
      </c>
      <c r="AG39">
        <v>100</v>
      </c>
      <c r="AH39" s="21">
        <v>46402</v>
      </c>
      <c r="AI39">
        <v>100</v>
      </c>
      <c r="AJ39" s="21">
        <v>46402</v>
      </c>
      <c r="AK39">
        <v>100</v>
      </c>
      <c r="AL39" s="21">
        <v>46402</v>
      </c>
      <c r="AM39">
        <v>100</v>
      </c>
      <c r="AN39" s="21">
        <v>46402</v>
      </c>
      <c r="AO39">
        <v>100</v>
      </c>
      <c r="AP39" s="21">
        <v>46402</v>
      </c>
      <c r="AQ39">
        <v>100</v>
      </c>
      <c r="AR39" s="21">
        <v>46402</v>
      </c>
      <c r="AS39">
        <v>100</v>
      </c>
    </row>
    <row r="40" spans="3:45">
      <c r="C40" s="21">
        <v>46738</v>
      </c>
      <c r="D40" s="64">
        <v>225</v>
      </c>
      <c r="E40" s="21"/>
      <c r="F40" s="21"/>
      <c r="H40" s="21"/>
      <c r="J40" s="21"/>
      <c r="K40" s="21"/>
      <c r="L40" s="21"/>
      <c r="M40" s="21"/>
      <c r="N40" s="21"/>
      <c r="O40" s="21"/>
      <c r="P40" s="21"/>
      <c r="Q40" s="21"/>
      <c r="R40" s="21"/>
      <c r="S40" s="21"/>
      <c r="T40" s="21"/>
      <c r="U40" s="21"/>
      <c r="V40" s="21"/>
      <c r="W40" s="21"/>
      <c r="X40" s="21"/>
      <c r="Z40" s="21"/>
      <c r="AA40">
        <v>105</v>
      </c>
      <c r="AB40" s="21">
        <v>46555</v>
      </c>
      <c r="AC40">
        <v>105</v>
      </c>
      <c r="AD40" s="21">
        <v>46555</v>
      </c>
      <c r="AE40">
        <v>105</v>
      </c>
      <c r="AF40" s="21">
        <v>46555</v>
      </c>
      <c r="AG40">
        <v>105</v>
      </c>
      <c r="AH40" s="21">
        <v>46555</v>
      </c>
      <c r="AI40">
        <v>105</v>
      </c>
      <c r="AJ40" s="21">
        <v>46555</v>
      </c>
      <c r="AK40">
        <v>105</v>
      </c>
      <c r="AL40" s="21">
        <v>46555</v>
      </c>
      <c r="AM40">
        <v>105</v>
      </c>
      <c r="AN40" s="21">
        <v>46555</v>
      </c>
      <c r="AO40">
        <v>105</v>
      </c>
      <c r="AP40" s="21">
        <v>46555</v>
      </c>
      <c r="AQ40">
        <v>105</v>
      </c>
      <c r="AR40" s="21">
        <v>46555</v>
      </c>
      <c r="AS40">
        <v>105</v>
      </c>
    </row>
    <row r="41" spans="3:45">
      <c r="D41" s="64">
        <v>230</v>
      </c>
      <c r="F41" s="21"/>
      <c r="H41" s="21"/>
      <c r="J41" s="21"/>
      <c r="L41" s="21"/>
      <c r="N41" s="21"/>
      <c r="P41" s="21"/>
      <c r="R41" s="21"/>
      <c r="T41" s="21"/>
      <c r="V41" s="21"/>
      <c r="X41" s="21"/>
      <c r="Z41" s="21"/>
      <c r="AA41">
        <v>110</v>
      </c>
      <c r="AB41" s="21">
        <v>46738</v>
      </c>
      <c r="AC41">
        <v>110</v>
      </c>
      <c r="AD41" s="21">
        <v>46738</v>
      </c>
      <c r="AE41">
        <v>110</v>
      </c>
      <c r="AF41" s="21">
        <v>46738</v>
      </c>
      <c r="AG41">
        <v>110</v>
      </c>
      <c r="AH41" s="21">
        <v>46738</v>
      </c>
      <c r="AI41">
        <v>110</v>
      </c>
      <c r="AJ41" s="21">
        <v>46738</v>
      </c>
      <c r="AK41">
        <v>110</v>
      </c>
      <c r="AL41" s="21">
        <v>46738</v>
      </c>
      <c r="AM41">
        <v>110</v>
      </c>
      <c r="AN41" s="21">
        <v>46738</v>
      </c>
      <c r="AO41">
        <v>110</v>
      </c>
      <c r="AP41" s="21">
        <v>46738</v>
      </c>
      <c r="AQ41">
        <v>110</v>
      </c>
      <c r="AR41" s="21">
        <v>46738</v>
      </c>
      <c r="AS41">
        <v>110</v>
      </c>
    </row>
    <row r="42" spans="3:45">
      <c r="D42" s="64">
        <v>235</v>
      </c>
      <c r="E42" s="21"/>
      <c r="F42" s="21"/>
      <c r="H42" s="21"/>
      <c r="J42" s="21"/>
      <c r="K42" s="21"/>
      <c r="L42" s="21"/>
      <c r="M42" s="21"/>
      <c r="N42" s="21"/>
      <c r="O42" s="21"/>
      <c r="P42" s="21"/>
      <c r="Q42" s="21"/>
      <c r="R42" s="21"/>
      <c r="S42" s="21"/>
      <c r="T42" s="21"/>
      <c r="U42" s="21"/>
      <c r="V42" s="21"/>
      <c r="W42" s="21"/>
      <c r="AA42">
        <v>115</v>
      </c>
      <c r="AC42">
        <v>115</v>
      </c>
      <c r="AE42">
        <v>115</v>
      </c>
      <c r="AG42">
        <v>115</v>
      </c>
      <c r="AI42">
        <v>115</v>
      </c>
      <c r="AK42">
        <v>115</v>
      </c>
      <c r="AM42">
        <v>115</v>
      </c>
      <c r="AO42">
        <v>115</v>
      </c>
      <c r="AQ42">
        <v>115</v>
      </c>
      <c r="AS42">
        <v>115</v>
      </c>
    </row>
    <row r="43" spans="3:45">
      <c r="D43" s="64">
        <v>240</v>
      </c>
      <c r="E43" s="21"/>
      <c r="F43" s="21"/>
      <c r="H43" s="21"/>
      <c r="J43" s="21"/>
      <c r="K43" s="21"/>
      <c r="L43" s="21"/>
      <c r="M43" s="21"/>
      <c r="N43" s="21"/>
      <c r="O43" s="21"/>
      <c r="P43" s="21"/>
      <c r="Q43" s="21"/>
      <c r="R43" s="21"/>
      <c r="S43" s="21"/>
      <c r="T43" s="21"/>
      <c r="U43" s="21"/>
      <c r="V43" s="21"/>
      <c r="W43" s="21"/>
      <c r="AA43">
        <v>120</v>
      </c>
      <c r="AC43">
        <v>120</v>
      </c>
      <c r="AE43">
        <v>120</v>
      </c>
      <c r="AG43">
        <v>120</v>
      </c>
      <c r="AI43">
        <v>120</v>
      </c>
      <c r="AK43">
        <v>120</v>
      </c>
      <c r="AM43">
        <v>120</v>
      </c>
      <c r="AO43">
        <v>120</v>
      </c>
      <c r="AQ43">
        <v>120</v>
      </c>
      <c r="AS43">
        <v>120</v>
      </c>
    </row>
    <row r="44" spans="3:45">
      <c r="D44" s="64">
        <v>245</v>
      </c>
      <c r="AA44">
        <v>125</v>
      </c>
      <c r="AC44">
        <v>125</v>
      </c>
      <c r="AE44">
        <v>125</v>
      </c>
      <c r="AG44">
        <v>125</v>
      </c>
      <c r="AI44">
        <v>125</v>
      </c>
      <c r="AK44">
        <v>125</v>
      </c>
      <c r="AM44">
        <v>125</v>
      </c>
      <c r="AO44">
        <v>125</v>
      </c>
      <c r="AQ44">
        <v>125</v>
      </c>
      <c r="AS44">
        <v>125</v>
      </c>
    </row>
    <row r="45" spans="3:45">
      <c r="D45" s="64">
        <v>250</v>
      </c>
      <c r="E45" s="21"/>
      <c r="F45" s="21"/>
      <c r="H45" s="21"/>
      <c r="J45" s="21"/>
      <c r="K45" s="21"/>
      <c r="L45" s="21"/>
      <c r="M45" s="21"/>
      <c r="N45" s="21"/>
      <c r="O45" s="21"/>
      <c r="P45" s="21"/>
      <c r="Q45" s="21"/>
      <c r="R45" s="21"/>
      <c r="S45" s="21"/>
      <c r="T45" s="21"/>
      <c r="U45" s="21"/>
      <c r="V45" s="21"/>
      <c r="W45" s="21"/>
      <c r="AA45">
        <v>130</v>
      </c>
      <c r="AC45">
        <v>130</v>
      </c>
      <c r="AE45">
        <v>130</v>
      </c>
      <c r="AG45">
        <v>130</v>
      </c>
      <c r="AI45">
        <v>130</v>
      </c>
      <c r="AK45">
        <v>130</v>
      </c>
      <c r="AM45">
        <v>130</v>
      </c>
      <c r="AO45">
        <v>130</v>
      </c>
      <c r="AQ45">
        <v>130</v>
      </c>
      <c r="AS45">
        <v>130</v>
      </c>
    </row>
    <row r="46" spans="3:45">
      <c r="D46" s="64">
        <v>255</v>
      </c>
      <c r="E46" s="21"/>
      <c r="F46" s="21"/>
      <c r="H46" s="21"/>
      <c r="J46" s="21"/>
      <c r="K46" s="21"/>
      <c r="L46" s="21"/>
      <c r="M46" s="21"/>
      <c r="N46" s="21"/>
      <c r="O46" s="21"/>
      <c r="P46" s="21"/>
      <c r="Q46" s="21"/>
      <c r="R46" s="21"/>
      <c r="S46" s="21"/>
      <c r="T46" s="21"/>
      <c r="U46" s="21"/>
      <c r="V46" s="21"/>
      <c r="W46" s="21"/>
      <c r="AA46">
        <v>135</v>
      </c>
      <c r="AC46">
        <v>135</v>
      </c>
      <c r="AE46">
        <v>135</v>
      </c>
      <c r="AG46">
        <v>135</v>
      </c>
      <c r="AI46">
        <v>135</v>
      </c>
      <c r="AK46">
        <v>135</v>
      </c>
      <c r="AM46">
        <v>135</v>
      </c>
      <c r="AO46">
        <v>135</v>
      </c>
      <c r="AQ46">
        <v>135</v>
      </c>
      <c r="AS46">
        <v>135</v>
      </c>
    </row>
    <row r="47" spans="3:45">
      <c r="D47" s="64">
        <v>260</v>
      </c>
      <c r="E47" s="21"/>
      <c r="F47" s="21"/>
      <c r="H47" s="21"/>
      <c r="J47" s="21"/>
      <c r="K47" s="21"/>
      <c r="L47" s="21"/>
      <c r="M47" s="21"/>
      <c r="N47" s="21"/>
      <c r="O47" s="21"/>
      <c r="P47" s="21"/>
      <c r="Q47" s="21"/>
      <c r="R47" s="21"/>
      <c r="S47" s="21"/>
      <c r="T47" s="21"/>
      <c r="U47" s="21"/>
      <c r="V47" s="21"/>
      <c r="W47" s="21"/>
      <c r="AA47">
        <v>140</v>
      </c>
      <c r="AC47">
        <v>140</v>
      </c>
      <c r="AE47">
        <v>140</v>
      </c>
      <c r="AG47">
        <v>140</v>
      </c>
      <c r="AI47">
        <v>140</v>
      </c>
      <c r="AK47">
        <v>140</v>
      </c>
      <c r="AM47">
        <v>140</v>
      </c>
      <c r="AO47">
        <v>140</v>
      </c>
      <c r="AQ47">
        <v>140</v>
      </c>
      <c r="AS47">
        <v>140</v>
      </c>
    </row>
    <row r="48" spans="3:45">
      <c r="D48" s="64">
        <v>265</v>
      </c>
      <c r="AA48">
        <v>145</v>
      </c>
      <c r="AC48">
        <v>145</v>
      </c>
      <c r="AE48">
        <v>145</v>
      </c>
      <c r="AG48">
        <v>145</v>
      </c>
      <c r="AI48">
        <v>145</v>
      </c>
      <c r="AK48">
        <v>145</v>
      </c>
      <c r="AM48">
        <v>145</v>
      </c>
      <c r="AO48">
        <v>145</v>
      </c>
      <c r="AQ48">
        <v>145</v>
      </c>
      <c r="AS48">
        <v>145</v>
      </c>
    </row>
    <row r="49" spans="4:45">
      <c r="D49" s="64">
        <v>270</v>
      </c>
      <c r="AA49">
        <v>150</v>
      </c>
      <c r="AC49">
        <v>150</v>
      </c>
      <c r="AE49">
        <v>150</v>
      </c>
      <c r="AG49">
        <v>150</v>
      </c>
      <c r="AI49">
        <v>150</v>
      </c>
      <c r="AK49">
        <v>150</v>
      </c>
      <c r="AM49">
        <v>150</v>
      </c>
      <c r="AO49">
        <v>150</v>
      </c>
      <c r="AQ49">
        <v>150</v>
      </c>
      <c r="AS49">
        <v>150</v>
      </c>
    </row>
    <row r="50" spans="4:45">
      <c r="D50" s="64">
        <v>275</v>
      </c>
      <c r="AA50">
        <v>155</v>
      </c>
      <c r="AC50">
        <v>155</v>
      </c>
      <c r="AE50">
        <v>155</v>
      </c>
      <c r="AG50">
        <v>155</v>
      </c>
      <c r="AI50">
        <v>155</v>
      </c>
      <c r="AK50">
        <v>155</v>
      </c>
      <c r="AM50">
        <v>155</v>
      </c>
      <c r="AO50">
        <v>155</v>
      </c>
      <c r="AQ50">
        <v>155</v>
      </c>
      <c r="AS50">
        <v>155</v>
      </c>
    </row>
    <row r="51" spans="4:45">
      <c r="D51" s="64">
        <v>280</v>
      </c>
      <c r="E51" s="21"/>
      <c r="F51" s="21"/>
      <c r="H51" s="21"/>
      <c r="J51" s="21"/>
      <c r="K51" s="21"/>
      <c r="L51" s="21"/>
      <c r="M51" s="21"/>
      <c r="N51" s="21"/>
      <c r="O51" s="21"/>
      <c r="P51" s="21"/>
      <c r="Q51" s="21"/>
      <c r="R51" s="21"/>
      <c r="S51" s="21"/>
      <c r="T51" s="21"/>
      <c r="U51" s="21"/>
      <c r="V51" s="21"/>
      <c r="W51" s="21"/>
      <c r="AA51">
        <v>160</v>
      </c>
      <c r="AC51">
        <v>160</v>
      </c>
      <c r="AE51">
        <v>160</v>
      </c>
      <c r="AG51">
        <v>160</v>
      </c>
      <c r="AI51">
        <v>160</v>
      </c>
      <c r="AK51">
        <v>160</v>
      </c>
      <c r="AM51">
        <v>160</v>
      </c>
      <c r="AO51">
        <v>160</v>
      </c>
      <c r="AQ51">
        <v>160</v>
      </c>
      <c r="AS51">
        <v>160</v>
      </c>
    </row>
    <row r="52" spans="4:45">
      <c r="D52" s="64">
        <v>285</v>
      </c>
      <c r="AA52">
        <v>165</v>
      </c>
      <c r="AC52">
        <v>165</v>
      </c>
      <c r="AE52">
        <v>165</v>
      </c>
      <c r="AG52">
        <v>165</v>
      </c>
      <c r="AI52">
        <v>165</v>
      </c>
      <c r="AK52">
        <v>165</v>
      </c>
      <c r="AM52">
        <v>165</v>
      </c>
      <c r="AO52">
        <v>165</v>
      </c>
      <c r="AQ52">
        <v>165</v>
      </c>
      <c r="AS52">
        <v>165</v>
      </c>
    </row>
    <row r="53" spans="4:45">
      <c r="D53" s="64">
        <v>290</v>
      </c>
      <c r="E53" s="21"/>
      <c r="F53" s="21"/>
      <c r="H53" s="21"/>
      <c r="J53" s="21"/>
      <c r="K53" s="21"/>
      <c r="L53" s="21"/>
      <c r="M53" s="21"/>
      <c r="N53" s="21"/>
      <c r="O53" s="21"/>
      <c r="P53" s="21"/>
      <c r="Q53" s="21"/>
      <c r="R53" s="21"/>
      <c r="S53" s="21"/>
      <c r="T53" s="21"/>
      <c r="U53" s="21"/>
      <c r="V53" s="21"/>
      <c r="W53" s="21"/>
      <c r="AA53">
        <v>170</v>
      </c>
      <c r="AC53">
        <v>170</v>
      </c>
      <c r="AE53">
        <v>170</v>
      </c>
      <c r="AG53">
        <v>170</v>
      </c>
      <c r="AI53">
        <v>170</v>
      </c>
      <c r="AK53">
        <v>170</v>
      </c>
      <c r="AM53">
        <v>170</v>
      </c>
      <c r="AO53">
        <v>170</v>
      </c>
      <c r="AQ53">
        <v>170</v>
      </c>
      <c r="AS53">
        <v>170</v>
      </c>
    </row>
    <row r="54" spans="4:45">
      <c r="D54" s="64">
        <v>295</v>
      </c>
      <c r="AA54">
        <v>172.5</v>
      </c>
      <c r="AC54">
        <v>172.5</v>
      </c>
      <c r="AE54">
        <v>172.5</v>
      </c>
      <c r="AG54">
        <v>172.5</v>
      </c>
      <c r="AI54">
        <v>172.5</v>
      </c>
      <c r="AK54">
        <v>172.5</v>
      </c>
      <c r="AM54">
        <v>172.5</v>
      </c>
      <c r="AO54">
        <v>172.5</v>
      </c>
      <c r="AQ54">
        <v>172.5</v>
      </c>
      <c r="AS54">
        <v>172.5</v>
      </c>
    </row>
    <row r="55" spans="4:45">
      <c r="D55" s="64">
        <v>300</v>
      </c>
      <c r="E55" s="21"/>
      <c r="F55" s="21"/>
      <c r="H55" s="21"/>
      <c r="J55" s="21"/>
      <c r="K55" s="21"/>
      <c r="L55" s="21"/>
      <c r="M55" s="21"/>
      <c r="N55" s="21"/>
      <c r="O55" s="21"/>
      <c r="P55" s="21"/>
      <c r="Q55" s="21"/>
      <c r="R55" s="21"/>
      <c r="S55" s="21"/>
      <c r="T55" s="21"/>
      <c r="U55" s="21"/>
      <c r="V55" s="21"/>
      <c r="W55" s="21"/>
      <c r="AA55">
        <v>175</v>
      </c>
      <c r="AC55">
        <v>175</v>
      </c>
      <c r="AE55">
        <v>175</v>
      </c>
      <c r="AG55">
        <v>175</v>
      </c>
      <c r="AI55">
        <v>175</v>
      </c>
      <c r="AK55">
        <v>175</v>
      </c>
      <c r="AM55">
        <v>175</v>
      </c>
      <c r="AO55">
        <v>175</v>
      </c>
      <c r="AQ55">
        <v>175</v>
      </c>
      <c r="AS55">
        <v>175</v>
      </c>
    </row>
    <row r="56" spans="4:45">
      <c r="D56" s="64">
        <v>305</v>
      </c>
      <c r="AA56">
        <v>177.5</v>
      </c>
      <c r="AC56">
        <v>177.5</v>
      </c>
      <c r="AE56">
        <v>177.5</v>
      </c>
      <c r="AG56">
        <v>177.5</v>
      </c>
      <c r="AI56">
        <v>177.5</v>
      </c>
      <c r="AK56">
        <v>177.5</v>
      </c>
      <c r="AM56">
        <v>177.5</v>
      </c>
      <c r="AO56">
        <v>177.5</v>
      </c>
      <c r="AQ56">
        <v>177.5</v>
      </c>
      <c r="AS56">
        <v>177.5</v>
      </c>
    </row>
    <row r="57" spans="4:45">
      <c r="D57" s="64">
        <v>310</v>
      </c>
      <c r="AA57">
        <v>180</v>
      </c>
      <c r="AC57">
        <v>180</v>
      </c>
      <c r="AE57">
        <v>180</v>
      </c>
      <c r="AG57">
        <v>180</v>
      </c>
      <c r="AI57">
        <v>180</v>
      </c>
      <c r="AK57">
        <v>180</v>
      </c>
      <c r="AM57">
        <v>180</v>
      </c>
      <c r="AO57">
        <v>180</v>
      </c>
      <c r="AQ57">
        <v>180</v>
      </c>
      <c r="AS57">
        <v>180</v>
      </c>
    </row>
    <row r="58" spans="4:45">
      <c r="D58" s="64">
        <v>315</v>
      </c>
      <c r="AA58">
        <v>182.5</v>
      </c>
      <c r="AC58">
        <v>182.5</v>
      </c>
      <c r="AE58">
        <v>182.5</v>
      </c>
      <c r="AG58">
        <v>182.5</v>
      </c>
      <c r="AI58">
        <v>182.5</v>
      </c>
      <c r="AK58">
        <v>182.5</v>
      </c>
      <c r="AM58">
        <v>182.5</v>
      </c>
      <c r="AO58">
        <v>182.5</v>
      </c>
      <c r="AQ58">
        <v>182.5</v>
      </c>
      <c r="AS58">
        <v>182.5</v>
      </c>
    </row>
    <row r="59" spans="4:45">
      <c r="D59" s="64">
        <v>320</v>
      </c>
      <c r="AA59">
        <v>185</v>
      </c>
      <c r="AC59">
        <v>185</v>
      </c>
      <c r="AE59">
        <v>185</v>
      </c>
      <c r="AG59">
        <v>185</v>
      </c>
      <c r="AI59">
        <v>185</v>
      </c>
      <c r="AK59">
        <v>185</v>
      </c>
      <c r="AM59">
        <v>185</v>
      </c>
      <c r="AO59">
        <v>185</v>
      </c>
      <c r="AQ59">
        <v>185</v>
      </c>
      <c r="AS59">
        <v>185</v>
      </c>
    </row>
    <row r="60" spans="4:45">
      <c r="D60" s="64">
        <v>325</v>
      </c>
      <c r="AA60">
        <v>187.5</v>
      </c>
      <c r="AC60">
        <v>187.5</v>
      </c>
      <c r="AE60">
        <v>187.5</v>
      </c>
      <c r="AG60">
        <v>187.5</v>
      </c>
      <c r="AI60">
        <v>187.5</v>
      </c>
      <c r="AK60">
        <v>187.5</v>
      </c>
      <c r="AM60">
        <v>187.5</v>
      </c>
      <c r="AO60">
        <v>187.5</v>
      </c>
      <c r="AQ60">
        <v>187.5</v>
      </c>
      <c r="AS60">
        <v>187.5</v>
      </c>
    </row>
    <row r="61" spans="4:45">
      <c r="D61" s="64">
        <v>330</v>
      </c>
      <c r="AA61">
        <v>190</v>
      </c>
      <c r="AC61">
        <v>190</v>
      </c>
      <c r="AE61">
        <v>190</v>
      </c>
      <c r="AG61">
        <v>190</v>
      </c>
      <c r="AI61">
        <v>190</v>
      </c>
      <c r="AK61">
        <v>190</v>
      </c>
      <c r="AM61">
        <v>190</v>
      </c>
      <c r="AO61">
        <v>190</v>
      </c>
      <c r="AQ61">
        <v>190</v>
      </c>
      <c r="AS61">
        <v>190</v>
      </c>
    </row>
    <row r="62" spans="4:45">
      <c r="D62" s="64">
        <v>335</v>
      </c>
      <c r="AA62">
        <v>192.5</v>
      </c>
      <c r="AC62">
        <v>192.5</v>
      </c>
      <c r="AE62">
        <v>192.5</v>
      </c>
      <c r="AG62">
        <v>192.5</v>
      </c>
      <c r="AI62">
        <v>192.5</v>
      </c>
      <c r="AK62">
        <v>192.5</v>
      </c>
      <c r="AM62">
        <v>192.5</v>
      </c>
      <c r="AO62">
        <v>192.5</v>
      </c>
      <c r="AQ62">
        <v>192.5</v>
      </c>
      <c r="AS62">
        <v>192.5</v>
      </c>
    </row>
    <row r="63" spans="4:45">
      <c r="D63" s="64">
        <v>340</v>
      </c>
      <c r="AA63">
        <v>195</v>
      </c>
      <c r="AC63">
        <v>195</v>
      </c>
      <c r="AE63">
        <v>195</v>
      </c>
      <c r="AG63">
        <v>195</v>
      </c>
      <c r="AI63">
        <v>195</v>
      </c>
      <c r="AK63">
        <v>195</v>
      </c>
      <c r="AM63">
        <v>195</v>
      </c>
      <c r="AO63">
        <v>195</v>
      </c>
      <c r="AQ63">
        <v>195</v>
      </c>
      <c r="AS63">
        <v>195</v>
      </c>
    </row>
    <row r="64" spans="4:45">
      <c r="D64" s="64">
        <v>345</v>
      </c>
      <c r="AA64">
        <v>197.5</v>
      </c>
      <c r="AC64">
        <v>197.5</v>
      </c>
      <c r="AE64">
        <v>197.5</v>
      </c>
      <c r="AG64">
        <v>197.5</v>
      </c>
      <c r="AI64">
        <v>197.5</v>
      </c>
      <c r="AK64">
        <v>197.5</v>
      </c>
      <c r="AM64">
        <v>197.5</v>
      </c>
      <c r="AO64">
        <v>197.5</v>
      </c>
      <c r="AQ64">
        <v>197.5</v>
      </c>
      <c r="AS64">
        <v>197.5</v>
      </c>
    </row>
    <row r="65" spans="4:45">
      <c r="D65" s="64">
        <v>350</v>
      </c>
      <c r="AA65">
        <v>200</v>
      </c>
      <c r="AC65">
        <v>200</v>
      </c>
      <c r="AE65">
        <v>200</v>
      </c>
      <c r="AG65">
        <v>200</v>
      </c>
      <c r="AI65">
        <v>200</v>
      </c>
      <c r="AK65">
        <v>200</v>
      </c>
      <c r="AM65">
        <v>200</v>
      </c>
      <c r="AO65">
        <v>200</v>
      </c>
      <c r="AQ65">
        <v>200</v>
      </c>
      <c r="AS65">
        <v>200</v>
      </c>
    </row>
    <row r="66" spans="4:45">
      <c r="D66" s="64">
        <v>352.5</v>
      </c>
      <c r="AA66">
        <v>202.5</v>
      </c>
      <c r="AC66">
        <v>202.5</v>
      </c>
      <c r="AE66">
        <v>202.5</v>
      </c>
      <c r="AG66">
        <v>202.5</v>
      </c>
      <c r="AI66">
        <v>202.5</v>
      </c>
      <c r="AK66">
        <v>202.5</v>
      </c>
      <c r="AM66">
        <v>202.5</v>
      </c>
      <c r="AO66">
        <v>202.5</v>
      </c>
      <c r="AQ66">
        <v>202.5</v>
      </c>
      <c r="AS66">
        <v>202.5</v>
      </c>
    </row>
    <row r="67" spans="4:45">
      <c r="D67" s="64">
        <v>355</v>
      </c>
      <c r="AA67">
        <v>205</v>
      </c>
      <c r="AC67">
        <v>205</v>
      </c>
      <c r="AE67">
        <v>205</v>
      </c>
      <c r="AG67">
        <v>205</v>
      </c>
      <c r="AI67">
        <v>205</v>
      </c>
      <c r="AK67">
        <v>205</v>
      </c>
      <c r="AM67">
        <v>205</v>
      </c>
      <c r="AO67">
        <v>205</v>
      </c>
      <c r="AQ67">
        <v>205</v>
      </c>
      <c r="AS67">
        <v>205</v>
      </c>
    </row>
    <row r="68" spans="4:45">
      <c r="D68" s="64">
        <v>357.5</v>
      </c>
      <c r="AA68">
        <v>207.5</v>
      </c>
      <c r="AC68">
        <v>207.5</v>
      </c>
      <c r="AE68">
        <v>207.5</v>
      </c>
      <c r="AG68">
        <v>207.5</v>
      </c>
      <c r="AI68">
        <v>207.5</v>
      </c>
      <c r="AK68">
        <v>207.5</v>
      </c>
      <c r="AM68">
        <v>207.5</v>
      </c>
      <c r="AO68">
        <v>207.5</v>
      </c>
      <c r="AQ68">
        <v>207.5</v>
      </c>
      <c r="AS68">
        <v>207.5</v>
      </c>
    </row>
    <row r="69" spans="4:45">
      <c r="D69" s="64">
        <v>360</v>
      </c>
      <c r="AA69">
        <v>210</v>
      </c>
      <c r="AC69">
        <v>210</v>
      </c>
      <c r="AE69">
        <v>210</v>
      </c>
      <c r="AG69">
        <v>210</v>
      </c>
      <c r="AI69">
        <v>210</v>
      </c>
      <c r="AK69">
        <v>210</v>
      </c>
      <c r="AM69">
        <v>210</v>
      </c>
      <c r="AO69">
        <v>210</v>
      </c>
      <c r="AQ69">
        <v>210</v>
      </c>
      <c r="AS69">
        <v>210</v>
      </c>
    </row>
    <row r="70" spans="4:45">
      <c r="D70" s="64">
        <v>362.5</v>
      </c>
      <c r="AA70">
        <v>212.5</v>
      </c>
      <c r="AC70">
        <v>212.5</v>
      </c>
      <c r="AE70">
        <v>212.5</v>
      </c>
      <c r="AG70">
        <v>212.5</v>
      </c>
      <c r="AI70">
        <v>212.5</v>
      </c>
      <c r="AK70">
        <v>212.5</v>
      </c>
      <c r="AM70">
        <v>212.5</v>
      </c>
      <c r="AO70">
        <v>212.5</v>
      </c>
      <c r="AQ70">
        <v>212.5</v>
      </c>
      <c r="AS70">
        <v>212.5</v>
      </c>
    </row>
    <row r="71" spans="4:45">
      <c r="D71" s="64">
        <v>365</v>
      </c>
      <c r="AA71">
        <v>215</v>
      </c>
      <c r="AC71">
        <v>215</v>
      </c>
      <c r="AE71">
        <v>215</v>
      </c>
      <c r="AG71">
        <v>215</v>
      </c>
      <c r="AI71">
        <v>215</v>
      </c>
      <c r="AK71">
        <v>215</v>
      </c>
      <c r="AM71">
        <v>215</v>
      </c>
      <c r="AO71">
        <v>215</v>
      </c>
      <c r="AQ71">
        <v>215</v>
      </c>
      <c r="AS71">
        <v>215</v>
      </c>
    </row>
    <row r="72" spans="4:45">
      <c r="D72" s="64">
        <v>367.5</v>
      </c>
      <c r="AA72">
        <v>217.5</v>
      </c>
      <c r="AC72">
        <v>217.5</v>
      </c>
      <c r="AE72">
        <v>217.5</v>
      </c>
      <c r="AG72">
        <v>217.5</v>
      </c>
      <c r="AI72">
        <v>217.5</v>
      </c>
      <c r="AK72">
        <v>217.5</v>
      </c>
      <c r="AM72">
        <v>217.5</v>
      </c>
      <c r="AO72">
        <v>217.5</v>
      </c>
      <c r="AQ72">
        <v>217.5</v>
      </c>
      <c r="AS72">
        <v>217.5</v>
      </c>
    </row>
    <row r="73" spans="4:45">
      <c r="D73" s="64">
        <v>370</v>
      </c>
      <c r="AA73">
        <v>220</v>
      </c>
      <c r="AC73">
        <v>220</v>
      </c>
      <c r="AE73">
        <v>220</v>
      </c>
      <c r="AG73">
        <v>220</v>
      </c>
      <c r="AI73">
        <v>220</v>
      </c>
      <c r="AK73">
        <v>220</v>
      </c>
      <c r="AM73">
        <v>220</v>
      </c>
      <c r="AO73">
        <v>220</v>
      </c>
      <c r="AQ73">
        <v>220</v>
      </c>
      <c r="AS73">
        <v>220</v>
      </c>
    </row>
    <row r="74" spans="4:45">
      <c r="D74" s="64">
        <v>372.5</v>
      </c>
      <c r="AA74">
        <v>222.5</v>
      </c>
      <c r="AC74">
        <v>222.5</v>
      </c>
      <c r="AE74">
        <v>222.5</v>
      </c>
      <c r="AG74">
        <v>222.5</v>
      </c>
      <c r="AI74">
        <v>222.5</v>
      </c>
      <c r="AK74">
        <v>222.5</v>
      </c>
      <c r="AM74">
        <v>222.5</v>
      </c>
      <c r="AO74">
        <v>222.5</v>
      </c>
      <c r="AQ74">
        <v>222.5</v>
      </c>
      <c r="AS74">
        <v>222.5</v>
      </c>
    </row>
    <row r="75" spans="4:45">
      <c r="D75" s="64">
        <v>375</v>
      </c>
      <c r="AA75">
        <v>225</v>
      </c>
      <c r="AC75">
        <v>225</v>
      </c>
      <c r="AE75">
        <v>225</v>
      </c>
      <c r="AG75">
        <v>225</v>
      </c>
      <c r="AI75">
        <v>225</v>
      </c>
      <c r="AK75">
        <v>225</v>
      </c>
      <c r="AM75">
        <v>225</v>
      </c>
      <c r="AO75">
        <v>225</v>
      </c>
      <c r="AQ75">
        <v>225</v>
      </c>
      <c r="AS75">
        <v>225</v>
      </c>
    </row>
    <row r="76" spans="4:45">
      <c r="D76" s="64">
        <v>377.5</v>
      </c>
      <c r="AA76">
        <v>227.5</v>
      </c>
      <c r="AC76">
        <v>227.5</v>
      </c>
      <c r="AE76">
        <v>227.5</v>
      </c>
      <c r="AG76">
        <v>227.5</v>
      </c>
      <c r="AI76">
        <v>227.5</v>
      </c>
      <c r="AK76">
        <v>227.5</v>
      </c>
      <c r="AM76">
        <v>227.5</v>
      </c>
      <c r="AO76">
        <v>227.5</v>
      </c>
      <c r="AQ76">
        <v>227.5</v>
      </c>
      <c r="AS76">
        <v>227.5</v>
      </c>
    </row>
    <row r="77" spans="4:45">
      <c r="D77" s="64">
        <v>380</v>
      </c>
      <c r="AA77">
        <v>230</v>
      </c>
      <c r="AC77">
        <v>230</v>
      </c>
      <c r="AE77">
        <v>230</v>
      </c>
      <c r="AG77">
        <v>230</v>
      </c>
      <c r="AI77">
        <v>230</v>
      </c>
      <c r="AK77">
        <v>230</v>
      </c>
      <c r="AM77">
        <v>230</v>
      </c>
      <c r="AO77">
        <v>230</v>
      </c>
      <c r="AQ77">
        <v>230</v>
      </c>
      <c r="AS77">
        <v>230</v>
      </c>
    </row>
    <row r="78" spans="4:45">
      <c r="D78" s="64">
        <v>382.5</v>
      </c>
      <c r="AA78">
        <v>232.5</v>
      </c>
      <c r="AC78">
        <v>232.5</v>
      </c>
      <c r="AE78">
        <v>232.5</v>
      </c>
      <c r="AG78">
        <v>232.5</v>
      </c>
      <c r="AI78">
        <v>232.5</v>
      </c>
      <c r="AK78">
        <v>232.5</v>
      </c>
      <c r="AM78">
        <v>232.5</v>
      </c>
      <c r="AO78">
        <v>232.5</v>
      </c>
      <c r="AQ78">
        <v>232.5</v>
      </c>
      <c r="AS78">
        <v>232.5</v>
      </c>
    </row>
    <row r="79" spans="4:45">
      <c r="D79" s="64">
        <v>385</v>
      </c>
      <c r="AA79">
        <v>235</v>
      </c>
      <c r="AC79">
        <v>235</v>
      </c>
      <c r="AE79">
        <v>235</v>
      </c>
      <c r="AG79">
        <v>235</v>
      </c>
      <c r="AI79">
        <v>235</v>
      </c>
      <c r="AK79">
        <v>235</v>
      </c>
      <c r="AM79">
        <v>235</v>
      </c>
      <c r="AO79">
        <v>235</v>
      </c>
      <c r="AQ79">
        <v>235</v>
      </c>
      <c r="AS79">
        <v>235</v>
      </c>
    </row>
    <row r="80" spans="4:45">
      <c r="D80" s="64">
        <v>387.5</v>
      </c>
      <c r="AA80">
        <v>240</v>
      </c>
      <c r="AC80">
        <v>240</v>
      </c>
      <c r="AE80">
        <v>240</v>
      </c>
      <c r="AG80">
        <v>240</v>
      </c>
      <c r="AI80">
        <v>240</v>
      </c>
      <c r="AK80">
        <v>240</v>
      </c>
      <c r="AM80">
        <v>240</v>
      </c>
      <c r="AO80">
        <v>240</v>
      </c>
      <c r="AQ80">
        <v>240</v>
      </c>
      <c r="AS80">
        <v>240</v>
      </c>
    </row>
    <row r="81" spans="4:45">
      <c r="D81" s="64">
        <v>390</v>
      </c>
      <c r="AA81">
        <v>245</v>
      </c>
      <c r="AC81">
        <v>245</v>
      </c>
      <c r="AE81">
        <v>245</v>
      </c>
      <c r="AG81">
        <v>245</v>
      </c>
      <c r="AI81">
        <v>245</v>
      </c>
      <c r="AK81">
        <v>245</v>
      </c>
      <c r="AM81">
        <v>245</v>
      </c>
      <c r="AO81">
        <v>245</v>
      </c>
      <c r="AQ81">
        <v>245</v>
      </c>
      <c r="AS81">
        <v>245</v>
      </c>
    </row>
    <row r="82" spans="4:45">
      <c r="D82" s="64">
        <v>392.5</v>
      </c>
      <c r="AA82">
        <v>250</v>
      </c>
      <c r="AC82">
        <v>250</v>
      </c>
      <c r="AE82">
        <v>250</v>
      </c>
      <c r="AG82">
        <v>250</v>
      </c>
      <c r="AI82">
        <v>250</v>
      </c>
      <c r="AK82">
        <v>250</v>
      </c>
      <c r="AM82">
        <v>250</v>
      </c>
      <c r="AO82">
        <v>250</v>
      </c>
      <c r="AQ82">
        <v>250</v>
      </c>
      <c r="AS82">
        <v>250</v>
      </c>
    </row>
    <row r="83" spans="4:45">
      <c r="D83" s="64">
        <v>395</v>
      </c>
      <c r="AA83">
        <v>255</v>
      </c>
      <c r="AC83">
        <v>255</v>
      </c>
      <c r="AE83">
        <v>255</v>
      </c>
      <c r="AG83">
        <v>255</v>
      </c>
      <c r="AI83">
        <v>255</v>
      </c>
      <c r="AK83">
        <v>255</v>
      </c>
      <c r="AM83">
        <v>255</v>
      </c>
      <c r="AO83">
        <v>255</v>
      </c>
      <c r="AQ83">
        <v>255</v>
      </c>
      <c r="AS83">
        <v>255</v>
      </c>
    </row>
    <row r="84" spans="4:45">
      <c r="D84" s="64">
        <v>397.5</v>
      </c>
      <c r="AA84">
        <v>260</v>
      </c>
      <c r="AC84">
        <v>260</v>
      </c>
      <c r="AE84">
        <v>260</v>
      </c>
      <c r="AG84">
        <v>260</v>
      </c>
      <c r="AI84">
        <v>260</v>
      </c>
      <c r="AK84">
        <v>260</v>
      </c>
      <c r="AM84">
        <v>260</v>
      </c>
      <c r="AO84">
        <v>260</v>
      </c>
      <c r="AQ84">
        <v>260</v>
      </c>
      <c r="AS84">
        <v>260</v>
      </c>
    </row>
    <row r="85" spans="4:45">
      <c r="D85" s="64">
        <v>400</v>
      </c>
      <c r="AA85">
        <v>265</v>
      </c>
      <c r="AC85">
        <v>265</v>
      </c>
      <c r="AE85">
        <v>265</v>
      </c>
      <c r="AG85">
        <v>265</v>
      </c>
      <c r="AI85">
        <v>265</v>
      </c>
      <c r="AK85">
        <v>265</v>
      </c>
      <c r="AM85">
        <v>265</v>
      </c>
      <c r="AO85">
        <v>265</v>
      </c>
      <c r="AQ85">
        <v>265</v>
      </c>
      <c r="AS85">
        <v>265</v>
      </c>
    </row>
    <row r="86" spans="4:45">
      <c r="D86" s="64">
        <v>405</v>
      </c>
      <c r="AA86">
        <v>270</v>
      </c>
      <c r="AC86">
        <v>270</v>
      </c>
      <c r="AE86">
        <v>270</v>
      </c>
      <c r="AG86">
        <v>270</v>
      </c>
      <c r="AI86">
        <v>270</v>
      </c>
      <c r="AK86">
        <v>270</v>
      </c>
      <c r="AM86">
        <v>270</v>
      </c>
      <c r="AO86">
        <v>270</v>
      </c>
      <c r="AQ86">
        <v>270</v>
      </c>
      <c r="AS86">
        <v>270</v>
      </c>
    </row>
    <row r="87" spans="4:45">
      <c r="D87" s="64">
        <v>410</v>
      </c>
      <c r="AA87">
        <v>275</v>
      </c>
      <c r="AC87">
        <v>275</v>
      </c>
      <c r="AE87">
        <v>275</v>
      </c>
      <c r="AG87">
        <v>275</v>
      </c>
      <c r="AI87">
        <v>275</v>
      </c>
      <c r="AK87">
        <v>275</v>
      </c>
      <c r="AM87">
        <v>275</v>
      </c>
      <c r="AO87">
        <v>275</v>
      </c>
      <c r="AQ87">
        <v>275</v>
      </c>
      <c r="AS87">
        <v>275</v>
      </c>
    </row>
    <row r="88" spans="4:45">
      <c r="D88" s="64">
        <v>415</v>
      </c>
      <c r="AA88">
        <v>280</v>
      </c>
      <c r="AC88">
        <v>280</v>
      </c>
      <c r="AE88">
        <v>280</v>
      </c>
      <c r="AG88">
        <v>280</v>
      </c>
      <c r="AI88">
        <v>280</v>
      </c>
      <c r="AK88">
        <v>280</v>
      </c>
      <c r="AM88">
        <v>280</v>
      </c>
      <c r="AO88">
        <v>280</v>
      </c>
      <c r="AQ88">
        <v>280</v>
      </c>
      <c r="AS88">
        <v>280</v>
      </c>
    </row>
    <row r="89" spans="4:45">
      <c r="D89" s="64">
        <v>420</v>
      </c>
      <c r="AA89">
        <v>285</v>
      </c>
      <c r="AC89">
        <v>285</v>
      </c>
      <c r="AE89">
        <v>285</v>
      </c>
      <c r="AG89">
        <v>285</v>
      </c>
      <c r="AI89">
        <v>285</v>
      </c>
      <c r="AK89">
        <v>285</v>
      </c>
      <c r="AM89">
        <v>285</v>
      </c>
      <c r="AO89">
        <v>285</v>
      </c>
      <c r="AQ89">
        <v>285</v>
      </c>
      <c r="AS89">
        <v>285</v>
      </c>
    </row>
    <row r="90" spans="4:45">
      <c r="D90" s="64">
        <v>425</v>
      </c>
      <c r="AA90">
        <v>290</v>
      </c>
      <c r="AC90">
        <v>290</v>
      </c>
      <c r="AE90">
        <v>290</v>
      </c>
      <c r="AG90">
        <v>290</v>
      </c>
      <c r="AI90">
        <v>290</v>
      </c>
      <c r="AK90">
        <v>290</v>
      </c>
      <c r="AM90">
        <v>290</v>
      </c>
      <c r="AO90">
        <v>290</v>
      </c>
      <c r="AQ90">
        <v>290</v>
      </c>
      <c r="AS90">
        <v>290</v>
      </c>
    </row>
    <row r="91" spans="4:45">
      <c r="D91" s="64">
        <v>427.5</v>
      </c>
      <c r="AA91">
        <v>295</v>
      </c>
      <c r="AC91">
        <v>295</v>
      </c>
      <c r="AE91">
        <v>295</v>
      </c>
      <c r="AG91">
        <v>295</v>
      </c>
      <c r="AI91">
        <v>295</v>
      </c>
      <c r="AK91">
        <v>295</v>
      </c>
      <c r="AM91">
        <v>295</v>
      </c>
      <c r="AO91">
        <v>295</v>
      </c>
      <c r="AQ91">
        <v>295</v>
      </c>
      <c r="AS91">
        <v>295</v>
      </c>
    </row>
    <row r="92" spans="4:45">
      <c r="D92" s="64">
        <v>430</v>
      </c>
      <c r="AA92">
        <v>300</v>
      </c>
      <c r="AC92">
        <v>300</v>
      </c>
      <c r="AE92">
        <v>300</v>
      </c>
      <c r="AG92">
        <v>300</v>
      </c>
      <c r="AI92">
        <v>300</v>
      </c>
      <c r="AK92">
        <v>300</v>
      </c>
      <c r="AM92">
        <v>300</v>
      </c>
      <c r="AO92">
        <v>300</v>
      </c>
      <c r="AQ92">
        <v>300</v>
      </c>
      <c r="AS92">
        <v>300</v>
      </c>
    </row>
    <row r="93" spans="4:45">
      <c r="D93" s="64">
        <v>432.5</v>
      </c>
      <c r="AA93">
        <v>305</v>
      </c>
      <c r="AC93">
        <v>305</v>
      </c>
      <c r="AE93">
        <v>305</v>
      </c>
      <c r="AG93">
        <v>305</v>
      </c>
      <c r="AI93">
        <v>305</v>
      </c>
      <c r="AK93">
        <v>305</v>
      </c>
      <c r="AM93">
        <v>305</v>
      </c>
      <c r="AO93">
        <v>305</v>
      </c>
      <c r="AQ93">
        <v>305</v>
      </c>
      <c r="AS93">
        <v>305</v>
      </c>
    </row>
    <row r="94" spans="4:45">
      <c r="D94" s="64">
        <v>435</v>
      </c>
      <c r="AA94">
        <v>310</v>
      </c>
      <c r="AC94">
        <v>310</v>
      </c>
      <c r="AE94">
        <v>310</v>
      </c>
      <c r="AG94">
        <v>310</v>
      </c>
      <c r="AI94">
        <v>310</v>
      </c>
      <c r="AK94">
        <v>310</v>
      </c>
      <c r="AM94">
        <v>310</v>
      </c>
      <c r="AO94">
        <v>310</v>
      </c>
      <c r="AQ94">
        <v>310</v>
      </c>
      <c r="AS94">
        <v>310</v>
      </c>
    </row>
    <row r="95" spans="4:45">
      <c r="D95" s="64">
        <v>437.5</v>
      </c>
      <c r="AA95">
        <v>315</v>
      </c>
      <c r="AC95">
        <v>315</v>
      </c>
      <c r="AE95">
        <v>315</v>
      </c>
      <c r="AG95">
        <v>315</v>
      </c>
      <c r="AI95">
        <v>315</v>
      </c>
      <c r="AK95">
        <v>315</v>
      </c>
      <c r="AM95">
        <v>315</v>
      </c>
      <c r="AO95">
        <v>315</v>
      </c>
      <c r="AQ95">
        <v>315</v>
      </c>
      <c r="AS95">
        <v>315</v>
      </c>
    </row>
    <row r="96" spans="4:45">
      <c r="D96" s="64">
        <v>440</v>
      </c>
      <c r="AA96">
        <v>320</v>
      </c>
      <c r="AC96">
        <v>320</v>
      </c>
      <c r="AE96">
        <v>320</v>
      </c>
      <c r="AG96">
        <v>320</v>
      </c>
      <c r="AI96">
        <v>320</v>
      </c>
      <c r="AK96">
        <v>320</v>
      </c>
      <c r="AM96">
        <v>320</v>
      </c>
      <c r="AO96">
        <v>320</v>
      </c>
      <c r="AQ96">
        <v>320</v>
      </c>
      <c r="AS96">
        <v>320</v>
      </c>
    </row>
    <row r="97" spans="4:45">
      <c r="D97" s="64">
        <v>442.5</v>
      </c>
      <c r="AA97">
        <v>325</v>
      </c>
      <c r="AC97">
        <v>325</v>
      </c>
      <c r="AE97">
        <v>325</v>
      </c>
      <c r="AG97">
        <v>325</v>
      </c>
      <c r="AI97">
        <v>325</v>
      </c>
      <c r="AK97">
        <v>325</v>
      </c>
      <c r="AM97">
        <v>325</v>
      </c>
      <c r="AO97">
        <v>325</v>
      </c>
      <c r="AQ97">
        <v>325</v>
      </c>
      <c r="AS97">
        <v>325</v>
      </c>
    </row>
    <row r="98" spans="4:45">
      <c r="D98" s="64">
        <v>445</v>
      </c>
      <c r="AA98">
        <v>330</v>
      </c>
      <c r="AC98">
        <v>330</v>
      </c>
      <c r="AE98">
        <v>330</v>
      </c>
      <c r="AG98">
        <v>330</v>
      </c>
      <c r="AI98">
        <v>330</v>
      </c>
      <c r="AK98">
        <v>330</v>
      </c>
      <c r="AM98">
        <v>330</v>
      </c>
      <c r="AO98">
        <v>330</v>
      </c>
      <c r="AQ98">
        <v>330</v>
      </c>
      <c r="AS98">
        <v>330</v>
      </c>
    </row>
    <row r="99" spans="4:45">
      <c r="D99" s="64">
        <v>447.5</v>
      </c>
      <c r="AA99">
        <v>335</v>
      </c>
      <c r="AC99">
        <v>335</v>
      </c>
      <c r="AE99">
        <v>335</v>
      </c>
      <c r="AG99">
        <v>335</v>
      </c>
      <c r="AI99">
        <v>335</v>
      </c>
      <c r="AK99">
        <v>335</v>
      </c>
      <c r="AM99">
        <v>335</v>
      </c>
      <c r="AO99">
        <v>335</v>
      </c>
      <c r="AQ99">
        <v>335</v>
      </c>
      <c r="AS99">
        <v>335</v>
      </c>
    </row>
    <row r="100" spans="4:45">
      <c r="D100" s="64">
        <v>450</v>
      </c>
      <c r="AA100">
        <v>340</v>
      </c>
      <c r="AC100">
        <v>340</v>
      </c>
      <c r="AE100">
        <v>340</v>
      </c>
      <c r="AG100">
        <v>340</v>
      </c>
      <c r="AI100">
        <v>340</v>
      </c>
      <c r="AK100">
        <v>340</v>
      </c>
      <c r="AM100">
        <v>340</v>
      </c>
      <c r="AO100">
        <v>340</v>
      </c>
      <c r="AQ100">
        <v>340</v>
      </c>
      <c r="AS100">
        <v>340</v>
      </c>
    </row>
    <row r="101" spans="4:45">
      <c r="D101" s="64">
        <v>452.5</v>
      </c>
      <c r="AA101">
        <v>345</v>
      </c>
      <c r="AC101">
        <v>345</v>
      </c>
      <c r="AE101">
        <v>345</v>
      </c>
      <c r="AG101">
        <v>345</v>
      </c>
      <c r="AI101">
        <v>345</v>
      </c>
      <c r="AK101">
        <v>345</v>
      </c>
      <c r="AM101">
        <v>345</v>
      </c>
      <c r="AO101">
        <v>345</v>
      </c>
      <c r="AQ101">
        <v>345</v>
      </c>
      <c r="AS101">
        <v>345</v>
      </c>
    </row>
    <row r="102" spans="4:45">
      <c r="D102" s="64">
        <v>455</v>
      </c>
      <c r="AA102">
        <v>350</v>
      </c>
      <c r="AC102">
        <v>350</v>
      </c>
      <c r="AE102">
        <v>350</v>
      </c>
      <c r="AG102">
        <v>350</v>
      </c>
      <c r="AI102">
        <v>350</v>
      </c>
      <c r="AK102">
        <v>350</v>
      </c>
      <c r="AM102">
        <v>350</v>
      </c>
      <c r="AO102">
        <v>350</v>
      </c>
      <c r="AQ102">
        <v>350</v>
      </c>
      <c r="AS102">
        <v>350</v>
      </c>
    </row>
    <row r="103" spans="4:45">
      <c r="D103" s="64">
        <v>457.5</v>
      </c>
      <c r="AA103">
        <v>355</v>
      </c>
      <c r="AC103">
        <v>355</v>
      </c>
      <c r="AE103">
        <v>355</v>
      </c>
      <c r="AG103">
        <v>355</v>
      </c>
      <c r="AI103">
        <v>355</v>
      </c>
      <c r="AK103">
        <v>355</v>
      </c>
      <c r="AM103">
        <v>355</v>
      </c>
      <c r="AO103">
        <v>355</v>
      </c>
      <c r="AQ103">
        <v>355</v>
      </c>
      <c r="AS103">
        <v>355</v>
      </c>
    </row>
    <row r="104" spans="4:45">
      <c r="D104" s="64">
        <v>460</v>
      </c>
      <c r="AA104">
        <v>360</v>
      </c>
      <c r="AC104">
        <v>360</v>
      </c>
      <c r="AE104">
        <v>360</v>
      </c>
      <c r="AG104">
        <v>360</v>
      </c>
      <c r="AI104">
        <v>360</v>
      </c>
      <c r="AK104">
        <v>360</v>
      </c>
      <c r="AM104">
        <v>360</v>
      </c>
      <c r="AO104">
        <v>360</v>
      </c>
      <c r="AQ104">
        <v>360</v>
      </c>
      <c r="AS104">
        <v>360</v>
      </c>
    </row>
    <row r="105" spans="4:45">
      <c r="D105" s="64">
        <v>462.5</v>
      </c>
      <c r="AA105">
        <v>365</v>
      </c>
      <c r="AC105">
        <v>365</v>
      </c>
      <c r="AE105">
        <v>365</v>
      </c>
      <c r="AG105">
        <v>365</v>
      </c>
      <c r="AI105">
        <v>365</v>
      </c>
      <c r="AK105">
        <v>365</v>
      </c>
      <c r="AM105">
        <v>365</v>
      </c>
      <c r="AO105">
        <v>365</v>
      </c>
      <c r="AQ105">
        <v>365</v>
      </c>
      <c r="AS105">
        <v>365</v>
      </c>
    </row>
    <row r="106" spans="4:45">
      <c r="D106" s="64">
        <v>465</v>
      </c>
      <c r="AA106">
        <v>370</v>
      </c>
      <c r="AC106">
        <v>370</v>
      </c>
      <c r="AE106">
        <v>370</v>
      </c>
      <c r="AG106">
        <v>370</v>
      </c>
      <c r="AI106">
        <v>370</v>
      </c>
      <c r="AK106">
        <v>370</v>
      </c>
      <c r="AM106">
        <v>370</v>
      </c>
      <c r="AO106">
        <v>370</v>
      </c>
      <c r="AQ106">
        <v>370</v>
      </c>
      <c r="AS106">
        <v>370</v>
      </c>
    </row>
    <row r="107" spans="4:45">
      <c r="D107" s="64">
        <v>467.5</v>
      </c>
      <c r="AA107">
        <v>375</v>
      </c>
      <c r="AC107">
        <v>375</v>
      </c>
      <c r="AE107">
        <v>375</v>
      </c>
      <c r="AG107">
        <v>375</v>
      </c>
      <c r="AI107">
        <v>375</v>
      </c>
      <c r="AK107">
        <v>375</v>
      </c>
      <c r="AM107">
        <v>375</v>
      </c>
      <c r="AO107">
        <v>375</v>
      </c>
      <c r="AQ107">
        <v>375</v>
      </c>
      <c r="AS107">
        <v>375</v>
      </c>
    </row>
    <row r="108" spans="4:45">
      <c r="D108" s="64">
        <v>470</v>
      </c>
      <c r="AA108">
        <v>380</v>
      </c>
      <c r="AC108">
        <v>380</v>
      </c>
      <c r="AE108">
        <v>380</v>
      </c>
      <c r="AG108">
        <v>380</v>
      </c>
      <c r="AI108">
        <v>380</v>
      </c>
      <c r="AK108">
        <v>380</v>
      </c>
      <c r="AM108">
        <v>380</v>
      </c>
      <c r="AO108">
        <v>380</v>
      </c>
      <c r="AQ108">
        <v>380</v>
      </c>
      <c r="AS108">
        <v>380</v>
      </c>
    </row>
    <row r="109" spans="4:45">
      <c r="D109" s="64">
        <v>472.5</v>
      </c>
      <c r="AA109">
        <v>385</v>
      </c>
      <c r="AC109">
        <v>385</v>
      </c>
      <c r="AE109">
        <v>385</v>
      </c>
      <c r="AG109">
        <v>385</v>
      </c>
      <c r="AI109">
        <v>385</v>
      </c>
      <c r="AK109">
        <v>385</v>
      </c>
      <c r="AM109">
        <v>385</v>
      </c>
      <c r="AO109">
        <v>385</v>
      </c>
      <c r="AQ109">
        <v>385</v>
      </c>
      <c r="AS109">
        <v>385</v>
      </c>
    </row>
    <row r="110" spans="4:45">
      <c r="D110" s="64">
        <v>475</v>
      </c>
      <c r="AA110">
        <v>390</v>
      </c>
      <c r="AC110">
        <v>390</v>
      </c>
      <c r="AE110">
        <v>390</v>
      </c>
      <c r="AG110">
        <v>390</v>
      </c>
      <c r="AI110">
        <v>390</v>
      </c>
      <c r="AK110">
        <v>390</v>
      </c>
      <c r="AM110">
        <v>390</v>
      </c>
      <c r="AO110">
        <v>390</v>
      </c>
      <c r="AQ110">
        <v>390</v>
      </c>
      <c r="AS110">
        <v>390</v>
      </c>
    </row>
    <row r="111" spans="4:45">
      <c r="D111" s="64">
        <v>477.5</v>
      </c>
      <c r="AA111">
        <v>395</v>
      </c>
      <c r="AC111">
        <v>395</v>
      </c>
      <c r="AE111">
        <v>395</v>
      </c>
      <c r="AG111">
        <v>395</v>
      </c>
      <c r="AI111">
        <v>395</v>
      </c>
      <c r="AK111">
        <v>395</v>
      </c>
      <c r="AM111">
        <v>395</v>
      </c>
      <c r="AO111">
        <v>395</v>
      </c>
      <c r="AQ111">
        <v>395</v>
      </c>
      <c r="AS111">
        <v>395</v>
      </c>
    </row>
    <row r="112" spans="4:45">
      <c r="D112" s="64">
        <v>480</v>
      </c>
      <c r="AA112">
        <v>400</v>
      </c>
      <c r="AC112">
        <v>400</v>
      </c>
      <c r="AE112">
        <v>400</v>
      </c>
      <c r="AG112">
        <v>400</v>
      </c>
      <c r="AI112">
        <v>400</v>
      </c>
      <c r="AK112">
        <v>400</v>
      </c>
      <c r="AM112">
        <v>400</v>
      </c>
      <c r="AO112">
        <v>400</v>
      </c>
      <c r="AQ112">
        <v>400</v>
      </c>
      <c r="AS112">
        <v>400</v>
      </c>
    </row>
    <row r="113" spans="4:45">
      <c r="D113" s="64">
        <v>482.5</v>
      </c>
      <c r="AA113">
        <v>405</v>
      </c>
      <c r="AC113">
        <v>405</v>
      </c>
      <c r="AE113">
        <v>405</v>
      </c>
      <c r="AG113">
        <v>405</v>
      </c>
      <c r="AI113">
        <v>405</v>
      </c>
      <c r="AK113">
        <v>405</v>
      </c>
      <c r="AM113">
        <v>405</v>
      </c>
      <c r="AO113">
        <v>405</v>
      </c>
      <c r="AQ113">
        <v>405</v>
      </c>
      <c r="AS113">
        <v>405</v>
      </c>
    </row>
    <row r="114" spans="4:45">
      <c r="D114" s="64">
        <v>485</v>
      </c>
      <c r="AA114">
        <v>410</v>
      </c>
      <c r="AC114">
        <v>410</v>
      </c>
      <c r="AE114">
        <v>410</v>
      </c>
      <c r="AG114">
        <v>410</v>
      </c>
      <c r="AI114">
        <v>410</v>
      </c>
      <c r="AK114">
        <v>410</v>
      </c>
      <c r="AM114">
        <v>410</v>
      </c>
      <c r="AO114">
        <v>410</v>
      </c>
      <c r="AQ114">
        <v>410</v>
      </c>
      <c r="AS114">
        <v>410</v>
      </c>
    </row>
    <row r="115" spans="4:45">
      <c r="D115" s="64">
        <v>487.5</v>
      </c>
      <c r="AA115">
        <v>415</v>
      </c>
      <c r="AC115">
        <v>415</v>
      </c>
      <c r="AE115">
        <v>415</v>
      </c>
      <c r="AG115">
        <v>415</v>
      </c>
      <c r="AI115">
        <v>415</v>
      </c>
      <c r="AK115">
        <v>415</v>
      </c>
      <c r="AM115">
        <v>415</v>
      </c>
      <c r="AO115">
        <v>415</v>
      </c>
      <c r="AQ115">
        <v>415</v>
      </c>
      <c r="AS115">
        <v>415</v>
      </c>
    </row>
    <row r="116" spans="4:45">
      <c r="D116" s="64">
        <v>490</v>
      </c>
      <c r="AA116">
        <v>420</v>
      </c>
      <c r="AC116">
        <v>420</v>
      </c>
      <c r="AE116">
        <v>420</v>
      </c>
      <c r="AG116">
        <v>420</v>
      </c>
      <c r="AI116">
        <v>420</v>
      </c>
      <c r="AK116">
        <v>420</v>
      </c>
      <c r="AM116">
        <v>420</v>
      </c>
      <c r="AO116">
        <v>420</v>
      </c>
      <c r="AQ116">
        <v>420</v>
      </c>
      <c r="AS116">
        <v>420</v>
      </c>
    </row>
    <row r="117" spans="4:45">
      <c r="D117" s="64">
        <v>492.5</v>
      </c>
      <c r="AA117">
        <v>425</v>
      </c>
      <c r="AC117">
        <v>425</v>
      </c>
      <c r="AE117">
        <v>425</v>
      </c>
      <c r="AG117">
        <v>425</v>
      </c>
      <c r="AI117">
        <v>425</v>
      </c>
      <c r="AK117">
        <v>425</v>
      </c>
      <c r="AM117">
        <v>425</v>
      </c>
      <c r="AO117">
        <v>425</v>
      </c>
      <c r="AQ117">
        <v>425</v>
      </c>
      <c r="AS117">
        <v>425</v>
      </c>
    </row>
    <row r="118" spans="4:45">
      <c r="D118" s="64">
        <v>495</v>
      </c>
      <c r="AA118">
        <v>430</v>
      </c>
      <c r="AC118">
        <v>430</v>
      </c>
      <c r="AE118">
        <v>430</v>
      </c>
      <c r="AG118">
        <v>430</v>
      </c>
      <c r="AI118">
        <v>430</v>
      </c>
      <c r="AK118">
        <v>430</v>
      </c>
      <c r="AM118">
        <v>430</v>
      </c>
      <c r="AO118">
        <v>430</v>
      </c>
      <c r="AQ118">
        <v>430</v>
      </c>
      <c r="AS118">
        <v>430</v>
      </c>
    </row>
    <row r="119" spans="4:45">
      <c r="D119" s="64">
        <v>497.5</v>
      </c>
      <c r="AA119">
        <v>435</v>
      </c>
      <c r="AC119">
        <v>435</v>
      </c>
      <c r="AE119">
        <v>435</v>
      </c>
      <c r="AG119">
        <v>435</v>
      </c>
      <c r="AI119">
        <v>435</v>
      </c>
      <c r="AK119">
        <v>435</v>
      </c>
      <c r="AM119">
        <v>435</v>
      </c>
      <c r="AO119">
        <v>435</v>
      </c>
      <c r="AQ119">
        <v>435</v>
      </c>
      <c r="AS119">
        <v>435</v>
      </c>
    </row>
    <row r="120" spans="4:45">
      <c r="D120" s="64">
        <v>500</v>
      </c>
      <c r="G120" s="64">
        <v>440</v>
      </c>
      <c r="I120" s="64">
        <v>440</v>
      </c>
      <c r="K120">
        <v>440</v>
      </c>
      <c r="M120">
        <v>440</v>
      </c>
      <c r="O120">
        <v>440</v>
      </c>
      <c r="Q120">
        <v>440</v>
      </c>
      <c r="S120">
        <v>440</v>
      </c>
      <c r="U120">
        <v>440</v>
      </c>
      <c r="W120">
        <v>440</v>
      </c>
      <c r="Y120">
        <v>440</v>
      </c>
      <c r="AA120">
        <v>440</v>
      </c>
      <c r="AC120">
        <v>440</v>
      </c>
      <c r="AE120">
        <v>440</v>
      </c>
      <c r="AG120">
        <v>440</v>
      </c>
      <c r="AI120">
        <v>440</v>
      </c>
      <c r="AK120">
        <v>440</v>
      </c>
      <c r="AM120">
        <v>440</v>
      </c>
      <c r="AO120">
        <v>440</v>
      </c>
      <c r="AQ120">
        <v>440</v>
      </c>
      <c r="AS120">
        <v>440</v>
      </c>
    </row>
    <row r="121" spans="4:45">
      <c r="D121" s="64">
        <v>502.5</v>
      </c>
      <c r="G121" s="64">
        <v>450</v>
      </c>
      <c r="I121" s="64">
        <v>450</v>
      </c>
      <c r="K121">
        <v>450</v>
      </c>
      <c r="M121">
        <v>450</v>
      </c>
      <c r="O121">
        <v>450</v>
      </c>
      <c r="Q121">
        <v>450</v>
      </c>
      <c r="S121">
        <v>450</v>
      </c>
      <c r="U121">
        <v>450</v>
      </c>
      <c r="W121">
        <v>450</v>
      </c>
      <c r="Y121">
        <v>450</v>
      </c>
      <c r="AA121">
        <v>450</v>
      </c>
      <c r="AC121">
        <v>450</v>
      </c>
      <c r="AE121">
        <v>450</v>
      </c>
      <c r="AG121">
        <v>450</v>
      </c>
      <c r="AI121">
        <v>450</v>
      </c>
      <c r="AK121">
        <v>450</v>
      </c>
      <c r="AM121">
        <v>450</v>
      </c>
      <c r="AO121">
        <v>450</v>
      </c>
      <c r="AQ121">
        <v>450</v>
      </c>
      <c r="AS121">
        <v>450</v>
      </c>
    </row>
    <row r="122" spans="4:45">
      <c r="D122" s="64">
        <v>505</v>
      </c>
      <c r="G122" s="64">
        <v>51.5</v>
      </c>
      <c r="I122" s="64">
        <v>51.5</v>
      </c>
      <c r="K122">
        <v>51.5</v>
      </c>
      <c r="M122">
        <v>51.5</v>
      </c>
      <c r="O122">
        <v>51.5</v>
      </c>
      <c r="Q122">
        <v>51.5</v>
      </c>
      <c r="S122">
        <v>51.5</v>
      </c>
      <c r="U122">
        <v>51.5</v>
      </c>
      <c r="W122">
        <v>51.5</v>
      </c>
      <c r="Y122">
        <v>51.5</v>
      </c>
      <c r="AA122">
        <v>51.5</v>
      </c>
      <c r="AC122">
        <v>51.5</v>
      </c>
      <c r="AE122">
        <v>51.5</v>
      </c>
      <c r="AG122">
        <v>51.5</v>
      </c>
      <c r="AI122">
        <v>51.5</v>
      </c>
      <c r="AK122">
        <v>51.5</v>
      </c>
      <c r="AM122">
        <v>51.5</v>
      </c>
      <c r="AO122">
        <v>51.5</v>
      </c>
      <c r="AQ122">
        <v>51.5</v>
      </c>
      <c r="AS122">
        <v>51.5</v>
      </c>
    </row>
    <row r="123" spans="4:45">
      <c r="D123" s="64">
        <v>507.5</v>
      </c>
      <c r="G123" s="64">
        <v>52</v>
      </c>
      <c r="I123" s="64">
        <v>52</v>
      </c>
      <c r="K123">
        <v>52</v>
      </c>
      <c r="M123">
        <v>52</v>
      </c>
      <c r="O123">
        <v>52</v>
      </c>
      <c r="Q123">
        <v>52</v>
      </c>
      <c r="S123">
        <v>52</v>
      </c>
      <c r="U123">
        <v>52</v>
      </c>
      <c r="W123">
        <v>52</v>
      </c>
      <c r="Y123">
        <v>52</v>
      </c>
      <c r="AA123">
        <v>52</v>
      </c>
      <c r="AC123">
        <v>52</v>
      </c>
      <c r="AE123">
        <v>52</v>
      </c>
      <c r="AG123">
        <v>52</v>
      </c>
      <c r="AI123">
        <v>52</v>
      </c>
      <c r="AK123">
        <v>52</v>
      </c>
      <c r="AM123">
        <v>52</v>
      </c>
      <c r="AO123">
        <v>52</v>
      </c>
      <c r="AQ123">
        <v>52</v>
      </c>
      <c r="AS123">
        <v>52</v>
      </c>
    </row>
    <row r="124" spans="4:45">
      <c r="D124" s="64">
        <v>510</v>
      </c>
      <c r="G124" s="64">
        <v>52.5</v>
      </c>
      <c r="I124" s="64">
        <v>52.5</v>
      </c>
      <c r="K124">
        <v>52.5</v>
      </c>
      <c r="M124">
        <v>52.5</v>
      </c>
      <c r="O124">
        <v>52.5</v>
      </c>
      <c r="Q124">
        <v>52.5</v>
      </c>
      <c r="S124">
        <v>52.5</v>
      </c>
      <c r="U124">
        <v>52.5</v>
      </c>
      <c r="W124">
        <v>52.5</v>
      </c>
      <c r="Y124">
        <v>52.5</v>
      </c>
      <c r="AA124">
        <v>52.5</v>
      </c>
      <c r="AC124">
        <v>52.5</v>
      </c>
      <c r="AE124">
        <v>52.5</v>
      </c>
      <c r="AG124">
        <v>52.5</v>
      </c>
      <c r="AI124">
        <v>52.5</v>
      </c>
      <c r="AK124">
        <v>52.5</v>
      </c>
      <c r="AM124">
        <v>52.5</v>
      </c>
      <c r="AO124">
        <v>52.5</v>
      </c>
      <c r="AQ124">
        <v>52.5</v>
      </c>
      <c r="AS124">
        <v>52.5</v>
      </c>
    </row>
    <row r="125" spans="4:45">
      <c r="D125" s="64">
        <v>512.5</v>
      </c>
      <c r="G125" s="64">
        <v>53</v>
      </c>
      <c r="I125" s="64">
        <v>53</v>
      </c>
      <c r="K125">
        <v>53</v>
      </c>
      <c r="M125">
        <v>53</v>
      </c>
      <c r="O125">
        <v>53</v>
      </c>
      <c r="Q125">
        <v>53</v>
      </c>
      <c r="S125">
        <v>53</v>
      </c>
      <c r="U125">
        <v>53</v>
      </c>
      <c r="W125">
        <v>53</v>
      </c>
      <c r="Y125">
        <v>53</v>
      </c>
      <c r="AA125">
        <v>53</v>
      </c>
      <c r="AC125">
        <v>53</v>
      </c>
      <c r="AE125">
        <v>53</v>
      </c>
      <c r="AG125">
        <v>53</v>
      </c>
      <c r="AI125">
        <v>53</v>
      </c>
      <c r="AK125">
        <v>53</v>
      </c>
      <c r="AM125">
        <v>53</v>
      </c>
      <c r="AO125">
        <v>53</v>
      </c>
      <c r="AQ125">
        <v>53</v>
      </c>
      <c r="AS125">
        <v>53</v>
      </c>
    </row>
    <row r="126" spans="4:45">
      <c r="D126" s="64">
        <v>515</v>
      </c>
      <c r="G126" s="64">
        <v>53.5</v>
      </c>
      <c r="I126" s="64">
        <v>53.5</v>
      </c>
      <c r="K126">
        <v>53.5</v>
      </c>
      <c r="M126">
        <v>53.5</v>
      </c>
      <c r="O126">
        <v>53.5</v>
      </c>
      <c r="Q126">
        <v>53.5</v>
      </c>
      <c r="S126">
        <v>53.5</v>
      </c>
      <c r="U126">
        <v>53.5</v>
      </c>
      <c r="W126">
        <v>53.5</v>
      </c>
      <c r="Y126">
        <v>53.5</v>
      </c>
      <c r="AA126">
        <v>53.5</v>
      </c>
      <c r="AC126">
        <v>53.5</v>
      </c>
      <c r="AE126">
        <v>53.5</v>
      </c>
      <c r="AG126">
        <v>53.5</v>
      </c>
      <c r="AI126">
        <v>53.5</v>
      </c>
      <c r="AK126">
        <v>53.5</v>
      </c>
      <c r="AM126">
        <v>53.5</v>
      </c>
      <c r="AO126">
        <v>53.5</v>
      </c>
      <c r="AQ126">
        <v>53.5</v>
      </c>
      <c r="AS126">
        <v>53.5</v>
      </c>
    </row>
    <row r="127" spans="4:45">
      <c r="D127" s="64">
        <v>517.5</v>
      </c>
      <c r="G127" s="64">
        <v>54</v>
      </c>
      <c r="I127" s="64">
        <v>54</v>
      </c>
      <c r="K127">
        <v>54</v>
      </c>
      <c r="M127">
        <v>54</v>
      </c>
      <c r="O127">
        <v>54</v>
      </c>
      <c r="Q127">
        <v>54</v>
      </c>
      <c r="S127">
        <v>54</v>
      </c>
      <c r="U127">
        <v>54</v>
      </c>
      <c r="W127">
        <v>54</v>
      </c>
      <c r="Y127">
        <v>54</v>
      </c>
      <c r="AA127">
        <v>54</v>
      </c>
      <c r="AC127">
        <v>54</v>
      </c>
      <c r="AE127">
        <v>54</v>
      </c>
      <c r="AG127">
        <v>54</v>
      </c>
      <c r="AI127">
        <v>54</v>
      </c>
      <c r="AK127">
        <v>54</v>
      </c>
      <c r="AM127">
        <v>54</v>
      </c>
      <c r="AO127">
        <v>54</v>
      </c>
      <c r="AQ127">
        <v>54</v>
      </c>
      <c r="AS127">
        <v>54</v>
      </c>
    </row>
    <row r="128" spans="4:45">
      <c r="D128" s="64">
        <v>520</v>
      </c>
      <c r="G128" s="64">
        <v>54.5</v>
      </c>
      <c r="I128" s="64">
        <v>54.5</v>
      </c>
      <c r="K128">
        <v>54.5</v>
      </c>
      <c r="M128">
        <v>54.5</v>
      </c>
      <c r="O128">
        <v>54.5</v>
      </c>
      <c r="Q128">
        <v>54.5</v>
      </c>
      <c r="S128">
        <v>54.5</v>
      </c>
      <c r="U128">
        <v>54.5</v>
      </c>
      <c r="W128">
        <v>54.5</v>
      </c>
      <c r="Y128">
        <v>54.5</v>
      </c>
      <c r="AA128">
        <v>54.5</v>
      </c>
      <c r="AC128">
        <v>54.5</v>
      </c>
      <c r="AE128">
        <v>54.5</v>
      </c>
      <c r="AG128">
        <v>54.5</v>
      </c>
      <c r="AI128">
        <v>54.5</v>
      </c>
      <c r="AK128">
        <v>54.5</v>
      </c>
      <c r="AM128">
        <v>54.5</v>
      </c>
      <c r="AO128">
        <v>54.5</v>
      </c>
      <c r="AQ128">
        <v>54.5</v>
      </c>
      <c r="AS128">
        <v>54.5</v>
      </c>
    </row>
    <row r="129" spans="4:45">
      <c r="D129" s="64">
        <v>522.5</v>
      </c>
      <c r="G129" s="64">
        <v>55</v>
      </c>
      <c r="I129" s="64">
        <v>55</v>
      </c>
      <c r="K129">
        <v>55</v>
      </c>
      <c r="M129">
        <v>55</v>
      </c>
      <c r="O129">
        <v>55</v>
      </c>
      <c r="Q129">
        <v>55</v>
      </c>
      <c r="S129">
        <v>55</v>
      </c>
      <c r="U129">
        <v>55</v>
      </c>
      <c r="W129">
        <v>55</v>
      </c>
      <c r="Y129">
        <v>55</v>
      </c>
      <c r="AA129">
        <v>55</v>
      </c>
      <c r="AC129">
        <v>55</v>
      </c>
      <c r="AE129">
        <v>55</v>
      </c>
      <c r="AG129">
        <v>55</v>
      </c>
      <c r="AI129">
        <v>55</v>
      </c>
      <c r="AK129">
        <v>55</v>
      </c>
      <c r="AM129">
        <v>55</v>
      </c>
      <c r="AO129">
        <v>55</v>
      </c>
      <c r="AQ129">
        <v>55</v>
      </c>
      <c r="AS129">
        <v>55</v>
      </c>
    </row>
    <row r="130" spans="4:45">
      <c r="D130" s="64">
        <v>525</v>
      </c>
      <c r="G130" s="64">
        <v>55.5</v>
      </c>
      <c r="I130" s="64">
        <v>55.5</v>
      </c>
      <c r="K130">
        <v>55.5</v>
      </c>
      <c r="M130">
        <v>55.5</v>
      </c>
      <c r="O130">
        <v>55.5</v>
      </c>
      <c r="Q130">
        <v>55.5</v>
      </c>
      <c r="S130">
        <v>55.5</v>
      </c>
      <c r="U130">
        <v>55.5</v>
      </c>
      <c r="W130">
        <v>55.5</v>
      </c>
      <c r="Y130">
        <v>55.5</v>
      </c>
      <c r="AA130">
        <v>55.5</v>
      </c>
      <c r="AC130">
        <v>55.5</v>
      </c>
      <c r="AE130">
        <v>55.5</v>
      </c>
      <c r="AG130">
        <v>55.5</v>
      </c>
      <c r="AI130">
        <v>55.5</v>
      </c>
      <c r="AK130">
        <v>55.5</v>
      </c>
      <c r="AM130">
        <v>55.5</v>
      </c>
      <c r="AO130">
        <v>55.5</v>
      </c>
      <c r="AQ130">
        <v>55.5</v>
      </c>
      <c r="AS130">
        <v>55.5</v>
      </c>
    </row>
    <row r="131" spans="4:45">
      <c r="D131" s="64">
        <v>527.5</v>
      </c>
      <c r="G131" s="64">
        <v>56</v>
      </c>
      <c r="I131" s="64">
        <v>56</v>
      </c>
      <c r="K131">
        <v>56</v>
      </c>
      <c r="M131">
        <v>56</v>
      </c>
      <c r="O131">
        <v>56</v>
      </c>
      <c r="Q131">
        <v>56</v>
      </c>
      <c r="S131">
        <v>56</v>
      </c>
      <c r="U131">
        <v>56</v>
      </c>
      <c r="W131">
        <v>56</v>
      </c>
      <c r="Y131">
        <v>56</v>
      </c>
      <c r="AA131">
        <v>56</v>
      </c>
      <c r="AC131">
        <v>56</v>
      </c>
      <c r="AE131">
        <v>56</v>
      </c>
      <c r="AG131">
        <v>56</v>
      </c>
      <c r="AI131">
        <v>56</v>
      </c>
      <c r="AK131">
        <v>56</v>
      </c>
      <c r="AM131">
        <v>56</v>
      </c>
      <c r="AO131">
        <v>56</v>
      </c>
      <c r="AQ131">
        <v>56</v>
      </c>
      <c r="AS131">
        <v>56</v>
      </c>
    </row>
    <row r="132" spans="4:45">
      <c r="D132" s="64">
        <v>530</v>
      </c>
      <c r="G132" s="64">
        <v>56.5</v>
      </c>
      <c r="I132" s="64">
        <v>56.5</v>
      </c>
      <c r="K132">
        <v>56.5</v>
      </c>
      <c r="M132">
        <v>56.5</v>
      </c>
      <c r="O132">
        <v>56.5</v>
      </c>
      <c r="Q132">
        <v>56.5</v>
      </c>
      <c r="S132">
        <v>56.5</v>
      </c>
      <c r="U132">
        <v>56.5</v>
      </c>
      <c r="W132">
        <v>56.5</v>
      </c>
      <c r="Y132">
        <v>56.5</v>
      </c>
      <c r="AA132">
        <v>56.5</v>
      </c>
      <c r="AC132">
        <v>56.5</v>
      </c>
      <c r="AE132">
        <v>56.5</v>
      </c>
      <c r="AG132">
        <v>56.5</v>
      </c>
      <c r="AI132">
        <v>56.5</v>
      </c>
      <c r="AK132">
        <v>56.5</v>
      </c>
      <c r="AM132">
        <v>56.5</v>
      </c>
      <c r="AO132">
        <v>56.5</v>
      </c>
      <c r="AQ132">
        <v>56.5</v>
      </c>
      <c r="AS132">
        <v>56.5</v>
      </c>
    </row>
    <row r="133" spans="4:45">
      <c r="D133" s="64">
        <v>532.5</v>
      </c>
      <c r="G133" s="64">
        <v>57</v>
      </c>
      <c r="I133" s="64">
        <v>57</v>
      </c>
      <c r="K133">
        <v>57</v>
      </c>
      <c r="M133">
        <v>57</v>
      </c>
      <c r="O133">
        <v>57</v>
      </c>
      <c r="Q133">
        <v>57</v>
      </c>
      <c r="S133">
        <v>57</v>
      </c>
      <c r="U133">
        <v>57</v>
      </c>
      <c r="W133">
        <v>57</v>
      </c>
      <c r="Y133">
        <v>57</v>
      </c>
      <c r="AA133">
        <v>57</v>
      </c>
      <c r="AC133">
        <v>57</v>
      </c>
      <c r="AE133">
        <v>57</v>
      </c>
      <c r="AG133">
        <v>57</v>
      </c>
      <c r="AI133">
        <v>57</v>
      </c>
      <c r="AK133">
        <v>57</v>
      </c>
      <c r="AM133">
        <v>57</v>
      </c>
      <c r="AO133">
        <v>57</v>
      </c>
      <c r="AQ133">
        <v>57</v>
      </c>
      <c r="AS133">
        <v>57</v>
      </c>
    </row>
    <row r="134" spans="4:45">
      <c r="D134" s="64">
        <v>535</v>
      </c>
      <c r="G134" s="64">
        <v>57.5</v>
      </c>
      <c r="I134" s="64">
        <v>57.5</v>
      </c>
      <c r="K134">
        <v>57.5</v>
      </c>
      <c r="M134">
        <v>57.5</v>
      </c>
      <c r="O134">
        <v>57.5</v>
      </c>
      <c r="Q134">
        <v>57.5</v>
      </c>
      <c r="S134">
        <v>57.5</v>
      </c>
      <c r="U134">
        <v>57.5</v>
      </c>
      <c r="W134">
        <v>57.5</v>
      </c>
      <c r="Y134">
        <v>57.5</v>
      </c>
      <c r="AA134">
        <v>57.5</v>
      </c>
      <c r="AC134">
        <v>57.5</v>
      </c>
      <c r="AE134">
        <v>57.5</v>
      </c>
      <c r="AG134">
        <v>57.5</v>
      </c>
      <c r="AI134">
        <v>57.5</v>
      </c>
      <c r="AK134">
        <v>57.5</v>
      </c>
      <c r="AM134">
        <v>57.5</v>
      </c>
      <c r="AO134">
        <v>57.5</v>
      </c>
      <c r="AQ134">
        <v>57.5</v>
      </c>
      <c r="AS134">
        <v>57.5</v>
      </c>
    </row>
    <row r="135" spans="4:45">
      <c r="D135" s="64">
        <v>537.5</v>
      </c>
      <c r="G135" s="64">
        <v>58</v>
      </c>
      <c r="I135" s="64">
        <v>58</v>
      </c>
      <c r="K135">
        <v>58</v>
      </c>
      <c r="M135">
        <v>58</v>
      </c>
      <c r="O135">
        <v>58</v>
      </c>
      <c r="Q135">
        <v>58</v>
      </c>
      <c r="S135">
        <v>58</v>
      </c>
      <c r="U135">
        <v>58</v>
      </c>
      <c r="W135">
        <v>58</v>
      </c>
      <c r="Y135">
        <v>58</v>
      </c>
      <c r="AA135">
        <v>58</v>
      </c>
      <c r="AC135">
        <v>58</v>
      </c>
      <c r="AE135">
        <v>58</v>
      </c>
      <c r="AG135">
        <v>58</v>
      </c>
      <c r="AI135">
        <v>58</v>
      </c>
      <c r="AK135">
        <v>58</v>
      </c>
      <c r="AM135">
        <v>58</v>
      </c>
      <c r="AO135">
        <v>58</v>
      </c>
      <c r="AQ135">
        <v>58</v>
      </c>
      <c r="AS135">
        <v>58</v>
      </c>
    </row>
    <row r="136" spans="4:45">
      <c r="D136" s="64">
        <v>540</v>
      </c>
      <c r="G136" s="64">
        <v>58.5</v>
      </c>
      <c r="I136" s="64">
        <v>58.5</v>
      </c>
      <c r="K136">
        <v>58.5</v>
      </c>
      <c r="M136">
        <v>58.5</v>
      </c>
      <c r="O136">
        <v>58.5</v>
      </c>
      <c r="Q136">
        <v>58.5</v>
      </c>
      <c r="S136">
        <v>58.5</v>
      </c>
      <c r="U136">
        <v>58.5</v>
      </c>
      <c r="W136">
        <v>58.5</v>
      </c>
      <c r="Y136">
        <v>58.5</v>
      </c>
      <c r="AA136">
        <v>58.5</v>
      </c>
      <c r="AC136">
        <v>58.5</v>
      </c>
      <c r="AE136">
        <v>58.5</v>
      </c>
      <c r="AG136">
        <v>58.5</v>
      </c>
      <c r="AI136">
        <v>58.5</v>
      </c>
      <c r="AK136">
        <v>58.5</v>
      </c>
      <c r="AM136">
        <v>58.5</v>
      </c>
      <c r="AO136">
        <v>58.5</v>
      </c>
      <c r="AQ136">
        <v>58.5</v>
      </c>
      <c r="AS136">
        <v>58.5</v>
      </c>
    </row>
    <row r="137" spans="4:45">
      <c r="D137" s="64">
        <v>542.5</v>
      </c>
      <c r="G137" s="64">
        <v>59</v>
      </c>
      <c r="I137" s="64">
        <v>59</v>
      </c>
      <c r="K137">
        <v>59</v>
      </c>
      <c r="M137">
        <v>59</v>
      </c>
      <c r="O137">
        <v>59</v>
      </c>
      <c r="Q137">
        <v>59</v>
      </c>
      <c r="S137">
        <v>59</v>
      </c>
      <c r="U137">
        <v>59</v>
      </c>
      <c r="W137">
        <v>59</v>
      </c>
      <c r="Y137">
        <v>59</v>
      </c>
      <c r="AA137">
        <v>59</v>
      </c>
      <c r="AC137">
        <v>59</v>
      </c>
      <c r="AE137">
        <v>59</v>
      </c>
      <c r="AG137">
        <v>59</v>
      </c>
      <c r="AI137">
        <v>59</v>
      </c>
      <c r="AK137">
        <v>59</v>
      </c>
      <c r="AM137">
        <v>59</v>
      </c>
      <c r="AO137">
        <v>59</v>
      </c>
      <c r="AQ137">
        <v>59</v>
      </c>
      <c r="AS137">
        <v>59</v>
      </c>
    </row>
    <row r="138" spans="4:45">
      <c r="D138" s="64">
        <v>545</v>
      </c>
      <c r="G138" s="64">
        <v>59.5</v>
      </c>
      <c r="I138" s="64">
        <v>59.5</v>
      </c>
      <c r="K138">
        <v>59.5</v>
      </c>
      <c r="M138">
        <v>59.5</v>
      </c>
      <c r="O138">
        <v>59.5</v>
      </c>
      <c r="Q138">
        <v>59.5</v>
      </c>
      <c r="S138">
        <v>59.5</v>
      </c>
      <c r="U138">
        <v>59.5</v>
      </c>
      <c r="W138">
        <v>59.5</v>
      </c>
      <c r="Y138">
        <v>59.5</v>
      </c>
      <c r="AA138">
        <v>59.5</v>
      </c>
      <c r="AC138">
        <v>59.5</v>
      </c>
      <c r="AE138">
        <v>59.5</v>
      </c>
      <c r="AG138">
        <v>59.5</v>
      </c>
      <c r="AI138">
        <v>59.5</v>
      </c>
      <c r="AK138">
        <v>59.5</v>
      </c>
      <c r="AM138">
        <v>59.5</v>
      </c>
      <c r="AO138">
        <v>59.5</v>
      </c>
      <c r="AQ138">
        <v>59.5</v>
      </c>
      <c r="AS138">
        <v>59.5</v>
      </c>
    </row>
    <row r="139" spans="4:45">
      <c r="D139" s="64">
        <v>547.5</v>
      </c>
      <c r="G139" s="64">
        <v>60</v>
      </c>
      <c r="I139" s="64">
        <v>60</v>
      </c>
      <c r="K139">
        <v>60</v>
      </c>
      <c r="M139">
        <v>60</v>
      </c>
      <c r="O139">
        <v>60</v>
      </c>
      <c r="Q139">
        <v>60</v>
      </c>
      <c r="S139">
        <v>60</v>
      </c>
      <c r="U139">
        <v>60</v>
      </c>
      <c r="W139">
        <v>60</v>
      </c>
      <c r="Y139">
        <v>60</v>
      </c>
      <c r="AA139">
        <v>60</v>
      </c>
      <c r="AC139">
        <v>60</v>
      </c>
      <c r="AE139">
        <v>60</v>
      </c>
      <c r="AG139">
        <v>60</v>
      </c>
      <c r="AI139">
        <v>60</v>
      </c>
      <c r="AK139">
        <v>60</v>
      </c>
      <c r="AM139">
        <v>60</v>
      </c>
      <c r="AO139">
        <v>60</v>
      </c>
      <c r="AQ139">
        <v>60</v>
      </c>
      <c r="AS139">
        <v>60</v>
      </c>
    </row>
    <row r="140" spans="4:45">
      <c r="D140" s="64">
        <v>550</v>
      </c>
      <c r="G140" s="64">
        <v>60.5</v>
      </c>
      <c r="I140" s="64">
        <v>60.5</v>
      </c>
      <c r="K140">
        <v>60.5</v>
      </c>
      <c r="M140">
        <v>60.5</v>
      </c>
      <c r="O140">
        <v>60.5</v>
      </c>
      <c r="Q140">
        <v>60.5</v>
      </c>
      <c r="S140">
        <v>60.5</v>
      </c>
      <c r="U140">
        <v>60.5</v>
      </c>
      <c r="W140">
        <v>60.5</v>
      </c>
      <c r="Y140">
        <v>60.5</v>
      </c>
      <c r="AA140">
        <v>60.5</v>
      </c>
      <c r="AC140">
        <v>60.5</v>
      </c>
      <c r="AE140">
        <v>60.5</v>
      </c>
      <c r="AG140">
        <v>60.5</v>
      </c>
      <c r="AI140">
        <v>60.5</v>
      </c>
      <c r="AK140">
        <v>60.5</v>
      </c>
      <c r="AM140">
        <v>60.5</v>
      </c>
      <c r="AO140">
        <v>60.5</v>
      </c>
      <c r="AQ140">
        <v>60.5</v>
      </c>
      <c r="AS140">
        <v>60.5</v>
      </c>
    </row>
    <row r="141" spans="4:45">
      <c r="D141" s="64">
        <v>552.5</v>
      </c>
      <c r="G141" s="64">
        <v>61</v>
      </c>
      <c r="I141" s="64">
        <v>61</v>
      </c>
      <c r="K141">
        <v>61</v>
      </c>
      <c r="M141">
        <v>61</v>
      </c>
      <c r="O141">
        <v>61</v>
      </c>
      <c r="Q141">
        <v>61</v>
      </c>
      <c r="S141">
        <v>61</v>
      </c>
      <c r="U141">
        <v>61</v>
      </c>
      <c r="W141">
        <v>61</v>
      </c>
      <c r="Y141">
        <v>61</v>
      </c>
      <c r="AA141">
        <v>61</v>
      </c>
      <c r="AC141">
        <v>61</v>
      </c>
      <c r="AE141">
        <v>61</v>
      </c>
      <c r="AG141">
        <v>61</v>
      </c>
      <c r="AI141">
        <v>61</v>
      </c>
      <c r="AK141">
        <v>61</v>
      </c>
      <c r="AM141">
        <v>61</v>
      </c>
      <c r="AO141">
        <v>61</v>
      </c>
      <c r="AQ141">
        <v>61</v>
      </c>
      <c r="AS141">
        <v>61</v>
      </c>
    </row>
    <row r="142" spans="4:45">
      <c r="D142" s="64">
        <v>555</v>
      </c>
      <c r="G142" s="64">
        <v>61.5</v>
      </c>
      <c r="I142" s="64">
        <v>61.5</v>
      </c>
      <c r="K142">
        <v>61.5</v>
      </c>
      <c r="M142">
        <v>61.5</v>
      </c>
      <c r="O142">
        <v>61.5</v>
      </c>
      <c r="Q142">
        <v>61.5</v>
      </c>
      <c r="S142">
        <v>61.5</v>
      </c>
      <c r="U142">
        <v>61.5</v>
      </c>
      <c r="W142">
        <v>61.5</v>
      </c>
      <c r="Y142">
        <v>61.5</v>
      </c>
      <c r="AA142">
        <v>61.5</v>
      </c>
      <c r="AC142">
        <v>61.5</v>
      </c>
      <c r="AE142">
        <v>61.5</v>
      </c>
      <c r="AG142">
        <v>61.5</v>
      </c>
      <c r="AI142">
        <v>61.5</v>
      </c>
      <c r="AK142">
        <v>61.5</v>
      </c>
      <c r="AM142">
        <v>61.5</v>
      </c>
      <c r="AO142">
        <v>61.5</v>
      </c>
      <c r="AQ142">
        <v>61.5</v>
      </c>
      <c r="AS142">
        <v>61.5</v>
      </c>
    </row>
    <row r="143" spans="4:45">
      <c r="D143" s="64">
        <v>557.5</v>
      </c>
      <c r="G143" s="64">
        <v>62</v>
      </c>
      <c r="I143" s="64">
        <v>62</v>
      </c>
      <c r="K143">
        <v>62</v>
      </c>
      <c r="M143">
        <v>62</v>
      </c>
      <c r="O143">
        <v>62</v>
      </c>
      <c r="Q143">
        <v>62</v>
      </c>
      <c r="S143">
        <v>62</v>
      </c>
      <c r="U143">
        <v>62</v>
      </c>
      <c r="W143">
        <v>62</v>
      </c>
      <c r="Y143">
        <v>62</v>
      </c>
      <c r="AA143">
        <v>62</v>
      </c>
      <c r="AC143">
        <v>62</v>
      </c>
      <c r="AE143">
        <v>62</v>
      </c>
      <c r="AG143">
        <v>62</v>
      </c>
      <c r="AI143">
        <v>62</v>
      </c>
      <c r="AK143">
        <v>62</v>
      </c>
      <c r="AM143">
        <v>62</v>
      </c>
      <c r="AO143">
        <v>62</v>
      </c>
      <c r="AQ143">
        <v>62</v>
      </c>
      <c r="AS143">
        <v>62</v>
      </c>
    </row>
    <row r="144" spans="4:45">
      <c r="D144" s="64">
        <v>560</v>
      </c>
      <c r="G144" s="64">
        <v>62.5</v>
      </c>
      <c r="I144" s="64">
        <v>62.5</v>
      </c>
      <c r="K144">
        <v>62.5</v>
      </c>
      <c r="M144">
        <v>62.5</v>
      </c>
      <c r="O144">
        <v>62.5</v>
      </c>
      <c r="Q144">
        <v>62.5</v>
      </c>
      <c r="S144">
        <v>62.5</v>
      </c>
      <c r="U144">
        <v>62.5</v>
      </c>
      <c r="W144">
        <v>62.5</v>
      </c>
      <c r="Y144">
        <v>62.5</v>
      </c>
      <c r="AA144">
        <v>62.5</v>
      </c>
      <c r="AC144">
        <v>62.5</v>
      </c>
      <c r="AE144">
        <v>62.5</v>
      </c>
      <c r="AG144">
        <v>62.5</v>
      </c>
      <c r="AI144">
        <v>62.5</v>
      </c>
      <c r="AK144">
        <v>62.5</v>
      </c>
      <c r="AM144">
        <v>62.5</v>
      </c>
      <c r="AO144">
        <v>62.5</v>
      </c>
      <c r="AQ144">
        <v>62.5</v>
      </c>
      <c r="AS144">
        <v>62.5</v>
      </c>
    </row>
    <row r="145" spans="4:45">
      <c r="D145" s="64">
        <v>562.5</v>
      </c>
      <c r="G145" s="64">
        <v>63</v>
      </c>
      <c r="I145" s="64">
        <v>63</v>
      </c>
      <c r="K145">
        <v>63</v>
      </c>
      <c r="M145">
        <v>63</v>
      </c>
      <c r="O145">
        <v>63</v>
      </c>
      <c r="Q145">
        <v>63</v>
      </c>
      <c r="S145">
        <v>63</v>
      </c>
      <c r="U145">
        <v>63</v>
      </c>
      <c r="W145">
        <v>63</v>
      </c>
      <c r="Y145">
        <v>63</v>
      </c>
      <c r="AA145">
        <v>63</v>
      </c>
      <c r="AC145">
        <v>63</v>
      </c>
      <c r="AE145">
        <v>63</v>
      </c>
      <c r="AG145">
        <v>63</v>
      </c>
      <c r="AI145">
        <v>63</v>
      </c>
      <c r="AK145">
        <v>63</v>
      </c>
      <c r="AM145">
        <v>63</v>
      </c>
      <c r="AO145">
        <v>63</v>
      </c>
      <c r="AQ145">
        <v>63</v>
      </c>
      <c r="AS145">
        <v>63</v>
      </c>
    </row>
    <row r="146" spans="4:45">
      <c r="D146" s="64">
        <v>565</v>
      </c>
      <c r="G146" s="64">
        <v>63.5</v>
      </c>
      <c r="I146" s="64">
        <v>63.5</v>
      </c>
      <c r="K146">
        <v>63.5</v>
      </c>
      <c r="M146">
        <v>63.5</v>
      </c>
      <c r="O146">
        <v>63.5</v>
      </c>
      <c r="Q146">
        <v>63.5</v>
      </c>
      <c r="S146">
        <v>63.5</v>
      </c>
      <c r="U146">
        <v>63.5</v>
      </c>
      <c r="W146">
        <v>63.5</v>
      </c>
      <c r="Y146">
        <v>63.5</v>
      </c>
      <c r="AA146">
        <v>63.5</v>
      </c>
      <c r="AC146">
        <v>63.5</v>
      </c>
      <c r="AE146">
        <v>63.5</v>
      </c>
      <c r="AG146">
        <v>63.5</v>
      </c>
      <c r="AI146">
        <v>63.5</v>
      </c>
      <c r="AK146">
        <v>63.5</v>
      </c>
      <c r="AM146">
        <v>63.5</v>
      </c>
      <c r="AO146">
        <v>63.5</v>
      </c>
      <c r="AQ146">
        <v>63.5</v>
      </c>
      <c r="AS146">
        <v>63.5</v>
      </c>
    </row>
    <row r="147" spans="4:45">
      <c r="D147" s="64">
        <v>567.5</v>
      </c>
      <c r="G147" s="64">
        <v>64</v>
      </c>
      <c r="I147" s="64">
        <v>64</v>
      </c>
      <c r="K147">
        <v>64</v>
      </c>
      <c r="M147">
        <v>64</v>
      </c>
      <c r="O147">
        <v>64</v>
      </c>
      <c r="Q147">
        <v>64</v>
      </c>
      <c r="S147">
        <v>64</v>
      </c>
      <c r="U147">
        <v>64</v>
      </c>
      <c r="W147">
        <v>64</v>
      </c>
      <c r="Y147">
        <v>64</v>
      </c>
      <c r="AA147">
        <v>64</v>
      </c>
      <c r="AC147">
        <v>64</v>
      </c>
      <c r="AE147">
        <v>64</v>
      </c>
      <c r="AG147">
        <v>64</v>
      </c>
      <c r="AI147">
        <v>64</v>
      </c>
      <c r="AK147">
        <v>64</v>
      </c>
      <c r="AM147">
        <v>64</v>
      </c>
      <c r="AO147">
        <v>64</v>
      </c>
      <c r="AQ147">
        <v>64</v>
      </c>
      <c r="AS147">
        <v>64</v>
      </c>
    </row>
    <row r="148" spans="4:45">
      <c r="D148" s="64">
        <v>570</v>
      </c>
      <c r="G148" s="64">
        <v>64.5</v>
      </c>
      <c r="I148" s="64">
        <v>64.5</v>
      </c>
      <c r="K148">
        <v>64.5</v>
      </c>
      <c r="M148">
        <v>64.5</v>
      </c>
      <c r="O148">
        <v>64.5</v>
      </c>
      <c r="Q148">
        <v>64.5</v>
      </c>
      <c r="S148">
        <v>64.5</v>
      </c>
      <c r="U148">
        <v>64.5</v>
      </c>
      <c r="W148">
        <v>64.5</v>
      </c>
      <c r="Y148">
        <v>64.5</v>
      </c>
      <c r="AA148">
        <v>64.5</v>
      </c>
      <c r="AC148">
        <v>64.5</v>
      </c>
      <c r="AE148">
        <v>64.5</v>
      </c>
      <c r="AG148">
        <v>64.5</v>
      </c>
      <c r="AI148">
        <v>64.5</v>
      </c>
      <c r="AK148">
        <v>64.5</v>
      </c>
      <c r="AM148">
        <v>64.5</v>
      </c>
      <c r="AO148">
        <v>64.5</v>
      </c>
      <c r="AQ148">
        <v>64.5</v>
      </c>
      <c r="AS148">
        <v>64.5</v>
      </c>
    </row>
    <row r="149" spans="4:45">
      <c r="D149" s="64">
        <v>572.5</v>
      </c>
      <c r="G149" s="64">
        <v>65</v>
      </c>
      <c r="I149" s="64">
        <v>65</v>
      </c>
      <c r="K149">
        <v>65</v>
      </c>
      <c r="M149">
        <v>65</v>
      </c>
      <c r="O149">
        <v>65</v>
      </c>
      <c r="Q149">
        <v>65</v>
      </c>
      <c r="S149">
        <v>65</v>
      </c>
      <c r="U149">
        <v>65</v>
      </c>
      <c r="W149">
        <v>65</v>
      </c>
      <c r="Y149">
        <v>65</v>
      </c>
      <c r="AA149">
        <v>65</v>
      </c>
      <c r="AC149">
        <v>65</v>
      </c>
      <c r="AE149">
        <v>65</v>
      </c>
      <c r="AG149">
        <v>65</v>
      </c>
      <c r="AI149">
        <v>65</v>
      </c>
      <c r="AK149">
        <v>65</v>
      </c>
      <c r="AM149">
        <v>65</v>
      </c>
      <c r="AO149">
        <v>65</v>
      </c>
      <c r="AQ149">
        <v>65</v>
      </c>
      <c r="AS149">
        <v>65</v>
      </c>
    </row>
    <row r="150" spans="4:45">
      <c r="D150" s="64">
        <v>575</v>
      </c>
      <c r="G150" s="64">
        <v>65.5</v>
      </c>
      <c r="I150" s="64">
        <v>65.5</v>
      </c>
      <c r="K150">
        <v>65.5</v>
      </c>
      <c r="M150">
        <v>65.5</v>
      </c>
      <c r="O150">
        <v>65.5</v>
      </c>
      <c r="Q150">
        <v>65.5</v>
      </c>
      <c r="S150">
        <v>65.5</v>
      </c>
      <c r="U150">
        <v>65.5</v>
      </c>
      <c r="W150">
        <v>65.5</v>
      </c>
      <c r="Y150">
        <v>65.5</v>
      </c>
      <c r="AA150">
        <v>65.5</v>
      </c>
      <c r="AC150">
        <v>65.5</v>
      </c>
      <c r="AE150">
        <v>65.5</v>
      </c>
      <c r="AG150">
        <v>65.5</v>
      </c>
      <c r="AI150">
        <v>65.5</v>
      </c>
      <c r="AK150">
        <v>65.5</v>
      </c>
      <c r="AM150">
        <v>65.5</v>
      </c>
      <c r="AO150">
        <v>65.5</v>
      </c>
      <c r="AQ150">
        <v>65.5</v>
      </c>
      <c r="AS150">
        <v>65.5</v>
      </c>
    </row>
    <row r="151" spans="4:45">
      <c r="D151" s="64">
        <v>580</v>
      </c>
      <c r="G151" s="64">
        <v>66</v>
      </c>
      <c r="I151" s="64">
        <v>66</v>
      </c>
      <c r="K151">
        <v>66</v>
      </c>
      <c r="M151">
        <v>66</v>
      </c>
      <c r="O151">
        <v>66</v>
      </c>
      <c r="Q151">
        <v>66</v>
      </c>
      <c r="S151">
        <v>66</v>
      </c>
      <c r="U151">
        <v>66</v>
      </c>
      <c r="W151">
        <v>66</v>
      </c>
      <c r="Y151">
        <v>66</v>
      </c>
      <c r="AA151">
        <v>66</v>
      </c>
      <c r="AC151">
        <v>66</v>
      </c>
      <c r="AE151">
        <v>66</v>
      </c>
      <c r="AG151">
        <v>66</v>
      </c>
      <c r="AI151">
        <v>66</v>
      </c>
      <c r="AK151">
        <v>66</v>
      </c>
      <c r="AM151">
        <v>66</v>
      </c>
      <c r="AO151">
        <v>66</v>
      </c>
      <c r="AQ151">
        <v>66</v>
      </c>
      <c r="AS151">
        <v>66</v>
      </c>
    </row>
    <row r="152" spans="4:45">
      <c r="D152" s="64">
        <v>585</v>
      </c>
      <c r="G152" s="64">
        <v>66.5</v>
      </c>
      <c r="I152" s="64">
        <v>66.5</v>
      </c>
      <c r="K152">
        <v>66.5</v>
      </c>
      <c r="M152">
        <v>66.5</v>
      </c>
      <c r="O152">
        <v>66.5</v>
      </c>
      <c r="Q152">
        <v>66.5</v>
      </c>
      <c r="S152">
        <v>66.5</v>
      </c>
      <c r="U152">
        <v>66.5</v>
      </c>
      <c r="W152">
        <v>66.5</v>
      </c>
      <c r="Y152">
        <v>66.5</v>
      </c>
      <c r="AA152">
        <v>66.5</v>
      </c>
      <c r="AC152">
        <v>66.5</v>
      </c>
      <c r="AE152">
        <v>66.5</v>
      </c>
      <c r="AG152">
        <v>66.5</v>
      </c>
      <c r="AI152">
        <v>66.5</v>
      </c>
      <c r="AK152">
        <v>66.5</v>
      </c>
      <c r="AM152">
        <v>66.5</v>
      </c>
      <c r="AO152">
        <v>66.5</v>
      </c>
      <c r="AQ152">
        <v>66.5</v>
      </c>
      <c r="AS152">
        <v>66.5</v>
      </c>
    </row>
    <row r="153" spans="4:45">
      <c r="D153" s="64">
        <v>590</v>
      </c>
      <c r="G153" s="64">
        <v>67</v>
      </c>
      <c r="I153" s="64">
        <v>67</v>
      </c>
      <c r="K153">
        <v>67</v>
      </c>
      <c r="M153">
        <v>67</v>
      </c>
      <c r="O153">
        <v>67</v>
      </c>
      <c r="Q153">
        <v>67</v>
      </c>
      <c r="S153">
        <v>67</v>
      </c>
      <c r="U153">
        <v>67</v>
      </c>
      <c r="W153">
        <v>67</v>
      </c>
      <c r="Y153">
        <v>67</v>
      </c>
      <c r="AA153">
        <v>67</v>
      </c>
      <c r="AC153">
        <v>67</v>
      </c>
      <c r="AE153">
        <v>67</v>
      </c>
      <c r="AG153">
        <v>67</v>
      </c>
      <c r="AI153">
        <v>67</v>
      </c>
      <c r="AK153">
        <v>67</v>
      </c>
      <c r="AM153">
        <v>67</v>
      </c>
      <c r="AO153">
        <v>67</v>
      </c>
      <c r="AQ153">
        <v>67</v>
      </c>
      <c r="AS153">
        <v>67</v>
      </c>
    </row>
    <row r="154" spans="4:45">
      <c r="D154" s="64">
        <v>595</v>
      </c>
      <c r="G154" s="64">
        <v>67.5</v>
      </c>
      <c r="I154" s="64">
        <v>67.5</v>
      </c>
      <c r="K154">
        <v>67.5</v>
      </c>
      <c r="M154">
        <v>67.5</v>
      </c>
      <c r="O154">
        <v>67.5</v>
      </c>
      <c r="Q154">
        <v>67.5</v>
      </c>
      <c r="S154">
        <v>67.5</v>
      </c>
      <c r="U154">
        <v>67.5</v>
      </c>
      <c r="W154">
        <v>67.5</v>
      </c>
      <c r="Y154">
        <v>67.5</v>
      </c>
      <c r="AA154">
        <v>67.5</v>
      </c>
      <c r="AC154">
        <v>67.5</v>
      </c>
      <c r="AE154">
        <v>67.5</v>
      </c>
      <c r="AG154">
        <v>67.5</v>
      </c>
      <c r="AI154">
        <v>67.5</v>
      </c>
      <c r="AK154">
        <v>67.5</v>
      </c>
      <c r="AM154">
        <v>67.5</v>
      </c>
      <c r="AO154">
        <v>67.5</v>
      </c>
      <c r="AQ154">
        <v>67.5</v>
      </c>
      <c r="AS154">
        <v>67.5</v>
      </c>
    </row>
    <row r="155" spans="4:45">
      <c r="D155" s="64">
        <v>600</v>
      </c>
      <c r="G155" s="64">
        <v>68</v>
      </c>
      <c r="I155" s="64">
        <v>68</v>
      </c>
      <c r="K155">
        <v>68</v>
      </c>
      <c r="M155">
        <v>68</v>
      </c>
      <c r="O155">
        <v>68</v>
      </c>
      <c r="Q155">
        <v>68</v>
      </c>
      <c r="S155">
        <v>68</v>
      </c>
      <c r="U155">
        <v>68</v>
      </c>
      <c r="W155">
        <v>68</v>
      </c>
      <c r="Y155">
        <v>68</v>
      </c>
      <c r="AA155">
        <v>68</v>
      </c>
      <c r="AC155">
        <v>68</v>
      </c>
      <c r="AE155">
        <v>68</v>
      </c>
      <c r="AG155">
        <v>68</v>
      </c>
      <c r="AI155">
        <v>68</v>
      </c>
      <c r="AK155">
        <v>68</v>
      </c>
      <c r="AM155">
        <v>68</v>
      </c>
      <c r="AO155">
        <v>68</v>
      </c>
      <c r="AQ155">
        <v>68</v>
      </c>
      <c r="AS155">
        <v>68</v>
      </c>
    </row>
    <row r="156" spans="4:45">
      <c r="D156" s="64">
        <v>605</v>
      </c>
      <c r="G156" s="64">
        <v>68.5</v>
      </c>
      <c r="I156" s="64">
        <v>68.5</v>
      </c>
      <c r="K156">
        <v>68.5</v>
      </c>
      <c r="M156">
        <v>68.5</v>
      </c>
      <c r="O156">
        <v>68.5</v>
      </c>
      <c r="Q156">
        <v>68.5</v>
      </c>
      <c r="S156">
        <v>68.5</v>
      </c>
      <c r="U156">
        <v>68.5</v>
      </c>
      <c r="W156">
        <v>68.5</v>
      </c>
      <c r="Y156">
        <v>68.5</v>
      </c>
      <c r="AA156">
        <v>68.5</v>
      </c>
      <c r="AC156">
        <v>68.5</v>
      </c>
      <c r="AE156">
        <v>68.5</v>
      </c>
      <c r="AG156">
        <v>68.5</v>
      </c>
      <c r="AI156">
        <v>68.5</v>
      </c>
      <c r="AK156">
        <v>68.5</v>
      </c>
      <c r="AM156">
        <v>68.5</v>
      </c>
      <c r="AO156">
        <v>68.5</v>
      </c>
      <c r="AQ156">
        <v>68.5</v>
      </c>
      <c r="AS156">
        <v>68.5</v>
      </c>
    </row>
    <row r="157" spans="4:45">
      <c r="D157" s="64">
        <v>610</v>
      </c>
      <c r="G157" s="64">
        <v>69</v>
      </c>
      <c r="I157" s="64">
        <v>69</v>
      </c>
      <c r="K157">
        <v>69</v>
      </c>
      <c r="M157">
        <v>69</v>
      </c>
      <c r="O157">
        <v>69</v>
      </c>
      <c r="Q157">
        <v>69</v>
      </c>
      <c r="S157">
        <v>69</v>
      </c>
      <c r="U157">
        <v>69</v>
      </c>
      <c r="W157">
        <v>69</v>
      </c>
      <c r="Y157">
        <v>69</v>
      </c>
      <c r="AA157">
        <v>69</v>
      </c>
      <c r="AC157">
        <v>69</v>
      </c>
      <c r="AE157">
        <v>69</v>
      </c>
      <c r="AG157">
        <v>69</v>
      </c>
      <c r="AI157">
        <v>69</v>
      </c>
      <c r="AK157">
        <v>69</v>
      </c>
      <c r="AM157">
        <v>69</v>
      </c>
      <c r="AO157">
        <v>69</v>
      </c>
      <c r="AQ157">
        <v>69</v>
      </c>
      <c r="AS157">
        <v>69</v>
      </c>
    </row>
    <row r="158" spans="4:45">
      <c r="D158" s="64">
        <v>615</v>
      </c>
      <c r="G158" s="64">
        <v>69.5</v>
      </c>
      <c r="I158" s="64">
        <v>69.5</v>
      </c>
      <c r="K158">
        <v>69.5</v>
      </c>
      <c r="M158">
        <v>69.5</v>
      </c>
      <c r="O158">
        <v>69.5</v>
      </c>
      <c r="Q158">
        <v>69.5</v>
      </c>
      <c r="S158">
        <v>69.5</v>
      </c>
      <c r="U158">
        <v>69.5</v>
      </c>
      <c r="W158">
        <v>69.5</v>
      </c>
      <c r="Y158">
        <v>69.5</v>
      </c>
      <c r="AA158">
        <v>69.5</v>
      </c>
      <c r="AC158">
        <v>69.5</v>
      </c>
      <c r="AE158">
        <v>69.5</v>
      </c>
      <c r="AG158">
        <v>69.5</v>
      </c>
      <c r="AI158">
        <v>69.5</v>
      </c>
      <c r="AK158">
        <v>69.5</v>
      </c>
      <c r="AM158">
        <v>69.5</v>
      </c>
      <c r="AO158">
        <v>69.5</v>
      </c>
      <c r="AQ158">
        <v>69.5</v>
      </c>
      <c r="AS158">
        <v>69.5</v>
      </c>
    </row>
    <row r="159" spans="4:45">
      <c r="D159" s="64">
        <v>620</v>
      </c>
      <c r="G159" s="64">
        <v>70</v>
      </c>
      <c r="I159" s="64">
        <v>70</v>
      </c>
      <c r="K159">
        <v>70</v>
      </c>
      <c r="M159">
        <v>70</v>
      </c>
      <c r="O159">
        <v>70</v>
      </c>
      <c r="Q159">
        <v>70</v>
      </c>
      <c r="S159">
        <v>70</v>
      </c>
      <c r="U159">
        <v>70</v>
      </c>
      <c r="W159">
        <v>70</v>
      </c>
      <c r="Y159">
        <v>70</v>
      </c>
      <c r="AA159">
        <v>70</v>
      </c>
      <c r="AC159">
        <v>70</v>
      </c>
      <c r="AE159">
        <v>70</v>
      </c>
      <c r="AG159">
        <v>70</v>
      </c>
      <c r="AI159">
        <v>70</v>
      </c>
      <c r="AK159">
        <v>70</v>
      </c>
      <c r="AM159">
        <v>70</v>
      </c>
      <c r="AO159">
        <v>70</v>
      </c>
      <c r="AQ159">
        <v>70</v>
      </c>
      <c r="AS159">
        <v>70</v>
      </c>
    </row>
    <row r="160" spans="4:45">
      <c r="D160" s="64">
        <v>625</v>
      </c>
      <c r="G160" s="64">
        <v>70.5</v>
      </c>
      <c r="I160" s="64">
        <v>70.5</v>
      </c>
      <c r="K160">
        <v>70.5</v>
      </c>
      <c r="M160">
        <v>70.5</v>
      </c>
      <c r="O160">
        <v>70.5</v>
      </c>
      <c r="Q160">
        <v>70.5</v>
      </c>
      <c r="S160">
        <v>70.5</v>
      </c>
      <c r="U160">
        <v>70.5</v>
      </c>
      <c r="W160">
        <v>70.5</v>
      </c>
      <c r="Y160">
        <v>70.5</v>
      </c>
      <c r="AA160">
        <v>70.5</v>
      </c>
      <c r="AC160">
        <v>70.5</v>
      </c>
      <c r="AE160">
        <v>70.5</v>
      </c>
      <c r="AG160">
        <v>70.5</v>
      </c>
      <c r="AI160">
        <v>70.5</v>
      </c>
      <c r="AK160">
        <v>70.5</v>
      </c>
      <c r="AM160">
        <v>70.5</v>
      </c>
      <c r="AO160">
        <v>70.5</v>
      </c>
      <c r="AQ160">
        <v>70.5</v>
      </c>
      <c r="AS160">
        <v>70.5</v>
      </c>
    </row>
    <row r="161" spans="4:45">
      <c r="D161" s="64">
        <v>630</v>
      </c>
      <c r="G161" s="64">
        <v>71</v>
      </c>
      <c r="I161" s="64">
        <v>71</v>
      </c>
      <c r="K161">
        <v>71</v>
      </c>
      <c r="M161">
        <v>71</v>
      </c>
      <c r="O161">
        <v>71</v>
      </c>
      <c r="Q161">
        <v>71</v>
      </c>
      <c r="S161">
        <v>71</v>
      </c>
      <c r="U161">
        <v>71</v>
      </c>
      <c r="W161">
        <v>71</v>
      </c>
      <c r="Y161">
        <v>71</v>
      </c>
      <c r="AA161">
        <v>71</v>
      </c>
      <c r="AC161">
        <v>71</v>
      </c>
      <c r="AE161">
        <v>71</v>
      </c>
      <c r="AG161">
        <v>71</v>
      </c>
      <c r="AI161">
        <v>71</v>
      </c>
      <c r="AK161">
        <v>71</v>
      </c>
      <c r="AM161">
        <v>71</v>
      </c>
      <c r="AO161">
        <v>71</v>
      </c>
      <c r="AQ161">
        <v>71</v>
      </c>
      <c r="AS161">
        <v>71</v>
      </c>
    </row>
    <row r="162" spans="4:45">
      <c r="D162" s="64">
        <v>635</v>
      </c>
      <c r="G162" s="64">
        <v>72</v>
      </c>
      <c r="I162" s="64">
        <v>72</v>
      </c>
      <c r="K162">
        <v>72</v>
      </c>
      <c r="M162">
        <v>72</v>
      </c>
      <c r="O162">
        <v>72</v>
      </c>
      <c r="Q162">
        <v>72</v>
      </c>
      <c r="S162">
        <v>72</v>
      </c>
      <c r="U162">
        <v>72</v>
      </c>
      <c r="W162">
        <v>72</v>
      </c>
      <c r="Y162">
        <v>72</v>
      </c>
      <c r="AA162">
        <v>72</v>
      </c>
      <c r="AC162">
        <v>72</v>
      </c>
      <c r="AE162">
        <v>72</v>
      </c>
      <c r="AG162">
        <v>72</v>
      </c>
      <c r="AI162">
        <v>72</v>
      </c>
      <c r="AK162">
        <v>72</v>
      </c>
      <c r="AM162">
        <v>72</v>
      </c>
      <c r="AO162">
        <v>72</v>
      </c>
      <c r="AQ162">
        <v>72</v>
      </c>
      <c r="AS162">
        <v>72</v>
      </c>
    </row>
    <row r="163" spans="4:45">
      <c r="D163" s="64">
        <v>640</v>
      </c>
      <c r="G163" s="64">
        <v>73</v>
      </c>
      <c r="I163" s="64">
        <v>73</v>
      </c>
      <c r="K163">
        <v>73</v>
      </c>
      <c r="M163">
        <v>73</v>
      </c>
      <c r="O163">
        <v>73</v>
      </c>
      <c r="Q163">
        <v>73</v>
      </c>
      <c r="S163">
        <v>73</v>
      </c>
      <c r="U163">
        <v>73</v>
      </c>
      <c r="W163">
        <v>73</v>
      </c>
      <c r="Y163">
        <v>73</v>
      </c>
      <c r="AA163">
        <v>73</v>
      </c>
      <c r="AC163">
        <v>73</v>
      </c>
      <c r="AE163">
        <v>73</v>
      </c>
      <c r="AG163">
        <v>73</v>
      </c>
      <c r="AI163">
        <v>73</v>
      </c>
      <c r="AK163">
        <v>73</v>
      </c>
      <c r="AM163">
        <v>73</v>
      </c>
      <c r="AO163">
        <v>73</v>
      </c>
      <c r="AQ163">
        <v>73</v>
      </c>
      <c r="AS163">
        <v>73</v>
      </c>
    </row>
    <row r="164" spans="4:45">
      <c r="D164" s="64">
        <v>645</v>
      </c>
      <c r="G164" s="64">
        <v>74</v>
      </c>
      <c r="I164" s="64">
        <v>74</v>
      </c>
      <c r="K164">
        <v>74</v>
      </c>
      <c r="M164">
        <v>74</v>
      </c>
      <c r="O164">
        <v>74</v>
      </c>
      <c r="Q164">
        <v>74</v>
      </c>
      <c r="S164">
        <v>74</v>
      </c>
      <c r="U164">
        <v>74</v>
      </c>
      <c r="W164">
        <v>74</v>
      </c>
      <c r="Y164">
        <v>74</v>
      </c>
      <c r="AA164">
        <v>74</v>
      </c>
      <c r="AC164">
        <v>74</v>
      </c>
      <c r="AE164">
        <v>74</v>
      </c>
      <c r="AG164">
        <v>74</v>
      </c>
      <c r="AI164">
        <v>74</v>
      </c>
      <c r="AK164">
        <v>74</v>
      </c>
      <c r="AM164">
        <v>74</v>
      </c>
      <c r="AO164">
        <v>74</v>
      </c>
      <c r="AQ164">
        <v>74</v>
      </c>
      <c r="AS164">
        <v>74</v>
      </c>
    </row>
    <row r="165" spans="4:45">
      <c r="D165" s="64">
        <v>650</v>
      </c>
      <c r="G165" s="64">
        <v>75</v>
      </c>
      <c r="I165" s="64">
        <v>75</v>
      </c>
      <c r="K165">
        <v>75</v>
      </c>
      <c r="M165">
        <v>75</v>
      </c>
      <c r="O165">
        <v>75</v>
      </c>
      <c r="Q165">
        <v>75</v>
      </c>
      <c r="S165">
        <v>75</v>
      </c>
      <c r="U165">
        <v>75</v>
      </c>
      <c r="W165">
        <v>75</v>
      </c>
      <c r="Y165">
        <v>75</v>
      </c>
      <c r="AA165">
        <v>75</v>
      </c>
      <c r="AC165">
        <v>75</v>
      </c>
      <c r="AE165">
        <v>75</v>
      </c>
      <c r="AG165">
        <v>75</v>
      </c>
      <c r="AI165">
        <v>75</v>
      </c>
      <c r="AK165">
        <v>75</v>
      </c>
      <c r="AM165">
        <v>75</v>
      </c>
      <c r="AO165">
        <v>75</v>
      </c>
      <c r="AQ165">
        <v>75</v>
      </c>
      <c r="AS165">
        <v>75</v>
      </c>
    </row>
    <row r="166" spans="4:45">
      <c r="D166" s="64">
        <v>655</v>
      </c>
      <c r="G166" s="64">
        <v>76</v>
      </c>
      <c r="I166" s="64">
        <v>76</v>
      </c>
      <c r="K166">
        <v>76</v>
      </c>
      <c r="M166">
        <v>76</v>
      </c>
      <c r="O166">
        <v>76</v>
      </c>
      <c r="Q166">
        <v>76</v>
      </c>
      <c r="S166">
        <v>76</v>
      </c>
      <c r="U166">
        <v>76</v>
      </c>
      <c r="W166">
        <v>76</v>
      </c>
      <c r="Y166">
        <v>76</v>
      </c>
      <c r="AA166">
        <v>76</v>
      </c>
      <c r="AC166">
        <v>76</v>
      </c>
      <c r="AE166">
        <v>76</v>
      </c>
      <c r="AG166">
        <v>76</v>
      </c>
      <c r="AI166">
        <v>76</v>
      </c>
      <c r="AK166">
        <v>76</v>
      </c>
      <c r="AM166">
        <v>76</v>
      </c>
      <c r="AO166">
        <v>76</v>
      </c>
      <c r="AQ166">
        <v>76</v>
      </c>
      <c r="AS166">
        <v>76</v>
      </c>
    </row>
    <row r="167" spans="4:45">
      <c r="D167" s="64">
        <v>660</v>
      </c>
      <c r="G167" s="64">
        <v>77</v>
      </c>
      <c r="I167" s="64">
        <v>77</v>
      </c>
      <c r="K167">
        <v>77</v>
      </c>
      <c r="M167">
        <v>77</v>
      </c>
      <c r="O167">
        <v>77</v>
      </c>
      <c r="Q167">
        <v>77</v>
      </c>
      <c r="S167">
        <v>77</v>
      </c>
      <c r="U167">
        <v>77</v>
      </c>
      <c r="W167">
        <v>77</v>
      </c>
      <c r="Y167">
        <v>77</v>
      </c>
      <c r="AA167">
        <v>77</v>
      </c>
      <c r="AC167">
        <v>77</v>
      </c>
      <c r="AE167">
        <v>77</v>
      </c>
      <c r="AG167">
        <v>77</v>
      </c>
      <c r="AI167">
        <v>77</v>
      </c>
      <c r="AK167">
        <v>77</v>
      </c>
      <c r="AM167">
        <v>77</v>
      </c>
      <c r="AO167">
        <v>77</v>
      </c>
      <c r="AQ167">
        <v>77</v>
      </c>
      <c r="AS167">
        <v>77</v>
      </c>
    </row>
    <row r="168" spans="4:45">
      <c r="D168" s="64">
        <v>665</v>
      </c>
      <c r="G168" s="64">
        <v>78</v>
      </c>
      <c r="I168" s="64">
        <v>78</v>
      </c>
      <c r="K168">
        <v>78</v>
      </c>
      <c r="M168">
        <v>78</v>
      </c>
      <c r="O168">
        <v>78</v>
      </c>
      <c r="Q168">
        <v>78</v>
      </c>
      <c r="S168">
        <v>78</v>
      </c>
      <c r="U168">
        <v>78</v>
      </c>
      <c r="W168">
        <v>78</v>
      </c>
      <c r="Y168">
        <v>78</v>
      </c>
      <c r="AA168">
        <v>78</v>
      </c>
      <c r="AC168">
        <v>78</v>
      </c>
      <c r="AE168">
        <v>78</v>
      </c>
      <c r="AG168">
        <v>78</v>
      </c>
      <c r="AI168">
        <v>78</v>
      </c>
      <c r="AK168">
        <v>78</v>
      </c>
      <c r="AM168">
        <v>78</v>
      </c>
      <c r="AO168">
        <v>78</v>
      </c>
      <c r="AQ168">
        <v>78</v>
      </c>
      <c r="AS168">
        <v>78</v>
      </c>
    </row>
    <row r="169" spans="4:45">
      <c r="D169" s="64">
        <v>670</v>
      </c>
      <c r="G169" s="64">
        <v>79</v>
      </c>
      <c r="I169" s="64">
        <v>79</v>
      </c>
      <c r="K169">
        <v>79</v>
      </c>
      <c r="M169">
        <v>79</v>
      </c>
      <c r="O169">
        <v>79</v>
      </c>
      <c r="Q169">
        <v>79</v>
      </c>
      <c r="S169">
        <v>79</v>
      </c>
      <c r="U169">
        <v>79</v>
      </c>
      <c r="W169">
        <v>79</v>
      </c>
      <c r="Y169">
        <v>79</v>
      </c>
      <c r="AA169">
        <v>79</v>
      </c>
      <c r="AC169">
        <v>79</v>
      </c>
      <c r="AE169">
        <v>79</v>
      </c>
      <c r="AG169">
        <v>79</v>
      </c>
      <c r="AI169">
        <v>79</v>
      </c>
      <c r="AK169">
        <v>79</v>
      </c>
      <c r="AM169">
        <v>79</v>
      </c>
      <c r="AO169">
        <v>79</v>
      </c>
      <c r="AQ169">
        <v>79</v>
      </c>
      <c r="AS169">
        <v>79</v>
      </c>
    </row>
    <row r="170" spans="4:45">
      <c r="D170" s="64">
        <v>675</v>
      </c>
      <c r="G170" s="64">
        <v>80</v>
      </c>
      <c r="I170" s="64">
        <v>80</v>
      </c>
      <c r="K170">
        <v>80</v>
      </c>
      <c r="M170">
        <v>80</v>
      </c>
      <c r="O170">
        <v>80</v>
      </c>
      <c r="Q170">
        <v>80</v>
      </c>
      <c r="S170">
        <v>80</v>
      </c>
      <c r="U170">
        <v>80</v>
      </c>
      <c r="W170">
        <v>80</v>
      </c>
      <c r="Y170">
        <v>80</v>
      </c>
      <c r="AA170">
        <v>80</v>
      </c>
      <c r="AC170">
        <v>80</v>
      </c>
      <c r="AE170">
        <v>80</v>
      </c>
      <c r="AG170">
        <v>80</v>
      </c>
      <c r="AI170">
        <v>80</v>
      </c>
      <c r="AK170">
        <v>80</v>
      </c>
      <c r="AM170">
        <v>80</v>
      </c>
      <c r="AO170">
        <v>80</v>
      </c>
      <c r="AQ170">
        <v>80</v>
      </c>
      <c r="AS170">
        <v>80</v>
      </c>
    </row>
    <row r="171" spans="4:45">
      <c r="D171" s="64">
        <v>680</v>
      </c>
      <c r="G171" s="64">
        <v>81</v>
      </c>
      <c r="I171" s="64">
        <v>81</v>
      </c>
      <c r="K171">
        <v>81</v>
      </c>
      <c r="M171">
        <v>81</v>
      </c>
      <c r="O171">
        <v>81</v>
      </c>
      <c r="Q171">
        <v>81</v>
      </c>
      <c r="S171">
        <v>81</v>
      </c>
      <c r="U171">
        <v>81</v>
      </c>
      <c r="W171">
        <v>81</v>
      </c>
      <c r="Y171">
        <v>81</v>
      </c>
      <c r="AA171">
        <v>81</v>
      </c>
      <c r="AC171">
        <v>81</v>
      </c>
      <c r="AE171">
        <v>81</v>
      </c>
      <c r="AG171">
        <v>81</v>
      </c>
      <c r="AI171">
        <v>81</v>
      </c>
      <c r="AK171">
        <v>81</v>
      </c>
      <c r="AM171">
        <v>81</v>
      </c>
      <c r="AO171">
        <v>81</v>
      </c>
      <c r="AQ171">
        <v>81</v>
      </c>
      <c r="AS171">
        <v>81</v>
      </c>
    </row>
    <row r="172" spans="4:45">
      <c r="D172" s="64">
        <v>685</v>
      </c>
      <c r="G172" s="64">
        <v>82</v>
      </c>
      <c r="I172" s="64">
        <v>82</v>
      </c>
      <c r="K172">
        <v>82</v>
      </c>
      <c r="M172">
        <v>82</v>
      </c>
      <c r="O172">
        <v>82</v>
      </c>
      <c r="Q172">
        <v>82</v>
      </c>
      <c r="S172">
        <v>82</v>
      </c>
      <c r="U172">
        <v>82</v>
      </c>
      <c r="W172">
        <v>82</v>
      </c>
      <c r="Y172">
        <v>82</v>
      </c>
      <c r="AA172">
        <v>82</v>
      </c>
      <c r="AC172">
        <v>82</v>
      </c>
      <c r="AE172">
        <v>82</v>
      </c>
      <c r="AG172">
        <v>82</v>
      </c>
      <c r="AI172">
        <v>82</v>
      </c>
      <c r="AK172">
        <v>82</v>
      </c>
      <c r="AM172">
        <v>82</v>
      </c>
      <c r="AO172">
        <v>82</v>
      </c>
      <c r="AQ172">
        <v>82</v>
      </c>
      <c r="AS172">
        <v>82</v>
      </c>
    </row>
    <row r="173" spans="4:45">
      <c r="D173" s="64">
        <v>690</v>
      </c>
      <c r="G173" s="64">
        <v>83</v>
      </c>
      <c r="I173" s="64">
        <v>83</v>
      </c>
      <c r="K173">
        <v>83</v>
      </c>
      <c r="M173">
        <v>83</v>
      </c>
      <c r="O173">
        <v>83</v>
      </c>
      <c r="Q173">
        <v>83</v>
      </c>
      <c r="S173">
        <v>83</v>
      </c>
      <c r="U173">
        <v>83</v>
      </c>
      <c r="W173">
        <v>83</v>
      </c>
      <c r="Y173">
        <v>83</v>
      </c>
      <c r="AA173">
        <v>83</v>
      </c>
      <c r="AC173">
        <v>83</v>
      </c>
      <c r="AE173">
        <v>83</v>
      </c>
      <c r="AG173">
        <v>83</v>
      </c>
      <c r="AI173">
        <v>83</v>
      </c>
      <c r="AK173">
        <v>83</v>
      </c>
      <c r="AM173">
        <v>83</v>
      </c>
      <c r="AO173">
        <v>83</v>
      </c>
      <c r="AQ173">
        <v>83</v>
      </c>
      <c r="AS173">
        <v>83</v>
      </c>
    </row>
    <row r="174" spans="4:45">
      <c r="D174" s="64">
        <v>695</v>
      </c>
      <c r="G174" s="64">
        <v>84</v>
      </c>
      <c r="I174" s="64">
        <v>84</v>
      </c>
      <c r="K174">
        <v>84</v>
      </c>
      <c r="M174">
        <v>84</v>
      </c>
      <c r="O174">
        <v>84</v>
      </c>
      <c r="Q174">
        <v>84</v>
      </c>
      <c r="S174">
        <v>84</v>
      </c>
      <c r="U174">
        <v>84</v>
      </c>
      <c r="W174">
        <v>84</v>
      </c>
      <c r="Y174">
        <v>84</v>
      </c>
      <c r="AA174">
        <v>84</v>
      </c>
      <c r="AC174">
        <v>84</v>
      </c>
      <c r="AE174">
        <v>84</v>
      </c>
      <c r="AG174">
        <v>84</v>
      </c>
      <c r="AI174">
        <v>84</v>
      </c>
      <c r="AK174">
        <v>84</v>
      </c>
      <c r="AM174">
        <v>84</v>
      </c>
      <c r="AO174">
        <v>84</v>
      </c>
      <c r="AQ174">
        <v>84</v>
      </c>
      <c r="AS174">
        <v>84</v>
      </c>
    </row>
    <row r="175" spans="4:45">
      <c r="D175" s="64">
        <v>700</v>
      </c>
      <c r="G175" s="64">
        <v>85</v>
      </c>
      <c r="I175" s="64">
        <v>85</v>
      </c>
      <c r="K175">
        <v>85</v>
      </c>
      <c r="M175">
        <v>85</v>
      </c>
      <c r="O175">
        <v>85</v>
      </c>
      <c r="Q175">
        <v>85</v>
      </c>
      <c r="S175">
        <v>85</v>
      </c>
      <c r="U175">
        <v>85</v>
      </c>
      <c r="W175">
        <v>85</v>
      </c>
      <c r="Y175">
        <v>85</v>
      </c>
      <c r="AA175">
        <v>85</v>
      </c>
      <c r="AC175">
        <v>85</v>
      </c>
      <c r="AE175">
        <v>85</v>
      </c>
      <c r="AG175">
        <v>85</v>
      </c>
      <c r="AI175">
        <v>85</v>
      </c>
      <c r="AK175">
        <v>85</v>
      </c>
      <c r="AM175">
        <v>85</v>
      </c>
      <c r="AO175">
        <v>85</v>
      </c>
      <c r="AQ175">
        <v>85</v>
      </c>
      <c r="AS175">
        <v>85</v>
      </c>
    </row>
    <row r="176" spans="4:45">
      <c r="D176" s="64">
        <v>720</v>
      </c>
      <c r="G176" s="64">
        <v>86</v>
      </c>
      <c r="I176" s="64">
        <v>86</v>
      </c>
      <c r="K176">
        <v>86</v>
      </c>
      <c r="M176">
        <v>86</v>
      </c>
      <c r="O176">
        <v>86</v>
      </c>
      <c r="Q176">
        <v>86</v>
      </c>
      <c r="S176">
        <v>86</v>
      </c>
      <c r="U176">
        <v>86</v>
      </c>
      <c r="W176">
        <v>86</v>
      </c>
      <c r="Y176">
        <v>86</v>
      </c>
      <c r="AA176">
        <v>86</v>
      </c>
      <c r="AC176">
        <v>86</v>
      </c>
      <c r="AE176">
        <v>86</v>
      </c>
      <c r="AG176">
        <v>86</v>
      </c>
      <c r="AI176">
        <v>86</v>
      </c>
      <c r="AK176">
        <v>86</v>
      </c>
      <c r="AM176">
        <v>86</v>
      </c>
      <c r="AO176">
        <v>86</v>
      </c>
      <c r="AQ176">
        <v>86</v>
      </c>
      <c r="AS176">
        <v>86</v>
      </c>
    </row>
    <row r="177" spans="4:45">
      <c r="D177" s="64">
        <v>740</v>
      </c>
      <c r="G177" s="64">
        <v>87</v>
      </c>
      <c r="I177" s="64">
        <v>87</v>
      </c>
      <c r="K177">
        <v>87</v>
      </c>
      <c r="M177">
        <v>87</v>
      </c>
      <c r="O177">
        <v>87</v>
      </c>
      <c r="Q177">
        <v>87</v>
      </c>
      <c r="S177">
        <v>87</v>
      </c>
      <c r="U177">
        <v>87</v>
      </c>
      <c r="W177">
        <v>87</v>
      </c>
      <c r="Y177">
        <v>87</v>
      </c>
      <c r="AA177">
        <v>87</v>
      </c>
      <c r="AC177">
        <v>87</v>
      </c>
      <c r="AE177">
        <v>87</v>
      </c>
      <c r="AG177">
        <v>87</v>
      </c>
      <c r="AI177">
        <v>87</v>
      </c>
      <c r="AK177">
        <v>87</v>
      </c>
      <c r="AM177">
        <v>87</v>
      </c>
      <c r="AO177">
        <v>87</v>
      </c>
      <c r="AQ177">
        <v>87</v>
      </c>
      <c r="AS177">
        <v>87</v>
      </c>
    </row>
    <row r="178" spans="4:45">
      <c r="G178" s="64">
        <v>88</v>
      </c>
      <c r="I178" s="64">
        <v>88</v>
      </c>
      <c r="K178">
        <v>88</v>
      </c>
      <c r="M178">
        <v>88</v>
      </c>
      <c r="O178">
        <v>88</v>
      </c>
      <c r="Q178">
        <v>88</v>
      </c>
      <c r="S178">
        <v>88</v>
      </c>
      <c r="U178">
        <v>88</v>
      </c>
      <c r="W178">
        <v>88</v>
      </c>
      <c r="Y178">
        <v>88</v>
      </c>
      <c r="AA178">
        <v>88</v>
      </c>
      <c r="AC178">
        <v>88</v>
      </c>
      <c r="AE178">
        <v>88</v>
      </c>
      <c r="AG178">
        <v>88</v>
      </c>
      <c r="AI178">
        <v>88</v>
      </c>
      <c r="AK178">
        <v>88</v>
      </c>
      <c r="AM178">
        <v>88</v>
      </c>
      <c r="AO178">
        <v>88</v>
      </c>
      <c r="AQ178">
        <v>88</v>
      </c>
      <c r="AS178">
        <v>88</v>
      </c>
    </row>
    <row r="179" spans="4:45">
      <c r="G179" s="64">
        <v>89</v>
      </c>
      <c r="I179" s="64">
        <v>89</v>
      </c>
      <c r="K179">
        <v>89</v>
      </c>
      <c r="M179">
        <v>89</v>
      </c>
      <c r="O179">
        <v>89</v>
      </c>
      <c r="Q179">
        <v>89</v>
      </c>
      <c r="S179">
        <v>89</v>
      </c>
      <c r="U179">
        <v>89</v>
      </c>
      <c r="W179">
        <v>89</v>
      </c>
      <c r="Y179">
        <v>89</v>
      </c>
      <c r="AA179">
        <v>89</v>
      </c>
      <c r="AC179">
        <v>89</v>
      </c>
      <c r="AE179">
        <v>89</v>
      </c>
      <c r="AG179">
        <v>89</v>
      </c>
      <c r="AI179">
        <v>89</v>
      </c>
      <c r="AK179">
        <v>89</v>
      </c>
      <c r="AM179">
        <v>89</v>
      </c>
      <c r="AO179">
        <v>89</v>
      </c>
      <c r="AQ179">
        <v>89</v>
      </c>
      <c r="AS179">
        <v>89</v>
      </c>
    </row>
    <row r="180" spans="4:45">
      <c r="G180" s="64">
        <v>90</v>
      </c>
      <c r="I180" s="64">
        <v>90</v>
      </c>
      <c r="K180">
        <v>90</v>
      </c>
      <c r="M180">
        <v>90</v>
      </c>
      <c r="O180">
        <v>90</v>
      </c>
      <c r="Q180">
        <v>90</v>
      </c>
      <c r="S180">
        <v>90</v>
      </c>
      <c r="U180">
        <v>90</v>
      </c>
      <c r="W180">
        <v>90</v>
      </c>
      <c r="Y180">
        <v>90</v>
      </c>
      <c r="AA180">
        <v>90</v>
      </c>
      <c r="AC180">
        <v>90</v>
      </c>
      <c r="AE180">
        <v>90</v>
      </c>
      <c r="AG180">
        <v>90</v>
      </c>
      <c r="AI180">
        <v>90</v>
      </c>
      <c r="AK180">
        <v>90</v>
      </c>
      <c r="AM180">
        <v>90</v>
      </c>
      <c r="AO180">
        <v>90</v>
      </c>
      <c r="AQ180">
        <v>90</v>
      </c>
      <c r="AS180">
        <v>90</v>
      </c>
    </row>
    <row r="181" spans="4:45">
      <c r="G181" s="64">
        <v>91</v>
      </c>
      <c r="I181" s="64">
        <v>91</v>
      </c>
      <c r="K181">
        <v>91</v>
      </c>
      <c r="M181">
        <v>91</v>
      </c>
      <c r="O181">
        <v>91</v>
      </c>
      <c r="Q181">
        <v>91</v>
      </c>
      <c r="S181">
        <v>91</v>
      </c>
      <c r="U181">
        <v>91</v>
      </c>
      <c r="W181">
        <v>91</v>
      </c>
      <c r="Y181">
        <v>91</v>
      </c>
      <c r="AA181">
        <v>91</v>
      </c>
      <c r="AC181">
        <v>91</v>
      </c>
      <c r="AE181">
        <v>91</v>
      </c>
      <c r="AG181">
        <v>91</v>
      </c>
      <c r="AI181">
        <v>91</v>
      </c>
      <c r="AK181">
        <v>91</v>
      </c>
      <c r="AM181">
        <v>91</v>
      </c>
      <c r="AO181">
        <v>91</v>
      </c>
      <c r="AQ181">
        <v>91</v>
      </c>
      <c r="AS181">
        <v>91</v>
      </c>
    </row>
    <row r="182" spans="4:45">
      <c r="G182" s="64">
        <v>92</v>
      </c>
      <c r="I182" s="64">
        <v>92</v>
      </c>
      <c r="K182">
        <v>92</v>
      </c>
      <c r="M182">
        <v>92</v>
      </c>
      <c r="O182">
        <v>92</v>
      </c>
      <c r="Q182">
        <v>92</v>
      </c>
      <c r="S182">
        <v>92</v>
      </c>
      <c r="U182">
        <v>92</v>
      </c>
      <c r="W182">
        <v>92</v>
      </c>
      <c r="Y182">
        <v>92</v>
      </c>
      <c r="AA182">
        <v>92</v>
      </c>
      <c r="AC182">
        <v>92</v>
      </c>
      <c r="AE182">
        <v>92</v>
      </c>
      <c r="AG182">
        <v>92</v>
      </c>
      <c r="AI182">
        <v>92</v>
      </c>
      <c r="AK182">
        <v>92</v>
      </c>
      <c r="AM182">
        <v>92</v>
      </c>
      <c r="AO182">
        <v>92</v>
      </c>
      <c r="AQ182">
        <v>92</v>
      </c>
      <c r="AS182">
        <v>92</v>
      </c>
    </row>
    <row r="183" spans="4:45">
      <c r="G183" s="64">
        <v>93</v>
      </c>
      <c r="I183" s="64">
        <v>93</v>
      </c>
      <c r="K183">
        <v>93</v>
      </c>
      <c r="M183">
        <v>93</v>
      </c>
      <c r="O183">
        <v>93</v>
      </c>
      <c r="Q183">
        <v>93</v>
      </c>
      <c r="S183">
        <v>93</v>
      </c>
      <c r="U183">
        <v>93</v>
      </c>
      <c r="W183">
        <v>93</v>
      </c>
      <c r="Y183">
        <v>93</v>
      </c>
      <c r="AA183">
        <v>93</v>
      </c>
      <c r="AC183">
        <v>93</v>
      </c>
      <c r="AE183">
        <v>93</v>
      </c>
      <c r="AG183">
        <v>93</v>
      </c>
      <c r="AI183">
        <v>93</v>
      </c>
      <c r="AK183">
        <v>93</v>
      </c>
      <c r="AM183">
        <v>93</v>
      </c>
      <c r="AO183">
        <v>93</v>
      </c>
      <c r="AQ183">
        <v>93</v>
      </c>
      <c r="AS183">
        <v>93</v>
      </c>
    </row>
    <row r="184" spans="4:45">
      <c r="G184" s="64">
        <v>94</v>
      </c>
      <c r="I184" s="64">
        <v>94</v>
      </c>
      <c r="K184">
        <v>94</v>
      </c>
      <c r="M184">
        <v>94</v>
      </c>
      <c r="O184">
        <v>94</v>
      </c>
      <c r="Q184">
        <v>94</v>
      </c>
      <c r="S184">
        <v>94</v>
      </c>
      <c r="U184">
        <v>94</v>
      </c>
      <c r="W184">
        <v>94</v>
      </c>
      <c r="Y184">
        <v>94</v>
      </c>
      <c r="AA184">
        <v>94</v>
      </c>
      <c r="AC184">
        <v>94</v>
      </c>
      <c r="AE184">
        <v>94</v>
      </c>
      <c r="AG184">
        <v>94</v>
      </c>
      <c r="AI184">
        <v>94</v>
      </c>
      <c r="AK184">
        <v>94</v>
      </c>
      <c r="AM184">
        <v>94</v>
      </c>
      <c r="AO184">
        <v>94</v>
      </c>
      <c r="AQ184">
        <v>94</v>
      </c>
      <c r="AS184">
        <v>94</v>
      </c>
    </row>
    <row r="185" spans="4:45">
      <c r="G185" s="64">
        <v>95</v>
      </c>
      <c r="I185" s="64">
        <v>95</v>
      </c>
      <c r="K185">
        <v>95</v>
      </c>
      <c r="M185">
        <v>95</v>
      </c>
      <c r="O185">
        <v>95</v>
      </c>
      <c r="Q185">
        <v>95</v>
      </c>
      <c r="S185">
        <v>95</v>
      </c>
      <c r="U185">
        <v>95</v>
      </c>
      <c r="W185">
        <v>95</v>
      </c>
      <c r="Y185">
        <v>95</v>
      </c>
      <c r="AA185">
        <v>95</v>
      </c>
      <c r="AC185">
        <v>95</v>
      </c>
      <c r="AE185">
        <v>95</v>
      </c>
      <c r="AG185">
        <v>95</v>
      </c>
      <c r="AI185">
        <v>95</v>
      </c>
      <c r="AK185">
        <v>95</v>
      </c>
      <c r="AM185">
        <v>95</v>
      </c>
      <c r="AO185">
        <v>95</v>
      </c>
      <c r="AQ185">
        <v>95</v>
      </c>
      <c r="AS185">
        <v>95</v>
      </c>
    </row>
    <row r="186" spans="4:45">
      <c r="G186" s="64">
        <v>96</v>
      </c>
      <c r="I186" s="64">
        <v>96</v>
      </c>
      <c r="K186">
        <v>96</v>
      </c>
      <c r="M186">
        <v>96</v>
      </c>
      <c r="O186">
        <v>96</v>
      </c>
      <c r="Q186">
        <v>96</v>
      </c>
      <c r="S186">
        <v>96</v>
      </c>
      <c r="U186">
        <v>96</v>
      </c>
      <c r="W186">
        <v>96</v>
      </c>
      <c r="Y186">
        <v>96</v>
      </c>
      <c r="AA186">
        <v>96</v>
      </c>
      <c r="AC186">
        <v>96</v>
      </c>
      <c r="AE186">
        <v>96</v>
      </c>
      <c r="AG186">
        <v>96</v>
      </c>
      <c r="AI186">
        <v>96</v>
      </c>
      <c r="AK186">
        <v>96</v>
      </c>
      <c r="AM186">
        <v>96</v>
      </c>
      <c r="AO186">
        <v>96</v>
      </c>
      <c r="AQ186">
        <v>96</v>
      </c>
      <c r="AS186">
        <v>96</v>
      </c>
    </row>
    <row r="187" spans="4:45">
      <c r="G187" s="64">
        <v>97</v>
      </c>
      <c r="I187" s="64">
        <v>97</v>
      </c>
      <c r="K187">
        <v>97</v>
      </c>
      <c r="M187">
        <v>97</v>
      </c>
      <c r="O187">
        <v>97</v>
      </c>
      <c r="Q187">
        <v>97</v>
      </c>
      <c r="S187">
        <v>97</v>
      </c>
      <c r="U187">
        <v>97</v>
      </c>
      <c r="W187">
        <v>97</v>
      </c>
      <c r="Y187">
        <v>97</v>
      </c>
      <c r="AA187">
        <v>97</v>
      </c>
      <c r="AC187">
        <v>97</v>
      </c>
      <c r="AE187">
        <v>97</v>
      </c>
      <c r="AG187">
        <v>97</v>
      </c>
      <c r="AI187">
        <v>97</v>
      </c>
      <c r="AK187">
        <v>97</v>
      </c>
      <c r="AM187">
        <v>97</v>
      </c>
      <c r="AO187">
        <v>97</v>
      </c>
      <c r="AQ187">
        <v>97</v>
      </c>
      <c r="AS187">
        <v>97</v>
      </c>
    </row>
    <row r="188" spans="4:45">
      <c r="G188" s="64">
        <v>98</v>
      </c>
      <c r="I188" s="64">
        <v>98</v>
      </c>
      <c r="K188">
        <v>98</v>
      </c>
      <c r="M188">
        <v>98</v>
      </c>
      <c r="O188">
        <v>98</v>
      </c>
      <c r="Q188">
        <v>98</v>
      </c>
      <c r="S188">
        <v>98</v>
      </c>
      <c r="U188">
        <v>98</v>
      </c>
      <c r="W188">
        <v>98</v>
      </c>
      <c r="Y188">
        <v>98</v>
      </c>
      <c r="AA188">
        <v>98</v>
      </c>
      <c r="AC188">
        <v>98</v>
      </c>
      <c r="AE188">
        <v>98</v>
      </c>
      <c r="AG188">
        <v>98</v>
      </c>
      <c r="AI188">
        <v>98</v>
      </c>
      <c r="AK188">
        <v>98</v>
      </c>
      <c r="AM188">
        <v>98</v>
      </c>
      <c r="AO188">
        <v>98</v>
      </c>
      <c r="AQ188">
        <v>98</v>
      </c>
      <c r="AS188">
        <v>98</v>
      </c>
    </row>
    <row r="189" spans="4:45">
      <c r="G189" s="64">
        <v>99</v>
      </c>
      <c r="I189" s="64">
        <v>99</v>
      </c>
      <c r="K189">
        <v>99</v>
      </c>
      <c r="M189">
        <v>99</v>
      </c>
      <c r="O189">
        <v>99</v>
      </c>
      <c r="Q189">
        <v>99</v>
      </c>
      <c r="S189">
        <v>99</v>
      </c>
      <c r="U189">
        <v>99</v>
      </c>
      <c r="W189">
        <v>99</v>
      </c>
      <c r="Y189">
        <v>99</v>
      </c>
      <c r="AA189">
        <v>99</v>
      </c>
      <c r="AC189">
        <v>99</v>
      </c>
      <c r="AE189">
        <v>99</v>
      </c>
      <c r="AG189">
        <v>99</v>
      </c>
      <c r="AI189">
        <v>99</v>
      </c>
      <c r="AK189">
        <v>99</v>
      </c>
      <c r="AM189">
        <v>99</v>
      </c>
      <c r="AO189">
        <v>99</v>
      </c>
      <c r="AQ189">
        <v>99</v>
      </c>
      <c r="AS189">
        <v>99</v>
      </c>
    </row>
    <row r="190" spans="4:45">
      <c r="G190" s="64">
        <v>100</v>
      </c>
      <c r="I190" s="64">
        <v>100</v>
      </c>
      <c r="K190">
        <v>100</v>
      </c>
      <c r="M190">
        <v>100</v>
      </c>
      <c r="O190">
        <v>100</v>
      </c>
      <c r="Q190">
        <v>100</v>
      </c>
      <c r="S190">
        <v>100</v>
      </c>
      <c r="U190">
        <v>100</v>
      </c>
      <c r="W190">
        <v>100</v>
      </c>
      <c r="Y190">
        <v>100</v>
      </c>
      <c r="AA190">
        <v>100</v>
      </c>
      <c r="AC190">
        <v>100</v>
      </c>
      <c r="AE190">
        <v>100</v>
      </c>
      <c r="AG190">
        <v>100</v>
      </c>
      <c r="AI190">
        <v>100</v>
      </c>
      <c r="AK190">
        <v>100</v>
      </c>
      <c r="AM190">
        <v>100</v>
      </c>
      <c r="AO190">
        <v>100</v>
      </c>
      <c r="AQ190">
        <v>100</v>
      </c>
      <c r="AS190">
        <v>100</v>
      </c>
    </row>
    <row r="191" spans="4:45">
      <c r="G191" s="64">
        <v>101</v>
      </c>
      <c r="I191" s="64">
        <v>101</v>
      </c>
      <c r="K191">
        <v>101</v>
      </c>
      <c r="M191">
        <v>101</v>
      </c>
      <c r="O191">
        <v>101</v>
      </c>
      <c r="Q191">
        <v>101</v>
      </c>
      <c r="S191">
        <v>101</v>
      </c>
      <c r="U191">
        <v>101</v>
      </c>
      <c r="W191">
        <v>101</v>
      </c>
      <c r="Y191">
        <v>101</v>
      </c>
      <c r="AA191">
        <v>101</v>
      </c>
      <c r="AC191">
        <v>101</v>
      </c>
      <c r="AE191">
        <v>101</v>
      </c>
      <c r="AG191">
        <v>101</v>
      </c>
      <c r="AI191">
        <v>101</v>
      </c>
      <c r="AK191">
        <v>101</v>
      </c>
      <c r="AM191">
        <v>101</v>
      </c>
      <c r="AO191">
        <v>101</v>
      </c>
      <c r="AQ191">
        <v>101</v>
      </c>
      <c r="AS191">
        <v>101</v>
      </c>
    </row>
    <row r="192" spans="4:45">
      <c r="G192" s="64">
        <v>102</v>
      </c>
      <c r="I192" s="64">
        <v>102</v>
      </c>
      <c r="K192">
        <v>102</v>
      </c>
      <c r="M192">
        <v>102</v>
      </c>
      <c r="O192">
        <v>102</v>
      </c>
      <c r="Q192">
        <v>102</v>
      </c>
      <c r="S192">
        <v>102</v>
      </c>
      <c r="U192">
        <v>102</v>
      </c>
      <c r="W192">
        <v>102</v>
      </c>
      <c r="Y192">
        <v>102</v>
      </c>
      <c r="AA192">
        <v>102</v>
      </c>
      <c r="AC192">
        <v>102</v>
      </c>
      <c r="AE192">
        <v>102</v>
      </c>
      <c r="AG192">
        <v>102</v>
      </c>
      <c r="AI192">
        <v>102</v>
      </c>
      <c r="AK192">
        <v>102</v>
      </c>
      <c r="AM192">
        <v>102</v>
      </c>
      <c r="AO192">
        <v>102</v>
      </c>
      <c r="AQ192">
        <v>102</v>
      </c>
      <c r="AS192">
        <v>102</v>
      </c>
    </row>
    <row r="193" spans="7:45">
      <c r="G193" s="64">
        <v>103</v>
      </c>
      <c r="I193" s="64">
        <v>103</v>
      </c>
      <c r="K193">
        <v>103</v>
      </c>
      <c r="M193">
        <v>103</v>
      </c>
      <c r="O193">
        <v>103</v>
      </c>
      <c r="Q193">
        <v>103</v>
      </c>
      <c r="S193">
        <v>103</v>
      </c>
      <c r="U193">
        <v>103</v>
      </c>
      <c r="W193">
        <v>103</v>
      </c>
      <c r="Y193">
        <v>103</v>
      </c>
      <c r="AA193">
        <v>103</v>
      </c>
      <c r="AC193">
        <v>103</v>
      </c>
      <c r="AE193">
        <v>103</v>
      </c>
      <c r="AG193">
        <v>103</v>
      </c>
      <c r="AI193">
        <v>103</v>
      </c>
      <c r="AK193">
        <v>103</v>
      </c>
      <c r="AM193">
        <v>103</v>
      </c>
      <c r="AO193">
        <v>103</v>
      </c>
      <c r="AQ193">
        <v>103</v>
      </c>
      <c r="AS193">
        <v>103</v>
      </c>
    </row>
    <row r="194" spans="7:45">
      <c r="G194" s="64">
        <v>104</v>
      </c>
      <c r="I194" s="64">
        <v>104</v>
      </c>
      <c r="K194">
        <v>104</v>
      </c>
      <c r="M194">
        <v>104</v>
      </c>
      <c r="O194">
        <v>104</v>
      </c>
      <c r="Q194">
        <v>104</v>
      </c>
      <c r="S194">
        <v>104</v>
      </c>
      <c r="U194">
        <v>104</v>
      </c>
      <c r="W194">
        <v>104</v>
      </c>
      <c r="Y194">
        <v>104</v>
      </c>
      <c r="AA194">
        <v>104</v>
      </c>
      <c r="AC194">
        <v>104</v>
      </c>
      <c r="AE194">
        <v>104</v>
      </c>
      <c r="AG194">
        <v>104</v>
      </c>
      <c r="AI194">
        <v>104</v>
      </c>
      <c r="AK194">
        <v>104</v>
      </c>
      <c r="AM194">
        <v>104</v>
      </c>
      <c r="AO194">
        <v>104</v>
      </c>
      <c r="AQ194">
        <v>104</v>
      </c>
      <c r="AS194">
        <v>104</v>
      </c>
    </row>
    <row r="195" spans="7:45">
      <c r="G195" s="64">
        <v>105</v>
      </c>
      <c r="I195" s="64">
        <v>105</v>
      </c>
      <c r="K195">
        <v>105</v>
      </c>
      <c r="M195">
        <v>105</v>
      </c>
      <c r="O195">
        <v>105</v>
      </c>
      <c r="Q195">
        <v>105</v>
      </c>
      <c r="S195">
        <v>105</v>
      </c>
      <c r="U195">
        <v>105</v>
      </c>
      <c r="W195">
        <v>105</v>
      </c>
      <c r="Y195">
        <v>105</v>
      </c>
      <c r="AA195">
        <v>105</v>
      </c>
      <c r="AC195">
        <v>105</v>
      </c>
      <c r="AE195">
        <v>105</v>
      </c>
      <c r="AG195">
        <v>105</v>
      </c>
      <c r="AI195">
        <v>105</v>
      </c>
      <c r="AK195">
        <v>105</v>
      </c>
      <c r="AM195">
        <v>105</v>
      </c>
      <c r="AO195">
        <v>105</v>
      </c>
      <c r="AQ195">
        <v>105</v>
      </c>
      <c r="AS195">
        <v>105</v>
      </c>
    </row>
    <row r="196" spans="7:45">
      <c r="G196" s="64">
        <v>106</v>
      </c>
      <c r="I196" s="64">
        <v>106</v>
      </c>
      <c r="K196">
        <v>106</v>
      </c>
      <c r="M196">
        <v>106</v>
      </c>
      <c r="O196">
        <v>106</v>
      </c>
      <c r="Q196">
        <v>106</v>
      </c>
      <c r="S196">
        <v>106</v>
      </c>
      <c r="U196">
        <v>106</v>
      </c>
      <c r="W196">
        <v>106</v>
      </c>
      <c r="Y196">
        <v>106</v>
      </c>
      <c r="AA196">
        <v>106</v>
      </c>
      <c r="AC196">
        <v>106</v>
      </c>
      <c r="AE196">
        <v>106</v>
      </c>
      <c r="AG196">
        <v>106</v>
      </c>
      <c r="AI196">
        <v>106</v>
      </c>
      <c r="AK196">
        <v>106</v>
      </c>
      <c r="AM196">
        <v>106</v>
      </c>
      <c r="AO196">
        <v>106</v>
      </c>
      <c r="AQ196">
        <v>106</v>
      </c>
      <c r="AS196">
        <v>106</v>
      </c>
    </row>
    <row r="197" spans="7:45">
      <c r="G197" s="64">
        <v>107</v>
      </c>
      <c r="I197" s="64">
        <v>107</v>
      </c>
      <c r="K197">
        <v>107</v>
      </c>
      <c r="M197">
        <v>107</v>
      </c>
      <c r="O197">
        <v>107</v>
      </c>
      <c r="Q197">
        <v>107</v>
      </c>
      <c r="S197">
        <v>107</v>
      </c>
      <c r="U197">
        <v>107</v>
      </c>
      <c r="W197">
        <v>107</v>
      </c>
      <c r="Y197">
        <v>107</v>
      </c>
      <c r="AA197">
        <v>107</v>
      </c>
      <c r="AC197">
        <v>107</v>
      </c>
      <c r="AE197">
        <v>107</v>
      </c>
      <c r="AG197">
        <v>107</v>
      </c>
      <c r="AI197">
        <v>107</v>
      </c>
      <c r="AK197">
        <v>107</v>
      </c>
      <c r="AM197">
        <v>107</v>
      </c>
      <c r="AO197">
        <v>107</v>
      </c>
      <c r="AQ197">
        <v>107</v>
      </c>
      <c r="AS197">
        <v>107</v>
      </c>
    </row>
    <row r="198" spans="7:45">
      <c r="G198" s="64">
        <v>108</v>
      </c>
      <c r="I198" s="64">
        <v>108</v>
      </c>
      <c r="K198">
        <v>108</v>
      </c>
      <c r="M198">
        <v>108</v>
      </c>
      <c r="O198">
        <v>108</v>
      </c>
      <c r="Q198">
        <v>108</v>
      </c>
      <c r="S198">
        <v>108</v>
      </c>
      <c r="U198">
        <v>108</v>
      </c>
      <c r="W198">
        <v>108</v>
      </c>
      <c r="Y198">
        <v>108</v>
      </c>
      <c r="AA198">
        <v>108</v>
      </c>
      <c r="AC198">
        <v>108</v>
      </c>
      <c r="AE198">
        <v>108</v>
      </c>
      <c r="AG198">
        <v>108</v>
      </c>
      <c r="AI198">
        <v>108</v>
      </c>
      <c r="AK198">
        <v>108</v>
      </c>
      <c r="AM198">
        <v>108</v>
      </c>
      <c r="AO198">
        <v>108</v>
      </c>
      <c r="AQ198">
        <v>108</v>
      </c>
      <c r="AS198">
        <v>108</v>
      </c>
    </row>
    <row r="199" spans="7:45">
      <c r="G199" s="64">
        <v>109</v>
      </c>
      <c r="I199" s="64">
        <v>109</v>
      </c>
      <c r="K199">
        <v>109</v>
      </c>
      <c r="M199">
        <v>109</v>
      </c>
      <c r="O199">
        <v>109</v>
      </c>
      <c r="Q199">
        <v>109</v>
      </c>
      <c r="S199">
        <v>109</v>
      </c>
      <c r="U199">
        <v>109</v>
      </c>
      <c r="W199">
        <v>109</v>
      </c>
      <c r="Y199">
        <v>109</v>
      </c>
      <c r="AA199">
        <v>109</v>
      </c>
      <c r="AC199">
        <v>109</v>
      </c>
      <c r="AE199">
        <v>109</v>
      </c>
      <c r="AG199">
        <v>109</v>
      </c>
      <c r="AI199">
        <v>109</v>
      </c>
      <c r="AK199">
        <v>109</v>
      </c>
      <c r="AM199">
        <v>109</v>
      </c>
      <c r="AO199">
        <v>109</v>
      </c>
      <c r="AQ199">
        <v>109</v>
      </c>
      <c r="AS199">
        <v>109</v>
      </c>
    </row>
    <row r="200" spans="7:45">
      <c r="G200" s="64">
        <v>110</v>
      </c>
      <c r="I200" s="64">
        <v>110</v>
      </c>
      <c r="K200">
        <v>110</v>
      </c>
      <c r="M200">
        <v>110</v>
      </c>
      <c r="O200">
        <v>110</v>
      </c>
      <c r="Q200">
        <v>110</v>
      </c>
      <c r="S200">
        <v>110</v>
      </c>
      <c r="U200">
        <v>110</v>
      </c>
      <c r="W200">
        <v>110</v>
      </c>
      <c r="Y200">
        <v>110</v>
      </c>
      <c r="AA200">
        <v>110</v>
      </c>
      <c r="AC200">
        <v>110</v>
      </c>
      <c r="AE200">
        <v>110</v>
      </c>
      <c r="AG200">
        <v>110</v>
      </c>
      <c r="AI200">
        <v>110</v>
      </c>
      <c r="AK200">
        <v>110</v>
      </c>
      <c r="AM200">
        <v>110</v>
      </c>
      <c r="AO200">
        <v>110</v>
      </c>
      <c r="AQ200">
        <v>110</v>
      </c>
      <c r="AS200">
        <v>110</v>
      </c>
    </row>
    <row r="201" spans="7:45">
      <c r="G201" s="64">
        <v>111</v>
      </c>
      <c r="I201" s="64">
        <v>111</v>
      </c>
      <c r="K201">
        <v>111</v>
      </c>
      <c r="M201">
        <v>111</v>
      </c>
      <c r="O201">
        <v>111</v>
      </c>
      <c r="Q201">
        <v>111</v>
      </c>
      <c r="S201">
        <v>111</v>
      </c>
      <c r="U201">
        <v>111</v>
      </c>
      <c r="W201">
        <v>111</v>
      </c>
      <c r="Y201">
        <v>111</v>
      </c>
      <c r="AA201">
        <v>111</v>
      </c>
      <c r="AC201">
        <v>111</v>
      </c>
      <c r="AE201">
        <v>111</v>
      </c>
      <c r="AG201">
        <v>111</v>
      </c>
      <c r="AI201">
        <v>111</v>
      </c>
      <c r="AK201">
        <v>111</v>
      </c>
      <c r="AM201">
        <v>111</v>
      </c>
      <c r="AO201">
        <v>111</v>
      </c>
      <c r="AQ201">
        <v>111</v>
      </c>
      <c r="AS201">
        <v>111</v>
      </c>
    </row>
    <row r="202" spans="7:45">
      <c r="G202" s="64">
        <v>112</v>
      </c>
      <c r="I202" s="64">
        <v>112</v>
      </c>
      <c r="K202">
        <v>112</v>
      </c>
      <c r="M202">
        <v>112</v>
      </c>
      <c r="O202">
        <v>112</v>
      </c>
      <c r="Q202">
        <v>112</v>
      </c>
      <c r="S202">
        <v>112</v>
      </c>
      <c r="U202">
        <v>112</v>
      </c>
      <c r="W202">
        <v>112</v>
      </c>
      <c r="Y202">
        <v>112</v>
      </c>
      <c r="AA202">
        <v>112</v>
      </c>
      <c r="AC202">
        <v>112</v>
      </c>
      <c r="AE202">
        <v>112</v>
      </c>
      <c r="AG202">
        <v>112</v>
      </c>
      <c r="AI202">
        <v>112</v>
      </c>
      <c r="AK202">
        <v>112</v>
      </c>
      <c r="AM202">
        <v>112</v>
      </c>
      <c r="AO202">
        <v>112</v>
      </c>
      <c r="AQ202">
        <v>112</v>
      </c>
      <c r="AS202">
        <v>112</v>
      </c>
    </row>
    <row r="203" spans="7:45">
      <c r="G203" s="64">
        <v>113</v>
      </c>
      <c r="I203" s="64">
        <v>113</v>
      </c>
      <c r="K203">
        <v>113</v>
      </c>
      <c r="M203">
        <v>113</v>
      </c>
      <c r="O203">
        <v>113</v>
      </c>
      <c r="Q203">
        <v>113</v>
      </c>
      <c r="S203">
        <v>113</v>
      </c>
      <c r="U203">
        <v>113</v>
      </c>
      <c r="W203">
        <v>113</v>
      </c>
      <c r="Y203">
        <v>113</v>
      </c>
      <c r="AA203">
        <v>113</v>
      </c>
      <c r="AC203">
        <v>113</v>
      </c>
      <c r="AE203">
        <v>113</v>
      </c>
      <c r="AG203">
        <v>113</v>
      </c>
      <c r="AI203">
        <v>113</v>
      </c>
      <c r="AK203">
        <v>113</v>
      </c>
      <c r="AM203">
        <v>113</v>
      </c>
      <c r="AO203">
        <v>113</v>
      </c>
      <c r="AQ203">
        <v>113</v>
      </c>
      <c r="AS203">
        <v>113</v>
      </c>
    </row>
    <row r="204" spans="7:45">
      <c r="G204" s="64">
        <v>114</v>
      </c>
      <c r="I204" s="64">
        <v>114</v>
      </c>
      <c r="K204">
        <v>114</v>
      </c>
      <c r="M204">
        <v>114</v>
      </c>
      <c r="O204">
        <v>114</v>
      </c>
      <c r="Q204">
        <v>114</v>
      </c>
      <c r="S204">
        <v>114</v>
      </c>
      <c r="U204">
        <v>114</v>
      </c>
      <c r="W204">
        <v>114</v>
      </c>
      <c r="Y204">
        <v>114</v>
      </c>
      <c r="AA204">
        <v>114</v>
      </c>
      <c r="AC204">
        <v>114</v>
      </c>
      <c r="AE204">
        <v>114</v>
      </c>
      <c r="AG204">
        <v>114</v>
      </c>
      <c r="AI204">
        <v>114</v>
      </c>
      <c r="AK204">
        <v>114</v>
      </c>
      <c r="AM204">
        <v>114</v>
      </c>
      <c r="AO204">
        <v>114</v>
      </c>
      <c r="AQ204">
        <v>114</v>
      </c>
      <c r="AS204">
        <v>114</v>
      </c>
    </row>
    <row r="205" spans="7:45">
      <c r="G205" s="64">
        <v>115</v>
      </c>
      <c r="I205" s="64">
        <v>115</v>
      </c>
      <c r="K205">
        <v>115</v>
      </c>
      <c r="M205">
        <v>115</v>
      </c>
      <c r="O205">
        <v>115</v>
      </c>
      <c r="Q205">
        <v>115</v>
      </c>
      <c r="S205">
        <v>115</v>
      </c>
      <c r="U205">
        <v>115</v>
      </c>
      <c r="W205">
        <v>115</v>
      </c>
      <c r="Y205">
        <v>115</v>
      </c>
      <c r="AA205">
        <v>115</v>
      </c>
      <c r="AC205">
        <v>115</v>
      </c>
      <c r="AE205">
        <v>115</v>
      </c>
      <c r="AG205">
        <v>115</v>
      </c>
      <c r="AI205">
        <v>115</v>
      </c>
      <c r="AK205">
        <v>115</v>
      </c>
      <c r="AM205">
        <v>115</v>
      </c>
      <c r="AO205">
        <v>115</v>
      </c>
      <c r="AQ205">
        <v>115</v>
      </c>
      <c r="AS205">
        <v>115</v>
      </c>
    </row>
    <row r="206" spans="7:45">
      <c r="G206" s="64">
        <v>116</v>
      </c>
      <c r="I206" s="64">
        <v>116</v>
      </c>
      <c r="K206">
        <v>116</v>
      </c>
      <c r="M206">
        <v>116</v>
      </c>
      <c r="O206">
        <v>116</v>
      </c>
      <c r="Q206">
        <v>116</v>
      </c>
      <c r="S206">
        <v>116</v>
      </c>
      <c r="U206">
        <v>116</v>
      </c>
      <c r="W206">
        <v>116</v>
      </c>
      <c r="Y206">
        <v>116</v>
      </c>
      <c r="AA206">
        <v>116</v>
      </c>
      <c r="AC206">
        <v>116</v>
      </c>
      <c r="AE206">
        <v>116</v>
      </c>
      <c r="AG206">
        <v>116</v>
      </c>
      <c r="AI206">
        <v>116</v>
      </c>
      <c r="AK206">
        <v>116</v>
      </c>
      <c r="AM206">
        <v>116</v>
      </c>
      <c r="AO206">
        <v>116</v>
      </c>
      <c r="AQ206">
        <v>116</v>
      </c>
      <c r="AS206">
        <v>116</v>
      </c>
    </row>
    <row r="207" spans="7:45">
      <c r="G207" s="64">
        <v>117</v>
      </c>
      <c r="I207" s="64">
        <v>117</v>
      </c>
      <c r="K207">
        <v>117</v>
      </c>
      <c r="M207">
        <v>117</v>
      </c>
      <c r="O207">
        <v>117</v>
      </c>
      <c r="Q207">
        <v>117</v>
      </c>
      <c r="S207">
        <v>117</v>
      </c>
      <c r="U207">
        <v>117</v>
      </c>
      <c r="W207">
        <v>117</v>
      </c>
      <c r="Y207">
        <v>117</v>
      </c>
      <c r="AA207">
        <v>117</v>
      </c>
      <c r="AC207">
        <v>117</v>
      </c>
      <c r="AE207">
        <v>117</v>
      </c>
      <c r="AG207">
        <v>117</v>
      </c>
      <c r="AI207">
        <v>117</v>
      </c>
      <c r="AK207">
        <v>117</v>
      </c>
      <c r="AM207">
        <v>117</v>
      </c>
      <c r="AO207">
        <v>117</v>
      </c>
      <c r="AQ207">
        <v>117</v>
      </c>
      <c r="AS207">
        <v>117</v>
      </c>
    </row>
    <row r="208" spans="7:45">
      <c r="G208" s="64">
        <v>118</v>
      </c>
      <c r="I208" s="64">
        <v>118</v>
      </c>
      <c r="K208">
        <v>118</v>
      </c>
      <c r="M208">
        <v>118</v>
      </c>
      <c r="O208">
        <v>118</v>
      </c>
      <c r="Q208">
        <v>118</v>
      </c>
      <c r="S208">
        <v>118</v>
      </c>
      <c r="U208">
        <v>118</v>
      </c>
      <c r="W208">
        <v>118</v>
      </c>
      <c r="Y208">
        <v>118</v>
      </c>
      <c r="AA208">
        <v>118</v>
      </c>
      <c r="AC208">
        <v>118</v>
      </c>
      <c r="AE208">
        <v>118</v>
      </c>
      <c r="AG208">
        <v>118</v>
      </c>
      <c r="AI208">
        <v>118</v>
      </c>
      <c r="AK208">
        <v>118</v>
      </c>
      <c r="AM208">
        <v>118</v>
      </c>
      <c r="AO208">
        <v>118</v>
      </c>
      <c r="AQ208">
        <v>118</v>
      </c>
      <c r="AS208">
        <v>118</v>
      </c>
    </row>
    <row r="209" spans="7:45">
      <c r="G209" s="64">
        <v>119</v>
      </c>
      <c r="I209" s="64">
        <v>119</v>
      </c>
      <c r="K209">
        <v>119</v>
      </c>
      <c r="M209">
        <v>119</v>
      </c>
      <c r="O209">
        <v>119</v>
      </c>
      <c r="Q209">
        <v>119</v>
      </c>
      <c r="S209">
        <v>119</v>
      </c>
      <c r="U209">
        <v>119</v>
      </c>
      <c r="W209">
        <v>119</v>
      </c>
      <c r="Y209">
        <v>119</v>
      </c>
      <c r="AA209">
        <v>119</v>
      </c>
      <c r="AC209">
        <v>119</v>
      </c>
      <c r="AE209">
        <v>119</v>
      </c>
      <c r="AG209">
        <v>119</v>
      </c>
      <c r="AI209">
        <v>119</v>
      </c>
      <c r="AK209">
        <v>119</v>
      </c>
      <c r="AM209">
        <v>119</v>
      </c>
      <c r="AO209">
        <v>119</v>
      </c>
      <c r="AQ209">
        <v>119</v>
      </c>
      <c r="AS209">
        <v>119</v>
      </c>
    </row>
    <row r="210" spans="7:45">
      <c r="G210" s="64">
        <v>120</v>
      </c>
      <c r="I210" s="64">
        <v>120</v>
      </c>
      <c r="K210">
        <v>120</v>
      </c>
      <c r="M210">
        <v>120</v>
      </c>
      <c r="O210">
        <v>120</v>
      </c>
      <c r="Q210">
        <v>120</v>
      </c>
      <c r="S210">
        <v>120</v>
      </c>
      <c r="U210">
        <v>120</v>
      </c>
      <c r="W210">
        <v>120</v>
      </c>
      <c r="Y210">
        <v>120</v>
      </c>
      <c r="AA210">
        <v>120</v>
      </c>
      <c r="AC210">
        <v>120</v>
      </c>
      <c r="AE210">
        <v>120</v>
      </c>
      <c r="AG210">
        <v>120</v>
      </c>
      <c r="AI210">
        <v>120</v>
      </c>
      <c r="AK210">
        <v>120</v>
      </c>
      <c r="AM210">
        <v>120</v>
      </c>
      <c r="AO210">
        <v>120</v>
      </c>
      <c r="AQ210">
        <v>120</v>
      </c>
      <c r="AS210">
        <v>120</v>
      </c>
    </row>
    <row r="211" spans="7:45">
      <c r="G211" s="64">
        <v>121</v>
      </c>
      <c r="I211" s="64">
        <v>121</v>
      </c>
      <c r="K211">
        <v>121</v>
      </c>
      <c r="M211">
        <v>121</v>
      </c>
      <c r="O211">
        <v>121</v>
      </c>
      <c r="Q211">
        <v>121</v>
      </c>
      <c r="S211">
        <v>121</v>
      </c>
      <c r="U211">
        <v>121</v>
      </c>
      <c r="W211">
        <v>121</v>
      </c>
      <c r="Y211">
        <v>121</v>
      </c>
      <c r="AA211">
        <v>121</v>
      </c>
      <c r="AC211">
        <v>121</v>
      </c>
      <c r="AE211">
        <v>121</v>
      </c>
      <c r="AG211">
        <v>121</v>
      </c>
      <c r="AI211">
        <v>121</v>
      </c>
      <c r="AK211">
        <v>121</v>
      </c>
      <c r="AM211">
        <v>121</v>
      </c>
      <c r="AO211">
        <v>121</v>
      </c>
      <c r="AQ211">
        <v>121</v>
      </c>
      <c r="AS211">
        <v>121</v>
      </c>
    </row>
    <row r="212" spans="7:45">
      <c r="G212" s="64">
        <v>122</v>
      </c>
      <c r="I212" s="64">
        <v>122</v>
      </c>
      <c r="K212">
        <v>122</v>
      </c>
      <c r="M212">
        <v>122</v>
      </c>
      <c r="O212">
        <v>122</v>
      </c>
      <c r="Q212">
        <v>122</v>
      </c>
      <c r="S212">
        <v>122</v>
      </c>
      <c r="U212">
        <v>122</v>
      </c>
      <c r="W212">
        <v>122</v>
      </c>
      <c r="Y212">
        <v>122</v>
      </c>
      <c r="AA212">
        <v>122</v>
      </c>
      <c r="AC212">
        <v>122</v>
      </c>
      <c r="AE212">
        <v>122</v>
      </c>
      <c r="AG212">
        <v>122</v>
      </c>
      <c r="AI212">
        <v>122</v>
      </c>
      <c r="AK212">
        <v>122</v>
      </c>
      <c r="AM212">
        <v>122</v>
      </c>
      <c r="AO212">
        <v>122</v>
      </c>
      <c r="AQ212">
        <v>122</v>
      </c>
      <c r="AS212">
        <v>122</v>
      </c>
    </row>
    <row r="213" spans="7:45">
      <c r="G213" s="64">
        <v>123</v>
      </c>
      <c r="I213" s="64">
        <v>123</v>
      </c>
      <c r="K213">
        <v>123</v>
      </c>
      <c r="M213">
        <v>123</v>
      </c>
      <c r="O213">
        <v>123</v>
      </c>
      <c r="Q213">
        <v>123</v>
      </c>
      <c r="S213">
        <v>123</v>
      </c>
      <c r="U213">
        <v>123</v>
      </c>
      <c r="W213">
        <v>123</v>
      </c>
      <c r="Y213">
        <v>123</v>
      </c>
      <c r="AA213">
        <v>123</v>
      </c>
      <c r="AC213">
        <v>123</v>
      </c>
      <c r="AE213">
        <v>123</v>
      </c>
      <c r="AG213">
        <v>123</v>
      </c>
      <c r="AI213">
        <v>123</v>
      </c>
      <c r="AK213">
        <v>123</v>
      </c>
      <c r="AM213">
        <v>123</v>
      </c>
      <c r="AO213">
        <v>123</v>
      </c>
      <c r="AQ213">
        <v>123</v>
      </c>
      <c r="AS213">
        <v>123</v>
      </c>
    </row>
    <row r="214" spans="7:45">
      <c r="G214" s="64">
        <v>124</v>
      </c>
      <c r="I214" s="64">
        <v>124</v>
      </c>
      <c r="K214">
        <v>124</v>
      </c>
      <c r="M214">
        <v>124</v>
      </c>
      <c r="O214">
        <v>124</v>
      </c>
      <c r="Q214">
        <v>124</v>
      </c>
      <c r="S214">
        <v>124</v>
      </c>
      <c r="U214">
        <v>124</v>
      </c>
      <c r="W214">
        <v>124</v>
      </c>
      <c r="Y214">
        <v>124</v>
      </c>
      <c r="AA214">
        <v>124</v>
      </c>
      <c r="AC214">
        <v>124</v>
      </c>
      <c r="AE214">
        <v>124</v>
      </c>
      <c r="AG214">
        <v>124</v>
      </c>
      <c r="AI214">
        <v>124</v>
      </c>
      <c r="AK214">
        <v>124</v>
      </c>
      <c r="AM214">
        <v>124</v>
      </c>
      <c r="AO214">
        <v>124</v>
      </c>
      <c r="AQ214">
        <v>124</v>
      </c>
      <c r="AS214">
        <v>124</v>
      </c>
    </row>
    <row r="215" spans="7:45">
      <c r="G215" s="64">
        <v>125</v>
      </c>
      <c r="I215" s="64">
        <v>125</v>
      </c>
      <c r="K215">
        <v>125</v>
      </c>
      <c r="M215">
        <v>125</v>
      </c>
      <c r="O215">
        <v>125</v>
      </c>
      <c r="Q215">
        <v>125</v>
      </c>
      <c r="S215">
        <v>125</v>
      </c>
      <c r="U215">
        <v>125</v>
      </c>
      <c r="W215">
        <v>125</v>
      </c>
      <c r="Y215">
        <v>125</v>
      </c>
      <c r="AA215">
        <v>125</v>
      </c>
      <c r="AC215">
        <v>125</v>
      </c>
      <c r="AE215">
        <v>125</v>
      </c>
      <c r="AG215">
        <v>125</v>
      </c>
      <c r="AI215">
        <v>125</v>
      </c>
      <c r="AK215">
        <v>125</v>
      </c>
      <c r="AM215">
        <v>125</v>
      </c>
      <c r="AO215">
        <v>125</v>
      </c>
      <c r="AQ215">
        <v>125</v>
      </c>
      <c r="AS215">
        <v>125</v>
      </c>
    </row>
    <row r="216" spans="7:45">
      <c r="G216" s="64">
        <v>126</v>
      </c>
      <c r="I216" s="64">
        <v>126</v>
      </c>
      <c r="K216">
        <v>126</v>
      </c>
      <c r="M216">
        <v>126</v>
      </c>
      <c r="O216">
        <v>126</v>
      </c>
      <c r="Q216">
        <v>126</v>
      </c>
      <c r="S216">
        <v>126</v>
      </c>
      <c r="U216">
        <v>126</v>
      </c>
      <c r="W216">
        <v>126</v>
      </c>
      <c r="Y216">
        <v>126</v>
      </c>
      <c r="AA216">
        <v>126</v>
      </c>
      <c r="AC216">
        <v>126</v>
      </c>
      <c r="AE216">
        <v>126</v>
      </c>
      <c r="AG216">
        <v>126</v>
      </c>
      <c r="AI216">
        <v>126</v>
      </c>
      <c r="AK216">
        <v>126</v>
      </c>
      <c r="AM216">
        <v>126</v>
      </c>
      <c r="AO216">
        <v>126</v>
      </c>
      <c r="AQ216">
        <v>126</v>
      </c>
      <c r="AS216">
        <v>126</v>
      </c>
    </row>
    <row r="217" spans="7:45">
      <c r="G217" s="64">
        <v>127</v>
      </c>
      <c r="I217" s="64">
        <v>127</v>
      </c>
      <c r="K217">
        <v>127</v>
      </c>
      <c r="M217">
        <v>127</v>
      </c>
      <c r="O217">
        <v>127</v>
      </c>
      <c r="Q217">
        <v>127</v>
      </c>
      <c r="S217">
        <v>127</v>
      </c>
      <c r="U217">
        <v>127</v>
      </c>
      <c r="W217">
        <v>127</v>
      </c>
      <c r="Y217">
        <v>127</v>
      </c>
      <c r="AA217">
        <v>127</v>
      </c>
      <c r="AC217">
        <v>127</v>
      </c>
      <c r="AE217">
        <v>127</v>
      </c>
      <c r="AG217">
        <v>127</v>
      </c>
      <c r="AI217">
        <v>127</v>
      </c>
      <c r="AK217">
        <v>127</v>
      </c>
      <c r="AM217">
        <v>127</v>
      </c>
      <c r="AO217">
        <v>127</v>
      </c>
      <c r="AQ217">
        <v>127</v>
      </c>
      <c r="AS217">
        <v>127</v>
      </c>
    </row>
    <row r="218" spans="7:45">
      <c r="G218" s="64">
        <v>128</v>
      </c>
      <c r="I218" s="64">
        <v>128</v>
      </c>
      <c r="K218">
        <v>128</v>
      </c>
      <c r="M218">
        <v>128</v>
      </c>
      <c r="O218">
        <v>128</v>
      </c>
      <c r="Q218">
        <v>128</v>
      </c>
      <c r="S218">
        <v>128</v>
      </c>
      <c r="U218">
        <v>128</v>
      </c>
      <c r="W218">
        <v>128</v>
      </c>
      <c r="Y218">
        <v>128</v>
      </c>
      <c r="AA218">
        <v>128</v>
      </c>
      <c r="AC218">
        <v>128</v>
      </c>
      <c r="AE218">
        <v>128</v>
      </c>
      <c r="AG218">
        <v>128</v>
      </c>
      <c r="AI218">
        <v>128</v>
      </c>
      <c r="AK218">
        <v>128</v>
      </c>
      <c r="AM218">
        <v>128</v>
      </c>
      <c r="AO218">
        <v>128</v>
      </c>
      <c r="AQ218">
        <v>128</v>
      </c>
      <c r="AS218">
        <v>128</v>
      </c>
    </row>
    <row r="219" spans="7:45">
      <c r="G219" s="64">
        <v>129</v>
      </c>
      <c r="I219" s="64">
        <v>129</v>
      </c>
      <c r="K219">
        <v>129</v>
      </c>
      <c r="M219">
        <v>129</v>
      </c>
      <c r="O219">
        <v>129</v>
      </c>
      <c r="Q219">
        <v>129</v>
      </c>
      <c r="S219">
        <v>129</v>
      </c>
      <c r="U219">
        <v>129</v>
      </c>
      <c r="W219">
        <v>129</v>
      </c>
      <c r="Y219">
        <v>129</v>
      </c>
      <c r="AA219">
        <v>129</v>
      </c>
      <c r="AC219">
        <v>129</v>
      </c>
      <c r="AE219">
        <v>129</v>
      </c>
      <c r="AG219">
        <v>129</v>
      </c>
      <c r="AI219">
        <v>129</v>
      </c>
      <c r="AK219">
        <v>129</v>
      </c>
      <c r="AM219">
        <v>129</v>
      </c>
      <c r="AO219">
        <v>129</v>
      </c>
      <c r="AQ219">
        <v>129</v>
      </c>
      <c r="AS219">
        <v>129</v>
      </c>
    </row>
    <row r="220" spans="7:45">
      <c r="G220" s="64">
        <v>130</v>
      </c>
      <c r="I220" s="64">
        <v>130</v>
      </c>
      <c r="K220">
        <v>130</v>
      </c>
      <c r="M220">
        <v>130</v>
      </c>
      <c r="O220">
        <v>130</v>
      </c>
      <c r="Q220">
        <v>130</v>
      </c>
      <c r="S220">
        <v>130</v>
      </c>
      <c r="U220">
        <v>130</v>
      </c>
      <c r="W220">
        <v>130</v>
      </c>
      <c r="Y220">
        <v>130</v>
      </c>
      <c r="AA220">
        <v>130</v>
      </c>
      <c r="AC220">
        <v>130</v>
      </c>
      <c r="AE220">
        <v>130</v>
      </c>
      <c r="AG220">
        <v>130</v>
      </c>
      <c r="AI220">
        <v>130</v>
      </c>
      <c r="AK220">
        <v>130</v>
      </c>
      <c r="AM220">
        <v>130</v>
      </c>
      <c r="AO220">
        <v>130</v>
      </c>
      <c r="AQ220">
        <v>130</v>
      </c>
      <c r="AS220">
        <v>130</v>
      </c>
    </row>
    <row r="221" spans="7:45">
      <c r="G221" s="64">
        <v>131</v>
      </c>
      <c r="I221" s="64">
        <v>131</v>
      </c>
      <c r="K221">
        <v>131</v>
      </c>
      <c r="M221">
        <v>131</v>
      </c>
      <c r="O221">
        <v>131</v>
      </c>
      <c r="Q221">
        <v>131</v>
      </c>
      <c r="S221">
        <v>131</v>
      </c>
      <c r="U221">
        <v>131</v>
      </c>
      <c r="W221">
        <v>131</v>
      </c>
      <c r="Y221">
        <v>131</v>
      </c>
      <c r="AA221">
        <v>131</v>
      </c>
      <c r="AC221">
        <v>131</v>
      </c>
      <c r="AE221">
        <v>131</v>
      </c>
      <c r="AG221">
        <v>131</v>
      </c>
      <c r="AI221">
        <v>131</v>
      </c>
      <c r="AK221">
        <v>131</v>
      </c>
      <c r="AM221">
        <v>131</v>
      </c>
      <c r="AO221">
        <v>131</v>
      </c>
      <c r="AQ221">
        <v>131</v>
      </c>
      <c r="AS221">
        <v>131</v>
      </c>
    </row>
    <row r="222" spans="7:45">
      <c r="G222" s="64">
        <v>132</v>
      </c>
      <c r="I222" s="64">
        <v>132</v>
      </c>
      <c r="K222">
        <v>132</v>
      </c>
      <c r="M222">
        <v>132</v>
      </c>
      <c r="O222">
        <v>132</v>
      </c>
      <c r="Q222">
        <v>132</v>
      </c>
      <c r="S222">
        <v>132</v>
      </c>
      <c r="U222">
        <v>132</v>
      </c>
      <c r="W222">
        <v>132</v>
      </c>
      <c r="Y222">
        <v>132</v>
      </c>
      <c r="AA222">
        <v>132</v>
      </c>
      <c r="AC222">
        <v>132</v>
      </c>
      <c r="AE222">
        <v>132</v>
      </c>
      <c r="AG222">
        <v>132</v>
      </c>
      <c r="AI222">
        <v>132</v>
      </c>
      <c r="AK222">
        <v>132</v>
      </c>
      <c r="AM222">
        <v>132</v>
      </c>
      <c r="AO222">
        <v>132</v>
      </c>
      <c r="AQ222">
        <v>132</v>
      </c>
      <c r="AS222">
        <v>132</v>
      </c>
    </row>
    <row r="223" spans="7:45">
      <c r="G223" s="64">
        <v>133</v>
      </c>
      <c r="I223" s="64">
        <v>133</v>
      </c>
      <c r="K223">
        <v>133</v>
      </c>
      <c r="M223">
        <v>133</v>
      </c>
      <c r="O223">
        <v>133</v>
      </c>
      <c r="Q223">
        <v>133</v>
      </c>
      <c r="S223">
        <v>133</v>
      </c>
      <c r="U223">
        <v>133</v>
      </c>
      <c r="W223">
        <v>133</v>
      </c>
      <c r="Y223">
        <v>133</v>
      </c>
      <c r="AA223">
        <v>133</v>
      </c>
      <c r="AC223">
        <v>133</v>
      </c>
      <c r="AE223">
        <v>133</v>
      </c>
      <c r="AG223">
        <v>133</v>
      </c>
      <c r="AI223">
        <v>133</v>
      </c>
      <c r="AK223">
        <v>133</v>
      </c>
      <c r="AM223">
        <v>133</v>
      </c>
      <c r="AO223">
        <v>133</v>
      </c>
      <c r="AQ223">
        <v>133</v>
      </c>
      <c r="AS223">
        <v>133</v>
      </c>
    </row>
    <row r="224" spans="7:45">
      <c r="G224" s="64">
        <v>134</v>
      </c>
      <c r="I224" s="64">
        <v>134</v>
      </c>
      <c r="K224">
        <v>134</v>
      </c>
      <c r="M224">
        <v>134</v>
      </c>
      <c r="O224">
        <v>134</v>
      </c>
      <c r="Q224">
        <v>134</v>
      </c>
      <c r="S224">
        <v>134</v>
      </c>
      <c r="U224">
        <v>134</v>
      </c>
      <c r="W224">
        <v>134</v>
      </c>
      <c r="Y224">
        <v>134</v>
      </c>
      <c r="AA224">
        <v>134</v>
      </c>
      <c r="AC224">
        <v>134</v>
      </c>
      <c r="AE224">
        <v>134</v>
      </c>
      <c r="AG224">
        <v>134</v>
      </c>
      <c r="AI224">
        <v>134</v>
      </c>
      <c r="AK224">
        <v>134</v>
      </c>
      <c r="AM224">
        <v>134</v>
      </c>
      <c r="AO224">
        <v>134</v>
      </c>
      <c r="AQ224">
        <v>134</v>
      </c>
      <c r="AS224">
        <v>134</v>
      </c>
    </row>
    <row r="225" spans="7:45">
      <c r="G225" s="64">
        <v>135</v>
      </c>
      <c r="I225" s="64">
        <v>135</v>
      </c>
      <c r="K225">
        <v>135</v>
      </c>
      <c r="M225">
        <v>135</v>
      </c>
      <c r="O225">
        <v>135</v>
      </c>
      <c r="Q225">
        <v>135</v>
      </c>
      <c r="S225">
        <v>135</v>
      </c>
      <c r="U225">
        <v>135</v>
      </c>
      <c r="W225">
        <v>135</v>
      </c>
      <c r="Y225">
        <v>135</v>
      </c>
      <c r="AA225">
        <v>135</v>
      </c>
      <c r="AC225">
        <v>135</v>
      </c>
      <c r="AE225">
        <v>135</v>
      </c>
      <c r="AG225">
        <v>135</v>
      </c>
      <c r="AI225">
        <v>135</v>
      </c>
      <c r="AK225">
        <v>135</v>
      </c>
      <c r="AM225">
        <v>135</v>
      </c>
      <c r="AO225">
        <v>135</v>
      </c>
      <c r="AQ225">
        <v>135</v>
      </c>
      <c r="AS225">
        <v>135</v>
      </c>
    </row>
    <row r="226" spans="7:45">
      <c r="G226" s="64">
        <v>136</v>
      </c>
      <c r="I226" s="64">
        <v>136</v>
      </c>
      <c r="K226">
        <v>136</v>
      </c>
      <c r="M226">
        <v>136</v>
      </c>
      <c r="O226">
        <v>136</v>
      </c>
      <c r="Q226">
        <v>136</v>
      </c>
      <c r="S226">
        <v>136</v>
      </c>
      <c r="U226">
        <v>136</v>
      </c>
      <c r="W226">
        <v>136</v>
      </c>
      <c r="Y226">
        <v>136</v>
      </c>
      <c r="AA226">
        <v>136</v>
      </c>
      <c r="AC226">
        <v>136</v>
      </c>
      <c r="AE226">
        <v>136</v>
      </c>
      <c r="AG226">
        <v>136</v>
      </c>
      <c r="AI226">
        <v>136</v>
      </c>
      <c r="AK226">
        <v>136</v>
      </c>
      <c r="AM226">
        <v>136</v>
      </c>
      <c r="AO226">
        <v>136</v>
      </c>
      <c r="AQ226">
        <v>136</v>
      </c>
      <c r="AS226">
        <v>136</v>
      </c>
    </row>
    <row r="227" spans="7:45">
      <c r="G227" s="64">
        <v>137</v>
      </c>
      <c r="I227" s="64">
        <v>137</v>
      </c>
      <c r="K227">
        <v>137</v>
      </c>
      <c r="M227">
        <v>137</v>
      </c>
      <c r="O227">
        <v>137</v>
      </c>
      <c r="Q227">
        <v>137</v>
      </c>
      <c r="S227">
        <v>137</v>
      </c>
      <c r="U227">
        <v>137</v>
      </c>
      <c r="W227">
        <v>137</v>
      </c>
      <c r="Y227">
        <v>137</v>
      </c>
      <c r="AA227">
        <v>137</v>
      </c>
      <c r="AC227">
        <v>137</v>
      </c>
      <c r="AE227">
        <v>137</v>
      </c>
      <c r="AG227">
        <v>137</v>
      </c>
      <c r="AI227">
        <v>137</v>
      </c>
      <c r="AK227">
        <v>137</v>
      </c>
      <c r="AM227">
        <v>137</v>
      </c>
      <c r="AO227">
        <v>137</v>
      </c>
      <c r="AQ227">
        <v>137</v>
      </c>
      <c r="AS227">
        <v>137</v>
      </c>
    </row>
    <row r="228" spans="7:45">
      <c r="G228" s="64">
        <v>138</v>
      </c>
      <c r="I228" s="64">
        <v>138</v>
      </c>
      <c r="K228">
        <v>138</v>
      </c>
      <c r="M228">
        <v>138</v>
      </c>
      <c r="O228">
        <v>138</v>
      </c>
      <c r="Q228">
        <v>138</v>
      </c>
      <c r="S228">
        <v>138</v>
      </c>
      <c r="U228">
        <v>138</v>
      </c>
      <c r="W228">
        <v>138</v>
      </c>
      <c r="Y228">
        <v>138</v>
      </c>
      <c r="AA228">
        <v>138</v>
      </c>
      <c r="AC228">
        <v>138</v>
      </c>
      <c r="AE228">
        <v>138</v>
      </c>
      <c r="AG228">
        <v>138</v>
      </c>
      <c r="AI228">
        <v>138</v>
      </c>
      <c r="AK228">
        <v>138</v>
      </c>
      <c r="AM228">
        <v>138</v>
      </c>
      <c r="AO228">
        <v>138</v>
      </c>
      <c r="AQ228">
        <v>138</v>
      </c>
      <c r="AS228">
        <v>138</v>
      </c>
    </row>
    <row r="229" spans="7:45">
      <c r="G229" s="64">
        <v>139</v>
      </c>
      <c r="I229" s="64">
        <v>139</v>
      </c>
      <c r="K229">
        <v>139</v>
      </c>
      <c r="M229">
        <v>139</v>
      </c>
      <c r="O229">
        <v>139</v>
      </c>
      <c r="Q229">
        <v>139</v>
      </c>
      <c r="S229">
        <v>139</v>
      </c>
      <c r="U229">
        <v>139</v>
      </c>
      <c r="W229">
        <v>139</v>
      </c>
      <c r="Y229">
        <v>139</v>
      </c>
      <c r="AA229">
        <v>139</v>
      </c>
      <c r="AC229">
        <v>139</v>
      </c>
      <c r="AE229">
        <v>139</v>
      </c>
      <c r="AG229">
        <v>139</v>
      </c>
      <c r="AI229">
        <v>139</v>
      </c>
      <c r="AK229">
        <v>139</v>
      </c>
      <c r="AM229">
        <v>139</v>
      </c>
      <c r="AO229">
        <v>139</v>
      </c>
      <c r="AQ229">
        <v>139</v>
      </c>
      <c r="AS229">
        <v>139</v>
      </c>
    </row>
    <row r="230" spans="7:45">
      <c r="G230" s="64">
        <v>140</v>
      </c>
      <c r="I230" s="64">
        <v>140</v>
      </c>
      <c r="K230">
        <v>140</v>
      </c>
      <c r="M230">
        <v>140</v>
      </c>
      <c r="O230">
        <v>140</v>
      </c>
      <c r="Q230">
        <v>140</v>
      </c>
      <c r="S230">
        <v>140</v>
      </c>
      <c r="U230">
        <v>140</v>
      </c>
      <c r="W230">
        <v>140</v>
      </c>
      <c r="Y230">
        <v>140</v>
      </c>
      <c r="AA230">
        <v>140</v>
      </c>
      <c r="AC230">
        <v>140</v>
      </c>
      <c r="AE230">
        <v>140</v>
      </c>
      <c r="AG230">
        <v>140</v>
      </c>
      <c r="AI230">
        <v>140</v>
      </c>
      <c r="AK230">
        <v>140</v>
      </c>
      <c r="AM230">
        <v>140</v>
      </c>
      <c r="AO230">
        <v>140</v>
      </c>
      <c r="AQ230">
        <v>140</v>
      </c>
      <c r="AS230">
        <v>140</v>
      </c>
    </row>
    <row r="231" spans="7:45">
      <c r="G231" s="64">
        <v>141</v>
      </c>
      <c r="I231" s="64">
        <v>141</v>
      </c>
      <c r="K231">
        <v>141</v>
      </c>
      <c r="M231">
        <v>141</v>
      </c>
      <c r="O231">
        <v>141</v>
      </c>
      <c r="Q231">
        <v>141</v>
      </c>
      <c r="S231">
        <v>141</v>
      </c>
      <c r="U231">
        <v>141</v>
      </c>
      <c r="W231">
        <v>141</v>
      </c>
      <c r="Y231">
        <v>141</v>
      </c>
      <c r="AA231">
        <v>141</v>
      </c>
      <c r="AC231">
        <v>141</v>
      </c>
      <c r="AE231">
        <v>141</v>
      </c>
      <c r="AG231">
        <v>141</v>
      </c>
      <c r="AI231">
        <v>141</v>
      </c>
      <c r="AK231">
        <v>141</v>
      </c>
      <c r="AM231">
        <v>141</v>
      </c>
      <c r="AO231">
        <v>141</v>
      </c>
      <c r="AQ231">
        <v>141</v>
      </c>
      <c r="AS231">
        <v>141</v>
      </c>
    </row>
    <row r="232" spans="7:45">
      <c r="G232" s="64">
        <v>142</v>
      </c>
      <c r="I232" s="64">
        <v>142</v>
      </c>
      <c r="K232">
        <v>142</v>
      </c>
      <c r="M232">
        <v>142</v>
      </c>
      <c r="O232">
        <v>142</v>
      </c>
      <c r="Q232">
        <v>142</v>
      </c>
      <c r="S232">
        <v>142</v>
      </c>
      <c r="U232">
        <v>142</v>
      </c>
      <c r="W232">
        <v>142</v>
      </c>
      <c r="Y232">
        <v>142</v>
      </c>
      <c r="AA232">
        <v>142</v>
      </c>
      <c r="AC232">
        <v>142</v>
      </c>
      <c r="AE232">
        <v>142</v>
      </c>
      <c r="AG232">
        <v>142</v>
      </c>
      <c r="AI232">
        <v>142</v>
      </c>
      <c r="AK232">
        <v>142</v>
      </c>
      <c r="AM232">
        <v>142</v>
      </c>
      <c r="AO232">
        <v>142</v>
      </c>
      <c r="AQ232">
        <v>142</v>
      </c>
      <c r="AS232">
        <v>142</v>
      </c>
    </row>
    <row r="233" spans="7:45">
      <c r="G233" s="64">
        <v>143</v>
      </c>
      <c r="I233" s="64">
        <v>143</v>
      </c>
      <c r="K233">
        <v>143</v>
      </c>
      <c r="M233">
        <v>143</v>
      </c>
      <c r="O233">
        <v>143</v>
      </c>
      <c r="Q233">
        <v>143</v>
      </c>
      <c r="S233">
        <v>143</v>
      </c>
      <c r="U233">
        <v>143</v>
      </c>
      <c r="W233">
        <v>143</v>
      </c>
      <c r="Y233">
        <v>143</v>
      </c>
      <c r="AA233">
        <v>143</v>
      </c>
      <c r="AC233">
        <v>143</v>
      </c>
      <c r="AE233">
        <v>143</v>
      </c>
      <c r="AG233">
        <v>143</v>
      </c>
      <c r="AI233">
        <v>143</v>
      </c>
      <c r="AK233">
        <v>143</v>
      </c>
      <c r="AM233">
        <v>143</v>
      </c>
      <c r="AO233">
        <v>143</v>
      </c>
      <c r="AQ233">
        <v>143</v>
      </c>
      <c r="AS233">
        <v>143</v>
      </c>
    </row>
    <row r="234" spans="7:45">
      <c r="G234" s="64">
        <v>144</v>
      </c>
      <c r="I234" s="64">
        <v>144</v>
      </c>
      <c r="K234">
        <v>144</v>
      </c>
      <c r="M234">
        <v>144</v>
      </c>
      <c r="O234">
        <v>144</v>
      </c>
      <c r="Q234">
        <v>144</v>
      </c>
      <c r="S234">
        <v>144</v>
      </c>
      <c r="U234">
        <v>144</v>
      </c>
      <c r="W234">
        <v>144</v>
      </c>
      <c r="Y234">
        <v>144</v>
      </c>
      <c r="AA234">
        <v>144</v>
      </c>
      <c r="AC234">
        <v>144</v>
      </c>
      <c r="AE234">
        <v>144</v>
      </c>
      <c r="AG234">
        <v>144</v>
      </c>
      <c r="AI234">
        <v>144</v>
      </c>
      <c r="AK234">
        <v>144</v>
      </c>
      <c r="AM234">
        <v>144</v>
      </c>
      <c r="AO234">
        <v>144</v>
      </c>
      <c r="AQ234">
        <v>144</v>
      </c>
      <c r="AS234">
        <v>144</v>
      </c>
    </row>
    <row r="235" spans="7:45">
      <c r="G235" s="64">
        <v>145</v>
      </c>
      <c r="I235" s="64">
        <v>145</v>
      </c>
      <c r="K235">
        <v>145</v>
      </c>
      <c r="M235">
        <v>145</v>
      </c>
      <c r="O235">
        <v>145</v>
      </c>
      <c r="Q235">
        <v>145</v>
      </c>
      <c r="S235">
        <v>145</v>
      </c>
      <c r="U235">
        <v>145</v>
      </c>
      <c r="W235">
        <v>145</v>
      </c>
      <c r="Y235">
        <v>145</v>
      </c>
      <c r="AA235">
        <v>145</v>
      </c>
      <c r="AC235">
        <v>145</v>
      </c>
      <c r="AE235">
        <v>145</v>
      </c>
      <c r="AG235">
        <v>145</v>
      </c>
      <c r="AI235">
        <v>145</v>
      </c>
      <c r="AK235">
        <v>145</v>
      </c>
      <c r="AM235">
        <v>145</v>
      </c>
      <c r="AO235">
        <v>145</v>
      </c>
      <c r="AQ235">
        <v>145</v>
      </c>
      <c r="AS235">
        <v>145</v>
      </c>
    </row>
    <row r="236" spans="7:45">
      <c r="G236" s="64">
        <v>146</v>
      </c>
      <c r="I236" s="64">
        <v>146</v>
      </c>
      <c r="K236">
        <v>146</v>
      </c>
      <c r="M236">
        <v>146</v>
      </c>
      <c r="O236">
        <v>146</v>
      </c>
      <c r="Q236">
        <v>146</v>
      </c>
      <c r="S236">
        <v>146</v>
      </c>
      <c r="U236">
        <v>146</v>
      </c>
      <c r="W236">
        <v>146</v>
      </c>
      <c r="Y236">
        <v>146</v>
      </c>
      <c r="AA236">
        <v>146</v>
      </c>
      <c r="AC236">
        <v>146</v>
      </c>
      <c r="AE236">
        <v>146</v>
      </c>
      <c r="AG236">
        <v>146</v>
      </c>
      <c r="AI236">
        <v>146</v>
      </c>
      <c r="AK236">
        <v>146</v>
      </c>
      <c r="AM236">
        <v>146</v>
      </c>
      <c r="AO236">
        <v>146</v>
      </c>
      <c r="AQ236">
        <v>146</v>
      </c>
      <c r="AS236">
        <v>146</v>
      </c>
    </row>
    <row r="237" spans="7:45">
      <c r="G237" s="64">
        <v>147</v>
      </c>
      <c r="I237" s="64">
        <v>147</v>
      </c>
      <c r="K237">
        <v>147</v>
      </c>
      <c r="M237">
        <v>147</v>
      </c>
      <c r="O237">
        <v>147</v>
      </c>
      <c r="Q237">
        <v>147</v>
      </c>
      <c r="S237">
        <v>147</v>
      </c>
      <c r="U237">
        <v>147</v>
      </c>
      <c r="W237">
        <v>147</v>
      </c>
      <c r="Y237">
        <v>147</v>
      </c>
      <c r="AA237">
        <v>147</v>
      </c>
      <c r="AC237">
        <v>147</v>
      </c>
      <c r="AE237">
        <v>147</v>
      </c>
      <c r="AG237">
        <v>147</v>
      </c>
      <c r="AI237">
        <v>147</v>
      </c>
      <c r="AK237">
        <v>147</v>
      </c>
      <c r="AM237">
        <v>147</v>
      </c>
      <c r="AO237">
        <v>147</v>
      </c>
      <c r="AQ237">
        <v>147</v>
      </c>
      <c r="AS237">
        <v>147</v>
      </c>
    </row>
    <row r="238" spans="7:45">
      <c r="G238" s="64">
        <v>148</v>
      </c>
      <c r="I238" s="64">
        <v>148</v>
      </c>
      <c r="K238">
        <v>148</v>
      </c>
      <c r="M238">
        <v>148</v>
      </c>
      <c r="O238">
        <v>148</v>
      </c>
      <c r="Q238">
        <v>148</v>
      </c>
      <c r="S238">
        <v>148</v>
      </c>
      <c r="U238">
        <v>148</v>
      </c>
      <c r="W238">
        <v>148</v>
      </c>
      <c r="Y238">
        <v>148</v>
      </c>
      <c r="AA238">
        <v>148</v>
      </c>
      <c r="AC238">
        <v>148</v>
      </c>
      <c r="AE238">
        <v>148</v>
      </c>
      <c r="AG238">
        <v>148</v>
      </c>
      <c r="AI238">
        <v>148</v>
      </c>
      <c r="AK238">
        <v>148</v>
      </c>
      <c r="AM238">
        <v>148</v>
      </c>
      <c r="AO238">
        <v>148</v>
      </c>
      <c r="AQ238">
        <v>148</v>
      </c>
      <c r="AS238">
        <v>148</v>
      </c>
    </row>
    <row r="239" spans="7:45">
      <c r="G239" s="64">
        <v>149</v>
      </c>
      <c r="I239" s="64">
        <v>149</v>
      </c>
      <c r="K239">
        <v>149</v>
      </c>
      <c r="M239">
        <v>149</v>
      </c>
      <c r="O239">
        <v>149</v>
      </c>
      <c r="Q239">
        <v>149</v>
      </c>
      <c r="S239">
        <v>149</v>
      </c>
      <c r="U239">
        <v>149</v>
      </c>
      <c r="W239">
        <v>149</v>
      </c>
      <c r="Y239">
        <v>149</v>
      </c>
      <c r="AA239">
        <v>149</v>
      </c>
      <c r="AC239">
        <v>149</v>
      </c>
      <c r="AE239">
        <v>149</v>
      </c>
      <c r="AG239">
        <v>149</v>
      </c>
      <c r="AI239">
        <v>149</v>
      </c>
      <c r="AK239">
        <v>149</v>
      </c>
      <c r="AM239">
        <v>149</v>
      </c>
      <c r="AO239">
        <v>149</v>
      </c>
      <c r="AQ239">
        <v>149</v>
      </c>
      <c r="AS239">
        <v>149</v>
      </c>
    </row>
    <row r="240" spans="7:45">
      <c r="G240" s="64">
        <v>150</v>
      </c>
      <c r="I240" s="64">
        <v>150</v>
      </c>
      <c r="K240">
        <v>150</v>
      </c>
      <c r="M240">
        <v>150</v>
      </c>
      <c r="O240">
        <v>150</v>
      </c>
      <c r="Q240">
        <v>150</v>
      </c>
      <c r="S240">
        <v>150</v>
      </c>
      <c r="U240">
        <v>150</v>
      </c>
      <c r="W240">
        <v>150</v>
      </c>
      <c r="Y240">
        <v>150</v>
      </c>
      <c r="AA240">
        <v>150</v>
      </c>
      <c r="AC240">
        <v>150</v>
      </c>
      <c r="AE240">
        <v>150</v>
      </c>
      <c r="AG240">
        <v>150</v>
      </c>
      <c r="AI240">
        <v>150</v>
      </c>
      <c r="AK240">
        <v>150</v>
      </c>
      <c r="AM240">
        <v>150</v>
      </c>
      <c r="AO240">
        <v>150</v>
      </c>
      <c r="AQ240">
        <v>150</v>
      </c>
      <c r="AS240">
        <v>150</v>
      </c>
    </row>
    <row r="241" spans="7:45">
      <c r="G241" s="64">
        <v>152</v>
      </c>
      <c r="I241" s="64">
        <v>152</v>
      </c>
      <c r="K241">
        <v>152</v>
      </c>
      <c r="M241">
        <v>152</v>
      </c>
      <c r="O241">
        <v>152</v>
      </c>
      <c r="Q241">
        <v>152</v>
      </c>
      <c r="S241">
        <v>152</v>
      </c>
      <c r="U241">
        <v>152</v>
      </c>
      <c r="W241">
        <v>152</v>
      </c>
      <c r="Y241">
        <v>152</v>
      </c>
      <c r="AA241">
        <v>152</v>
      </c>
      <c r="AC241">
        <v>152</v>
      </c>
      <c r="AE241">
        <v>152</v>
      </c>
      <c r="AG241">
        <v>152</v>
      </c>
      <c r="AI241">
        <v>152</v>
      </c>
      <c r="AK241">
        <v>152</v>
      </c>
      <c r="AM241">
        <v>152</v>
      </c>
      <c r="AO241">
        <v>152</v>
      </c>
      <c r="AQ241">
        <v>152</v>
      </c>
      <c r="AS241">
        <v>152</v>
      </c>
    </row>
    <row r="242" spans="7:45">
      <c r="G242" s="64">
        <v>152.5</v>
      </c>
      <c r="I242" s="64">
        <v>152.5</v>
      </c>
      <c r="K242">
        <v>152.5</v>
      </c>
      <c r="M242">
        <v>152.5</v>
      </c>
      <c r="O242">
        <v>152.5</v>
      </c>
      <c r="Q242">
        <v>152.5</v>
      </c>
      <c r="S242">
        <v>152.5</v>
      </c>
      <c r="U242">
        <v>152.5</v>
      </c>
      <c r="W242">
        <v>152.5</v>
      </c>
      <c r="Y242">
        <v>152.5</v>
      </c>
      <c r="AA242">
        <v>152.5</v>
      </c>
      <c r="AC242">
        <v>152.5</v>
      </c>
      <c r="AE242">
        <v>152.5</v>
      </c>
      <c r="AG242">
        <v>152.5</v>
      </c>
      <c r="AI242">
        <v>152.5</v>
      </c>
      <c r="AK242">
        <v>152.5</v>
      </c>
      <c r="AM242">
        <v>152.5</v>
      </c>
      <c r="AO242">
        <v>152.5</v>
      </c>
      <c r="AQ242">
        <v>152.5</v>
      </c>
      <c r="AS242">
        <v>152.5</v>
      </c>
    </row>
    <row r="243" spans="7:45">
      <c r="G243" s="64">
        <v>154</v>
      </c>
      <c r="I243" s="64">
        <v>154</v>
      </c>
      <c r="K243">
        <v>154</v>
      </c>
      <c r="M243">
        <v>154</v>
      </c>
      <c r="O243">
        <v>154</v>
      </c>
      <c r="Q243">
        <v>154</v>
      </c>
      <c r="S243">
        <v>154</v>
      </c>
      <c r="U243">
        <v>154</v>
      </c>
      <c r="W243">
        <v>154</v>
      </c>
      <c r="Y243">
        <v>154</v>
      </c>
      <c r="AA243">
        <v>154</v>
      </c>
      <c r="AC243">
        <v>154</v>
      </c>
      <c r="AE243">
        <v>154</v>
      </c>
      <c r="AG243">
        <v>154</v>
      </c>
      <c r="AI243">
        <v>154</v>
      </c>
      <c r="AK243">
        <v>154</v>
      </c>
      <c r="AM243">
        <v>154</v>
      </c>
      <c r="AO243">
        <v>154</v>
      </c>
      <c r="AQ243">
        <v>154</v>
      </c>
      <c r="AS243">
        <v>154</v>
      </c>
    </row>
    <row r="244" spans="7:45">
      <c r="G244" s="64">
        <v>155</v>
      </c>
      <c r="I244" s="64">
        <v>155</v>
      </c>
      <c r="K244">
        <v>155</v>
      </c>
      <c r="M244">
        <v>155</v>
      </c>
      <c r="O244">
        <v>155</v>
      </c>
      <c r="Q244">
        <v>155</v>
      </c>
      <c r="S244">
        <v>155</v>
      </c>
      <c r="U244">
        <v>155</v>
      </c>
      <c r="W244">
        <v>155</v>
      </c>
      <c r="Y244">
        <v>155</v>
      </c>
      <c r="AA244">
        <v>155</v>
      </c>
      <c r="AC244">
        <v>155</v>
      </c>
      <c r="AE244">
        <v>155</v>
      </c>
      <c r="AG244">
        <v>155</v>
      </c>
      <c r="AI244">
        <v>155</v>
      </c>
      <c r="AK244">
        <v>155</v>
      </c>
      <c r="AM244">
        <v>155</v>
      </c>
      <c r="AO244">
        <v>155</v>
      </c>
      <c r="AQ244">
        <v>155</v>
      </c>
      <c r="AS244">
        <v>155</v>
      </c>
    </row>
    <row r="245" spans="7:45">
      <c r="G245" s="64">
        <v>156</v>
      </c>
      <c r="I245" s="64">
        <v>156</v>
      </c>
      <c r="K245">
        <v>156</v>
      </c>
      <c r="M245">
        <v>156</v>
      </c>
      <c r="O245">
        <v>156</v>
      </c>
      <c r="Q245">
        <v>156</v>
      </c>
      <c r="S245">
        <v>156</v>
      </c>
      <c r="U245">
        <v>156</v>
      </c>
      <c r="W245">
        <v>156</v>
      </c>
      <c r="Y245">
        <v>156</v>
      </c>
      <c r="AA245">
        <v>156</v>
      </c>
      <c r="AC245">
        <v>156</v>
      </c>
      <c r="AE245">
        <v>156</v>
      </c>
      <c r="AG245">
        <v>156</v>
      </c>
      <c r="AI245">
        <v>156</v>
      </c>
      <c r="AK245">
        <v>156</v>
      </c>
      <c r="AM245">
        <v>156</v>
      </c>
      <c r="AO245">
        <v>156</v>
      </c>
      <c r="AQ245">
        <v>156</v>
      </c>
      <c r="AS245">
        <v>156</v>
      </c>
    </row>
    <row r="246" spans="7:45">
      <c r="G246" s="64">
        <v>157.5</v>
      </c>
      <c r="I246" s="64">
        <v>157.5</v>
      </c>
      <c r="K246">
        <v>157.5</v>
      </c>
      <c r="M246">
        <v>157.5</v>
      </c>
      <c r="O246">
        <v>157.5</v>
      </c>
      <c r="Q246">
        <v>157.5</v>
      </c>
      <c r="S246">
        <v>157.5</v>
      </c>
      <c r="U246">
        <v>157.5</v>
      </c>
      <c r="W246">
        <v>157.5</v>
      </c>
      <c r="Y246">
        <v>157.5</v>
      </c>
      <c r="AA246">
        <v>157.5</v>
      </c>
      <c r="AC246">
        <v>157.5</v>
      </c>
      <c r="AE246">
        <v>157.5</v>
      </c>
      <c r="AG246">
        <v>157.5</v>
      </c>
      <c r="AI246">
        <v>157.5</v>
      </c>
      <c r="AK246">
        <v>157.5</v>
      </c>
      <c r="AM246">
        <v>157.5</v>
      </c>
      <c r="AO246">
        <v>157.5</v>
      </c>
      <c r="AQ246">
        <v>157.5</v>
      </c>
      <c r="AS246">
        <v>157.5</v>
      </c>
    </row>
    <row r="247" spans="7:45">
      <c r="G247" s="64">
        <v>158</v>
      </c>
      <c r="I247" s="64">
        <v>158</v>
      </c>
      <c r="K247">
        <v>158</v>
      </c>
      <c r="M247">
        <v>158</v>
      </c>
      <c r="O247">
        <v>158</v>
      </c>
      <c r="Q247">
        <v>158</v>
      </c>
      <c r="S247">
        <v>158</v>
      </c>
      <c r="U247">
        <v>158</v>
      </c>
      <c r="W247">
        <v>158</v>
      </c>
      <c r="Y247">
        <v>158</v>
      </c>
      <c r="AA247">
        <v>158</v>
      </c>
      <c r="AC247">
        <v>158</v>
      </c>
      <c r="AE247">
        <v>158</v>
      </c>
      <c r="AG247">
        <v>158</v>
      </c>
      <c r="AI247">
        <v>158</v>
      </c>
      <c r="AK247">
        <v>158</v>
      </c>
      <c r="AM247">
        <v>158</v>
      </c>
      <c r="AO247">
        <v>158</v>
      </c>
      <c r="AQ247">
        <v>158</v>
      </c>
      <c r="AS247">
        <v>158</v>
      </c>
    </row>
    <row r="248" spans="7:45">
      <c r="G248" s="64">
        <v>160</v>
      </c>
      <c r="I248" s="64">
        <v>160</v>
      </c>
      <c r="K248">
        <v>160</v>
      </c>
      <c r="M248">
        <v>160</v>
      </c>
      <c r="O248">
        <v>160</v>
      </c>
      <c r="Q248">
        <v>160</v>
      </c>
      <c r="S248">
        <v>160</v>
      </c>
      <c r="U248">
        <v>160</v>
      </c>
      <c r="W248">
        <v>160</v>
      </c>
      <c r="Y248">
        <v>160</v>
      </c>
      <c r="AA248">
        <v>160</v>
      </c>
      <c r="AC248">
        <v>160</v>
      </c>
      <c r="AE248">
        <v>160</v>
      </c>
      <c r="AG248">
        <v>160</v>
      </c>
      <c r="AI248">
        <v>160</v>
      </c>
      <c r="AK248">
        <v>160</v>
      </c>
      <c r="AM248">
        <v>160</v>
      </c>
      <c r="AO248">
        <v>160</v>
      </c>
      <c r="AQ248">
        <v>160</v>
      </c>
      <c r="AS248">
        <v>160</v>
      </c>
    </row>
    <row r="249" spans="7:45">
      <c r="G249" s="64">
        <v>162</v>
      </c>
      <c r="I249" s="64">
        <v>162</v>
      </c>
      <c r="K249">
        <v>162</v>
      </c>
      <c r="M249">
        <v>162</v>
      </c>
      <c r="O249">
        <v>162</v>
      </c>
      <c r="Q249">
        <v>162</v>
      </c>
      <c r="S249">
        <v>162</v>
      </c>
      <c r="U249">
        <v>162</v>
      </c>
      <c r="W249">
        <v>162</v>
      </c>
      <c r="Y249">
        <v>162</v>
      </c>
      <c r="AA249">
        <v>162</v>
      </c>
      <c r="AC249">
        <v>162</v>
      </c>
      <c r="AE249">
        <v>162</v>
      </c>
      <c r="AG249">
        <v>162</v>
      </c>
      <c r="AI249">
        <v>162</v>
      </c>
      <c r="AK249">
        <v>162</v>
      </c>
      <c r="AM249">
        <v>162</v>
      </c>
      <c r="AO249">
        <v>162</v>
      </c>
      <c r="AQ249">
        <v>162</v>
      </c>
      <c r="AS249">
        <v>162</v>
      </c>
    </row>
    <row r="250" spans="7:45">
      <c r="G250" s="64">
        <v>162.5</v>
      </c>
      <c r="I250" s="64">
        <v>162.5</v>
      </c>
      <c r="K250">
        <v>162.5</v>
      </c>
      <c r="M250">
        <v>162.5</v>
      </c>
      <c r="O250">
        <v>162.5</v>
      </c>
      <c r="Q250">
        <v>162.5</v>
      </c>
      <c r="S250">
        <v>162.5</v>
      </c>
      <c r="U250">
        <v>162.5</v>
      </c>
      <c r="W250">
        <v>162.5</v>
      </c>
      <c r="Y250">
        <v>162.5</v>
      </c>
      <c r="AA250">
        <v>162.5</v>
      </c>
      <c r="AC250">
        <v>162.5</v>
      </c>
      <c r="AE250">
        <v>162.5</v>
      </c>
      <c r="AG250">
        <v>162.5</v>
      </c>
      <c r="AI250">
        <v>162.5</v>
      </c>
      <c r="AK250">
        <v>162.5</v>
      </c>
      <c r="AM250">
        <v>162.5</v>
      </c>
      <c r="AO250">
        <v>162.5</v>
      </c>
      <c r="AQ250">
        <v>162.5</v>
      </c>
      <c r="AS250">
        <v>162.5</v>
      </c>
    </row>
    <row r="251" spans="7:45">
      <c r="G251" s="64">
        <v>164</v>
      </c>
      <c r="I251" s="64">
        <v>164</v>
      </c>
      <c r="K251">
        <v>164</v>
      </c>
      <c r="M251">
        <v>164</v>
      </c>
      <c r="O251">
        <v>164</v>
      </c>
      <c r="Q251">
        <v>164</v>
      </c>
      <c r="S251">
        <v>164</v>
      </c>
      <c r="U251">
        <v>164</v>
      </c>
      <c r="W251">
        <v>164</v>
      </c>
      <c r="Y251">
        <v>164</v>
      </c>
      <c r="AA251">
        <v>164</v>
      </c>
      <c r="AC251">
        <v>164</v>
      </c>
      <c r="AE251">
        <v>164</v>
      </c>
      <c r="AG251">
        <v>164</v>
      </c>
      <c r="AI251">
        <v>164</v>
      </c>
      <c r="AK251">
        <v>164</v>
      </c>
      <c r="AM251">
        <v>164</v>
      </c>
      <c r="AO251">
        <v>164</v>
      </c>
      <c r="AQ251">
        <v>164</v>
      </c>
      <c r="AS251">
        <v>164</v>
      </c>
    </row>
    <row r="252" spans="7:45">
      <c r="G252" s="64">
        <v>165</v>
      </c>
      <c r="I252" s="64">
        <v>165</v>
      </c>
      <c r="K252">
        <v>165</v>
      </c>
      <c r="M252">
        <v>165</v>
      </c>
      <c r="O252">
        <v>165</v>
      </c>
      <c r="Q252">
        <v>165</v>
      </c>
      <c r="S252">
        <v>165</v>
      </c>
      <c r="U252">
        <v>165</v>
      </c>
      <c r="W252">
        <v>165</v>
      </c>
      <c r="Y252">
        <v>165</v>
      </c>
      <c r="AA252">
        <v>165</v>
      </c>
      <c r="AC252">
        <v>165</v>
      </c>
      <c r="AE252">
        <v>165</v>
      </c>
      <c r="AG252">
        <v>165</v>
      </c>
      <c r="AI252">
        <v>165</v>
      </c>
      <c r="AK252">
        <v>165</v>
      </c>
      <c r="AM252">
        <v>165</v>
      </c>
      <c r="AO252">
        <v>165</v>
      </c>
      <c r="AQ252">
        <v>165</v>
      </c>
      <c r="AS252">
        <v>165</v>
      </c>
    </row>
    <row r="253" spans="7:45">
      <c r="G253" s="64">
        <v>166</v>
      </c>
      <c r="I253" s="64">
        <v>166</v>
      </c>
      <c r="K253">
        <v>166</v>
      </c>
      <c r="M253">
        <v>166</v>
      </c>
      <c r="O253">
        <v>166</v>
      </c>
      <c r="Q253">
        <v>166</v>
      </c>
      <c r="S253">
        <v>166</v>
      </c>
      <c r="U253">
        <v>166</v>
      </c>
      <c r="W253">
        <v>166</v>
      </c>
      <c r="Y253">
        <v>166</v>
      </c>
      <c r="AA253">
        <v>166</v>
      </c>
      <c r="AC253">
        <v>166</v>
      </c>
      <c r="AE253">
        <v>166</v>
      </c>
      <c r="AG253">
        <v>166</v>
      </c>
      <c r="AI253">
        <v>166</v>
      </c>
      <c r="AK253">
        <v>166</v>
      </c>
      <c r="AM253">
        <v>166</v>
      </c>
      <c r="AO253">
        <v>166</v>
      </c>
      <c r="AQ253">
        <v>166</v>
      </c>
      <c r="AS253">
        <v>166</v>
      </c>
    </row>
    <row r="254" spans="7:45">
      <c r="G254" s="64">
        <v>167</v>
      </c>
      <c r="I254" s="64">
        <v>167</v>
      </c>
      <c r="K254">
        <v>167</v>
      </c>
      <c r="M254">
        <v>167</v>
      </c>
      <c r="O254">
        <v>167</v>
      </c>
      <c r="Q254">
        <v>167</v>
      </c>
      <c r="S254">
        <v>167</v>
      </c>
      <c r="U254">
        <v>167</v>
      </c>
      <c r="W254">
        <v>167</v>
      </c>
      <c r="Y254">
        <v>167</v>
      </c>
      <c r="AA254">
        <v>167</v>
      </c>
      <c r="AC254">
        <v>167</v>
      </c>
      <c r="AE254">
        <v>167</v>
      </c>
      <c r="AG254">
        <v>167</v>
      </c>
      <c r="AI254">
        <v>167</v>
      </c>
      <c r="AK254">
        <v>167</v>
      </c>
      <c r="AM254">
        <v>167</v>
      </c>
      <c r="AO254">
        <v>167</v>
      </c>
      <c r="AQ254">
        <v>167</v>
      </c>
      <c r="AS254">
        <v>167</v>
      </c>
    </row>
    <row r="255" spans="7:45">
      <c r="G255" s="64">
        <v>167.5</v>
      </c>
      <c r="I255" s="64">
        <v>167.5</v>
      </c>
      <c r="K255">
        <v>167.5</v>
      </c>
      <c r="M255">
        <v>167.5</v>
      </c>
      <c r="O255">
        <v>167.5</v>
      </c>
      <c r="Q255">
        <v>167.5</v>
      </c>
      <c r="S255">
        <v>167.5</v>
      </c>
      <c r="U255">
        <v>167.5</v>
      </c>
      <c r="W255">
        <v>167.5</v>
      </c>
      <c r="Y255">
        <v>167.5</v>
      </c>
      <c r="AA255">
        <v>167.5</v>
      </c>
      <c r="AC255">
        <v>167.5</v>
      </c>
      <c r="AE255">
        <v>167.5</v>
      </c>
      <c r="AG255">
        <v>167.5</v>
      </c>
      <c r="AI255">
        <v>167.5</v>
      </c>
      <c r="AK255">
        <v>167.5</v>
      </c>
      <c r="AM255">
        <v>167.5</v>
      </c>
      <c r="AO255">
        <v>167.5</v>
      </c>
      <c r="AQ255">
        <v>167.5</v>
      </c>
      <c r="AS255">
        <v>167.5</v>
      </c>
    </row>
    <row r="256" spans="7:45">
      <c r="G256" s="64">
        <v>168</v>
      </c>
      <c r="I256" s="64">
        <v>168</v>
      </c>
      <c r="K256">
        <v>168</v>
      </c>
      <c r="M256">
        <v>168</v>
      </c>
      <c r="O256">
        <v>168</v>
      </c>
      <c r="Q256">
        <v>168</v>
      </c>
      <c r="S256">
        <v>168</v>
      </c>
      <c r="U256">
        <v>168</v>
      </c>
      <c r="W256">
        <v>168</v>
      </c>
      <c r="Y256">
        <v>168</v>
      </c>
      <c r="AA256">
        <v>168</v>
      </c>
      <c r="AC256">
        <v>168</v>
      </c>
      <c r="AE256">
        <v>168</v>
      </c>
      <c r="AG256">
        <v>168</v>
      </c>
      <c r="AI256">
        <v>168</v>
      </c>
      <c r="AK256">
        <v>168</v>
      </c>
      <c r="AM256">
        <v>168</v>
      </c>
      <c r="AO256">
        <v>168</v>
      </c>
      <c r="AQ256">
        <v>168</v>
      </c>
      <c r="AS256">
        <v>168</v>
      </c>
    </row>
    <row r="257" spans="7:45">
      <c r="G257" s="64">
        <v>169</v>
      </c>
      <c r="I257" s="64">
        <v>169</v>
      </c>
      <c r="K257">
        <v>169</v>
      </c>
      <c r="M257">
        <v>169</v>
      </c>
      <c r="O257">
        <v>169</v>
      </c>
      <c r="Q257">
        <v>169</v>
      </c>
      <c r="S257">
        <v>169</v>
      </c>
      <c r="U257">
        <v>169</v>
      </c>
      <c r="W257">
        <v>169</v>
      </c>
      <c r="Y257">
        <v>169</v>
      </c>
      <c r="AA257">
        <v>169</v>
      </c>
      <c r="AC257">
        <v>169</v>
      </c>
      <c r="AE257">
        <v>169</v>
      </c>
      <c r="AG257">
        <v>169</v>
      </c>
      <c r="AI257">
        <v>169</v>
      </c>
      <c r="AK257">
        <v>169</v>
      </c>
      <c r="AM257">
        <v>169</v>
      </c>
      <c r="AO257">
        <v>169</v>
      </c>
      <c r="AQ257">
        <v>169</v>
      </c>
      <c r="AS257">
        <v>169</v>
      </c>
    </row>
    <row r="258" spans="7:45">
      <c r="G258" s="64">
        <v>170</v>
      </c>
      <c r="I258" s="64">
        <v>170</v>
      </c>
      <c r="K258">
        <v>170</v>
      </c>
      <c r="M258">
        <v>170</v>
      </c>
      <c r="O258">
        <v>170</v>
      </c>
      <c r="Q258">
        <v>170</v>
      </c>
      <c r="S258">
        <v>170</v>
      </c>
      <c r="U258">
        <v>170</v>
      </c>
      <c r="W258">
        <v>170</v>
      </c>
      <c r="Y258">
        <v>170</v>
      </c>
      <c r="AA258">
        <v>170</v>
      </c>
      <c r="AC258">
        <v>170</v>
      </c>
      <c r="AE258">
        <v>170</v>
      </c>
      <c r="AG258">
        <v>170</v>
      </c>
      <c r="AI258">
        <v>170</v>
      </c>
      <c r="AK258">
        <v>170</v>
      </c>
      <c r="AM258">
        <v>170</v>
      </c>
      <c r="AO258">
        <v>170</v>
      </c>
      <c r="AQ258">
        <v>170</v>
      </c>
      <c r="AS258">
        <v>170</v>
      </c>
    </row>
    <row r="259" spans="7:45">
      <c r="G259" s="64">
        <v>171</v>
      </c>
      <c r="I259" s="64">
        <v>171</v>
      </c>
      <c r="K259">
        <v>171</v>
      </c>
      <c r="M259">
        <v>171</v>
      </c>
      <c r="O259">
        <v>171</v>
      </c>
      <c r="Q259">
        <v>171</v>
      </c>
      <c r="S259">
        <v>171</v>
      </c>
      <c r="U259">
        <v>171</v>
      </c>
      <c r="W259">
        <v>171</v>
      </c>
      <c r="Y259">
        <v>171</v>
      </c>
      <c r="AA259">
        <v>171</v>
      </c>
      <c r="AC259">
        <v>171</v>
      </c>
      <c r="AE259">
        <v>171</v>
      </c>
      <c r="AG259">
        <v>171</v>
      </c>
      <c r="AI259">
        <v>171</v>
      </c>
      <c r="AK259">
        <v>171</v>
      </c>
      <c r="AM259">
        <v>171</v>
      </c>
      <c r="AO259">
        <v>171</v>
      </c>
      <c r="AQ259">
        <v>171</v>
      </c>
      <c r="AS259">
        <v>171</v>
      </c>
    </row>
    <row r="260" spans="7:45">
      <c r="G260" s="64">
        <v>172</v>
      </c>
      <c r="I260" s="64">
        <v>172</v>
      </c>
      <c r="K260">
        <v>172</v>
      </c>
      <c r="M260">
        <v>172</v>
      </c>
      <c r="O260">
        <v>172</v>
      </c>
      <c r="Q260">
        <v>172</v>
      </c>
      <c r="S260">
        <v>172</v>
      </c>
      <c r="U260">
        <v>172</v>
      </c>
      <c r="W260">
        <v>172</v>
      </c>
      <c r="Y260">
        <v>172</v>
      </c>
      <c r="AA260">
        <v>172</v>
      </c>
      <c r="AC260">
        <v>172</v>
      </c>
      <c r="AE260">
        <v>172</v>
      </c>
      <c r="AG260">
        <v>172</v>
      </c>
      <c r="AI260">
        <v>172</v>
      </c>
      <c r="AK260">
        <v>172</v>
      </c>
      <c r="AM260">
        <v>172</v>
      </c>
      <c r="AO260">
        <v>172</v>
      </c>
      <c r="AQ260">
        <v>172</v>
      </c>
      <c r="AS260">
        <v>172</v>
      </c>
    </row>
    <row r="261" spans="7:45">
      <c r="G261" s="64">
        <v>172.5</v>
      </c>
      <c r="I261" s="64">
        <v>172.5</v>
      </c>
      <c r="K261">
        <v>172.5</v>
      </c>
      <c r="M261">
        <v>172.5</v>
      </c>
      <c r="O261">
        <v>172.5</v>
      </c>
      <c r="Q261">
        <v>172.5</v>
      </c>
      <c r="S261">
        <v>172.5</v>
      </c>
      <c r="U261">
        <v>172.5</v>
      </c>
      <c r="W261">
        <v>172.5</v>
      </c>
      <c r="Y261">
        <v>172.5</v>
      </c>
      <c r="AA261">
        <v>172.5</v>
      </c>
      <c r="AC261">
        <v>172.5</v>
      </c>
      <c r="AE261">
        <v>172.5</v>
      </c>
      <c r="AG261">
        <v>172.5</v>
      </c>
      <c r="AI261">
        <v>172.5</v>
      </c>
      <c r="AK261">
        <v>172.5</v>
      </c>
      <c r="AM261">
        <v>172.5</v>
      </c>
      <c r="AO261">
        <v>172.5</v>
      </c>
      <c r="AQ261">
        <v>172.5</v>
      </c>
      <c r="AS261">
        <v>172.5</v>
      </c>
    </row>
    <row r="262" spans="7:45">
      <c r="G262" s="64">
        <v>173</v>
      </c>
      <c r="I262" s="64">
        <v>173</v>
      </c>
      <c r="K262">
        <v>173</v>
      </c>
      <c r="M262">
        <v>173</v>
      </c>
      <c r="O262">
        <v>173</v>
      </c>
      <c r="Q262">
        <v>173</v>
      </c>
      <c r="S262">
        <v>173</v>
      </c>
      <c r="U262">
        <v>173</v>
      </c>
      <c r="W262">
        <v>173</v>
      </c>
      <c r="Y262">
        <v>173</v>
      </c>
      <c r="AA262">
        <v>173</v>
      </c>
      <c r="AC262">
        <v>173</v>
      </c>
      <c r="AE262">
        <v>173</v>
      </c>
      <c r="AG262">
        <v>173</v>
      </c>
      <c r="AI262">
        <v>173</v>
      </c>
      <c r="AK262">
        <v>173</v>
      </c>
      <c r="AM262">
        <v>173</v>
      </c>
      <c r="AO262">
        <v>173</v>
      </c>
      <c r="AQ262">
        <v>173</v>
      </c>
      <c r="AS262">
        <v>173</v>
      </c>
    </row>
    <row r="263" spans="7:45">
      <c r="G263" s="64">
        <v>174</v>
      </c>
      <c r="I263" s="64">
        <v>174</v>
      </c>
      <c r="K263">
        <v>174</v>
      </c>
      <c r="M263">
        <v>174</v>
      </c>
      <c r="O263">
        <v>174</v>
      </c>
      <c r="Q263">
        <v>174</v>
      </c>
      <c r="S263">
        <v>174</v>
      </c>
      <c r="U263">
        <v>174</v>
      </c>
      <c r="W263">
        <v>174</v>
      </c>
      <c r="Y263">
        <v>174</v>
      </c>
      <c r="AA263">
        <v>174</v>
      </c>
      <c r="AC263">
        <v>174</v>
      </c>
      <c r="AE263">
        <v>174</v>
      </c>
      <c r="AG263">
        <v>174</v>
      </c>
      <c r="AI263">
        <v>174</v>
      </c>
      <c r="AK263">
        <v>174</v>
      </c>
      <c r="AM263">
        <v>174</v>
      </c>
      <c r="AO263">
        <v>174</v>
      </c>
      <c r="AQ263">
        <v>174</v>
      </c>
      <c r="AS263">
        <v>174</v>
      </c>
    </row>
    <row r="264" spans="7:45">
      <c r="G264" s="64">
        <v>175</v>
      </c>
      <c r="I264" s="64">
        <v>175</v>
      </c>
      <c r="K264">
        <v>175</v>
      </c>
      <c r="M264">
        <v>175</v>
      </c>
      <c r="O264">
        <v>175</v>
      </c>
      <c r="Q264">
        <v>175</v>
      </c>
      <c r="S264">
        <v>175</v>
      </c>
      <c r="U264">
        <v>175</v>
      </c>
      <c r="W264">
        <v>175</v>
      </c>
      <c r="Y264">
        <v>175</v>
      </c>
      <c r="AA264">
        <v>175</v>
      </c>
      <c r="AC264">
        <v>175</v>
      </c>
      <c r="AE264">
        <v>175</v>
      </c>
      <c r="AG264">
        <v>175</v>
      </c>
      <c r="AI264">
        <v>175</v>
      </c>
      <c r="AK264">
        <v>175</v>
      </c>
      <c r="AM264">
        <v>175</v>
      </c>
      <c r="AO264">
        <v>175</v>
      </c>
      <c r="AQ264">
        <v>175</v>
      </c>
      <c r="AS264">
        <v>175</v>
      </c>
    </row>
    <row r="265" spans="7:45">
      <c r="G265" s="64">
        <v>176</v>
      </c>
      <c r="I265" s="64">
        <v>176</v>
      </c>
      <c r="K265">
        <v>176</v>
      </c>
      <c r="M265">
        <v>176</v>
      </c>
      <c r="O265">
        <v>176</v>
      </c>
      <c r="Q265">
        <v>176</v>
      </c>
      <c r="S265">
        <v>176</v>
      </c>
      <c r="U265">
        <v>176</v>
      </c>
      <c r="W265">
        <v>176</v>
      </c>
      <c r="Y265">
        <v>176</v>
      </c>
      <c r="AA265">
        <v>176</v>
      </c>
      <c r="AC265">
        <v>176</v>
      </c>
      <c r="AE265">
        <v>176</v>
      </c>
      <c r="AG265">
        <v>176</v>
      </c>
      <c r="AI265">
        <v>176</v>
      </c>
      <c r="AK265">
        <v>176</v>
      </c>
      <c r="AM265">
        <v>176</v>
      </c>
      <c r="AO265">
        <v>176</v>
      </c>
      <c r="AQ265">
        <v>176</v>
      </c>
      <c r="AS265">
        <v>176</v>
      </c>
    </row>
    <row r="266" spans="7:45">
      <c r="G266" s="64">
        <v>177</v>
      </c>
      <c r="I266" s="64">
        <v>177</v>
      </c>
      <c r="K266">
        <v>177</v>
      </c>
      <c r="M266">
        <v>177</v>
      </c>
      <c r="O266">
        <v>177</v>
      </c>
      <c r="Q266">
        <v>177</v>
      </c>
      <c r="S266">
        <v>177</v>
      </c>
      <c r="U266">
        <v>177</v>
      </c>
      <c r="W266">
        <v>177</v>
      </c>
      <c r="Y266">
        <v>177</v>
      </c>
      <c r="AA266">
        <v>177</v>
      </c>
      <c r="AC266">
        <v>177</v>
      </c>
      <c r="AE266">
        <v>177</v>
      </c>
      <c r="AG266">
        <v>177</v>
      </c>
      <c r="AI266">
        <v>177</v>
      </c>
      <c r="AK266">
        <v>177</v>
      </c>
      <c r="AM266">
        <v>177</v>
      </c>
      <c r="AO266">
        <v>177</v>
      </c>
      <c r="AQ266">
        <v>177</v>
      </c>
      <c r="AS266">
        <v>177</v>
      </c>
    </row>
    <row r="267" spans="7:45">
      <c r="G267" s="64">
        <v>177.5</v>
      </c>
      <c r="I267" s="64">
        <v>177.5</v>
      </c>
      <c r="K267">
        <v>177.5</v>
      </c>
      <c r="M267">
        <v>177.5</v>
      </c>
      <c r="O267">
        <v>177.5</v>
      </c>
      <c r="Q267">
        <v>177.5</v>
      </c>
      <c r="S267">
        <v>177.5</v>
      </c>
      <c r="U267">
        <v>177.5</v>
      </c>
      <c r="W267">
        <v>177.5</v>
      </c>
      <c r="Y267">
        <v>177.5</v>
      </c>
      <c r="AA267">
        <v>177.5</v>
      </c>
      <c r="AC267">
        <v>177.5</v>
      </c>
      <c r="AE267">
        <v>177.5</v>
      </c>
      <c r="AG267">
        <v>177.5</v>
      </c>
      <c r="AI267">
        <v>177.5</v>
      </c>
      <c r="AK267">
        <v>177.5</v>
      </c>
      <c r="AM267">
        <v>177.5</v>
      </c>
      <c r="AO267">
        <v>177.5</v>
      </c>
      <c r="AQ267">
        <v>177.5</v>
      </c>
      <c r="AS267">
        <v>177.5</v>
      </c>
    </row>
    <row r="268" spans="7:45">
      <c r="G268" s="64">
        <v>178</v>
      </c>
      <c r="I268" s="64">
        <v>178</v>
      </c>
      <c r="K268">
        <v>178</v>
      </c>
      <c r="M268">
        <v>178</v>
      </c>
      <c r="O268">
        <v>178</v>
      </c>
      <c r="Q268">
        <v>178</v>
      </c>
      <c r="S268">
        <v>178</v>
      </c>
      <c r="U268">
        <v>178</v>
      </c>
      <c r="W268">
        <v>178</v>
      </c>
      <c r="Y268">
        <v>178</v>
      </c>
      <c r="AA268">
        <v>178</v>
      </c>
      <c r="AC268">
        <v>178</v>
      </c>
      <c r="AE268">
        <v>178</v>
      </c>
      <c r="AG268">
        <v>178</v>
      </c>
      <c r="AI268">
        <v>178</v>
      </c>
      <c r="AK268">
        <v>178</v>
      </c>
      <c r="AM268">
        <v>178</v>
      </c>
      <c r="AO268">
        <v>178</v>
      </c>
      <c r="AQ268">
        <v>178</v>
      </c>
      <c r="AS268">
        <v>178</v>
      </c>
    </row>
    <row r="269" spans="7:45">
      <c r="G269" s="64">
        <v>179</v>
      </c>
      <c r="I269" s="64">
        <v>179</v>
      </c>
      <c r="K269">
        <v>179</v>
      </c>
      <c r="M269">
        <v>179</v>
      </c>
      <c r="O269">
        <v>179</v>
      </c>
      <c r="Q269">
        <v>179</v>
      </c>
      <c r="S269">
        <v>179</v>
      </c>
      <c r="U269">
        <v>179</v>
      </c>
      <c r="W269">
        <v>179</v>
      </c>
      <c r="Y269">
        <v>179</v>
      </c>
      <c r="AA269">
        <v>179</v>
      </c>
      <c r="AC269">
        <v>179</v>
      </c>
      <c r="AE269">
        <v>179</v>
      </c>
      <c r="AG269">
        <v>179</v>
      </c>
      <c r="AI269">
        <v>179</v>
      </c>
      <c r="AK269">
        <v>179</v>
      </c>
      <c r="AM269">
        <v>179</v>
      </c>
      <c r="AO269">
        <v>179</v>
      </c>
      <c r="AQ269">
        <v>179</v>
      </c>
      <c r="AS269">
        <v>179</v>
      </c>
    </row>
    <row r="270" spans="7:45">
      <c r="G270" s="64">
        <v>180</v>
      </c>
      <c r="I270" s="64">
        <v>180</v>
      </c>
      <c r="K270">
        <v>180</v>
      </c>
      <c r="M270">
        <v>180</v>
      </c>
      <c r="O270">
        <v>180</v>
      </c>
      <c r="Q270">
        <v>180</v>
      </c>
      <c r="S270">
        <v>180</v>
      </c>
      <c r="U270">
        <v>180</v>
      </c>
      <c r="W270">
        <v>180</v>
      </c>
      <c r="Y270">
        <v>180</v>
      </c>
      <c r="AA270">
        <v>180</v>
      </c>
      <c r="AC270">
        <v>180</v>
      </c>
      <c r="AE270">
        <v>180</v>
      </c>
      <c r="AG270">
        <v>180</v>
      </c>
      <c r="AI270">
        <v>180</v>
      </c>
      <c r="AK270">
        <v>180</v>
      </c>
      <c r="AM270">
        <v>180</v>
      </c>
      <c r="AO270">
        <v>180</v>
      </c>
      <c r="AQ270">
        <v>180</v>
      </c>
      <c r="AS270">
        <v>180</v>
      </c>
    </row>
    <row r="271" spans="7:45">
      <c r="G271" s="64">
        <v>181</v>
      </c>
      <c r="I271" s="64">
        <v>181</v>
      </c>
      <c r="K271">
        <v>181</v>
      </c>
      <c r="M271">
        <v>181</v>
      </c>
      <c r="O271">
        <v>181</v>
      </c>
      <c r="Q271">
        <v>181</v>
      </c>
      <c r="S271">
        <v>181</v>
      </c>
      <c r="U271">
        <v>181</v>
      </c>
      <c r="W271">
        <v>181</v>
      </c>
      <c r="Y271">
        <v>181</v>
      </c>
      <c r="AA271">
        <v>181</v>
      </c>
      <c r="AC271">
        <v>181</v>
      </c>
      <c r="AE271">
        <v>181</v>
      </c>
      <c r="AG271">
        <v>181</v>
      </c>
      <c r="AI271">
        <v>181</v>
      </c>
      <c r="AK271">
        <v>181</v>
      </c>
      <c r="AM271">
        <v>181</v>
      </c>
      <c r="AO271">
        <v>181</v>
      </c>
      <c r="AQ271">
        <v>181</v>
      </c>
      <c r="AS271">
        <v>181</v>
      </c>
    </row>
    <row r="272" spans="7:45">
      <c r="G272" s="64">
        <v>182</v>
      </c>
      <c r="I272" s="64">
        <v>182</v>
      </c>
      <c r="K272">
        <v>182</v>
      </c>
      <c r="M272">
        <v>182</v>
      </c>
      <c r="O272">
        <v>182</v>
      </c>
      <c r="Q272">
        <v>182</v>
      </c>
      <c r="S272">
        <v>182</v>
      </c>
      <c r="U272">
        <v>182</v>
      </c>
      <c r="W272">
        <v>182</v>
      </c>
      <c r="Y272">
        <v>182</v>
      </c>
      <c r="AA272">
        <v>182</v>
      </c>
      <c r="AC272">
        <v>182</v>
      </c>
      <c r="AE272">
        <v>182</v>
      </c>
      <c r="AG272">
        <v>182</v>
      </c>
      <c r="AI272">
        <v>182</v>
      </c>
      <c r="AK272">
        <v>182</v>
      </c>
      <c r="AM272">
        <v>182</v>
      </c>
      <c r="AO272">
        <v>182</v>
      </c>
      <c r="AQ272">
        <v>182</v>
      </c>
      <c r="AS272">
        <v>182</v>
      </c>
    </row>
    <row r="273" spans="7:45">
      <c r="G273" s="64">
        <v>182.5</v>
      </c>
      <c r="I273" s="64">
        <v>182.5</v>
      </c>
      <c r="K273">
        <v>182.5</v>
      </c>
      <c r="M273">
        <v>182.5</v>
      </c>
      <c r="O273">
        <v>182.5</v>
      </c>
      <c r="Q273">
        <v>182.5</v>
      </c>
      <c r="S273">
        <v>182.5</v>
      </c>
      <c r="U273">
        <v>182.5</v>
      </c>
      <c r="W273">
        <v>182.5</v>
      </c>
      <c r="Y273">
        <v>182.5</v>
      </c>
      <c r="AA273">
        <v>182.5</v>
      </c>
      <c r="AC273">
        <v>182.5</v>
      </c>
      <c r="AE273">
        <v>182.5</v>
      </c>
      <c r="AG273">
        <v>182.5</v>
      </c>
      <c r="AI273">
        <v>182.5</v>
      </c>
      <c r="AK273">
        <v>182.5</v>
      </c>
      <c r="AM273">
        <v>182.5</v>
      </c>
      <c r="AO273">
        <v>182.5</v>
      </c>
      <c r="AQ273">
        <v>182.5</v>
      </c>
      <c r="AS273">
        <v>182.5</v>
      </c>
    </row>
    <row r="274" spans="7:45">
      <c r="G274" s="64">
        <v>183</v>
      </c>
      <c r="I274" s="64">
        <v>183</v>
      </c>
      <c r="K274">
        <v>183</v>
      </c>
      <c r="M274">
        <v>183</v>
      </c>
      <c r="O274">
        <v>183</v>
      </c>
      <c r="Q274">
        <v>183</v>
      </c>
      <c r="S274">
        <v>183</v>
      </c>
      <c r="U274">
        <v>183</v>
      </c>
      <c r="W274">
        <v>183</v>
      </c>
      <c r="Y274">
        <v>183</v>
      </c>
      <c r="AA274">
        <v>183</v>
      </c>
      <c r="AC274">
        <v>183</v>
      </c>
      <c r="AE274">
        <v>183</v>
      </c>
      <c r="AG274">
        <v>183</v>
      </c>
      <c r="AI274">
        <v>183</v>
      </c>
      <c r="AK274">
        <v>183</v>
      </c>
      <c r="AM274">
        <v>183</v>
      </c>
      <c r="AO274">
        <v>183</v>
      </c>
      <c r="AQ274">
        <v>183</v>
      </c>
      <c r="AS274">
        <v>183</v>
      </c>
    </row>
    <row r="275" spans="7:45">
      <c r="G275" s="64">
        <v>184</v>
      </c>
      <c r="I275" s="64">
        <v>184</v>
      </c>
      <c r="K275">
        <v>184</v>
      </c>
      <c r="M275">
        <v>184</v>
      </c>
      <c r="O275">
        <v>184</v>
      </c>
      <c r="Q275">
        <v>184</v>
      </c>
      <c r="S275">
        <v>184</v>
      </c>
      <c r="U275">
        <v>184</v>
      </c>
      <c r="W275">
        <v>184</v>
      </c>
      <c r="Y275">
        <v>184</v>
      </c>
      <c r="AA275">
        <v>184</v>
      </c>
      <c r="AC275">
        <v>184</v>
      </c>
      <c r="AE275">
        <v>184</v>
      </c>
      <c r="AG275">
        <v>184</v>
      </c>
      <c r="AI275">
        <v>184</v>
      </c>
      <c r="AK275">
        <v>184</v>
      </c>
      <c r="AM275">
        <v>184</v>
      </c>
      <c r="AO275">
        <v>184</v>
      </c>
      <c r="AQ275">
        <v>184</v>
      </c>
      <c r="AS275">
        <v>184</v>
      </c>
    </row>
    <row r="276" spans="7:45">
      <c r="G276" s="64">
        <v>185</v>
      </c>
      <c r="I276" s="64">
        <v>185</v>
      </c>
      <c r="K276">
        <v>185</v>
      </c>
      <c r="M276">
        <v>185</v>
      </c>
      <c r="O276">
        <v>185</v>
      </c>
      <c r="Q276">
        <v>185</v>
      </c>
      <c r="S276">
        <v>185</v>
      </c>
      <c r="U276">
        <v>185</v>
      </c>
      <c r="W276">
        <v>185</v>
      </c>
      <c r="Y276">
        <v>185</v>
      </c>
      <c r="AA276">
        <v>185</v>
      </c>
      <c r="AC276">
        <v>185</v>
      </c>
      <c r="AE276">
        <v>185</v>
      </c>
      <c r="AG276">
        <v>185</v>
      </c>
      <c r="AI276">
        <v>185</v>
      </c>
      <c r="AK276">
        <v>185</v>
      </c>
      <c r="AM276">
        <v>185</v>
      </c>
      <c r="AO276">
        <v>185</v>
      </c>
      <c r="AQ276">
        <v>185</v>
      </c>
      <c r="AS276">
        <v>185</v>
      </c>
    </row>
    <row r="277" spans="7:45">
      <c r="G277" s="64">
        <v>186</v>
      </c>
      <c r="I277" s="64">
        <v>186</v>
      </c>
      <c r="K277">
        <v>186</v>
      </c>
      <c r="M277">
        <v>186</v>
      </c>
      <c r="O277">
        <v>186</v>
      </c>
      <c r="Q277">
        <v>186</v>
      </c>
      <c r="S277">
        <v>186</v>
      </c>
      <c r="U277">
        <v>186</v>
      </c>
      <c r="W277">
        <v>186</v>
      </c>
      <c r="Y277">
        <v>186</v>
      </c>
      <c r="AA277">
        <v>186</v>
      </c>
      <c r="AC277">
        <v>186</v>
      </c>
      <c r="AE277">
        <v>186</v>
      </c>
      <c r="AG277">
        <v>186</v>
      </c>
      <c r="AI277">
        <v>186</v>
      </c>
      <c r="AK277">
        <v>186</v>
      </c>
      <c r="AM277">
        <v>186</v>
      </c>
      <c r="AO277">
        <v>186</v>
      </c>
      <c r="AQ277">
        <v>186</v>
      </c>
      <c r="AS277">
        <v>186</v>
      </c>
    </row>
    <row r="278" spans="7:45">
      <c r="G278" s="64">
        <v>187</v>
      </c>
      <c r="I278" s="64">
        <v>187</v>
      </c>
      <c r="K278">
        <v>187</v>
      </c>
      <c r="M278">
        <v>187</v>
      </c>
      <c r="O278">
        <v>187</v>
      </c>
      <c r="Q278">
        <v>187</v>
      </c>
      <c r="S278">
        <v>187</v>
      </c>
      <c r="U278">
        <v>187</v>
      </c>
      <c r="W278">
        <v>187</v>
      </c>
      <c r="Y278">
        <v>187</v>
      </c>
      <c r="AA278">
        <v>187</v>
      </c>
      <c r="AC278">
        <v>187</v>
      </c>
      <c r="AE278">
        <v>187</v>
      </c>
      <c r="AG278">
        <v>187</v>
      </c>
      <c r="AI278">
        <v>187</v>
      </c>
      <c r="AK278">
        <v>187</v>
      </c>
      <c r="AM278">
        <v>187</v>
      </c>
      <c r="AO278">
        <v>187</v>
      </c>
      <c r="AQ278">
        <v>187</v>
      </c>
      <c r="AS278">
        <v>187</v>
      </c>
    </row>
    <row r="279" spans="7:45">
      <c r="G279" s="64">
        <v>187.5</v>
      </c>
      <c r="I279" s="64">
        <v>187.5</v>
      </c>
      <c r="K279">
        <v>187.5</v>
      </c>
      <c r="M279">
        <v>187.5</v>
      </c>
      <c r="O279">
        <v>187.5</v>
      </c>
      <c r="Q279">
        <v>187.5</v>
      </c>
      <c r="S279">
        <v>187.5</v>
      </c>
      <c r="U279">
        <v>187.5</v>
      </c>
      <c r="W279">
        <v>187.5</v>
      </c>
      <c r="Y279">
        <v>187.5</v>
      </c>
      <c r="AA279">
        <v>187.5</v>
      </c>
      <c r="AC279">
        <v>187.5</v>
      </c>
      <c r="AE279">
        <v>187.5</v>
      </c>
      <c r="AG279">
        <v>187.5</v>
      </c>
      <c r="AI279">
        <v>187.5</v>
      </c>
      <c r="AK279">
        <v>187.5</v>
      </c>
      <c r="AM279">
        <v>187.5</v>
      </c>
      <c r="AO279">
        <v>187.5</v>
      </c>
      <c r="AQ279">
        <v>187.5</v>
      </c>
      <c r="AS279">
        <v>187.5</v>
      </c>
    </row>
    <row r="280" spans="7:45">
      <c r="G280" s="64">
        <v>188</v>
      </c>
      <c r="I280" s="64">
        <v>188</v>
      </c>
      <c r="K280">
        <v>188</v>
      </c>
      <c r="M280">
        <v>188</v>
      </c>
      <c r="O280">
        <v>188</v>
      </c>
      <c r="Q280">
        <v>188</v>
      </c>
      <c r="S280">
        <v>188</v>
      </c>
      <c r="U280">
        <v>188</v>
      </c>
      <c r="W280">
        <v>188</v>
      </c>
      <c r="Y280">
        <v>188</v>
      </c>
      <c r="AA280">
        <v>188</v>
      </c>
      <c r="AC280">
        <v>188</v>
      </c>
      <c r="AE280">
        <v>188</v>
      </c>
      <c r="AG280">
        <v>188</v>
      </c>
      <c r="AI280">
        <v>188</v>
      </c>
      <c r="AK280">
        <v>188</v>
      </c>
      <c r="AM280">
        <v>188</v>
      </c>
      <c r="AO280">
        <v>188</v>
      </c>
      <c r="AQ280">
        <v>188</v>
      </c>
      <c r="AS280">
        <v>188</v>
      </c>
    </row>
    <row r="281" spans="7:45">
      <c r="G281" s="64">
        <v>189</v>
      </c>
      <c r="I281" s="64">
        <v>189</v>
      </c>
      <c r="K281">
        <v>189</v>
      </c>
      <c r="M281">
        <v>189</v>
      </c>
      <c r="O281">
        <v>189</v>
      </c>
      <c r="Q281">
        <v>189</v>
      </c>
      <c r="S281">
        <v>189</v>
      </c>
      <c r="U281">
        <v>189</v>
      </c>
      <c r="W281">
        <v>189</v>
      </c>
      <c r="Y281">
        <v>189</v>
      </c>
      <c r="AA281">
        <v>189</v>
      </c>
      <c r="AC281">
        <v>189</v>
      </c>
      <c r="AE281">
        <v>189</v>
      </c>
      <c r="AG281">
        <v>189</v>
      </c>
      <c r="AI281">
        <v>189</v>
      </c>
      <c r="AK281">
        <v>189</v>
      </c>
      <c r="AM281">
        <v>189</v>
      </c>
      <c r="AO281">
        <v>189</v>
      </c>
      <c r="AQ281">
        <v>189</v>
      </c>
      <c r="AS281">
        <v>189</v>
      </c>
    </row>
    <row r="282" spans="7:45">
      <c r="G282" s="64">
        <v>190</v>
      </c>
      <c r="I282" s="64">
        <v>190</v>
      </c>
      <c r="K282">
        <v>190</v>
      </c>
      <c r="M282">
        <v>190</v>
      </c>
      <c r="O282">
        <v>190</v>
      </c>
      <c r="Q282">
        <v>190</v>
      </c>
      <c r="S282">
        <v>190</v>
      </c>
      <c r="U282">
        <v>190</v>
      </c>
      <c r="W282">
        <v>190</v>
      </c>
      <c r="Y282">
        <v>190</v>
      </c>
      <c r="AA282">
        <v>190</v>
      </c>
      <c r="AC282">
        <v>190</v>
      </c>
      <c r="AE282">
        <v>190</v>
      </c>
      <c r="AG282">
        <v>190</v>
      </c>
      <c r="AI282">
        <v>190</v>
      </c>
      <c r="AK282">
        <v>190</v>
      </c>
      <c r="AM282">
        <v>190</v>
      </c>
      <c r="AO282">
        <v>190</v>
      </c>
      <c r="AQ282">
        <v>190</v>
      </c>
      <c r="AS282">
        <v>190</v>
      </c>
    </row>
    <row r="283" spans="7:45">
      <c r="G283" s="64">
        <v>191</v>
      </c>
      <c r="I283" s="64">
        <v>191</v>
      </c>
      <c r="K283">
        <v>191</v>
      </c>
      <c r="M283">
        <v>191</v>
      </c>
      <c r="O283">
        <v>191</v>
      </c>
      <c r="Q283">
        <v>191</v>
      </c>
      <c r="S283">
        <v>191</v>
      </c>
      <c r="U283">
        <v>191</v>
      </c>
      <c r="W283">
        <v>191</v>
      </c>
      <c r="Y283">
        <v>191</v>
      </c>
      <c r="AA283">
        <v>191</v>
      </c>
      <c r="AC283">
        <v>191</v>
      </c>
      <c r="AE283">
        <v>191</v>
      </c>
      <c r="AG283">
        <v>191</v>
      </c>
      <c r="AI283">
        <v>191</v>
      </c>
      <c r="AK283">
        <v>191</v>
      </c>
      <c r="AM283">
        <v>191</v>
      </c>
      <c r="AO283">
        <v>191</v>
      </c>
      <c r="AQ283">
        <v>191</v>
      </c>
      <c r="AS283">
        <v>191</v>
      </c>
    </row>
    <row r="284" spans="7:45">
      <c r="G284" s="64">
        <v>192</v>
      </c>
      <c r="I284" s="64">
        <v>192</v>
      </c>
      <c r="K284">
        <v>192</v>
      </c>
      <c r="M284">
        <v>192</v>
      </c>
      <c r="O284">
        <v>192</v>
      </c>
      <c r="Q284">
        <v>192</v>
      </c>
      <c r="S284">
        <v>192</v>
      </c>
      <c r="U284">
        <v>192</v>
      </c>
      <c r="W284">
        <v>192</v>
      </c>
      <c r="Y284">
        <v>192</v>
      </c>
      <c r="AA284">
        <v>192</v>
      </c>
      <c r="AC284">
        <v>192</v>
      </c>
      <c r="AE284">
        <v>192</v>
      </c>
      <c r="AG284">
        <v>192</v>
      </c>
      <c r="AI284">
        <v>192</v>
      </c>
      <c r="AK284">
        <v>192</v>
      </c>
      <c r="AM284">
        <v>192</v>
      </c>
      <c r="AO284">
        <v>192</v>
      </c>
      <c r="AQ284">
        <v>192</v>
      </c>
      <c r="AS284">
        <v>192</v>
      </c>
    </row>
    <row r="285" spans="7:45">
      <c r="G285" s="64">
        <v>192.5</v>
      </c>
      <c r="I285" s="64">
        <v>192.5</v>
      </c>
      <c r="K285">
        <v>192.5</v>
      </c>
      <c r="M285">
        <v>192.5</v>
      </c>
      <c r="O285">
        <v>192.5</v>
      </c>
      <c r="Q285">
        <v>192.5</v>
      </c>
      <c r="S285">
        <v>192.5</v>
      </c>
      <c r="U285">
        <v>192.5</v>
      </c>
      <c r="W285">
        <v>192.5</v>
      </c>
      <c r="Y285">
        <v>192.5</v>
      </c>
      <c r="AA285">
        <v>192.5</v>
      </c>
      <c r="AC285">
        <v>192.5</v>
      </c>
      <c r="AE285">
        <v>192.5</v>
      </c>
      <c r="AG285">
        <v>192.5</v>
      </c>
      <c r="AI285">
        <v>192.5</v>
      </c>
      <c r="AK285">
        <v>192.5</v>
      </c>
      <c r="AM285">
        <v>192.5</v>
      </c>
      <c r="AO285">
        <v>192.5</v>
      </c>
      <c r="AQ285">
        <v>192.5</v>
      </c>
      <c r="AS285">
        <v>192.5</v>
      </c>
    </row>
    <row r="286" spans="7:45">
      <c r="G286" s="64">
        <v>193</v>
      </c>
      <c r="I286" s="64">
        <v>193</v>
      </c>
      <c r="K286">
        <v>193</v>
      </c>
      <c r="M286">
        <v>193</v>
      </c>
      <c r="O286">
        <v>193</v>
      </c>
      <c r="Q286">
        <v>193</v>
      </c>
      <c r="S286">
        <v>193</v>
      </c>
      <c r="U286">
        <v>193</v>
      </c>
      <c r="W286">
        <v>193</v>
      </c>
      <c r="Y286">
        <v>193</v>
      </c>
      <c r="AA286">
        <v>193</v>
      </c>
      <c r="AC286">
        <v>193</v>
      </c>
      <c r="AE286">
        <v>193</v>
      </c>
      <c r="AG286">
        <v>193</v>
      </c>
      <c r="AI286">
        <v>193</v>
      </c>
      <c r="AK286">
        <v>193</v>
      </c>
      <c r="AM286">
        <v>193</v>
      </c>
      <c r="AO286">
        <v>193</v>
      </c>
      <c r="AQ286">
        <v>193</v>
      </c>
      <c r="AS286">
        <v>193</v>
      </c>
    </row>
    <row r="287" spans="7:45">
      <c r="G287" s="64">
        <v>194</v>
      </c>
      <c r="I287" s="64">
        <v>194</v>
      </c>
      <c r="K287">
        <v>194</v>
      </c>
      <c r="M287">
        <v>194</v>
      </c>
      <c r="O287">
        <v>194</v>
      </c>
      <c r="Q287">
        <v>194</v>
      </c>
      <c r="S287">
        <v>194</v>
      </c>
      <c r="U287">
        <v>194</v>
      </c>
      <c r="W287">
        <v>194</v>
      </c>
      <c r="Y287">
        <v>194</v>
      </c>
      <c r="AA287">
        <v>194</v>
      </c>
      <c r="AC287">
        <v>194</v>
      </c>
      <c r="AE287">
        <v>194</v>
      </c>
      <c r="AG287">
        <v>194</v>
      </c>
      <c r="AI287">
        <v>194</v>
      </c>
      <c r="AK287">
        <v>194</v>
      </c>
      <c r="AM287">
        <v>194</v>
      </c>
      <c r="AO287">
        <v>194</v>
      </c>
      <c r="AQ287">
        <v>194</v>
      </c>
      <c r="AS287">
        <v>194</v>
      </c>
    </row>
    <row r="288" spans="7:45">
      <c r="G288" s="64">
        <v>195</v>
      </c>
      <c r="I288" s="64">
        <v>195</v>
      </c>
      <c r="K288">
        <v>195</v>
      </c>
      <c r="M288">
        <v>195</v>
      </c>
      <c r="O288">
        <v>195</v>
      </c>
      <c r="Q288">
        <v>195</v>
      </c>
      <c r="S288">
        <v>195</v>
      </c>
      <c r="U288">
        <v>195</v>
      </c>
      <c r="W288">
        <v>195</v>
      </c>
      <c r="Y288">
        <v>195</v>
      </c>
      <c r="AA288">
        <v>195</v>
      </c>
      <c r="AC288">
        <v>195</v>
      </c>
      <c r="AE288">
        <v>195</v>
      </c>
      <c r="AG288">
        <v>195</v>
      </c>
      <c r="AI288">
        <v>195</v>
      </c>
      <c r="AK288">
        <v>195</v>
      </c>
      <c r="AM288">
        <v>195</v>
      </c>
      <c r="AO288">
        <v>195</v>
      </c>
      <c r="AQ288">
        <v>195</v>
      </c>
      <c r="AS288">
        <v>195</v>
      </c>
    </row>
    <row r="289" spans="7:45">
      <c r="G289" s="64">
        <v>197.5</v>
      </c>
      <c r="I289" s="64">
        <v>197.5</v>
      </c>
      <c r="K289">
        <v>197.5</v>
      </c>
      <c r="M289">
        <v>197.5</v>
      </c>
      <c r="O289">
        <v>197.5</v>
      </c>
      <c r="Q289">
        <v>197.5</v>
      </c>
      <c r="S289">
        <v>197.5</v>
      </c>
      <c r="U289">
        <v>197.5</v>
      </c>
      <c r="W289">
        <v>197.5</v>
      </c>
      <c r="Y289">
        <v>197.5</v>
      </c>
      <c r="AA289">
        <v>197.5</v>
      </c>
      <c r="AC289">
        <v>197.5</v>
      </c>
      <c r="AE289">
        <v>197.5</v>
      </c>
      <c r="AG289">
        <v>197.5</v>
      </c>
      <c r="AI289">
        <v>197.5</v>
      </c>
      <c r="AK289">
        <v>197.5</v>
      </c>
      <c r="AM289">
        <v>197.5</v>
      </c>
      <c r="AO289">
        <v>197.5</v>
      </c>
      <c r="AQ289">
        <v>197.5</v>
      </c>
      <c r="AS289">
        <v>197.5</v>
      </c>
    </row>
    <row r="290" spans="7:45">
      <c r="G290" s="64">
        <v>200</v>
      </c>
      <c r="I290" s="64">
        <v>200</v>
      </c>
      <c r="K290">
        <v>200</v>
      </c>
      <c r="M290">
        <v>200</v>
      </c>
      <c r="O290">
        <v>200</v>
      </c>
      <c r="Q290">
        <v>200</v>
      </c>
      <c r="S290">
        <v>200</v>
      </c>
      <c r="U290">
        <v>200</v>
      </c>
      <c r="W290">
        <v>200</v>
      </c>
      <c r="Y290">
        <v>200</v>
      </c>
      <c r="AA290">
        <v>200</v>
      </c>
      <c r="AC290">
        <v>200</v>
      </c>
      <c r="AE290">
        <v>200</v>
      </c>
      <c r="AG290">
        <v>200</v>
      </c>
      <c r="AI290">
        <v>200</v>
      </c>
      <c r="AK290">
        <v>200</v>
      </c>
      <c r="AM290">
        <v>200</v>
      </c>
      <c r="AO290">
        <v>200</v>
      </c>
      <c r="AQ290">
        <v>200</v>
      </c>
      <c r="AS290">
        <v>200</v>
      </c>
    </row>
    <row r="291" spans="7:45">
      <c r="G291" s="64">
        <v>202.5</v>
      </c>
      <c r="I291" s="64">
        <v>202.5</v>
      </c>
      <c r="K291">
        <v>202.5</v>
      </c>
      <c r="M291">
        <v>202.5</v>
      </c>
      <c r="O291">
        <v>202.5</v>
      </c>
      <c r="Q291">
        <v>202.5</v>
      </c>
      <c r="S291">
        <v>202.5</v>
      </c>
      <c r="U291">
        <v>202.5</v>
      </c>
      <c r="W291">
        <v>202.5</v>
      </c>
      <c r="Y291">
        <v>202.5</v>
      </c>
      <c r="AA291">
        <v>202.5</v>
      </c>
      <c r="AC291">
        <v>202.5</v>
      </c>
      <c r="AE291">
        <v>202.5</v>
      </c>
      <c r="AG291">
        <v>202.5</v>
      </c>
      <c r="AI291">
        <v>202.5</v>
      </c>
      <c r="AK291">
        <v>202.5</v>
      </c>
      <c r="AM291">
        <v>202.5</v>
      </c>
      <c r="AO291">
        <v>202.5</v>
      </c>
      <c r="AQ291">
        <v>202.5</v>
      </c>
      <c r="AS291">
        <v>202.5</v>
      </c>
    </row>
    <row r="292" spans="7:45">
      <c r="G292" s="64">
        <v>205</v>
      </c>
      <c r="I292" s="64">
        <v>205</v>
      </c>
      <c r="K292">
        <v>205</v>
      </c>
      <c r="M292">
        <v>205</v>
      </c>
      <c r="O292">
        <v>205</v>
      </c>
      <c r="Q292">
        <v>205</v>
      </c>
      <c r="S292">
        <v>205</v>
      </c>
      <c r="U292">
        <v>205</v>
      </c>
      <c r="W292">
        <v>205</v>
      </c>
      <c r="Y292">
        <v>205</v>
      </c>
      <c r="AA292">
        <v>205</v>
      </c>
      <c r="AC292">
        <v>205</v>
      </c>
      <c r="AE292">
        <v>205</v>
      </c>
      <c r="AG292">
        <v>205</v>
      </c>
      <c r="AI292">
        <v>205</v>
      </c>
      <c r="AK292">
        <v>205</v>
      </c>
      <c r="AM292">
        <v>205</v>
      </c>
      <c r="AO292">
        <v>205</v>
      </c>
      <c r="AQ292">
        <v>205</v>
      </c>
      <c r="AS292">
        <v>205</v>
      </c>
    </row>
    <row r="293" spans="7:45">
      <c r="G293" s="64">
        <v>207.5</v>
      </c>
      <c r="I293" s="64">
        <v>207.5</v>
      </c>
      <c r="K293">
        <v>207.5</v>
      </c>
      <c r="M293">
        <v>207.5</v>
      </c>
      <c r="O293">
        <v>207.5</v>
      </c>
      <c r="Q293">
        <v>207.5</v>
      </c>
      <c r="S293">
        <v>207.5</v>
      </c>
      <c r="U293">
        <v>207.5</v>
      </c>
      <c r="W293">
        <v>207.5</v>
      </c>
      <c r="Y293">
        <v>207.5</v>
      </c>
      <c r="AA293">
        <v>207.5</v>
      </c>
      <c r="AC293">
        <v>207.5</v>
      </c>
      <c r="AE293">
        <v>207.5</v>
      </c>
      <c r="AG293">
        <v>207.5</v>
      </c>
      <c r="AI293">
        <v>207.5</v>
      </c>
      <c r="AK293">
        <v>207.5</v>
      </c>
      <c r="AM293">
        <v>207.5</v>
      </c>
      <c r="AO293">
        <v>207.5</v>
      </c>
      <c r="AQ293">
        <v>207.5</v>
      </c>
      <c r="AS293">
        <v>207.5</v>
      </c>
    </row>
    <row r="294" spans="7:45">
      <c r="G294" s="64">
        <v>210</v>
      </c>
      <c r="I294" s="64">
        <v>210</v>
      </c>
      <c r="K294">
        <v>210</v>
      </c>
      <c r="M294">
        <v>210</v>
      </c>
      <c r="O294">
        <v>210</v>
      </c>
      <c r="Q294">
        <v>210</v>
      </c>
      <c r="S294">
        <v>210</v>
      </c>
      <c r="U294">
        <v>210</v>
      </c>
      <c r="W294">
        <v>210</v>
      </c>
      <c r="Y294">
        <v>210</v>
      </c>
      <c r="AA294">
        <v>210</v>
      </c>
      <c r="AC294">
        <v>210</v>
      </c>
      <c r="AE294">
        <v>210</v>
      </c>
      <c r="AG294">
        <v>210</v>
      </c>
      <c r="AI294">
        <v>210</v>
      </c>
      <c r="AK294">
        <v>210</v>
      </c>
      <c r="AM294">
        <v>210</v>
      </c>
      <c r="AO294">
        <v>210</v>
      </c>
      <c r="AQ294">
        <v>210</v>
      </c>
      <c r="AS294">
        <v>210</v>
      </c>
    </row>
    <row r="295" spans="7:45">
      <c r="G295" s="64">
        <v>212</v>
      </c>
      <c r="I295" s="64">
        <v>212</v>
      </c>
      <c r="K295">
        <v>212</v>
      </c>
      <c r="M295">
        <v>212</v>
      </c>
      <c r="O295">
        <v>212</v>
      </c>
      <c r="Q295">
        <v>212</v>
      </c>
      <c r="S295">
        <v>212</v>
      </c>
      <c r="U295">
        <v>212</v>
      </c>
      <c r="W295">
        <v>212</v>
      </c>
      <c r="Y295">
        <v>212</v>
      </c>
      <c r="AA295">
        <v>212</v>
      </c>
      <c r="AC295">
        <v>212</v>
      </c>
      <c r="AE295">
        <v>212</v>
      </c>
      <c r="AG295">
        <v>212</v>
      </c>
      <c r="AI295">
        <v>212</v>
      </c>
      <c r="AK295">
        <v>212</v>
      </c>
      <c r="AM295">
        <v>212</v>
      </c>
      <c r="AO295">
        <v>212</v>
      </c>
      <c r="AQ295">
        <v>212</v>
      </c>
      <c r="AS295">
        <v>212</v>
      </c>
    </row>
    <row r="296" spans="7:45">
      <c r="G296" s="64">
        <v>212.5</v>
      </c>
      <c r="I296" s="64">
        <v>212.5</v>
      </c>
      <c r="K296">
        <v>212.5</v>
      </c>
      <c r="M296">
        <v>212.5</v>
      </c>
      <c r="O296">
        <v>212.5</v>
      </c>
      <c r="Q296">
        <v>212.5</v>
      </c>
      <c r="S296">
        <v>212.5</v>
      </c>
      <c r="U296">
        <v>212.5</v>
      </c>
      <c r="W296">
        <v>212.5</v>
      </c>
      <c r="Y296">
        <v>212.5</v>
      </c>
      <c r="AA296">
        <v>212.5</v>
      </c>
      <c r="AC296">
        <v>212.5</v>
      </c>
      <c r="AE296">
        <v>212.5</v>
      </c>
      <c r="AG296">
        <v>212.5</v>
      </c>
      <c r="AI296">
        <v>212.5</v>
      </c>
      <c r="AK296">
        <v>212.5</v>
      </c>
      <c r="AM296">
        <v>212.5</v>
      </c>
      <c r="AO296">
        <v>212.5</v>
      </c>
      <c r="AQ296">
        <v>212.5</v>
      </c>
      <c r="AS296">
        <v>212.5</v>
      </c>
    </row>
    <row r="297" spans="7:45">
      <c r="G297" s="64">
        <v>213</v>
      </c>
      <c r="I297" s="64">
        <v>213</v>
      </c>
      <c r="K297">
        <v>213</v>
      </c>
      <c r="M297">
        <v>213</v>
      </c>
      <c r="O297">
        <v>213</v>
      </c>
      <c r="Q297">
        <v>213</v>
      </c>
      <c r="S297">
        <v>213</v>
      </c>
      <c r="U297">
        <v>213</v>
      </c>
      <c r="W297">
        <v>213</v>
      </c>
      <c r="Y297">
        <v>213</v>
      </c>
      <c r="AA297">
        <v>213</v>
      </c>
      <c r="AC297">
        <v>213</v>
      </c>
      <c r="AE297">
        <v>213</v>
      </c>
      <c r="AG297">
        <v>213</v>
      </c>
      <c r="AI297">
        <v>213</v>
      </c>
      <c r="AK297">
        <v>213</v>
      </c>
      <c r="AM297">
        <v>213</v>
      </c>
      <c r="AO297">
        <v>213</v>
      </c>
      <c r="AQ297">
        <v>213</v>
      </c>
      <c r="AS297">
        <v>213</v>
      </c>
    </row>
    <row r="298" spans="7:45">
      <c r="G298" s="64">
        <v>214</v>
      </c>
      <c r="I298" s="64">
        <v>214</v>
      </c>
      <c r="K298">
        <v>214</v>
      </c>
      <c r="M298">
        <v>214</v>
      </c>
      <c r="O298">
        <v>214</v>
      </c>
      <c r="Q298">
        <v>214</v>
      </c>
      <c r="S298">
        <v>214</v>
      </c>
      <c r="U298">
        <v>214</v>
      </c>
      <c r="W298">
        <v>214</v>
      </c>
      <c r="Y298">
        <v>214</v>
      </c>
      <c r="AA298">
        <v>214</v>
      </c>
      <c r="AC298">
        <v>214</v>
      </c>
      <c r="AE298">
        <v>214</v>
      </c>
      <c r="AG298">
        <v>214</v>
      </c>
      <c r="AI298">
        <v>214</v>
      </c>
      <c r="AK298">
        <v>214</v>
      </c>
      <c r="AM298">
        <v>214</v>
      </c>
      <c r="AO298">
        <v>214</v>
      </c>
      <c r="AQ298">
        <v>214</v>
      </c>
      <c r="AS298">
        <v>214</v>
      </c>
    </row>
    <row r="299" spans="7:45">
      <c r="G299" s="64">
        <v>215</v>
      </c>
      <c r="I299" s="64">
        <v>215</v>
      </c>
      <c r="K299">
        <v>215</v>
      </c>
      <c r="M299">
        <v>215</v>
      </c>
      <c r="O299">
        <v>215</v>
      </c>
      <c r="Q299">
        <v>215</v>
      </c>
      <c r="S299">
        <v>215</v>
      </c>
      <c r="U299">
        <v>215</v>
      </c>
      <c r="W299">
        <v>215</v>
      </c>
      <c r="Y299">
        <v>215</v>
      </c>
      <c r="AA299">
        <v>215</v>
      </c>
      <c r="AC299">
        <v>215</v>
      </c>
      <c r="AE299">
        <v>215</v>
      </c>
      <c r="AG299">
        <v>215</v>
      </c>
      <c r="AI299">
        <v>215</v>
      </c>
      <c r="AK299">
        <v>215</v>
      </c>
      <c r="AM299">
        <v>215</v>
      </c>
      <c r="AO299">
        <v>215</v>
      </c>
      <c r="AQ299">
        <v>215</v>
      </c>
      <c r="AS299">
        <v>215</v>
      </c>
    </row>
    <row r="300" spans="7:45">
      <c r="G300" s="64">
        <v>216</v>
      </c>
      <c r="I300" s="64">
        <v>216</v>
      </c>
      <c r="K300">
        <v>216</v>
      </c>
      <c r="M300">
        <v>216</v>
      </c>
      <c r="O300">
        <v>216</v>
      </c>
      <c r="Q300">
        <v>216</v>
      </c>
      <c r="S300">
        <v>216</v>
      </c>
      <c r="U300">
        <v>216</v>
      </c>
      <c r="W300">
        <v>216</v>
      </c>
      <c r="Y300">
        <v>216</v>
      </c>
      <c r="AA300">
        <v>216</v>
      </c>
      <c r="AC300">
        <v>216</v>
      </c>
      <c r="AE300">
        <v>216</v>
      </c>
      <c r="AG300">
        <v>216</v>
      </c>
      <c r="AI300">
        <v>216</v>
      </c>
      <c r="AK300">
        <v>216</v>
      </c>
      <c r="AM300">
        <v>216</v>
      </c>
      <c r="AO300">
        <v>216</v>
      </c>
      <c r="AQ300">
        <v>216</v>
      </c>
      <c r="AS300">
        <v>216</v>
      </c>
    </row>
    <row r="301" spans="7:45">
      <c r="G301" s="64">
        <v>217</v>
      </c>
      <c r="I301" s="64">
        <v>217</v>
      </c>
      <c r="K301">
        <v>217</v>
      </c>
      <c r="M301">
        <v>217</v>
      </c>
      <c r="O301">
        <v>217</v>
      </c>
      <c r="Q301">
        <v>217</v>
      </c>
      <c r="S301">
        <v>217</v>
      </c>
      <c r="U301">
        <v>217</v>
      </c>
      <c r="W301">
        <v>217</v>
      </c>
      <c r="Y301">
        <v>217</v>
      </c>
      <c r="AA301">
        <v>217</v>
      </c>
      <c r="AC301">
        <v>217</v>
      </c>
      <c r="AE301">
        <v>217</v>
      </c>
      <c r="AG301">
        <v>217</v>
      </c>
      <c r="AI301">
        <v>217</v>
      </c>
      <c r="AK301">
        <v>217</v>
      </c>
      <c r="AM301">
        <v>217</v>
      </c>
      <c r="AO301">
        <v>217</v>
      </c>
      <c r="AQ301">
        <v>217</v>
      </c>
      <c r="AS301">
        <v>217</v>
      </c>
    </row>
    <row r="302" spans="7:45">
      <c r="G302" s="64">
        <v>217.5</v>
      </c>
      <c r="I302" s="64">
        <v>217.5</v>
      </c>
      <c r="K302">
        <v>217.5</v>
      </c>
      <c r="M302">
        <v>217.5</v>
      </c>
      <c r="O302">
        <v>217.5</v>
      </c>
      <c r="Q302">
        <v>217.5</v>
      </c>
      <c r="S302">
        <v>217.5</v>
      </c>
      <c r="U302">
        <v>217.5</v>
      </c>
      <c r="W302">
        <v>217.5</v>
      </c>
      <c r="Y302">
        <v>217.5</v>
      </c>
      <c r="AA302">
        <v>217.5</v>
      </c>
      <c r="AC302">
        <v>217.5</v>
      </c>
      <c r="AE302">
        <v>217.5</v>
      </c>
      <c r="AG302">
        <v>217.5</v>
      </c>
      <c r="AI302">
        <v>217.5</v>
      </c>
      <c r="AK302">
        <v>217.5</v>
      </c>
      <c r="AM302">
        <v>217.5</v>
      </c>
      <c r="AO302">
        <v>217.5</v>
      </c>
      <c r="AQ302">
        <v>217.5</v>
      </c>
      <c r="AS302">
        <v>217.5</v>
      </c>
    </row>
    <row r="303" spans="7:45">
      <c r="G303" s="64">
        <v>218</v>
      </c>
      <c r="I303" s="64">
        <v>218</v>
      </c>
      <c r="K303">
        <v>218</v>
      </c>
      <c r="M303">
        <v>218</v>
      </c>
      <c r="O303">
        <v>218</v>
      </c>
      <c r="Q303">
        <v>218</v>
      </c>
      <c r="S303">
        <v>218</v>
      </c>
      <c r="U303">
        <v>218</v>
      </c>
      <c r="W303">
        <v>218</v>
      </c>
      <c r="Y303">
        <v>218</v>
      </c>
      <c r="AA303">
        <v>218</v>
      </c>
      <c r="AC303">
        <v>218</v>
      </c>
      <c r="AE303">
        <v>218</v>
      </c>
      <c r="AG303">
        <v>218</v>
      </c>
      <c r="AI303">
        <v>218</v>
      </c>
      <c r="AK303">
        <v>218</v>
      </c>
      <c r="AM303">
        <v>218</v>
      </c>
      <c r="AO303">
        <v>218</v>
      </c>
      <c r="AQ303">
        <v>218</v>
      </c>
      <c r="AS303">
        <v>218</v>
      </c>
    </row>
    <row r="304" spans="7:45">
      <c r="G304" s="64">
        <v>219</v>
      </c>
      <c r="I304" s="64">
        <v>219</v>
      </c>
      <c r="K304">
        <v>219</v>
      </c>
      <c r="M304">
        <v>219</v>
      </c>
      <c r="O304">
        <v>219</v>
      </c>
      <c r="Q304">
        <v>219</v>
      </c>
      <c r="S304">
        <v>219</v>
      </c>
      <c r="U304">
        <v>219</v>
      </c>
      <c r="W304">
        <v>219</v>
      </c>
      <c r="Y304">
        <v>219</v>
      </c>
      <c r="AA304">
        <v>219</v>
      </c>
      <c r="AC304">
        <v>219</v>
      </c>
      <c r="AE304">
        <v>219</v>
      </c>
      <c r="AG304">
        <v>219</v>
      </c>
      <c r="AI304">
        <v>219</v>
      </c>
      <c r="AK304">
        <v>219</v>
      </c>
      <c r="AM304">
        <v>219</v>
      </c>
      <c r="AO304">
        <v>219</v>
      </c>
      <c r="AQ304">
        <v>219</v>
      </c>
      <c r="AS304">
        <v>219</v>
      </c>
    </row>
    <row r="305" spans="7:45">
      <c r="G305" s="64">
        <v>220</v>
      </c>
      <c r="I305" s="64">
        <v>220</v>
      </c>
      <c r="K305">
        <v>220</v>
      </c>
      <c r="M305">
        <v>220</v>
      </c>
      <c r="O305">
        <v>220</v>
      </c>
      <c r="Q305">
        <v>220</v>
      </c>
      <c r="S305">
        <v>220</v>
      </c>
      <c r="U305">
        <v>220</v>
      </c>
      <c r="W305">
        <v>220</v>
      </c>
      <c r="Y305">
        <v>220</v>
      </c>
      <c r="AA305">
        <v>220</v>
      </c>
      <c r="AC305">
        <v>220</v>
      </c>
      <c r="AE305">
        <v>220</v>
      </c>
      <c r="AG305">
        <v>220</v>
      </c>
      <c r="AI305">
        <v>220</v>
      </c>
      <c r="AK305">
        <v>220</v>
      </c>
      <c r="AM305">
        <v>220</v>
      </c>
      <c r="AO305">
        <v>220</v>
      </c>
      <c r="AQ305">
        <v>220</v>
      </c>
      <c r="AS305">
        <v>220</v>
      </c>
    </row>
    <row r="306" spans="7:45">
      <c r="G306" s="64">
        <v>221</v>
      </c>
      <c r="I306" s="64">
        <v>221</v>
      </c>
      <c r="K306">
        <v>221</v>
      </c>
      <c r="M306">
        <v>221</v>
      </c>
      <c r="O306">
        <v>221</v>
      </c>
      <c r="Q306">
        <v>221</v>
      </c>
      <c r="S306">
        <v>221</v>
      </c>
      <c r="U306">
        <v>221</v>
      </c>
      <c r="W306">
        <v>221</v>
      </c>
      <c r="Y306">
        <v>221</v>
      </c>
      <c r="AA306">
        <v>221</v>
      </c>
      <c r="AC306">
        <v>221</v>
      </c>
      <c r="AE306">
        <v>221</v>
      </c>
      <c r="AG306">
        <v>221</v>
      </c>
      <c r="AI306">
        <v>221</v>
      </c>
      <c r="AK306">
        <v>221</v>
      </c>
      <c r="AM306">
        <v>221</v>
      </c>
      <c r="AO306">
        <v>221</v>
      </c>
      <c r="AQ306">
        <v>221</v>
      </c>
      <c r="AS306">
        <v>221</v>
      </c>
    </row>
    <row r="307" spans="7:45">
      <c r="G307" s="64">
        <v>222</v>
      </c>
      <c r="I307" s="64">
        <v>222</v>
      </c>
      <c r="K307">
        <v>222</v>
      </c>
      <c r="M307">
        <v>222</v>
      </c>
      <c r="O307">
        <v>222</v>
      </c>
      <c r="Q307">
        <v>222</v>
      </c>
      <c r="S307">
        <v>222</v>
      </c>
      <c r="U307">
        <v>222</v>
      </c>
      <c r="W307">
        <v>222</v>
      </c>
      <c r="Y307">
        <v>222</v>
      </c>
      <c r="AA307">
        <v>222</v>
      </c>
      <c r="AC307">
        <v>222</v>
      </c>
      <c r="AE307">
        <v>222</v>
      </c>
      <c r="AG307">
        <v>222</v>
      </c>
      <c r="AI307">
        <v>222</v>
      </c>
      <c r="AK307">
        <v>222</v>
      </c>
      <c r="AM307">
        <v>222</v>
      </c>
      <c r="AO307">
        <v>222</v>
      </c>
      <c r="AQ307">
        <v>222</v>
      </c>
      <c r="AS307">
        <v>222</v>
      </c>
    </row>
    <row r="308" spans="7:45">
      <c r="G308" s="64">
        <v>222.5</v>
      </c>
      <c r="I308" s="64">
        <v>222.5</v>
      </c>
      <c r="K308">
        <v>222.5</v>
      </c>
      <c r="M308">
        <v>222.5</v>
      </c>
      <c r="O308">
        <v>222.5</v>
      </c>
      <c r="Q308">
        <v>222.5</v>
      </c>
      <c r="S308">
        <v>222.5</v>
      </c>
      <c r="U308">
        <v>222.5</v>
      </c>
      <c r="W308">
        <v>222.5</v>
      </c>
      <c r="Y308">
        <v>222.5</v>
      </c>
      <c r="AA308">
        <v>222.5</v>
      </c>
      <c r="AC308">
        <v>222.5</v>
      </c>
      <c r="AE308">
        <v>222.5</v>
      </c>
      <c r="AG308">
        <v>222.5</v>
      </c>
      <c r="AI308">
        <v>222.5</v>
      </c>
      <c r="AK308">
        <v>222.5</v>
      </c>
      <c r="AM308">
        <v>222.5</v>
      </c>
      <c r="AO308">
        <v>222.5</v>
      </c>
      <c r="AQ308">
        <v>222.5</v>
      </c>
      <c r="AS308">
        <v>222.5</v>
      </c>
    </row>
    <row r="309" spans="7:45">
      <c r="G309" s="64">
        <v>223</v>
      </c>
      <c r="I309" s="64">
        <v>223</v>
      </c>
      <c r="K309">
        <v>223</v>
      </c>
      <c r="M309">
        <v>223</v>
      </c>
      <c r="O309">
        <v>223</v>
      </c>
      <c r="Q309">
        <v>223</v>
      </c>
      <c r="S309">
        <v>223</v>
      </c>
      <c r="U309">
        <v>223</v>
      </c>
      <c r="W309">
        <v>223</v>
      </c>
      <c r="Y309">
        <v>223</v>
      </c>
      <c r="AA309">
        <v>223</v>
      </c>
      <c r="AC309">
        <v>223</v>
      </c>
      <c r="AE309">
        <v>223</v>
      </c>
      <c r="AG309">
        <v>223</v>
      </c>
      <c r="AI309">
        <v>223</v>
      </c>
      <c r="AK309">
        <v>223</v>
      </c>
      <c r="AM309">
        <v>223</v>
      </c>
      <c r="AO309">
        <v>223</v>
      </c>
      <c r="AQ309">
        <v>223</v>
      </c>
      <c r="AS309">
        <v>223</v>
      </c>
    </row>
    <row r="310" spans="7:45">
      <c r="G310" s="64">
        <v>224</v>
      </c>
      <c r="I310" s="64">
        <v>224</v>
      </c>
      <c r="K310">
        <v>224</v>
      </c>
      <c r="M310">
        <v>224</v>
      </c>
      <c r="O310">
        <v>224</v>
      </c>
      <c r="Q310">
        <v>224</v>
      </c>
      <c r="S310">
        <v>224</v>
      </c>
      <c r="U310">
        <v>224</v>
      </c>
      <c r="W310">
        <v>224</v>
      </c>
      <c r="Y310">
        <v>224</v>
      </c>
      <c r="AA310">
        <v>224</v>
      </c>
      <c r="AC310">
        <v>224</v>
      </c>
      <c r="AE310">
        <v>224</v>
      </c>
      <c r="AG310">
        <v>224</v>
      </c>
      <c r="AI310">
        <v>224</v>
      </c>
      <c r="AK310">
        <v>224</v>
      </c>
      <c r="AM310">
        <v>224</v>
      </c>
      <c r="AO310">
        <v>224</v>
      </c>
      <c r="AQ310">
        <v>224</v>
      </c>
      <c r="AS310">
        <v>224</v>
      </c>
    </row>
    <row r="311" spans="7:45">
      <c r="G311" s="64">
        <v>225</v>
      </c>
      <c r="I311" s="64">
        <v>225</v>
      </c>
      <c r="K311">
        <v>225</v>
      </c>
      <c r="M311">
        <v>225</v>
      </c>
      <c r="O311">
        <v>225</v>
      </c>
      <c r="Q311">
        <v>225</v>
      </c>
      <c r="S311">
        <v>225</v>
      </c>
      <c r="U311">
        <v>225</v>
      </c>
      <c r="W311">
        <v>225</v>
      </c>
      <c r="Y311">
        <v>225</v>
      </c>
      <c r="AA311">
        <v>225</v>
      </c>
      <c r="AC311">
        <v>225</v>
      </c>
      <c r="AE311">
        <v>225</v>
      </c>
      <c r="AG311">
        <v>225</v>
      </c>
      <c r="AI311">
        <v>225</v>
      </c>
      <c r="AK311">
        <v>225</v>
      </c>
      <c r="AM311">
        <v>225</v>
      </c>
      <c r="AO311">
        <v>225</v>
      </c>
      <c r="AQ311">
        <v>225</v>
      </c>
      <c r="AS311">
        <v>225</v>
      </c>
    </row>
    <row r="312" spans="7:45">
      <c r="G312" s="64">
        <v>226</v>
      </c>
      <c r="I312" s="64">
        <v>226</v>
      </c>
      <c r="K312">
        <v>226</v>
      </c>
      <c r="M312">
        <v>226</v>
      </c>
      <c r="O312">
        <v>226</v>
      </c>
      <c r="Q312">
        <v>226</v>
      </c>
      <c r="S312">
        <v>226</v>
      </c>
      <c r="U312">
        <v>226</v>
      </c>
      <c r="W312">
        <v>226</v>
      </c>
      <c r="Y312">
        <v>226</v>
      </c>
      <c r="AA312">
        <v>226</v>
      </c>
      <c r="AC312">
        <v>226</v>
      </c>
      <c r="AE312">
        <v>226</v>
      </c>
      <c r="AG312">
        <v>226</v>
      </c>
      <c r="AI312">
        <v>226</v>
      </c>
      <c r="AK312">
        <v>226</v>
      </c>
      <c r="AM312">
        <v>226</v>
      </c>
      <c r="AO312">
        <v>226</v>
      </c>
      <c r="AQ312">
        <v>226</v>
      </c>
      <c r="AS312">
        <v>226</v>
      </c>
    </row>
    <row r="313" spans="7:45">
      <c r="G313" s="64">
        <v>227</v>
      </c>
      <c r="I313" s="64">
        <v>227</v>
      </c>
      <c r="K313">
        <v>227</v>
      </c>
      <c r="M313">
        <v>227</v>
      </c>
      <c r="O313">
        <v>227</v>
      </c>
      <c r="Q313">
        <v>227</v>
      </c>
      <c r="S313">
        <v>227</v>
      </c>
      <c r="U313">
        <v>227</v>
      </c>
      <c r="W313">
        <v>227</v>
      </c>
      <c r="Y313">
        <v>227</v>
      </c>
      <c r="AA313">
        <v>227</v>
      </c>
      <c r="AC313">
        <v>227</v>
      </c>
      <c r="AE313">
        <v>227</v>
      </c>
      <c r="AG313">
        <v>227</v>
      </c>
      <c r="AI313">
        <v>227</v>
      </c>
      <c r="AK313">
        <v>227</v>
      </c>
      <c r="AM313">
        <v>227</v>
      </c>
      <c r="AO313">
        <v>227</v>
      </c>
      <c r="AQ313">
        <v>227</v>
      </c>
      <c r="AS313">
        <v>227</v>
      </c>
    </row>
    <row r="314" spans="7:45">
      <c r="G314" s="64">
        <v>228</v>
      </c>
      <c r="I314" s="64">
        <v>228</v>
      </c>
      <c r="K314">
        <v>228</v>
      </c>
      <c r="M314">
        <v>228</v>
      </c>
      <c r="O314">
        <v>228</v>
      </c>
      <c r="Q314">
        <v>228</v>
      </c>
      <c r="S314">
        <v>228</v>
      </c>
      <c r="U314">
        <v>228</v>
      </c>
      <c r="W314">
        <v>228</v>
      </c>
      <c r="Y314">
        <v>228</v>
      </c>
      <c r="AA314">
        <v>228</v>
      </c>
      <c r="AC314">
        <v>228</v>
      </c>
      <c r="AE314">
        <v>228</v>
      </c>
      <c r="AG314">
        <v>228</v>
      </c>
      <c r="AI314">
        <v>228</v>
      </c>
      <c r="AK314">
        <v>228</v>
      </c>
      <c r="AM314">
        <v>228</v>
      </c>
      <c r="AO314">
        <v>228</v>
      </c>
      <c r="AQ314">
        <v>228</v>
      </c>
      <c r="AS314">
        <v>228</v>
      </c>
    </row>
    <row r="315" spans="7:45">
      <c r="G315" s="64">
        <v>230</v>
      </c>
      <c r="I315" s="64">
        <v>230</v>
      </c>
      <c r="K315">
        <v>230</v>
      </c>
      <c r="M315">
        <v>230</v>
      </c>
      <c r="O315">
        <v>230</v>
      </c>
      <c r="Q315">
        <v>230</v>
      </c>
      <c r="S315">
        <v>230</v>
      </c>
      <c r="U315">
        <v>230</v>
      </c>
      <c r="W315">
        <v>230</v>
      </c>
      <c r="Y315">
        <v>230</v>
      </c>
      <c r="AA315">
        <v>230</v>
      </c>
      <c r="AC315">
        <v>230</v>
      </c>
      <c r="AE315">
        <v>230</v>
      </c>
      <c r="AG315">
        <v>230</v>
      </c>
      <c r="AI315">
        <v>230</v>
      </c>
      <c r="AK315">
        <v>230</v>
      </c>
      <c r="AM315">
        <v>230</v>
      </c>
      <c r="AO315">
        <v>230</v>
      </c>
      <c r="AQ315">
        <v>230</v>
      </c>
      <c r="AS315">
        <v>230</v>
      </c>
    </row>
    <row r="316" spans="7:45">
      <c r="G316" s="64">
        <v>235</v>
      </c>
      <c r="I316" s="64">
        <v>235</v>
      </c>
      <c r="K316">
        <v>235</v>
      </c>
      <c r="M316">
        <v>235</v>
      </c>
      <c r="O316">
        <v>235</v>
      </c>
      <c r="Q316">
        <v>235</v>
      </c>
      <c r="S316">
        <v>235</v>
      </c>
      <c r="U316">
        <v>235</v>
      </c>
      <c r="W316">
        <v>235</v>
      </c>
      <c r="Y316">
        <v>235</v>
      </c>
      <c r="AA316">
        <v>235</v>
      </c>
      <c r="AC316">
        <v>235</v>
      </c>
      <c r="AE316">
        <v>235</v>
      </c>
      <c r="AG316">
        <v>235</v>
      </c>
      <c r="AI316">
        <v>235</v>
      </c>
      <c r="AK316">
        <v>235</v>
      </c>
      <c r="AM316">
        <v>235</v>
      </c>
      <c r="AO316">
        <v>235</v>
      </c>
      <c r="AQ316">
        <v>235</v>
      </c>
      <c r="AS316">
        <v>235</v>
      </c>
    </row>
    <row r="317" spans="7:45">
      <c r="G317" s="64">
        <v>240</v>
      </c>
      <c r="I317" s="64">
        <v>240</v>
      </c>
      <c r="K317">
        <v>240</v>
      </c>
      <c r="M317">
        <v>240</v>
      </c>
      <c r="O317">
        <v>240</v>
      </c>
      <c r="Q317">
        <v>240</v>
      </c>
      <c r="S317">
        <v>240</v>
      </c>
      <c r="U317">
        <v>240</v>
      </c>
      <c r="W317">
        <v>240</v>
      </c>
      <c r="Y317">
        <v>240</v>
      </c>
      <c r="AA317">
        <v>240</v>
      </c>
      <c r="AC317">
        <v>240</v>
      </c>
      <c r="AE317">
        <v>240</v>
      </c>
      <c r="AG317">
        <v>240</v>
      </c>
      <c r="AI317">
        <v>240</v>
      </c>
      <c r="AK317">
        <v>240</v>
      </c>
      <c r="AM317">
        <v>240</v>
      </c>
      <c r="AO317">
        <v>240</v>
      </c>
      <c r="AQ317">
        <v>240</v>
      </c>
      <c r="AS317">
        <v>240</v>
      </c>
    </row>
    <row r="318" spans="7:45">
      <c r="G318" s="64">
        <v>245</v>
      </c>
      <c r="I318" s="64">
        <v>245</v>
      </c>
      <c r="K318">
        <v>245</v>
      </c>
      <c r="M318">
        <v>245</v>
      </c>
      <c r="O318">
        <v>245</v>
      </c>
      <c r="Q318">
        <v>245</v>
      </c>
      <c r="S318">
        <v>245</v>
      </c>
      <c r="U318">
        <v>245</v>
      </c>
      <c r="W318">
        <v>245</v>
      </c>
      <c r="Y318">
        <v>245</v>
      </c>
      <c r="AA318">
        <v>245</v>
      </c>
      <c r="AC318">
        <v>245</v>
      </c>
      <c r="AE318">
        <v>245</v>
      </c>
      <c r="AG318">
        <v>245</v>
      </c>
      <c r="AI318">
        <v>245</v>
      </c>
      <c r="AK318">
        <v>245</v>
      </c>
      <c r="AM318">
        <v>245</v>
      </c>
      <c r="AO318">
        <v>245</v>
      </c>
      <c r="AQ318">
        <v>245</v>
      </c>
      <c r="AS318">
        <v>245</v>
      </c>
    </row>
    <row r="319" spans="7:45">
      <c r="G319" s="64">
        <v>250</v>
      </c>
      <c r="I319" s="64">
        <v>250</v>
      </c>
      <c r="K319">
        <v>250</v>
      </c>
      <c r="M319">
        <v>250</v>
      </c>
      <c r="O319">
        <v>250</v>
      </c>
      <c r="Q319">
        <v>250</v>
      </c>
      <c r="S319">
        <v>250</v>
      </c>
      <c r="U319">
        <v>250</v>
      </c>
      <c r="W319">
        <v>250</v>
      </c>
      <c r="Y319">
        <v>250</v>
      </c>
      <c r="AA319">
        <v>250</v>
      </c>
      <c r="AC319">
        <v>250</v>
      </c>
      <c r="AE319">
        <v>250</v>
      </c>
      <c r="AG319">
        <v>250</v>
      </c>
      <c r="AI319">
        <v>250</v>
      </c>
      <c r="AK319">
        <v>250</v>
      </c>
      <c r="AM319">
        <v>250</v>
      </c>
      <c r="AO319">
        <v>250</v>
      </c>
      <c r="AQ319">
        <v>250</v>
      </c>
      <c r="AS319">
        <v>250</v>
      </c>
    </row>
    <row r="320" spans="7:45">
      <c r="G320" s="64">
        <v>255</v>
      </c>
      <c r="I320" s="64">
        <v>255</v>
      </c>
      <c r="K320">
        <v>255</v>
      </c>
      <c r="M320">
        <v>255</v>
      </c>
      <c r="O320">
        <v>255</v>
      </c>
      <c r="Q320">
        <v>255</v>
      </c>
      <c r="S320">
        <v>255</v>
      </c>
      <c r="U320">
        <v>255</v>
      </c>
      <c r="W320">
        <v>255</v>
      </c>
      <c r="Y320">
        <v>255</v>
      </c>
      <c r="AA320">
        <v>255</v>
      </c>
      <c r="AC320">
        <v>255</v>
      </c>
      <c r="AE320">
        <v>255</v>
      </c>
      <c r="AG320">
        <v>255</v>
      </c>
      <c r="AI320">
        <v>255</v>
      </c>
      <c r="AK320">
        <v>255</v>
      </c>
      <c r="AM320">
        <v>255</v>
      </c>
      <c r="AO320">
        <v>255</v>
      </c>
      <c r="AQ320">
        <v>255</v>
      </c>
      <c r="AS320">
        <v>255</v>
      </c>
    </row>
    <row r="321" spans="7:45">
      <c r="G321" s="64">
        <v>260</v>
      </c>
      <c r="I321" s="64">
        <v>260</v>
      </c>
      <c r="K321">
        <v>260</v>
      </c>
      <c r="M321">
        <v>260</v>
      </c>
      <c r="O321">
        <v>260</v>
      </c>
      <c r="Q321">
        <v>260</v>
      </c>
      <c r="S321">
        <v>260</v>
      </c>
      <c r="U321">
        <v>260</v>
      </c>
      <c r="W321">
        <v>260</v>
      </c>
      <c r="Y321">
        <v>260</v>
      </c>
      <c r="AA321">
        <v>260</v>
      </c>
      <c r="AC321">
        <v>260</v>
      </c>
      <c r="AE321">
        <v>260</v>
      </c>
      <c r="AG321">
        <v>260</v>
      </c>
      <c r="AI321">
        <v>260</v>
      </c>
      <c r="AK321">
        <v>260</v>
      </c>
      <c r="AM321">
        <v>260</v>
      </c>
      <c r="AO321">
        <v>260</v>
      </c>
      <c r="AQ321">
        <v>260</v>
      </c>
      <c r="AS321">
        <v>260</v>
      </c>
    </row>
    <row r="322" spans="7:45">
      <c r="G322" s="64">
        <v>265</v>
      </c>
      <c r="I322" s="64">
        <v>265</v>
      </c>
      <c r="K322">
        <v>265</v>
      </c>
      <c r="M322">
        <v>265</v>
      </c>
      <c r="O322">
        <v>265</v>
      </c>
      <c r="Q322">
        <v>265</v>
      </c>
      <c r="S322">
        <v>265</v>
      </c>
      <c r="U322">
        <v>265</v>
      </c>
      <c r="W322">
        <v>265</v>
      </c>
      <c r="Y322">
        <v>265</v>
      </c>
      <c r="AA322">
        <v>265</v>
      </c>
      <c r="AC322">
        <v>265</v>
      </c>
      <c r="AE322">
        <v>265</v>
      </c>
      <c r="AG322">
        <v>265</v>
      </c>
      <c r="AI322">
        <v>265</v>
      </c>
      <c r="AK322">
        <v>265</v>
      </c>
      <c r="AM322">
        <v>265</v>
      </c>
      <c r="AO322">
        <v>265</v>
      </c>
      <c r="AQ322">
        <v>265</v>
      </c>
      <c r="AS322">
        <v>265</v>
      </c>
    </row>
    <row r="323" spans="7:45">
      <c r="G323" s="64">
        <v>270</v>
      </c>
      <c r="I323" s="64">
        <v>270</v>
      </c>
      <c r="K323">
        <v>270</v>
      </c>
      <c r="M323">
        <v>270</v>
      </c>
      <c r="O323">
        <v>270</v>
      </c>
      <c r="Q323">
        <v>270</v>
      </c>
      <c r="S323">
        <v>270</v>
      </c>
      <c r="U323">
        <v>270</v>
      </c>
      <c r="W323">
        <v>270</v>
      </c>
      <c r="Y323">
        <v>270</v>
      </c>
      <c r="AA323">
        <v>270</v>
      </c>
      <c r="AC323">
        <v>270</v>
      </c>
      <c r="AE323">
        <v>270</v>
      </c>
      <c r="AG323">
        <v>270</v>
      </c>
      <c r="AI323">
        <v>270</v>
      </c>
      <c r="AK323">
        <v>270</v>
      </c>
      <c r="AM323">
        <v>270</v>
      </c>
      <c r="AO323">
        <v>270</v>
      </c>
      <c r="AQ323">
        <v>270</v>
      </c>
      <c r="AS323">
        <v>270</v>
      </c>
    </row>
    <row r="324" spans="7:45">
      <c r="G324" s="64">
        <v>275</v>
      </c>
      <c r="I324" s="64">
        <v>275</v>
      </c>
      <c r="K324">
        <v>275</v>
      </c>
      <c r="M324">
        <v>275</v>
      </c>
      <c r="O324">
        <v>275</v>
      </c>
      <c r="Q324">
        <v>275</v>
      </c>
      <c r="S324">
        <v>275</v>
      </c>
      <c r="U324">
        <v>275</v>
      </c>
      <c r="W324">
        <v>275</v>
      </c>
      <c r="Y324">
        <v>275</v>
      </c>
      <c r="AA324">
        <v>275</v>
      </c>
      <c r="AC324">
        <v>275</v>
      </c>
      <c r="AE324">
        <v>275</v>
      </c>
      <c r="AG324">
        <v>275</v>
      </c>
      <c r="AI324">
        <v>275</v>
      </c>
      <c r="AK324">
        <v>275</v>
      </c>
      <c r="AM324">
        <v>275</v>
      </c>
      <c r="AO324">
        <v>275</v>
      </c>
      <c r="AQ324">
        <v>275</v>
      </c>
      <c r="AS324">
        <v>275</v>
      </c>
    </row>
    <row r="325" spans="7:45">
      <c r="G325" s="64">
        <v>280</v>
      </c>
      <c r="I325" s="64">
        <v>280</v>
      </c>
      <c r="K325">
        <v>280</v>
      </c>
      <c r="M325">
        <v>280</v>
      </c>
      <c r="O325">
        <v>280</v>
      </c>
      <c r="Q325">
        <v>280</v>
      </c>
      <c r="S325">
        <v>280</v>
      </c>
      <c r="U325">
        <v>280</v>
      </c>
      <c r="W325">
        <v>280</v>
      </c>
      <c r="Y325">
        <v>280</v>
      </c>
      <c r="AA325">
        <v>280</v>
      </c>
      <c r="AC325">
        <v>280</v>
      </c>
      <c r="AE325">
        <v>280</v>
      </c>
      <c r="AG325">
        <v>280</v>
      </c>
      <c r="AI325">
        <v>280</v>
      </c>
      <c r="AK325">
        <v>280</v>
      </c>
      <c r="AM325">
        <v>280</v>
      </c>
      <c r="AO325">
        <v>280</v>
      </c>
      <c r="AQ325">
        <v>280</v>
      </c>
      <c r="AS325">
        <v>280</v>
      </c>
    </row>
    <row r="326" spans="7:45">
      <c r="G326" s="64">
        <v>285</v>
      </c>
      <c r="I326" s="64">
        <v>285</v>
      </c>
      <c r="K326">
        <v>285</v>
      </c>
      <c r="M326">
        <v>285</v>
      </c>
      <c r="O326">
        <v>285</v>
      </c>
      <c r="Q326">
        <v>285</v>
      </c>
      <c r="S326">
        <v>285</v>
      </c>
      <c r="U326">
        <v>285</v>
      </c>
      <c r="W326">
        <v>285</v>
      </c>
      <c r="Y326">
        <v>285</v>
      </c>
      <c r="AA326">
        <v>285</v>
      </c>
      <c r="AC326">
        <v>285</v>
      </c>
      <c r="AE326">
        <v>285</v>
      </c>
      <c r="AG326">
        <v>285</v>
      </c>
      <c r="AI326">
        <v>285</v>
      </c>
      <c r="AK326">
        <v>285</v>
      </c>
      <c r="AM326">
        <v>285</v>
      </c>
      <c r="AO326">
        <v>285</v>
      </c>
      <c r="AQ326">
        <v>285</v>
      </c>
      <c r="AS326">
        <v>285</v>
      </c>
    </row>
    <row r="327" spans="7:45">
      <c r="G327" s="64">
        <v>290</v>
      </c>
      <c r="I327" s="64">
        <v>290</v>
      </c>
      <c r="K327">
        <v>290</v>
      </c>
      <c r="M327">
        <v>290</v>
      </c>
      <c r="O327">
        <v>290</v>
      </c>
      <c r="Q327">
        <v>290</v>
      </c>
      <c r="S327">
        <v>290</v>
      </c>
      <c r="U327">
        <v>290</v>
      </c>
      <c r="W327">
        <v>290</v>
      </c>
      <c r="Y327">
        <v>290</v>
      </c>
      <c r="AA327">
        <v>290</v>
      </c>
      <c r="AC327">
        <v>290</v>
      </c>
      <c r="AE327">
        <v>290</v>
      </c>
      <c r="AG327">
        <v>290</v>
      </c>
      <c r="AI327">
        <v>290</v>
      </c>
      <c r="AK327">
        <v>290</v>
      </c>
      <c r="AM327">
        <v>290</v>
      </c>
      <c r="AO327">
        <v>290</v>
      </c>
      <c r="AQ327">
        <v>290</v>
      </c>
      <c r="AS327">
        <v>290</v>
      </c>
    </row>
    <row r="328" spans="7:45">
      <c r="G328" s="64">
        <v>295</v>
      </c>
      <c r="I328" s="64">
        <v>295</v>
      </c>
      <c r="K328">
        <v>295</v>
      </c>
      <c r="M328">
        <v>295</v>
      </c>
      <c r="O328">
        <v>295</v>
      </c>
      <c r="Q328">
        <v>295</v>
      </c>
      <c r="S328">
        <v>295</v>
      </c>
      <c r="U328">
        <v>295</v>
      </c>
      <c r="W328">
        <v>295</v>
      </c>
      <c r="Y328">
        <v>295</v>
      </c>
      <c r="AA328">
        <v>295</v>
      </c>
      <c r="AC328">
        <v>295</v>
      </c>
      <c r="AE328">
        <v>295</v>
      </c>
      <c r="AG328">
        <v>295</v>
      </c>
      <c r="AI328">
        <v>295</v>
      </c>
      <c r="AK328">
        <v>295</v>
      </c>
      <c r="AM328">
        <v>295</v>
      </c>
      <c r="AO328">
        <v>295</v>
      </c>
      <c r="AQ328">
        <v>295</v>
      </c>
      <c r="AS328">
        <v>295</v>
      </c>
    </row>
    <row r="329" spans="7:45">
      <c r="G329" s="64">
        <v>300</v>
      </c>
      <c r="I329" s="64">
        <v>300</v>
      </c>
      <c r="K329">
        <v>300</v>
      </c>
      <c r="M329">
        <v>300</v>
      </c>
      <c r="O329">
        <v>300</v>
      </c>
      <c r="Q329">
        <v>300</v>
      </c>
      <c r="S329">
        <v>300</v>
      </c>
      <c r="U329">
        <v>300</v>
      </c>
      <c r="W329">
        <v>300</v>
      </c>
      <c r="Y329">
        <v>300</v>
      </c>
      <c r="AA329">
        <v>300</v>
      </c>
      <c r="AC329">
        <v>300</v>
      </c>
      <c r="AE329">
        <v>300</v>
      </c>
      <c r="AG329">
        <v>300</v>
      </c>
      <c r="AI329">
        <v>300</v>
      </c>
      <c r="AK329">
        <v>300</v>
      </c>
      <c r="AM329">
        <v>300</v>
      </c>
      <c r="AO329">
        <v>300</v>
      </c>
      <c r="AQ329">
        <v>300</v>
      </c>
      <c r="AS329">
        <v>300</v>
      </c>
    </row>
    <row r="330" spans="7:45">
      <c r="G330" s="64">
        <v>305</v>
      </c>
      <c r="I330" s="64">
        <v>305</v>
      </c>
      <c r="K330">
        <v>305</v>
      </c>
      <c r="M330">
        <v>305</v>
      </c>
      <c r="O330">
        <v>305</v>
      </c>
      <c r="Q330">
        <v>305</v>
      </c>
      <c r="S330">
        <v>305</v>
      </c>
      <c r="U330">
        <v>305</v>
      </c>
      <c r="W330">
        <v>305</v>
      </c>
      <c r="Y330">
        <v>305</v>
      </c>
      <c r="AA330">
        <v>305</v>
      </c>
      <c r="AC330">
        <v>305</v>
      </c>
      <c r="AE330">
        <v>305</v>
      </c>
      <c r="AG330">
        <v>305</v>
      </c>
      <c r="AI330">
        <v>305</v>
      </c>
      <c r="AK330">
        <v>305</v>
      </c>
      <c r="AM330">
        <v>305</v>
      </c>
      <c r="AO330">
        <v>305</v>
      </c>
      <c r="AQ330">
        <v>305</v>
      </c>
      <c r="AS330">
        <v>305</v>
      </c>
    </row>
    <row r="331" spans="7:45">
      <c r="G331" s="64">
        <v>310</v>
      </c>
      <c r="I331" s="64">
        <v>310</v>
      </c>
      <c r="K331">
        <v>310</v>
      </c>
      <c r="M331">
        <v>310</v>
      </c>
      <c r="O331">
        <v>310</v>
      </c>
      <c r="Q331">
        <v>310</v>
      </c>
      <c r="S331">
        <v>310</v>
      </c>
      <c r="U331">
        <v>310</v>
      </c>
      <c r="W331">
        <v>310</v>
      </c>
      <c r="Y331">
        <v>310</v>
      </c>
      <c r="AA331">
        <v>310</v>
      </c>
      <c r="AC331">
        <v>310</v>
      </c>
      <c r="AE331">
        <v>310</v>
      </c>
      <c r="AG331">
        <v>310</v>
      </c>
      <c r="AI331">
        <v>310</v>
      </c>
      <c r="AK331">
        <v>310</v>
      </c>
      <c r="AM331">
        <v>310</v>
      </c>
      <c r="AO331">
        <v>310</v>
      </c>
      <c r="AQ331">
        <v>310</v>
      </c>
      <c r="AS331">
        <v>310</v>
      </c>
    </row>
  </sheetData>
  <mergeCells count="4">
    <mergeCell ref="A2:B2"/>
    <mergeCell ref="A9:B9"/>
    <mergeCell ref="A18:B18"/>
    <mergeCell ref="E2:F2"/>
  </mergeCells>
  <dataValidations count="3">
    <dataValidation type="list" allowBlank="1" showInputMessage="1" showErrorMessage="1" promptTitle="C, P" sqref="B29" xr:uid="{E7095108-87C2-914B-8A79-199C224379EC}">
      <formula1>"C, P"</formula1>
    </dataValidation>
    <dataValidation type="list" allowBlank="1" showInputMessage="1" showErrorMessage="1" sqref="B33" xr:uid="{A250C1F7-9558-1A4E-A3E4-1E76305F5A2D}">
      <formula1>"BUY, SELL"</formula1>
    </dataValidation>
    <dataValidation type="list" allowBlank="1" showInputMessage="1" showErrorMessage="1" sqref="B34" xr:uid="{A599170D-4DF5-6D48-87A1-581F9D607B74}">
      <formula1>"MKT, LMT"</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08C48-C61C-8144-A34F-4551C557385C}">
  <dimension ref="A1:B20"/>
  <sheetViews>
    <sheetView workbookViewId="0">
      <selection sqref="A1:B1"/>
    </sheetView>
  </sheetViews>
  <sheetFormatPr baseColWidth="10" defaultRowHeight="13"/>
  <cols>
    <col min="1" max="1" width="20" bestFit="1" customWidth="1"/>
  </cols>
  <sheetData>
    <row r="1" spans="1:2" ht="25">
      <c r="A1" s="433" t="s">
        <v>501</v>
      </c>
      <c r="B1" s="433"/>
    </row>
    <row r="2" spans="1:2" ht="16">
      <c r="A2" s="237" t="s">
        <v>397</v>
      </c>
      <c r="B2" s="238" t="s">
        <v>339</v>
      </c>
    </row>
    <row r="3" spans="1:2" ht="16">
      <c r="A3" s="237" t="s">
        <v>398</v>
      </c>
      <c r="B3" s="238" t="s">
        <v>383</v>
      </c>
    </row>
    <row r="4" spans="1:2" ht="16">
      <c r="A4" s="237" t="s">
        <v>399</v>
      </c>
      <c r="B4" s="238" t="s">
        <v>384</v>
      </c>
    </row>
    <row r="5" spans="1:2" ht="16">
      <c r="A5" s="237" t="s">
        <v>400</v>
      </c>
      <c r="B5" s="238" t="s">
        <v>42</v>
      </c>
    </row>
    <row r="8" spans="1:2" ht="25">
      <c r="A8" s="433" t="s">
        <v>503</v>
      </c>
      <c r="B8" s="433"/>
    </row>
    <row r="9" spans="1:2">
      <c r="A9" s="214" t="s">
        <v>401</v>
      </c>
      <c r="B9" s="239" t="s">
        <v>391</v>
      </c>
    </row>
    <row r="10" spans="1:2">
      <c r="A10" s="214" t="s">
        <v>402</v>
      </c>
      <c r="B10" s="239" t="s">
        <v>409</v>
      </c>
    </row>
    <row r="11" spans="1:2">
      <c r="A11" s="214" t="s">
        <v>403</v>
      </c>
      <c r="B11" s="240">
        <v>200</v>
      </c>
    </row>
    <row r="12" spans="1:2">
      <c r="A12" s="214" t="s">
        <v>404</v>
      </c>
      <c r="B12" s="240">
        <v>212</v>
      </c>
    </row>
    <row r="16" spans="1:2" ht="25">
      <c r="A16" s="433" t="s">
        <v>502</v>
      </c>
      <c r="B16" s="433"/>
    </row>
    <row r="17" spans="1:2">
      <c r="A17" s="214" t="s">
        <v>405</v>
      </c>
      <c r="B17" s="239" t="s">
        <v>390</v>
      </c>
    </row>
    <row r="18" spans="1:2">
      <c r="A18" s="214" t="s">
        <v>406</v>
      </c>
      <c r="B18" s="239" t="s">
        <v>410</v>
      </c>
    </row>
    <row r="19" spans="1:2">
      <c r="A19" s="214" t="s">
        <v>407</v>
      </c>
      <c r="B19" s="240">
        <f>B11</f>
        <v>200</v>
      </c>
    </row>
    <row r="20" spans="1:2">
      <c r="A20" s="214" t="s">
        <v>408</v>
      </c>
      <c r="B20" s="240">
        <v>150</v>
      </c>
    </row>
  </sheetData>
  <mergeCells count="3">
    <mergeCell ref="A1:B1"/>
    <mergeCell ref="A16:B16"/>
    <mergeCell ref="A8:B8"/>
  </mergeCells>
  <dataValidations count="3">
    <dataValidation type="list" allowBlank="1" showInputMessage="1" showErrorMessage="1" sqref="B17" xr:uid="{CF1FB007-7B36-4F46-897E-5D3CC66EE3F0}">
      <formula1>"BUY,SELL"</formula1>
    </dataValidation>
    <dataValidation type="list" allowBlank="1" showInputMessage="1" showErrorMessage="1" sqref="B9" xr:uid="{61204692-D6A3-4B4D-BD44-20188FBD3F35}">
      <formula1>"BUY, SELL"</formula1>
    </dataValidation>
    <dataValidation type="list" allowBlank="1" showInputMessage="1" showErrorMessage="1" sqref="B10" xr:uid="{889BD6A4-F37B-0D45-9EF4-91F4F902147C}">
      <formula1>"MKT,LMT"</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outlinePr summaryBelow="0" summaryRight="0"/>
  </sheetPr>
  <dimension ref="A1:EV1007"/>
  <sheetViews>
    <sheetView workbookViewId="0"/>
  </sheetViews>
  <sheetFormatPr baseColWidth="10" defaultColWidth="12.5" defaultRowHeight="15.75" customHeight="1"/>
  <sheetData>
    <row r="1" spans="1:40" ht="13">
      <c r="A1" s="1" t="s">
        <v>231</v>
      </c>
      <c r="D1" s="1" t="str">
        <f t="shared" ref="D1:AN1" ca="1" si="0">LEFT(D2,4)</f>
        <v>2024</v>
      </c>
      <c r="E1" s="1" t="str">
        <f t="shared" ca="1" si="0"/>
        <v>2023</v>
      </c>
      <c r="F1" s="1" t="str">
        <f t="shared" ca="1" si="0"/>
        <v>2022</v>
      </c>
      <c r="G1" s="1" t="str">
        <f t="shared" ca="1" si="0"/>
        <v>2021</v>
      </c>
      <c r="H1" s="1" t="str">
        <f t="shared" ca="1" si="0"/>
        <v>2020</v>
      </c>
      <c r="I1" s="1" t="str">
        <f t="shared" si="0"/>
        <v/>
      </c>
      <c r="J1" s="1" t="str">
        <f t="shared" si="0"/>
        <v/>
      </c>
      <c r="K1" s="1" t="str">
        <f t="shared" si="0"/>
        <v/>
      </c>
      <c r="L1" s="1" t="str">
        <f t="shared" si="0"/>
        <v/>
      </c>
      <c r="M1" s="1" t="str">
        <f t="shared" si="0"/>
        <v/>
      </c>
      <c r="N1" s="1" t="str">
        <f t="shared" si="0"/>
        <v/>
      </c>
      <c r="O1" s="1" t="str">
        <f t="shared" si="0"/>
        <v/>
      </c>
      <c r="P1" s="1" t="str">
        <f t="shared" si="0"/>
        <v/>
      </c>
      <c r="Q1" s="1" t="str">
        <f t="shared" si="0"/>
        <v/>
      </c>
      <c r="R1" s="1" t="str">
        <f t="shared" si="0"/>
        <v/>
      </c>
      <c r="S1" s="1" t="str">
        <f t="shared" si="0"/>
        <v/>
      </c>
      <c r="T1" s="1" t="str">
        <f t="shared" si="0"/>
        <v/>
      </c>
      <c r="U1" s="1" t="str">
        <f t="shared" si="0"/>
        <v/>
      </c>
      <c r="V1" s="1" t="str">
        <f t="shared" si="0"/>
        <v/>
      </c>
      <c r="W1" s="1" t="str">
        <f t="shared" si="0"/>
        <v/>
      </c>
      <c r="X1" s="1" t="str">
        <f t="shared" si="0"/>
        <v/>
      </c>
      <c r="Y1" s="1" t="str">
        <f t="shared" si="0"/>
        <v/>
      </c>
      <c r="Z1" s="1" t="str">
        <f t="shared" si="0"/>
        <v/>
      </c>
      <c r="AA1" s="1" t="str">
        <f t="shared" si="0"/>
        <v/>
      </c>
      <c r="AB1" s="1" t="str">
        <f t="shared" si="0"/>
        <v/>
      </c>
      <c r="AC1" s="1" t="str">
        <f t="shared" si="0"/>
        <v/>
      </c>
      <c r="AD1" s="1" t="str">
        <f t="shared" si="0"/>
        <v/>
      </c>
      <c r="AE1" s="1" t="str">
        <f t="shared" si="0"/>
        <v/>
      </c>
      <c r="AF1" s="1" t="str">
        <f t="shared" si="0"/>
        <v/>
      </c>
      <c r="AG1" s="1" t="str">
        <f t="shared" si="0"/>
        <v/>
      </c>
      <c r="AH1" s="1" t="str">
        <f t="shared" si="0"/>
        <v/>
      </c>
      <c r="AI1" s="1" t="str">
        <f t="shared" si="0"/>
        <v/>
      </c>
      <c r="AJ1" s="1" t="str">
        <f t="shared" si="0"/>
        <v/>
      </c>
      <c r="AK1" s="1" t="str">
        <f t="shared" si="0"/>
        <v/>
      </c>
      <c r="AL1" s="1" t="str">
        <f t="shared" si="0"/>
        <v/>
      </c>
      <c r="AM1" s="1" t="str">
        <f t="shared" si="0"/>
        <v/>
      </c>
      <c r="AN1" s="1" t="str">
        <f t="shared" si="0"/>
        <v/>
      </c>
    </row>
    <row r="2" spans="1:40" ht="13">
      <c r="B2" s="1" t="str">
        <f ca="1">IFERROR(__xludf.UNSUPPORTED(IMPORTDATA("https://fmpcloud.io/api/v3/income-statement/" &amp;#REF! &amp; "?datatype=csv&amp;apikey=" &amp;#REF!)),"date")</f>
        <v>date</v>
      </c>
      <c r="C2" s="1"/>
      <c r="D2" s="1" t="str">
        <f ca="1">IFERROR(__xludf.UNSUPPORTED("""COMPUTED_VALUE"""),"2024-09-28_FY")</f>
        <v>2024-09-28_FY</v>
      </c>
      <c r="E2" s="1" t="str">
        <f ca="1">IFERROR(__xludf.UNSUPPORTED("""COMPUTED_VALUE"""),"2023-09-30_FY")</f>
        <v>2023-09-30_FY</v>
      </c>
      <c r="F2" s="1" t="str">
        <f ca="1">IFERROR(__xludf.UNSUPPORTED("""COMPUTED_VALUE"""),"2022-09-24_FY")</f>
        <v>2022-09-24_FY</v>
      </c>
      <c r="G2" s="1" t="str">
        <f ca="1">IFERROR(__xludf.UNSUPPORTED("""COMPUTED_VALUE"""),"2021-09-25_FY")</f>
        <v>2021-09-25_FY</v>
      </c>
      <c r="H2" s="1" t="str">
        <f ca="1">IFERROR(__xludf.UNSUPPORTED("""COMPUTED_VALUE"""),"2020-09-26_FY")</f>
        <v>2020-09-26_FY</v>
      </c>
    </row>
    <row r="3" spans="1:40" ht="13">
      <c r="B3" s="1"/>
      <c r="C3" s="1" t="str">
        <f ca="1">IFERROR(__xludf.UNSUPPORTED("""COMPUTED_VALUE"""),"revenue")</f>
        <v>revenue</v>
      </c>
      <c r="D3" s="1">
        <f ca="1">IFERROR(__xludf.UNSUPPORTED("""COMPUTED_VALUE"""),391035000000)</f>
        <v>391035000000</v>
      </c>
      <c r="E3" s="1">
        <f ca="1">IFERROR(__xludf.UNSUPPORTED("""COMPUTED_VALUE"""),383285000000)</f>
        <v>383285000000</v>
      </c>
      <c r="F3" s="1">
        <f ca="1">IFERROR(__xludf.UNSUPPORTED("""COMPUTED_VALUE"""),394328000000)</f>
        <v>394328000000</v>
      </c>
      <c r="G3" s="1">
        <f ca="1">IFERROR(__xludf.UNSUPPORTED("""COMPUTED_VALUE"""),365817000000)</f>
        <v>365817000000</v>
      </c>
      <c r="H3" s="1">
        <f ca="1">IFERROR(__xludf.UNSUPPORTED("""COMPUTED_VALUE"""),274515000000)</f>
        <v>274515000000</v>
      </c>
    </row>
    <row r="4" spans="1:40" ht="13">
      <c r="B4" s="1"/>
      <c r="C4" s="1" t="str">
        <f ca="1">IFERROR(__xludf.UNSUPPORTED("""COMPUTED_VALUE"""),"costOfRevenue")</f>
        <v>costOfRevenue</v>
      </c>
      <c r="D4" s="1">
        <f ca="1">IFERROR(__xludf.UNSUPPORTED("""COMPUTED_VALUE"""),210352000000)</f>
        <v>210352000000</v>
      </c>
      <c r="E4" s="1">
        <f ca="1">IFERROR(__xludf.UNSUPPORTED("""COMPUTED_VALUE"""),214137000000)</f>
        <v>214137000000</v>
      </c>
      <c r="F4" s="1">
        <f ca="1">IFERROR(__xludf.UNSUPPORTED("""COMPUTED_VALUE"""),223546000000)</f>
        <v>223546000000</v>
      </c>
      <c r="G4" s="1">
        <f ca="1">IFERROR(__xludf.UNSUPPORTED("""COMPUTED_VALUE"""),212981000000)</f>
        <v>212981000000</v>
      </c>
      <c r="H4" s="1">
        <f ca="1">IFERROR(__xludf.UNSUPPORTED("""COMPUTED_VALUE"""),169559000000)</f>
        <v>169559000000</v>
      </c>
    </row>
    <row r="5" spans="1:40" ht="13">
      <c r="B5" s="1"/>
      <c r="C5" s="1" t="str">
        <f ca="1">IFERROR(__xludf.UNSUPPORTED("""COMPUTED_VALUE"""),"grossProfit")</f>
        <v>grossProfit</v>
      </c>
      <c r="D5" s="1">
        <f ca="1">IFERROR(__xludf.UNSUPPORTED("""COMPUTED_VALUE"""),180683000000)</f>
        <v>180683000000</v>
      </c>
      <c r="E5" s="1">
        <f ca="1">IFERROR(__xludf.UNSUPPORTED("""COMPUTED_VALUE"""),169148000000)</f>
        <v>169148000000</v>
      </c>
      <c r="F5" s="1">
        <f ca="1">IFERROR(__xludf.UNSUPPORTED("""COMPUTED_VALUE"""),170782000000)</f>
        <v>170782000000</v>
      </c>
      <c r="G5" s="1">
        <f ca="1">IFERROR(__xludf.UNSUPPORTED("""COMPUTED_VALUE"""),152836000000)</f>
        <v>152836000000</v>
      </c>
      <c r="H5" s="1">
        <f ca="1">IFERROR(__xludf.UNSUPPORTED("""COMPUTED_VALUE"""),104956000000)</f>
        <v>104956000000</v>
      </c>
    </row>
    <row r="6" spans="1:40" ht="13">
      <c r="B6" s="1"/>
      <c r="C6" s="1" t="str">
        <f ca="1">IFERROR(__xludf.UNSUPPORTED("""COMPUTED_VALUE"""),"grossProfitRatio")</f>
        <v>grossProfitRatio</v>
      </c>
      <c r="D6" s="1">
        <f ca="1">IFERROR(__xludf.UNSUPPORTED("""COMPUTED_VALUE"""),0.4620634982)</f>
        <v>0.46206349819999998</v>
      </c>
      <c r="E6" s="1">
        <f ca="1">IFERROR(__xludf.UNSUPPORTED("""COMPUTED_VALUE"""),0.4413112958)</f>
        <v>0.4413112958</v>
      </c>
      <c r="F6" s="1">
        <f ca="1">IFERROR(__xludf.UNSUPPORTED("""COMPUTED_VALUE"""),0.4330963056)</f>
        <v>0.43309630560000001</v>
      </c>
      <c r="G6" s="1">
        <f ca="1">IFERROR(__xludf.UNSUPPORTED("""COMPUTED_VALUE"""),0.4177935963)</f>
        <v>0.41779359630000001</v>
      </c>
      <c r="H6" s="1">
        <f ca="1">IFERROR(__xludf.UNSUPPORTED("""COMPUTED_VALUE"""),0.3823324773)</f>
        <v>0.38233247729999997</v>
      </c>
    </row>
    <row r="7" spans="1:40" ht="13">
      <c r="B7" s="1"/>
      <c r="C7" s="1"/>
      <c r="D7" s="1"/>
      <c r="E7" s="1"/>
      <c r="F7" s="1"/>
      <c r="G7" s="1"/>
      <c r="H7" s="1"/>
    </row>
    <row r="8" spans="1:40" ht="13">
      <c r="B8" s="1" t="str">
        <f ca="1">IFERROR(__xludf.UNSUPPORTED("""COMPUTED_VALUE"""),"COST And EXPENSES")</f>
        <v>COST And EXPENSES</v>
      </c>
      <c r="C8" s="1"/>
      <c r="D8" s="1"/>
      <c r="E8" s="1"/>
      <c r="F8" s="1"/>
      <c r="G8" s="1"/>
      <c r="H8" s="1"/>
    </row>
    <row r="9" spans="1:40" ht="13">
      <c r="B9" s="1"/>
      <c r="C9" s="1" t="str">
        <f ca="1">IFERROR(__xludf.UNSUPPORTED("""COMPUTED_VALUE"""),"ResearchAndDevelopmentExpenses")</f>
        <v>ResearchAndDevelopmentExpenses</v>
      </c>
      <c r="D9" s="1">
        <f ca="1">IFERROR(__xludf.UNSUPPORTED("""COMPUTED_VALUE"""),31370000000)</f>
        <v>31370000000</v>
      </c>
      <c r="E9" s="1">
        <f ca="1">IFERROR(__xludf.UNSUPPORTED("""COMPUTED_VALUE"""),29915000000)</f>
        <v>29915000000</v>
      </c>
      <c r="F9" s="1">
        <f ca="1">IFERROR(__xludf.UNSUPPORTED("""COMPUTED_VALUE"""),26251000000)</f>
        <v>26251000000</v>
      </c>
      <c r="G9" s="1">
        <f ca="1">IFERROR(__xludf.UNSUPPORTED("""COMPUTED_VALUE"""),21914000000)</f>
        <v>21914000000</v>
      </c>
      <c r="H9" s="1">
        <f ca="1">IFERROR(__xludf.UNSUPPORTED("""COMPUTED_VALUE"""),18752000000)</f>
        <v>18752000000</v>
      </c>
    </row>
    <row r="10" spans="1:40" ht="13">
      <c r="B10" s="1"/>
      <c r="C10" s="1" t="str">
        <f ca="1">IFERROR(__xludf.UNSUPPORTED("""COMPUTED_VALUE"""),"GeneralAndAdministrativeExpenses")</f>
        <v>GeneralAndAdministrativeExpenses</v>
      </c>
      <c r="D10" s="1">
        <f ca="1">IFERROR(__xludf.UNSUPPORTED("""COMPUTED_VALUE"""),0)</f>
        <v>0</v>
      </c>
      <c r="E10" s="1">
        <f ca="1">IFERROR(__xludf.UNSUPPORTED("""COMPUTED_VALUE"""),0)</f>
        <v>0</v>
      </c>
      <c r="F10" s="1">
        <f ca="1">IFERROR(__xludf.UNSUPPORTED("""COMPUTED_VALUE"""),0)</f>
        <v>0</v>
      </c>
      <c r="G10" s="1">
        <f ca="1">IFERROR(__xludf.UNSUPPORTED("""COMPUTED_VALUE"""),0)</f>
        <v>0</v>
      </c>
      <c r="H10" s="1">
        <f ca="1">IFERROR(__xludf.UNSUPPORTED("""COMPUTED_VALUE"""),0)</f>
        <v>0</v>
      </c>
    </row>
    <row r="11" spans="1:40" ht="13">
      <c r="B11" s="1"/>
      <c r="C11" s="1" t="str">
        <f ca="1">IFERROR(__xludf.UNSUPPORTED("""COMPUTED_VALUE"""),"SellingAndMarketingExpenses")</f>
        <v>SellingAndMarketingExpenses</v>
      </c>
      <c r="D11" s="1">
        <f ca="1">IFERROR(__xludf.UNSUPPORTED("""COMPUTED_VALUE"""),0)</f>
        <v>0</v>
      </c>
      <c r="E11" s="1">
        <f ca="1">IFERROR(__xludf.UNSUPPORTED("""COMPUTED_VALUE"""),0)</f>
        <v>0</v>
      </c>
      <c r="F11" s="1">
        <f ca="1">IFERROR(__xludf.UNSUPPORTED("""COMPUTED_VALUE"""),0)</f>
        <v>0</v>
      </c>
      <c r="G11" s="1">
        <f ca="1">IFERROR(__xludf.UNSUPPORTED("""COMPUTED_VALUE"""),0)</f>
        <v>0</v>
      </c>
      <c r="H11" s="1">
        <f ca="1">IFERROR(__xludf.UNSUPPORTED("""COMPUTED_VALUE"""),0)</f>
        <v>0</v>
      </c>
    </row>
    <row r="12" spans="1:40" ht="13">
      <c r="B12" s="1"/>
      <c r="C12" s="1" t="str">
        <f ca="1">IFERROR(__xludf.UNSUPPORTED("""COMPUTED_VALUE"""),"otherExpenses")</f>
        <v>otherExpenses</v>
      </c>
      <c r="D12" s="1">
        <f ca="1">IFERROR(__xludf.UNSUPPORTED("""COMPUTED_VALUE"""),0)</f>
        <v>0</v>
      </c>
      <c r="E12" s="1">
        <f ca="1">IFERROR(__xludf.UNSUPPORTED("""COMPUTED_VALUE"""),382000000)</f>
        <v>382000000</v>
      </c>
      <c r="F12" s="1">
        <f ca="1">IFERROR(__xludf.UNSUPPORTED("""COMPUTED_VALUE"""),228000000)</f>
        <v>228000000</v>
      </c>
      <c r="G12" s="1">
        <f ca="1">IFERROR(__xludf.UNSUPPORTED("""COMPUTED_VALUE"""),-60000000)</f>
        <v>-60000000</v>
      </c>
      <c r="H12" s="1">
        <f ca="1">IFERROR(__xludf.UNSUPPORTED("""COMPUTED_VALUE"""),87000000)</f>
        <v>87000000</v>
      </c>
    </row>
    <row r="13" spans="1:40" ht="13">
      <c r="B13" s="1"/>
      <c r="C13" s="1" t="str">
        <f ca="1">IFERROR(__xludf.UNSUPPORTED("""COMPUTED_VALUE"""),"operatingExpenses")</f>
        <v>operatingExpenses</v>
      </c>
      <c r="D13" s="1">
        <f ca="1">IFERROR(__xludf.UNSUPPORTED("""COMPUTED_VALUE"""),57467000000)</f>
        <v>57467000000</v>
      </c>
      <c r="E13" s="1">
        <f ca="1">IFERROR(__xludf.UNSUPPORTED("""COMPUTED_VALUE"""),54847000000)</f>
        <v>54847000000</v>
      </c>
      <c r="F13" s="1">
        <f ca="1">IFERROR(__xludf.UNSUPPORTED("""COMPUTED_VALUE"""),51573000000)</f>
        <v>51573000000</v>
      </c>
      <c r="G13" s="1">
        <f ca="1">IFERROR(__xludf.UNSUPPORTED("""COMPUTED_VALUE"""),43827000000)</f>
        <v>43827000000</v>
      </c>
      <c r="H13" s="1">
        <f ca="1">IFERROR(__xludf.UNSUPPORTED("""COMPUTED_VALUE"""),38755000000)</f>
        <v>38755000000</v>
      </c>
    </row>
    <row r="14" spans="1:40" ht="13">
      <c r="B14" s="1"/>
      <c r="C14" s="1" t="str">
        <f ca="1">IFERROR(__xludf.UNSUPPORTED("""COMPUTED_VALUE"""),"costAndExpenses")</f>
        <v>costAndExpenses</v>
      </c>
      <c r="D14" s="1">
        <f ca="1">IFERROR(__xludf.UNSUPPORTED("""COMPUTED_VALUE"""),267819000000)</f>
        <v>267819000000</v>
      </c>
      <c r="E14" s="1">
        <f ca="1">IFERROR(__xludf.UNSUPPORTED("""COMPUTED_VALUE"""),268984000000)</f>
        <v>268984000000</v>
      </c>
      <c r="F14" s="1">
        <f ca="1">IFERROR(__xludf.UNSUPPORTED("""COMPUTED_VALUE"""),275119000000)</f>
        <v>275119000000</v>
      </c>
      <c r="G14" s="1">
        <f ca="1">IFERROR(__xludf.UNSUPPORTED("""COMPUTED_VALUE"""),256808000000)</f>
        <v>256808000000</v>
      </c>
      <c r="H14" s="1">
        <f ca="1">IFERROR(__xludf.UNSUPPORTED("""COMPUTED_VALUE"""),208314000000)</f>
        <v>208314000000</v>
      </c>
    </row>
    <row r="15" spans="1:40" ht="13">
      <c r="B15" s="1"/>
      <c r="C15" s="1" t="str">
        <f ca="1">IFERROR(__xludf.UNSUPPORTED("""COMPUTED_VALUE"""),"interestExpense")</f>
        <v>interestExpense</v>
      </c>
      <c r="D15" s="1">
        <f ca="1">IFERROR(__xludf.UNSUPPORTED("""COMPUTED_VALUE"""),0)</f>
        <v>0</v>
      </c>
      <c r="E15" s="1">
        <f ca="1">IFERROR(__xludf.UNSUPPORTED("""COMPUTED_VALUE"""),3933000000)</f>
        <v>3933000000</v>
      </c>
      <c r="F15" s="1">
        <f ca="1">IFERROR(__xludf.UNSUPPORTED("""COMPUTED_VALUE"""),2931000000)</f>
        <v>2931000000</v>
      </c>
      <c r="G15" s="1">
        <f ca="1">IFERROR(__xludf.UNSUPPORTED("""COMPUTED_VALUE"""),2645000000)</f>
        <v>2645000000</v>
      </c>
      <c r="H15" s="1">
        <f ca="1">IFERROR(__xludf.UNSUPPORTED("""COMPUTED_VALUE"""),2873000000)</f>
        <v>2873000000</v>
      </c>
    </row>
    <row r="16" spans="1:40" ht="13">
      <c r="B16" s="1"/>
      <c r="C16" s="1"/>
      <c r="D16" s="1"/>
      <c r="E16" s="1"/>
      <c r="F16" s="1"/>
      <c r="G16" s="1"/>
      <c r="H16" s="1"/>
    </row>
    <row r="17" spans="2:8" ht="13">
      <c r="B17" s="1" t="str">
        <f ca="1">IFERROR(__xludf.UNSUPPORTED("""COMPUTED_VALUE"""),"EBITDA")</f>
        <v>EBITDA</v>
      </c>
      <c r="C17" s="1"/>
      <c r="D17" s="1"/>
      <c r="E17" s="1"/>
      <c r="F17" s="1"/>
      <c r="G17" s="1"/>
      <c r="H17" s="1"/>
    </row>
    <row r="18" spans="2:8" ht="13">
      <c r="B18" s="1"/>
      <c r="C18" s="1" t="str">
        <f ca="1">IFERROR(__xludf.UNSUPPORTED("""COMPUTED_VALUE"""),"depreciationAndAmortization")</f>
        <v>depreciationAndAmortization</v>
      </c>
      <c r="D18" s="1">
        <f ca="1">IFERROR(__xludf.UNSUPPORTED("""COMPUTED_VALUE"""),11445000000)</f>
        <v>11445000000</v>
      </c>
      <c r="E18" s="1">
        <f ca="1">IFERROR(__xludf.UNSUPPORTED("""COMPUTED_VALUE"""),11519000000)</f>
        <v>11519000000</v>
      </c>
      <c r="F18" s="1">
        <f ca="1">IFERROR(__xludf.UNSUPPORTED("""COMPUTED_VALUE"""),11104000000)</f>
        <v>11104000000</v>
      </c>
      <c r="G18" s="1">
        <f ca="1">IFERROR(__xludf.UNSUPPORTED("""COMPUTED_VALUE"""),11284000000)</f>
        <v>11284000000</v>
      </c>
      <c r="H18" s="1">
        <f ca="1">IFERROR(__xludf.UNSUPPORTED("""COMPUTED_VALUE"""),11056000000)</f>
        <v>11056000000</v>
      </c>
    </row>
    <row r="19" spans="2:8" ht="13">
      <c r="B19" s="1"/>
      <c r="C19" s="1" t="str">
        <f ca="1">IFERROR(__xludf.UNSUPPORTED("""COMPUTED_VALUE"""),"EBITDA")</f>
        <v>EBITDA</v>
      </c>
      <c r="D19" s="1">
        <f ca="1">IFERROR(__xludf.UNSUPPORTED("""COMPUTED_VALUE"""),134661000000)</f>
        <v>134661000000</v>
      </c>
      <c r="E19" s="1">
        <f ca="1">IFERROR(__xludf.UNSUPPORTED("""COMPUTED_VALUE"""),125820000000)</f>
        <v>125820000000</v>
      </c>
      <c r="F19" s="1">
        <f ca="1">IFERROR(__xludf.UNSUPPORTED("""COMPUTED_VALUE"""),130541000000)</f>
        <v>130541000000</v>
      </c>
      <c r="G19" s="1">
        <f ca="1">IFERROR(__xludf.UNSUPPORTED("""COMPUTED_VALUE"""),120233000000)</f>
        <v>120233000000</v>
      </c>
      <c r="H19" s="1">
        <f ca="1">IFERROR(__xludf.UNSUPPORTED("""COMPUTED_VALUE"""),77344000000)</f>
        <v>77344000000</v>
      </c>
    </row>
    <row r="20" spans="2:8" ht="13">
      <c r="B20" s="1"/>
      <c r="C20" s="7" t="str">
        <f ca="1">IFERROR(__xludf.UNSUPPORTED("""COMPUTED_VALUE"""),"EBITDARatio")</f>
        <v>EBITDARatio</v>
      </c>
      <c r="D20" s="1">
        <f ca="1">IFERROR(__xludf.UNSUPPORTED("""COMPUTED_VALUE"""),0.3443707085)</f>
        <v>0.34437070850000001</v>
      </c>
      <c r="E20" s="1">
        <f ca="1">IFERROR(__xludf.UNSUPPORTED("""COMPUTED_VALUE"""),0.3282674772)</f>
        <v>0.32826747719999999</v>
      </c>
      <c r="F20" s="1">
        <f ca="1">IFERROR(__xludf.UNSUPPORTED("""COMPUTED_VALUE"""),0.3310467428)</f>
        <v>0.33104674280000002</v>
      </c>
      <c r="G20" s="1">
        <f ca="1">IFERROR(__xludf.UNSUPPORTED("""COMPUTED_VALUE"""),0.3286697994)</f>
        <v>0.32866979940000002</v>
      </c>
      <c r="H20" s="1">
        <f ca="1">IFERROR(__xludf.UNSUPPORTED("""COMPUTED_VALUE"""),0.2817478098)</f>
        <v>0.28174780980000003</v>
      </c>
    </row>
    <row r="21" spans="2:8" ht="13">
      <c r="B21" s="1"/>
      <c r="C21" s="1"/>
      <c r="D21" s="1"/>
      <c r="E21" s="1"/>
      <c r="F21" s="1"/>
      <c r="G21" s="1"/>
      <c r="H21" s="1"/>
    </row>
    <row r="22" spans="2:8" ht="13">
      <c r="B22" s="1" t="str">
        <f ca="1">IFERROR(__xludf.UNSUPPORTED("""COMPUTED_VALUE"""),"INCOME")</f>
        <v>INCOME</v>
      </c>
      <c r="C22" s="1"/>
      <c r="D22" s="1"/>
      <c r="E22" s="1"/>
      <c r="F22" s="1"/>
      <c r="G22" s="1"/>
      <c r="H22" s="1"/>
    </row>
    <row r="23" spans="2:8" ht="13">
      <c r="B23" s="1"/>
      <c r="C23" s="1" t="str">
        <f ca="1">IFERROR(__xludf.UNSUPPORTED("""COMPUTED_VALUE"""),"operatingIncome")</f>
        <v>operatingIncome</v>
      </c>
      <c r="D23" s="1">
        <f ca="1">IFERROR(__xludf.UNSUPPORTED("""COMPUTED_VALUE"""),123216000000)</f>
        <v>123216000000</v>
      </c>
      <c r="E23" s="1">
        <f ca="1">IFERROR(__xludf.UNSUPPORTED("""COMPUTED_VALUE"""),114301000000)</f>
        <v>114301000000</v>
      </c>
      <c r="F23" s="1">
        <f ca="1">IFERROR(__xludf.UNSUPPORTED("""COMPUTED_VALUE"""),119437000000)</f>
        <v>119437000000</v>
      </c>
      <c r="G23" s="1">
        <f ca="1">IFERROR(__xludf.UNSUPPORTED("""COMPUTED_VALUE"""),108949000000)</f>
        <v>108949000000</v>
      </c>
      <c r="H23" s="1">
        <f ca="1">IFERROR(__xludf.UNSUPPORTED("""COMPUTED_VALUE"""),66288000000)</f>
        <v>66288000000</v>
      </c>
    </row>
    <row r="24" spans="2:8" ht="13">
      <c r="B24" s="1"/>
      <c r="C24" s="1" t="str">
        <f ca="1">IFERROR(__xludf.UNSUPPORTED("""COMPUTED_VALUE"""),"operatingIncomeRatio")</f>
        <v>operatingIncomeRatio</v>
      </c>
      <c r="D24" s="1">
        <f ca="1">IFERROR(__xludf.UNSUPPORTED("""COMPUTED_VALUE"""),0.3151022287)</f>
        <v>0.31510222869999999</v>
      </c>
      <c r="E24" s="1">
        <f ca="1">IFERROR(__xludf.UNSUPPORTED("""COMPUTED_VALUE"""),0.2982141227)</f>
        <v>0.29821412269999997</v>
      </c>
      <c r="F24" s="1">
        <f ca="1">IFERROR(__xludf.UNSUPPORTED("""COMPUTED_VALUE"""),0.302887444)</f>
        <v>0.30288744400000001</v>
      </c>
      <c r="G24" s="1">
        <f ca="1">IFERROR(__xludf.UNSUPPORTED("""COMPUTED_VALUE"""),0.2978237753)</f>
        <v>0.29782377529999998</v>
      </c>
      <c r="H24" s="1">
        <f ca="1">IFERROR(__xludf.UNSUPPORTED("""COMPUTED_VALUE"""),0.2414731435)</f>
        <v>0.24147314349999999</v>
      </c>
    </row>
    <row r="25" spans="2:8" ht="13">
      <c r="B25" s="1"/>
      <c r="C25" s="1" t="str">
        <f ca="1">IFERROR(__xludf.UNSUPPORTED("""COMPUTED_VALUE"""),"totalOtherIncomeExpensesNet")</f>
        <v>totalOtherIncomeExpensesNet</v>
      </c>
      <c r="D25" s="1">
        <f ca="1">IFERROR(__xludf.UNSUPPORTED("""COMPUTED_VALUE"""),269000000)</f>
        <v>269000000</v>
      </c>
      <c r="E25" s="1">
        <f ca="1">IFERROR(__xludf.UNSUPPORTED("""COMPUTED_VALUE"""),565000000)</f>
        <v>565000000</v>
      </c>
      <c r="F25" s="1">
        <f ca="1">IFERROR(__xludf.UNSUPPORTED("""COMPUTED_VALUE"""),334000000)</f>
        <v>334000000</v>
      </c>
      <c r="G25" s="1">
        <f ca="1">IFERROR(__xludf.UNSUPPORTED("""COMPUTED_VALUE"""),-258000000)</f>
        <v>-258000000</v>
      </c>
      <c r="H25" s="1">
        <f ca="1">IFERROR(__xludf.UNSUPPORTED("""COMPUTED_VALUE"""),-803000000)</f>
        <v>-803000000</v>
      </c>
    </row>
    <row r="26" spans="2:8" ht="13">
      <c r="B26" s="1"/>
      <c r="C26" s="1" t="str">
        <f ca="1">IFERROR(__xludf.UNSUPPORTED("""COMPUTED_VALUE"""),"incomeBeforeTax")</f>
        <v>incomeBeforeTax</v>
      </c>
      <c r="D26" s="1">
        <f ca="1">IFERROR(__xludf.UNSUPPORTED("""COMPUTED_VALUE"""),123485000000)</f>
        <v>123485000000</v>
      </c>
      <c r="E26" s="1">
        <f ca="1">IFERROR(__xludf.UNSUPPORTED("""COMPUTED_VALUE"""),113736000000)</f>
        <v>113736000000</v>
      </c>
      <c r="F26" s="1">
        <f ca="1">IFERROR(__xludf.UNSUPPORTED("""COMPUTED_VALUE"""),119103000000)</f>
        <v>119103000000</v>
      </c>
      <c r="G26" s="1">
        <f ca="1">IFERROR(__xludf.UNSUPPORTED("""COMPUTED_VALUE"""),109207000000)</f>
        <v>109207000000</v>
      </c>
      <c r="H26" s="1">
        <f ca="1">IFERROR(__xludf.UNSUPPORTED("""COMPUTED_VALUE"""),67091000000)</f>
        <v>67091000000</v>
      </c>
    </row>
    <row r="27" spans="2:8" ht="13">
      <c r="B27" s="1"/>
      <c r="C27" s="1" t="str">
        <f ca="1">IFERROR(__xludf.UNSUPPORTED("""COMPUTED_VALUE"""),"incomeBeforeTaxRatio")</f>
        <v>incomeBeforeTaxRatio</v>
      </c>
      <c r="D27" s="1">
        <f ca="1">IFERROR(__xludf.UNSUPPORTED("""COMPUTED_VALUE"""),0.3157901467)</f>
        <v>0.3157901467</v>
      </c>
      <c r="E27" s="1">
        <f ca="1">IFERROR(__xludf.UNSUPPORTED("""COMPUTED_VALUE"""),0.2967400237)</f>
        <v>0.29674002370000002</v>
      </c>
      <c r="F27" s="1">
        <f ca="1">IFERROR(__xludf.UNSUPPORTED("""COMPUTED_VALUE"""),0.3020404333)</f>
        <v>0.30204043330000002</v>
      </c>
      <c r="G27" s="1">
        <f ca="1">IFERROR(__xludf.UNSUPPORTED("""COMPUTED_VALUE"""),0.2985290459)</f>
        <v>0.29852904590000001</v>
      </c>
      <c r="H27" s="1">
        <f ca="1">IFERROR(__xludf.UNSUPPORTED("""COMPUTED_VALUE"""),0.2443983025)</f>
        <v>0.2443983025</v>
      </c>
    </row>
    <row r="28" spans="2:8" ht="13">
      <c r="B28" s="1"/>
      <c r="C28" s="1" t="str">
        <f ca="1">IFERROR(__xludf.UNSUPPORTED("""COMPUTED_VALUE"""),"incomeTaxExpense")</f>
        <v>incomeTaxExpense</v>
      </c>
      <c r="D28" s="1">
        <f ca="1">IFERROR(__xludf.UNSUPPORTED("""COMPUTED_VALUE"""),29749000000)</f>
        <v>29749000000</v>
      </c>
      <c r="E28" s="1">
        <f ca="1">IFERROR(__xludf.UNSUPPORTED("""COMPUTED_VALUE"""),16741000000)</f>
        <v>16741000000</v>
      </c>
      <c r="F28" s="1">
        <f ca="1">IFERROR(__xludf.UNSUPPORTED("""COMPUTED_VALUE"""),19300000000)</f>
        <v>19300000000</v>
      </c>
      <c r="G28" s="1">
        <f ca="1">IFERROR(__xludf.UNSUPPORTED("""COMPUTED_VALUE"""),14527000000)</f>
        <v>14527000000</v>
      </c>
      <c r="H28" s="1">
        <f ca="1">IFERROR(__xludf.UNSUPPORTED("""COMPUTED_VALUE"""),9680000000)</f>
        <v>9680000000</v>
      </c>
    </row>
    <row r="29" spans="2:8" ht="13">
      <c r="B29" s="1"/>
      <c r="C29" s="1" t="str">
        <f ca="1">IFERROR(__xludf.UNSUPPORTED("""COMPUTED_VALUE"""),"netIncome")</f>
        <v>netIncome</v>
      </c>
      <c r="D29" s="1">
        <f ca="1">IFERROR(__xludf.UNSUPPORTED("""COMPUTED_VALUE"""),93736000000)</f>
        <v>93736000000</v>
      </c>
      <c r="E29" s="1">
        <f ca="1">IFERROR(__xludf.UNSUPPORTED("""COMPUTED_VALUE"""),96995000000)</f>
        <v>96995000000</v>
      </c>
      <c r="F29" s="1">
        <f ca="1">IFERROR(__xludf.UNSUPPORTED("""COMPUTED_VALUE"""),99803000000)</f>
        <v>99803000000</v>
      </c>
      <c r="G29" s="1">
        <f ca="1">IFERROR(__xludf.UNSUPPORTED("""COMPUTED_VALUE"""),94680000000)</f>
        <v>94680000000</v>
      </c>
      <c r="H29" s="1">
        <f ca="1">IFERROR(__xludf.UNSUPPORTED("""COMPUTED_VALUE"""),57411000000)</f>
        <v>57411000000</v>
      </c>
    </row>
    <row r="30" spans="2:8" ht="13">
      <c r="B30" s="1"/>
      <c r="C30" s="1" t="str">
        <f ca="1">IFERROR(__xludf.UNSUPPORTED("""COMPUTED_VALUE"""),"netIncomeRatio")</f>
        <v>netIncomeRatio</v>
      </c>
      <c r="D30" s="1">
        <f ca="1">IFERROR(__xludf.UNSUPPORTED("""COMPUTED_VALUE"""),0.2397125577)</f>
        <v>0.2397125577</v>
      </c>
      <c r="E30" s="1">
        <f ca="1">IFERROR(__xludf.UNSUPPORTED("""COMPUTED_VALUE"""),0.2530623426)</f>
        <v>0.25306234259999999</v>
      </c>
      <c r="F30" s="1">
        <f ca="1">IFERROR(__xludf.UNSUPPORTED("""COMPUTED_VALUE"""),0.2530964071)</f>
        <v>0.25309640709999998</v>
      </c>
      <c r="G30" s="1">
        <f ca="1">IFERROR(__xludf.UNSUPPORTED("""COMPUTED_VALUE"""),0.2588179336)</f>
        <v>0.25881793359999999</v>
      </c>
      <c r="H30" s="1">
        <f ca="1">IFERROR(__xludf.UNSUPPORTED("""COMPUTED_VALUE"""),0.2091361128)</f>
        <v>0.2091361128</v>
      </c>
    </row>
    <row r="31" spans="2:8" ht="13">
      <c r="B31" s="1"/>
      <c r="C31" s="1"/>
      <c r="D31" s="1"/>
      <c r="E31" s="1"/>
      <c r="F31" s="1"/>
      <c r="G31" s="1"/>
      <c r="H31" s="1"/>
    </row>
    <row r="32" spans="2:8" ht="13">
      <c r="B32" s="1" t="str">
        <f ca="1">IFERROR(__xludf.UNSUPPORTED("""COMPUTED_VALUE"""),"EPS")</f>
        <v>EPS</v>
      </c>
      <c r="C32" s="1"/>
      <c r="D32" s="1"/>
      <c r="E32" s="1"/>
      <c r="F32" s="1"/>
      <c r="G32" s="1"/>
      <c r="H32" s="1"/>
    </row>
    <row r="33" spans="2:8" ht="13">
      <c r="B33" s="1"/>
      <c r="C33" s="1" t="str">
        <f ca="1">IFERROR(__xludf.UNSUPPORTED("""COMPUTED_VALUE"""),"EPS")</f>
        <v>EPS</v>
      </c>
      <c r="D33" s="1">
        <f ca="1">IFERROR(__xludf.UNSUPPORTED("""COMPUTED_VALUE"""),6.11)</f>
        <v>6.11</v>
      </c>
      <c r="E33" s="1">
        <f ca="1">IFERROR(__xludf.UNSUPPORTED("""COMPUTED_VALUE"""),6.16)</f>
        <v>6.16</v>
      </c>
      <c r="F33" s="1">
        <f ca="1">IFERROR(__xludf.UNSUPPORTED("""COMPUTED_VALUE"""),6.15)</f>
        <v>6.15</v>
      </c>
      <c r="G33" s="1">
        <f ca="1">IFERROR(__xludf.UNSUPPORTED("""COMPUTED_VALUE"""),5.67)</f>
        <v>5.67</v>
      </c>
      <c r="H33" s="1">
        <f ca="1">IFERROR(__xludf.UNSUPPORTED("""COMPUTED_VALUE"""),3.31)</f>
        <v>3.31</v>
      </c>
    </row>
    <row r="34" spans="2:8" ht="13">
      <c r="B34" s="1"/>
      <c r="C34" s="1" t="str">
        <f ca="1">IFERROR(__xludf.UNSUPPORTED("""COMPUTED_VALUE"""),"EPSDiluted")</f>
        <v>EPSDiluted</v>
      </c>
      <c r="D34" s="1">
        <f ca="1">IFERROR(__xludf.UNSUPPORTED("""COMPUTED_VALUE"""),6.08)</f>
        <v>6.08</v>
      </c>
      <c r="E34" s="1">
        <f ca="1">IFERROR(__xludf.UNSUPPORTED("""COMPUTED_VALUE"""),6.13)</f>
        <v>6.13</v>
      </c>
      <c r="F34" s="1">
        <f ca="1">IFERROR(__xludf.UNSUPPORTED("""COMPUTED_VALUE"""),6.11)</f>
        <v>6.11</v>
      </c>
      <c r="G34" s="1">
        <f ca="1">IFERROR(__xludf.UNSUPPORTED("""COMPUTED_VALUE"""),5.61)</f>
        <v>5.61</v>
      </c>
      <c r="H34" s="1">
        <f ca="1">IFERROR(__xludf.UNSUPPORTED("""COMPUTED_VALUE"""),3.28)</f>
        <v>3.28</v>
      </c>
    </row>
    <row r="35" spans="2:8" ht="13">
      <c r="B35" s="1"/>
      <c r="C35" s="1" t="str">
        <f ca="1">IFERROR(__xludf.UNSUPPORTED("""COMPUTED_VALUE"""),"weightedAverageShsOut")</f>
        <v>weightedAverageShsOut</v>
      </c>
      <c r="D35" s="1">
        <f ca="1">IFERROR(__xludf.UNSUPPORTED("""COMPUTED_VALUE"""),15417105263)</f>
        <v>15417105263</v>
      </c>
      <c r="E35" s="1">
        <f ca="1">IFERROR(__xludf.UNSUPPORTED("""COMPUTED_VALUE"""),15744231000)</f>
        <v>15744231000</v>
      </c>
      <c r="F35" s="1">
        <f ca="1">IFERROR(__xludf.UNSUPPORTED("""COMPUTED_VALUE"""),16215963000)</f>
        <v>16215963000</v>
      </c>
      <c r="G35" s="1">
        <f ca="1">IFERROR(__xludf.UNSUPPORTED("""COMPUTED_VALUE"""),16701272000)</f>
        <v>16701272000</v>
      </c>
      <c r="H35" s="1">
        <f ca="1">IFERROR(__xludf.UNSUPPORTED("""COMPUTED_VALUE"""),17352119000)</f>
        <v>17352119000</v>
      </c>
    </row>
    <row r="36" spans="2:8" ht="13">
      <c r="B36" s="1"/>
      <c r="C36" s="1" t="str">
        <f ca="1">IFERROR(__xludf.UNSUPPORTED("""COMPUTED_VALUE"""),"weightedAverageShsOutDil")</f>
        <v>weightedAverageShsOutDil</v>
      </c>
      <c r="D36" s="1">
        <f ca="1">IFERROR(__xludf.UNSUPPORTED("""COMPUTED_VALUE"""),15408095000)</f>
        <v>15408095000</v>
      </c>
      <c r="E36" s="1">
        <f ca="1">IFERROR(__xludf.UNSUPPORTED("""COMPUTED_VALUE"""),15812547000)</f>
        <v>15812547000</v>
      </c>
      <c r="F36" s="1">
        <f ca="1">IFERROR(__xludf.UNSUPPORTED("""COMPUTED_VALUE"""),16325819000)</f>
        <v>16325819000</v>
      </c>
      <c r="G36" s="1">
        <f ca="1">IFERROR(__xludf.UNSUPPORTED("""COMPUTED_VALUE"""),16864919000)</f>
        <v>16864919000</v>
      </c>
      <c r="H36" s="1">
        <f ca="1">IFERROR(__xludf.UNSUPPORTED("""COMPUTED_VALUE"""),17528214000)</f>
        <v>17528214000</v>
      </c>
    </row>
    <row r="51" spans="1:59" ht="13">
      <c r="A51" s="1" t="s">
        <v>232</v>
      </c>
    </row>
    <row r="52" spans="1:59" ht="15.75" customHeight="1">
      <c r="A52" s="3"/>
      <c r="B52" s="3" t="str">
        <f ca="1">IFERROR(__xludf.UNSUPPORTED(IMPORTDATA("https://fmpcloud.io/api/v3/ratios/" &amp;#REF! &amp; "?datatype=csv&amp;apikey=" &amp;#REF!)),"symbol")</f>
        <v>symbol</v>
      </c>
      <c r="C52" s="1" t="str">
        <f ca="1">IFERROR(__xludf.UNSUPPORTED("""COMPUTED_VALUE"""),"date")</f>
        <v>date</v>
      </c>
      <c r="D52" s="1" t="str">
        <f ca="1">IFERROR(__xludf.UNSUPPORTED("""COMPUTED_VALUE"""),"calendarYear")</f>
        <v>calendarYear</v>
      </c>
      <c r="E52" s="1" t="str">
        <f ca="1">IFERROR(__xludf.UNSUPPORTED("""COMPUTED_VALUE"""),"period")</f>
        <v>period</v>
      </c>
      <c r="F52" s="1" t="str">
        <f ca="1">IFERROR(__xludf.UNSUPPORTED("""COMPUTED_VALUE"""),"currentRatio")</f>
        <v>currentRatio</v>
      </c>
      <c r="G52" s="1" t="str">
        <f ca="1">IFERROR(__xludf.UNSUPPORTED("""COMPUTED_VALUE"""),"quickRatio")</f>
        <v>quickRatio</v>
      </c>
      <c r="H52" s="1" t="str">
        <f ca="1">IFERROR(__xludf.UNSUPPORTED("""COMPUTED_VALUE"""),"cashRatio")</f>
        <v>cashRatio</v>
      </c>
      <c r="I52" s="1" t="str">
        <f ca="1">IFERROR(__xludf.UNSUPPORTED("""COMPUTED_VALUE"""),"daysOfSalesOutstanding")</f>
        <v>daysOfSalesOutstanding</v>
      </c>
      <c r="J52" s="1" t="str">
        <f ca="1">IFERROR(__xludf.UNSUPPORTED("""COMPUTED_VALUE"""),"daysOfInventoryOutstanding")</f>
        <v>daysOfInventoryOutstanding</v>
      </c>
      <c r="K52" s="1" t="str">
        <f ca="1">IFERROR(__xludf.UNSUPPORTED("""COMPUTED_VALUE"""),"operatingCycle")</f>
        <v>operatingCycle</v>
      </c>
      <c r="L52" s="1" t="str">
        <f ca="1">IFERROR(__xludf.UNSUPPORTED("""COMPUTED_VALUE"""),"daysOfPayablesOutstanding")</f>
        <v>daysOfPayablesOutstanding</v>
      </c>
      <c r="M52" s="1" t="str">
        <f ca="1">IFERROR(__xludf.UNSUPPORTED("""COMPUTED_VALUE"""),"cashConversionCycle")</f>
        <v>cashConversionCycle</v>
      </c>
      <c r="N52" s="1" t="str">
        <f ca="1">IFERROR(__xludf.UNSUPPORTED("""COMPUTED_VALUE"""),"grossProfitMargin")</f>
        <v>grossProfitMargin</v>
      </c>
      <c r="O52" s="1" t="str">
        <f ca="1">IFERROR(__xludf.UNSUPPORTED("""COMPUTED_VALUE"""),"operatingProfitMargin")</f>
        <v>operatingProfitMargin</v>
      </c>
      <c r="P52" s="1" t="str">
        <f ca="1">IFERROR(__xludf.UNSUPPORTED("""COMPUTED_VALUE"""),"pretaxProfitMargin")</f>
        <v>pretaxProfitMargin</v>
      </c>
      <c r="Q52" s="1" t="str">
        <f ca="1">IFERROR(__xludf.UNSUPPORTED("""COMPUTED_VALUE"""),"netProfitMargin")</f>
        <v>netProfitMargin</v>
      </c>
      <c r="R52" s="1" t="str">
        <f ca="1">IFERROR(__xludf.UNSUPPORTED("""COMPUTED_VALUE"""),"effectiveTaxRate")</f>
        <v>effectiveTaxRate</v>
      </c>
      <c r="S52" s="1" t="str">
        <f ca="1">IFERROR(__xludf.UNSUPPORTED("""COMPUTED_VALUE"""),"returnOnAssets")</f>
        <v>returnOnAssets</v>
      </c>
      <c r="T52" s="1" t="str">
        <f ca="1">IFERROR(__xludf.UNSUPPORTED("""COMPUTED_VALUE"""),"returnOnEquity")</f>
        <v>returnOnEquity</v>
      </c>
      <c r="U52" s="1" t="str">
        <f ca="1">IFERROR(__xludf.UNSUPPORTED("""COMPUTED_VALUE"""),"returnOnCapitalEmployed")</f>
        <v>returnOnCapitalEmployed</v>
      </c>
      <c r="V52" s="1" t="str">
        <f ca="1">IFERROR(__xludf.UNSUPPORTED("""COMPUTED_VALUE"""),"netIncomePerEBT")</f>
        <v>netIncomePerEBT</v>
      </c>
      <c r="W52" s="1" t="str">
        <f ca="1">IFERROR(__xludf.UNSUPPORTED("""COMPUTED_VALUE"""),"ebtPerEbit")</f>
        <v>ebtPerEbit</v>
      </c>
      <c r="X52" s="1" t="str">
        <f ca="1">IFERROR(__xludf.UNSUPPORTED("""COMPUTED_VALUE"""),"ebitPerRevenue")</f>
        <v>ebitPerRevenue</v>
      </c>
      <c r="Y52" s="1" t="str">
        <f ca="1">IFERROR(__xludf.UNSUPPORTED("""COMPUTED_VALUE"""),"debtRatio")</f>
        <v>debtRatio</v>
      </c>
      <c r="Z52" s="1" t="str">
        <f ca="1">IFERROR(__xludf.UNSUPPORTED("""COMPUTED_VALUE"""),"debtEquityRatio")</f>
        <v>debtEquityRatio</v>
      </c>
      <c r="AA52" s="1" t="str">
        <f ca="1">IFERROR(__xludf.UNSUPPORTED("""COMPUTED_VALUE"""),"longTermDebtToCapitalization")</f>
        <v>longTermDebtToCapitalization</v>
      </c>
      <c r="AB52" s="1" t="str">
        <f ca="1">IFERROR(__xludf.UNSUPPORTED("""COMPUTED_VALUE"""),"totalDebtToCapitalization")</f>
        <v>totalDebtToCapitalization</v>
      </c>
      <c r="AC52" s="1" t="str">
        <f ca="1">IFERROR(__xludf.UNSUPPORTED("""COMPUTED_VALUE"""),"interestCoverage")</f>
        <v>interestCoverage</v>
      </c>
      <c r="AD52" s="1" t="str">
        <f ca="1">IFERROR(__xludf.UNSUPPORTED("""COMPUTED_VALUE"""),"cashFlowToDebtRatio")</f>
        <v>cashFlowToDebtRatio</v>
      </c>
      <c r="AE52" s="1" t="str">
        <f ca="1">IFERROR(__xludf.UNSUPPORTED("""COMPUTED_VALUE"""),"companyEquityMultiplier")</f>
        <v>companyEquityMultiplier</v>
      </c>
      <c r="AF52" s="1" t="str">
        <f ca="1">IFERROR(__xludf.UNSUPPORTED("""COMPUTED_VALUE"""),"receivablesTurnover")</f>
        <v>receivablesTurnover</v>
      </c>
      <c r="AG52" s="1" t="str">
        <f ca="1">IFERROR(__xludf.UNSUPPORTED("""COMPUTED_VALUE"""),"payablesTurnover")</f>
        <v>payablesTurnover</v>
      </c>
      <c r="AH52" s="1" t="str">
        <f ca="1">IFERROR(__xludf.UNSUPPORTED("""COMPUTED_VALUE"""),"inventoryTurnover")</f>
        <v>inventoryTurnover</v>
      </c>
      <c r="AI52" s="1" t="str">
        <f ca="1">IFERROR(__xludf.UNSUPPORTED("""COMPUTED_VALUE"""),"fixedAssetTurnover")</f>
        <v>fixedAssetTurnover</v>
      </c>
      <c r="AJ52" s="1" t="str">
        <f ca="1">IFERROR(__xludf.UNSUPPORTED("""COMPUTED_VALUE"""),"assetTurnover")</f>
        <v>assetTurnover</v>
      </c>
      <c r="AK52" s="1" t="str">
        <f ca="1">IFERROR(__xludf.UNSUPPORTED("""COMPUTED_VALUE"""),"operatingCashFlowPerShare")</f>
        <v>operatingCashFlowPerShare</v>
      </c>
      <c r="AL52" s="1" t="str">
        <f ca="1">IFERROR(__xludf.UNSUPPORTED("""COMPUTED_VALUE"""),"freeCashFlowPerShare")</f>
        <v>freeCashFlowPerShare</v>
      </c>
      <c r="AM52" s="1" t="str">
        <f ca="1">IFERROR(__xludf.UNSUPPORTED("""COMPUTED_VALUE"""),"cashPerShare")</f>
        <v>cashPerShare</v>
      </c>
      <c r="AN52" s="1" t="str">
        <f ca="1">IFERROR(__xludf.UNSUPPORTED("""COMPUTED_VALUE"""),"payoutRatio")</f>
        <v>payoutRatio</v>
      </c>
      <c r="AO52" s="1" t="str">
        <f ca="1">IFERROR(__xludf.UNSUPPORTED("""COMPUTED_VALUE"""),"operatingCashFlowSalesRatio")</f>
        <v>operatingCashFlowSalesRatio</v>
      </c>
      <c r="AP52" s="1" t="str">
        <f ca="1">IFERROR(__xludf.UNSUPPORTED("""COMPUTED_VALUE"""),"freeCashFlowOperatingCashFlowRatio")</f>
        <v>freeCashFlowOperatingCashFlowRatio</v>
      </c>
      <c r="AQ52" s="1" t="str">
        <f ca="1">IFERROR(__xludf.UNSUPPORTED("""COMPUTED_VALUE"""),"cashFlowCoverageRatios")</f>
        <v>cashFlowCoverageRatios</v>
      </c>
      <c r="AR52" s="1" t="str">
        <f ca="1">IFERROR(__xludf.UNSUPPORTED("""COMPUTED_VALUE"""),"shortTermCoverageRatios")</f>
        <v>shortTermCoverageRatios</v>
      </c>
      <c r="AS52" s="1" t="str">
        <f ca="1">IFERROR(__xludf.UNSUPPORTED("""COMPUTED_VALUE"""),"capitalExpenditureCoverageRatio")</f>
        <v>capitalExpenditureCoverageRatio</v>
      </c>
      <c r="AT52" s="1" t="str">
        <f ca="1">IFERROR(__xludf.UNSUPPORTED("""COMPUTED_VALUE"""),"dividendPaidAndCapexCoverageRatio")</f>
        <v>dividendPaidAndCapexCoverageRatio</v>
      </c>
      <c r="AU52" s="1" t="str">
        <f ca="1">IFERROR(__xludf.UNSUPPORTED("""COMPUTED_VALUE"""),"dividendPayoutRatio")</f>
        <v>dividendPayoutRatio</v>
      </c>
      <c r="AV52" s="1" t="str">
        <f ca="1">IFERROR(__xludf.UNSUPPORTED("""COMPUTED_VALUE"""),"priceBookValueRatio")</f>
        <v>priceBookValueRatio</v>
      </c>
      <c r="AW52" s="1" t="str">
        <f ca="1">IFERROR(__xludf.UNSUPPORTED("""COMPUTED_VALUE"""),"priceToBookRatio")</f>
        <v>priceToBookRatio</v>
      </c>
      <c r="AX52" s="1" t="str">
        <f ca="1">IFERROR(__xludf.UNSUPPORTED("""COMPUTED_VALUE"""),"priceToSalesRatio")</f>
        <v>priceToSalesRatio</v>
      </c>
      <c r="AY52" s="1" t="str">
        <f ca="1">IFERROR(__xludf.UNSUPPORTED("""COMPUTED_VALUE"""),"priceEarningsRatio")</f>
        <v>priceEarningsRatio</v>
      </c>
      <c r="AZ52" s="1" t="str">
        <f ca="1">IFERROR(__xludf.UNSUPPORTED("""COMPUTED_VALUE"""),"priceToFreeCashFlowsRatio")</f>
        <v>priceToFreeCashFlowsRatio</v>
      </c>
      <c r="BA52" s="1" t="str">
        <f ca="1">IFERROR(__xludf.UNSUPPORTED("""COMPUTED_VALUE"""),"priceToOperatingCashFlowsRatio")</f>
        <v>priceToOperatingCashFlowsRatio</v>
      </c>
      <c r="BB52" s="1" t="str">
        <f ca="1">IFERROR(__xludf.UNSUPPORTED("""COMPUTED_VALUE"""),"priceCashFlowRatio")</f>
        <v>priceCashFlowRatio</v>
      </c>
      <c r="BC52" s="1" t="str">
        <f ca="1">IFERROR(__xludf.UNSUPPORTED("""COMPUTED_VALUE"""),"priceEarningsToGrowthRatio")</f>
        <v>priceEarningsToGrowthRatio</v>
      </c>
      <c r="BD52" s="1" t="str">
        <f ca="1">IFERROR(__xludf.UNSUPPORTED("""COMPUTED_VALUE"""),"priceSalesRatio")</f>
        <v>priceSalesRatio</v>
      </c>
      <c r="BE52" s="1" t="str">
        <f ca="1">IFERROR(__xludf.UNSUPPORTED("""COMPUTED_VALUE"""),"dividendYield")</f>
        <v>dividendYield</v>
      </c>
      <c r="BF52" s="1" t="str">
        <f ca="1">IFERROR(__xludf.UNSUPPORTED("""COMPUTED_VALUE"""),"enterpriseValueMultiple")</f>
        <v>enterpriseValueMultiple</v>
      </c>
      <c r="BG52" s="1" t="str">
        <f ca="1">IFERROR(__xludf.UNSUPPORTED("""COMPUTED_VALUE"""),"priceFairValue")</f>
        <v>priceFairValue</v>
      </c>
    </row>
    <row r="53" spans="1:59" ht="13">
      <c r="A53" s="1">
        <v>3</v>
      </c>
      <c r="B53" s="5" t="str">
        <f ca="1">IFERROR(__xludf.UNSUPPORTED("""COMPUTED_VALUE"""),"AAPL")</f>
        <v>AAPL</v>
      </c>
      <c r="C53" s="1">
        <f ca="1">IFERROR(__xludf.UNSUPPORTED("""COMPUTED_VALUE"""),45563)</f>
        <v>45563</v>
      </c>
      <c r="D53" s="1">
        <f ca="1">IFERROR(__xludf.UNSUPPORTED("""COMPUTED_VALUE"""),2024)</f>
        <v>2024</v>
      </c>
      <c r="E53" s="1" t="str">
        <f ca="1">IFERROR(__xludf.UNSUPPORTED("""COMPUTED_VALUE"""),"FY")</f>
        <v>FY</v>
      </c>
      <c r="F53" s="1">
        <f ca="1">IFERROR(__xludf.UNSUPPORTED("""COMPUTED_VALUE"""),0.867312576534083)</f>
        <v>0.867312576534083</v>
      </c>
      <c r="G53" s="1">
        <f ca="1">IFERROR(__xludf.UNSUPPORTED("""COMPUTED_VALUE"""),0.826006848383146)</f>
        <v>0.82600684838314598</v>
      </c>
      <c r="H53" s="1">
        <f ca="1">IFERROR(__xludf.UNSUPPORTED("""COMPUTED_VALUE"""),0.169752596489636)</f>
        <v>0.169752596489636</v>
      </c>
      <c r="I53" s="1">
        <f ca="1">IFERROR(__xludf.UNSUPPORTED("""COMPUTED_VALUE"""),61.8325597452913)</f>
        <v>61.832559745291299</v>
      </c>
      <c r="J53" s="1">
        <f ca="1">IFERROR(__xludf.UNSUPPORTED("""COMPUTED_VALUE"""),12.642570548414)</f>
        <v>12.642570548414</v>
      </c>
      <c r="K53" s="1">
        <f ca="1">IFERROR(__xludf.UNSUPPORTED("""COMPUTED_VALUE"""),74.4751302937054)</f>
        <v>74.475130293705405</v>
      </c>
      <c r="L53" s="1">
        <f ca="1">IFERROR(__xludf.UNSUPPORTED("""COMPUTED_VALUE"""),119.658477219137)</f>
        <v>119.658477219137</v>
      </c>
      <c r="M53" s="1">
        <f ca="1">IFERROR(__xludf.UNSUPPORTED("""COMPUTED_VALUE"""),-45.183346925432)</f>
        <v>-45.183346925431998</v>
      </c>
      <c r="N53" s="1">
        <f ca="1">IFERROR(__xludf.UNSUPPORTED("""COMPUTED_VALUE"""),0.462063498152339)</f>
        <v>0.46206349815233899</v>
      </c>
      <c r="O53" s="1">
        <f ca="1">IFERROR(__xludf.UNSUPPORTED("""COMPUTED_VALUE"""),0.315102228700755)</f>
        <v>0.31510222870075499</v>
      </c>
      <c r="P53" s="1">
        <f ca="1">IFERROR(__xludf.UNSUPPORTED("""COMPUTED_VALUE"""),0.315790146662063)</f>
        <v>0.31579014666206301</v>
      </c>
      <c r="Q53" s="1">
        <f ca="1">IFERROR(__xludf.UNSUPPORTED("""COMPUTED_VALUE"""),0.239712557699438)</f>
        <v>0.239712557699438</v>
      </c>
      <c r="R53" s="1">
        <f ca="1">IFERROR(__xludf.UNSUPPORTED("""COMPUTED_VALUE"""),0.240911851641899)</f>
        <v>0.24091185164189899</v>
      </c>
      <c r="S53" s="1">
        <f ca="1">IFERROR(__xludf.UNSUPPORTED("""COMPUTED_VALUE"""),0.256825031508575)</f>
        <v>0.256825031508575</v>
      </c>
      <c r="T53" s="1">
        <f ca="1">IFERROR(__xludf.UNSUPPORTED("""COMPUTED_VALUE"""),1.6459350307287)</f>
        <v>1.6459350307287</v>
      </c>
      <c r="U53" s="1">
        <f ca="1">IFERROR(__xludf.UNSUPPORTED("""COMPUTED_VALUE"""),0.653360765266082)</f>
        <v>0.653360765266082</v>
      </c>
      <c r="V53" s="1">
        <f ca="1">IFERROR(__xludf.UNSUPPORTED("""COMPUTED_VALUE"""),0.7590881483581)</f>
        <v>0.75908814835810001</v>
      </c>
      <c r="W53" s="1">
        <f ca="1">IFERROR(__xludf.UNSUPPORTED("""COMPUTED_VALUE"""),1.00218315803142)</f>
        <v>1.00218315803142</v>
      </c>
      <c r="X53" s="1">
        <f ca="1">IFERROR(__xludf.UNSUPPORTED("""COMPUTED_VALUE"""),0.315102228700755)</f>
        <v>0.31510222870075499</v>
      </c>
      <c r="Y53" s="1">
        <f ca="1">IFERROR(__xludf.UNSUPPORTED("""COMPUTED_VALUE"""),0.292150254808482)</f>
        <v>0.292150254808482</v>
      </c>
      <c r="Z53" s="1">
        <f ca="1">IFERROR(__xludf.UNSUPPORTED("""COMPUTED_VALUE"""),1.8723266022827)</f>
        <v>1.8723266022827001</v>
      </c>
      <c r="AA53" s="1">
        <f ca="1">IFERROR(__xludf.UNSUPPORTED("""COMPUTED_VALUE"""),0.600911002102312)</f>
        <v>0.60091100210231196</v>
      </c>
      <c r="AB53" s="1">
        <f ca="1">IFERROR(__xludf.UNSUPPORTED("""COMPUTED_VALUE"""),0.651850176367382)</f>
        <v>0.65185017636738196</v>
      </c>
      <c r="AC53" s="1">
        <f ca="1">IFERROR(__xludf.UNSUPPORTED("""COMPUTED_VALUE"""),0)</f>
        <v>0</v>
      </c>
      <c r="AD53" s="1">
        <f ca="1">IFERROR(__xludf.UNSUPPORTED("""COMPUTED_VALUE"""),1.10902287370227)</f>
        <v>1.10902287370227</v>
      </c>
      <c r="AE53" s="1">
        <f ca="1">IFERROR(__xludf.UNSUPPORTED("""COMPUTED_VALUE"""),6.40877963125548)</f>
        <v>6.4087796312554799</v>
      </c>
      <c r="AF53" s="1">
        <f ca="1">IFERROR(__xludf.UNSUPPORTED("""COMPUTED_VALUE"""),5.90303881164802)</f>
        <v>5.9030388116480204</v>
      </c>
      <c r="AG53" s="1">
        <f ca="1">IFERROR(__xludf.UNSUPPORTED("""COMPUTED_VALUE"""),3.05034802784222)</f>
        <v>3.0503480278422201</v>
      </c>
      <c r="AH53" s="1">
        <f ca="1">IFERROR(__xludf.UNSUPPORTED("""COMPUTED_VALUE"""),28.8707109525116)</f>
        <v>28.870710952511601</v>
      </c>
      <c r="AI53" s="1">
        <f ca="1">IFERROR(__xludf.UNSUPPORTED("""COMPUTED_VALUE"""),8.5603108581436)</f>
        <v>8.5603108581436</v>
      </c>
      <c r="AJ53" s="1">
        <f ca="1">IFERROR(__xludf.UNSUPPORTED("""COMPUTED_VALUE"""),1.0713874732862)</f>
        <v>1.0713874732862001</v>
      </c>
      <c r="AK53" s="1">
        <f ca="1">IFERROR(__xludf.UNSUPPORTED("""COMPUTED_VALUE"""),7.70696509459238)</f>
        <v>7.7069650945923804</v>
      </c>
      <c r="AL53" s="1">
        <f ca="1">IFERROR(__xludf.UNSUPPORTED("""COMPUTED_VALUE"""),7.09127599106426)</f>
        <v>7.0912759910642604</v>
      </c>
      <c r="AM53" s="1">
        <f ca="1">IFERROR(__xludf.UNSUPPORTED("""COMPUTED_VALUE"""),4.24738801376427)</f>
        <v>4.2473880137642697</v>
      </c>
      <c r="AN53" s="1">
        <f ca="1">IFERROR(__xludf.UNSUPPORTED("""COMPUTED_VALUE"""),0.162520269693607)</f>
        <v>0.162520269693607</v>
      </c>
      <c r="AO53" s="1">
        <f ca="1">IFERROR(__xludf.UNSUPPORTED("""COMPUTED_VALUE"""),0.302412827496259)</f>
        <v>0.30241282749625897</v>
      </c>
      <c r="AP53" s="1">
        <f ca="1">IFERROR(__xludf.UNSUPPORTED("""COMPUTED_VALUE"""),0.920112638895935)</f>
        <v>0.92011263889593498</v>
      </c>
      <c r="AQ53" s="1">
        <f ca="1">IFERROR(__xludf.UNSUPPORTED("""COMPUTED_VALUE"""),1.10902287370227)</f>
        <v>1.10902287370227</v>
      </c>
      <c r="AR53" s="1">
        <f ca="1">IFERROR(__xludf.UNSUPPORTED("""COMPUTED_VALUE"""),5.66377700081421)</f>
        <v>5.6637770008142097</v>
      </c>
      <c r="AS53" s="1">
        <f ca="1">IFERROR(__xludf.UNSUPPORTED("""COMPUTED_VALUE"""),12.5176246427437)</f>
        <v>12.5176246427437</v>
      </c>
      <c r="AT53" s="1">
        <f ca="1">IFERROR(__xludf.UNSUPPORTED("""COMPUTED_VALUE"""),4.79129694907013)</f>
        <v>4.79129694907013</v>
      </c>
      <c r="AU53" s="1">
        <f ca="1">IFERROR(__xludf.UNSUPPORTED("""COMPUTED_VALUE"""),0.162520269693607)</f>
        <v>0.162520269693607</v>
      </c>
      <c r="AV53" s="1">
        <f ca="1">IFERROR(__xludf.UNSUPPORTED("""COMPUTED_VALUE"""),61.3724377448639)</f>
        <v>61.372437744863902</v>
      </c>
      <c r="AW53" s="1">
        <f ca="1">IFERROR(__xludf.UNSUPPORTED("""COMPUTED_VALUE"""),61.3724377448639)</f>
        <v>61.372437744863902</v>
      </c>
      <c r="AX53" s="1">
        <f ca="1">IFERROR(__xludf.UNSUPPORTED("""COMPUTED_VALUE"""),8.93822887866815)</f>
        <v>8.9382288786681503</v>
      </c>
      <c r="AY53" s="1">
        <f ca="1">IFERROR(__xludf.UNSUPPORTED("""COMPUTED_VALUE"""),37.2872784156567)</f>
        <v>37.287278415656701</v>
      </c>
      <c r="AZ53" s="1">
        <f ca="1">IFERROR(__xludf.UNSUPPORTED("""COMPUTED_VALUE"""),32.1225686726956)</f>
        <v>32.1225686726956</v>
      </c>
      <c r="BA53" s="1">
        <f ca="1">IFERROR(__xludf.UNSUPPORTED("""COMPUTED_VALUE"""),29.5563814295499)</f>
        <v>29.556381429549901</v>
      </c>
      <c r="BB53" s="1">
        <f ca="1">IFERROR(__xludf.UNSUPPORTED("""COMPUTED_VALUE"""),29.5563814295499)</f>
        <v>29.556381429549901</v>
      </c>
      <c r="BC53" s="1">
        <f ca="1">IFERROR(__xludf.UNSUPPORTED("""COMPUTED_VALUE"""),-45.9379270080893)</f>
        <v>-45.937927008089297</v>
      </c>
      <c r="BD53" s="1">
        <f ca="1">IFERROR(__xludf.UNSUPPORTED("""COMPUTED_VALUE"""),8.93822887866815)</f>
        <v>8.9382288786681503</v>
      </c>
      <c r="BE53" s="1">
        <f ca="1">IFERROR(__xludf.UNSUPPORTED("""COMPUTED_VALUE"""),0.00435859833699651)</f>
        <v>4.3585983369965097E-3</v>
      </c>
      <c r="BF53" s="1">
        <f ca="1">IFERROR(__xludf.UNSUPPORTED("""COMPUTED_VALUE"""),26.5247274977164)</f>
        <v>26.524727497716398</v>
      </c>
      <c r="BG53" s="1">
        <f ca="1">IFERROR(__xludf.UNSUPPORTED("""COMPUTED_VALUE"""),61.3724377448639)</f>
        <v>61.372437744863902</v>
      </c>
    </row>
    <row r="54" spans="1:59" ht="13">
      <c r="A54" s="1">
        <f t="shared" ref="A54:A100" si="1">A53+1</f>
        <v>4</v>
      </c>
      <c r="B54" s="5" t="str">
        <f ca="1">IFERROR(__xludf.UNSUPPORTED("""COMPUTED_VALUE"""),"AAPL")</f>
        <v>AAPL</v>
      </c>
      <c r="C54" s="1">
        <f ca="1">IFERROR(__xludf.UNSUPPORTED("""COMPUTED_VALUE"""),45199)</f>
        <v>45199</v>
      </c>
      <c r="D54" s="1">
        <f ca="1">IFERROR(__xludf.UNSUPPORTED("""COMPUTED_VALUE"""),2023)</f>
        <v>2023</v>
      </c>
      <c r="E54" s="1" t="str">
        <f ca="1">IFERROR(__xludf.UNSUPPORTED("""COMPUTED_VALUE"""),"FY")</f>
        <v>FY</v>
      </c>
      <c r="F54" s="1">
        <f ca="1">IFERROR(__xludf.UNSUPPORTED("""COMPUTED_VALUE"""),0.988011671759297)</f>
        <v>0.98801167175929705</v>
      </c>
      <c r="G54" s="1">
        <f ca="1">IFERROR(__xludf.UNSUPPORTED("""COMPUTED_VALUE"""),0.944442150466595)</f>
        <v>0.94444215046659497</v>
      </c>
      <c r="H54" s="1">
        <f ca="1">IFERROR(__xludf.UNSUPPORTED("""COMPUTED_VALUE"""),0.206217138767308)</f>
        <v>0.20621713876730799</v>
      </c>
      <c r="I54" s="1">
        <f ca="1">IFERROR(__xludf.UNSUPPORTED("""COMPUTED_VALUE"""),58.0756486687451)</f>
        <v>58.075648668745103</v>
      </c>
      <c r="J54" s="1">
        <f ca="1">IFERROR(__xludf.UNSUPPORTED("""COMPUTED_VALUE"""),10.7912924903216)</f>
        <v>10.791292490321601</v>
      </c>
      <c r="K54" s="1">
        <f ca="1">IFERROR(__xludf.UNSUPPORTED("""COMPUTED_VALUE"""),68.8669411590668)</f>
        <v>68.866941159066798</v>
      </c>
      <c r="L54" s="1">
        <f ca="1">IFERROR(__xludf.UNSUPPORTED("""COMPUTED_VALUE"""),106.721468032147)</f>
        <v>106.721468032147</v>
      </c>
      <c r="M54" s="1">
        <f ca="1">IFERROR(__xludf.UNSUPPORTED("""COMPUTED_VALUE"""),-37.8545268730808)</f>
        <v>-37.8545268730808</v>
      </c>
      <c r="N54" s="1">
        <f ca="1">IFERROR(__xludf.UNSUPPORTED("""COMPUTED_VALUE"""),0.441311295772075)</f>
        <v>0.44131129577207501</v>
      </c>
      <c r="O54" s="1">
        <f ca="1">IFERROR(__xludf.UNSUPPORTED("""COMPUTED_VALUE"""),0.298214122650247)</f>
        <v>0.29821412265024699</v>
      </c>
      <c r="P54" s="1">
        <f ca="1">IFERROR(__xludf.UNSUPPORTED("""COMPUTED_VALUE"""),0.296740023742124)</f>
        <v>0.29674002374212399</v>
      </c>
      <c r="Q54" s="1">
        <f ca="1">IFERROR(__xludf.UNSUPPORTED("""COMPUTED_VALUE"""),0.253062342643202)</f>
        <v>0.25306234264320199</v>
      </c>
      <c r="R54" s="1">
        <f ca="1">IFERROR(__xludf.UNSUPPORTED("""COMPUTED_VALUE"""),0.147191742280368)</f>
        <v>0.14719174228036799</v>
      </c>
      <c r="S54" s="1">
        <f ca="1">IFERROR(__xludf.UNSUPPORTED("""COMPUTED_VALUE"""),0.275098345637764)</f>
        <v>0.27509834563776397</v>
      </c>
      <c r="T54" s="1">
        <f ca="1">IFERROR(__xludf.UNSUPPORTED("""COMPUTED_VALUE"""),1.5607601454639)</f>
        <v>1.5607601454639</v>
      </c>
      <c r="U54" s="1">
        <f ca="1">IFERROR(__xludf.UNSUPPORTED("""COMPUTED_VALUE"""),0.551446146423833)</f>
        <v>0.55144614642383305</v>
      </c>
      <c r="V54" s="1">
        <f ca="1">IFERROR(__xludf.UNSUPPORTED("""COMPUTED_VALUE"""),0.852808257719631)</f>
        <v>0.85280825771963098</v>
      </c>
      <c r="W54" s="1">
        <f ca="1">IFERROR(__xludf.UNSUPPORTED("""COMPUTED_VALUE"""),0.995056911138135)</f>
        <v>0.99505691113813499</v>
      </c>
      <c r="X54" s="1">
        <f ca="1">IFERROR(__xludf.UNSUPPORTED("""COMPUTED_VALUE"""),0.298214122650247)</f>
        <v>0.29821412265024699</v>
      </c>
      <c r="Y54" s="1">
        <f ca="1">IFERROR(__xludf.UNSUPPORTED("""COMPUTED_VALUE"""),0.315069075933893)</f>
        <v>0.31506907593389299</v>
      </c>
      <c r="Z54" s="1">
        <f ca="1">IFERROR(__xludf.UNSUPPORTED("""COMPUTED_VALUE"""),1.78753258455894)</f>
        <v>1.78753258455894</v>
      </c>
      <c r="AA54" s="1">
        <f ca="1">IFERROR(__xludf.UNSUPPORTED("""COMPUTED_VALUE"""),0.605239253749356)</f>
        <v>0.60523925374935605</v>
      </c>
      <c r="AB54" s="1">
        <f ca="1">IFERROR(__xludf.UNSUPPORTED("""COMPUTED_VALUE"""),0.641259798884745)</f>
        <v>0.64125979888474505</v>
      </c>
      <c r="AC54" s="1">
        <f ca="1">IFERROR(__xludf.UNSUPPORTED("""COMPUTED_VALUE"""),29.0620391558606)</f>
        <v>29.062039155860599</v>
      </c>
      <c r="AD54" s="1">
        <f ca="1">IFERROR(__xludf.UNSUPPORTED("""COMPUTED_VALUE"""),0.995093979547745)</f>
        <v>0.99509397954774503</v>
      </c>
      <c r="AE54" s="1">
        <f ca="1">IFERROR(__xludf.UNSUPPORTED("""COMPUTED_VALUE"""),5.67346249155215)</f>
        <v>5.6734624915521499</v>
      </c>
      <c r="AF54" s="1">
        <f ca="1">IFERROR(__xludf.UNSUPPORTED("""COMPUTED_VALUE"""),6.28490612445683)</f>
        <v>6.2849061244568301</v>
      </c>
      <c r="AG54" s="1">
        <f ca="1">IFERROR(__xludf.UNSUPPORTED("""COMPUTED_VALUE"""),3.4201178706617)</f>
        <v>3.4201178706616999</v>
      </c>
      <c r="AH54" s="1">
        <f ca="1">IFERROR(__xludf.UNSUPPORTED("""COMPUTED_VALUE"""),33.82356657716)</f>
        <v>33.823566577160001</v>
      </c>
      <c r="AI54" s="1">
        <f ca="1">IFERROR(__xludf.UNSUPPORTED("""COMPUTED_VALUE"""),7.04878990731205)</f>
        <v>7.0487899073120497</v>
      </c>
      <c r="AJ54" s="1">
        <f ca="1">IFERROR(__xludf.UNSUPPORTED("""COMPUTED_VALUE"""),1.08707736901665)</f>
        <v>1.08707736901665</v>
      </c>
      <c r="AK54" s="1">
        <f ca="1">IFERROR(__xludf.UNSUPPORTED("""COMPUTED_VALUE"""),7.02117493067778)</f>
        <v>7.0211749306777804</v>
      </c>
      <c r="AL54" s="1">
        <f ca="1">IFERROR(__xludf.UNSUPPORTED("""COMPUTED_VALUE"""),6.32511044839217)</f>
        <v>6.3251104483921701</v>
      </c>
      <c r="AM54" s="1">
        <f ca="1">IFERROR(__xludf.UNSUPPORTED("""COMPUTED_VALUE"""),3.90968603039424)</f>
        <v>3.9096860303942398</v>
      </c>
      <c r="AN54" s="1">
        <f ca="1">IFERROR(__xludf.UNSUPPORTED("""COMPUTED_VALUE"""),0.154904892004742)</f>
        <v>0.154904892004742</v>
      </c>
      <c r="AO54" s="1">
        <f ca="1">IFERROR(__xludf.UNSUPPORTED("""COMPUTED_VALUE"""),0.288409408142765)</f>
        <v>0.288409408142765</v>
      </c>
      <c r="AP54" s="1">
        <f ca="1">IFERROR(__xludf.UNSUPPORTED("""COMPUTED_VALUE"""),0.900862107957989)</f>
        <v>0.90086210795798904</v>
      </c>
      <c r="AQ54" s="1">
        <f ca="1">IFERROR(__xludf.UNSUPPORTED("""COMPUTED_VALUE"""),0.995093979547745)</f>
        <v>0.99509397954774503</v>
      </c>
      <c r="AR54" s="1">
        <f ca="1">IFERROR(__xludf.UNSUPPORTED("""COMPUTED_VALUE"""),6.99329411020433)</f>
        <v>6.9932941102043298</v>
      </c>
      <c r="AS54" s="1">
        <f ca="1">IFERROR(__xludf.UNSUPPORTED("""COMPUTED_VALUE"""),10.0869604890957)</f>
        <v>10.0869604890957</v>
      </c>
      <c r="AT54" s="1">
        <f ca="1">IFERROR(__xludf.UNSUPPORTED("""COMPUTED_VALUE"""),4.25427185960591)</f>
        <v>4.2542718596059101</v>
      </c>
      <c r="AU54" s="1">
        <f ca="1">IFERROR(__xludf.UNSUPPORTED("""COMPUTED_VALUE"""),0.154904892004742)</f>
        <v>0.154904892004742</v>
      </c>
      <c r="AV54" s="1">
        <f ca="1">IFERROR(__xludf.UNSUPPORTED("""COMPUTED_VALUE"""),43.3747914509381)</f>
        <v>43.374791450938098</v>
      </c>
      <c r="AW54" s="1">
        <f ca="1">IFERROR(__xludf.UNSUPPORTED("""COMPUTED_VALUE"""),43.3747914509381)</f>
        <v>43.374791450938098</v>
      </c>
      <c r="AX54" s="1">
        <f ca="1">IFERROR(__xludf.UNSUPPORTED("""COMPUTED_VALUE"""),7.03280793537446)</f>
        <v>7.0328079353744597</v>
      </c>
      <c r="AY54" s="1">
        <f ca="1">IFERROR(__xludf.UNSUPPORTED("""COMPUTED_VALUE"""),27.7908117893705)</f>
        <v>27.790811789370501</v>
      </c>
      <c r="AZ54" s="1">
        <f ca="1">IFERROR(__xludf.UNSUPPORTED("""COMPUTED_VALUE"""),27.0683020315512)</f>
        <v>27.068302031551202</v>
      </c>
      <c r="BA54" s="1">
        <f ca="1">IFERROR(__xludf.UNSUPPORTED("""COMPUTED_VALUE"""),24.3848076269867)</f>
        <v>24.384807626986699</v>
      </c>
      <c r="BB54" s="1">
        <f ca="1">IFERROR(__xludf.UNSUPPORTED("""COMPUTED_VALUE"""),24.3848076269867)</f>
        <v>24.384807626986699</v>
      </c>
      <c r="BC54" s="1">
        <f ca="1">IFERROR(__xludf.UNSUPPORTED("""COMPUTED_VALUE"""),170.913492504621)</f>
        <v>170.91349250462099</v>
      </c>
      <c r="BD54" s="1">
        <f ca="1">IFERROR(__xludf.UNSUPPORTED("""COMPUTED_VALUE"""),7.03280793537446)</f>
        <v>7.0328079353744597</v>
      </c>
      <c r="BE54" s="1">
        <f ca="1">IFERROR(__xludf.UNSUPPORTED("""COMPUTED_VALUE"""),0.00557396067372132)</f>
        <v>5.5739606737213203E-3</v>
      </c>
      <c r="BF54" s="1">
        <f ca="1">IFERROR(__xludf.UNSUPPORTED("""COMPUTED_VALUE"""),22.0687711771578)</f>
        <v>22.068771177157799</v>
      </c>
      <c r="BG54" s="1">
        <f ca="1">IFERROR(__xludf.UNSUPPORTED("""COMPUTED_VALUE"""),43.3747914509381)</f>
        <v>43.374791450938098</v>
      </c>
    </row>
    <row r="55" spans="1:59" ht="13">
      <c r="A55" s="1">
        <f t="shared" si="1"/>
        <v>5</v>
      </c>
      <c r="B55" s="5" t="str">
        <f ca="1">IFERROR(__xludf.UNSUPPORTED("""COMPUTED_VALUE"""),"AAPL")</f>
        <v>AAPL</v>
      </c>
      <c r="C55" s="1">
        <f ca="1">IFERROR(__xludf.UNSUPPORTED("""COMPUTED_VALUE"""),44828)</f>
        <v>44828</v>
      </c>
      <c r="D55" s="1">
        <f ca="1">IFERROR(__xludf.UNSUPPORTED("""COMPUTED_VALUE"""),2022)</f>
        <v>2022</v>
      </c>
      <c r="E55" s="1" t="str">
        <f ca="1">IFERROR(__xludf.UNSUPPORTED("""COMPUTED_VALUE"""),"FY")</f>
        <v>FY</v>
      </c>
      <c r="F55" s="1">
        <f ca="1">IFERROR(__xludf.UNSUPPORTED("""COMPUTED_VALUE"""),0.879356028626722)</f>
        <v>0.87935602862672202</v>
      </c>
      <c r="G55" s="1">
        <f ca="1">IFERROR(__xludf.UNSUPPORTED("""COMPUTED_VALUE"""),0.847235391149614)</f>
        <v>0.84723539114961399</v>
      </c>
      <c r="H55" s="1">
        <f ca="1">IFERROR(__xludf.UNSUPPORTED("""COMPUTED_VALUE"""),0.153563403514696)</f>
        <v>0.153563403514696</v>
      </c>
      <c r="I55" s="1">
        <f ca="1">IFERROR(__xludf.UNSUPPORTED("""COMPUTED_VALUE"""),56.4002049055608)</f>
        <v>56.400204905560798</v>
      </c>
      <c r="J55" s="1">
        <f ca="1">IFERROR(__xludf.UNSUPPORTED("""COMPUTED_VALUE"""),8.07569806661716)</f>
        <v>8.0756980666171607</v>
      </c>
      <c r="K55" s="1">
        <f ca="1">IFERROR(__xludf.UNSUPPORTED("""COMPUTED_VALUE"""),64.475902972178)</f>
        <v>64.475902972178005</v>
      </c>
      <c r="L55" s="1">
        <f ca="1">IFERROR(__xludf.UNSUPPORTED("""COMPUTED_VALUE"""),104.685277303105)</f>
        <v>104.685277303105</v>
      </c>
      <c r="M55" s="1">
        <f ca="1">IFERROR(__xludf.UNSUPPORTED("""COMPUTED_VALUE"""),-40.2093743309273)</f>
        <v>-40.209374330927297</v>
      </c>
      <c r="N55" s="1">
        <f ca="1">IFERROR(__xludf.UNSUPPORTED("""COMPUTED_VALUE"""),0.4330963056136)</f>
        <v>0.43309630561360002</v>
      </c>
      <c r="O55" s="1">
        <f ca="1">IFERROR(__xludf.UNSUPPORTED("""COMPUTED_VALUE"""),0.302887443955285)</f>
        <v>0.302887443955285</v>
      </c>
      <c r="P55" s="1">
        <f ca="1">IFERROR(__xludf.UNSUPPORTED("""COMPUTED_VALUE"""),0.302040433344829)</f>
        <v>0.302040433344829</v>
      </c>
      <c r="Q55" s="1">
        <f ca="1">IFERROR(__xludf.UNSUPPORTED("""COMPUTED_VALUE"""),0.253096407051997)</f>
        <v>0.25309640705199699</v>
      </c>
      <c r="R55" s="1">
        <f ca="1">IFERROR(__xludf.UNSUPPORTED("""COMPUTED_VALUE"""),0.162044616844244)</f>
        <v>0.16204461684424401</v>
      </c>
      <c r="S55" s="1">
        <f ca="1">IFERROR(__xludf.UNSUPPORTED("""COMPUTED_VALUE"""),0.282924409292568)</f>
        <v>0.28292440929256801</v>
      </c>
      <c r="T55" s="1">
        <f ca="1">IFERROR(__xludf.UNSUPPORTED("""COMPUTED_VALUE"""),1.96958872750236)</f>
        <v>1.96958872750236</v>
      </c>
      <c r="U55" s="1">
        <f ca="1">IFERROR(__xludf.UNSUPPORTED("""COMPUTED_VALUE"""),0.600871345705905)</f>
        <v>0.60087134570590495</v>
      </c>
      <c r="V55" s="1">
        <f ca="1">IFERROR(__xludf.UNSUPPORTED("""COMPUTED_VALUE"""),0.837955383155755)</f>
        <v>0.83795538315575502</v>
      </c>
      <c r="W55" s="1">
        <f ca="1">IFERROR(__xludf.UNSUPPORTED("""COMPUTED_VALUE"""),0.997203546639651)</f>
        <v>0.99720354663965105</v>
      </c>
      <c r="X55" s="1">
        <f ca="1">IFERROR(__xludf.UNSUPPORTED("""COMPUTED_VALUE"""),0.302887443955285)</f>
        <v>0.302887443955285</v>
      </c>
      <c r="Y55" s="1">
        <f ca="1">IFERROR(__xludf.UNSUPPORTED("""COMPUTED_VALUE"""),0.37555810690139)</f>
        <v>0.37555810690139002</v>
      </c>
      <c r="Z55" s="1">
        <f ca="1">IFERROR(__xludf.UNSUPPORTED("""COMPUTED_VALUE"""),2.6144616356173)</f>
        <v>2.6144616356173001</v>
      </c>
      <c r="AA55" s="1">
        <f ca="1">IFERROR(__xludf.UNSUPPORTED("""COMPUTED_VALUE"""),0.661353596514091)</f>
        <v>0.66135359651409098</v>
      </c>
      <c r="AB55" s="1">
        <f ca="1">IFERROR(__xludf.UNSUPPORTED("""COMPUTED_VALUE"""),0.723333624530444)</f>
        <v>0.72333362453044403</v>
      </c>
      <c r="AC55" s="1">
        <f ca="1">IFERROR(__xludf.UNSUPPORTED("""COMPUTED_VALUE"""),40.7495735243944)</f>
        <v>40.7495735243944</v>
      </c>
      <c r="AD55" s="1">
        <f ca="1">IFERROR(__xludf.UNSUPPORTED("""COMPUTED_VALUE"""),0.922033514492753)</f>
        <v>0.92203351449275295</v>
      </c>
      <c r="AE55" s="1">
        <f ca="1">IFERROR(__xludf.UNSUPPORTED("""COMPUTED_VALUE"""),6.96153694347963)</f>
        <v>6.9615369434796301</v>
      </c>
      <c r="AF55" s="1">
        <f ca="1">IFERROR(__xludf.UNSUPPORTED("""COMPUTED_VALUE"""),6.47160769382262)</f>
        <v>6.4716076938226204</v>
      </c>
      <c r="AG55" s="1">
        <f ca="1">IFERROR(__xludf.UNSUPPORTED("""COMPUTED_VALUE"""),3.48664119160882)</f>
        <v>3.48664119160882</v>
      </c>
      <c r="AH55" s="1">
        <f ca="1">IFERROR(__xludf.UNSUPPORTED("""COMPUTED_VALUE"""),45.1973311767084)</f>
        <v>45.197331176708403</v>
      </c>
      <c r="AI55" s="1">
        <f ca="1">IFERROR(__xludf.UNSUPPORTED("""COMPUTED_VALUE"""),7.50614839913199)</f>
        <v>7.5061483991319902</v>
      </c>
      <c r="AJ55" s="1">
        <f ca="1">IFERROR(__xludf.UNSUPPORTED("""COMPUTED_VALUE"""),1.11785233377273)</f>
        <v>1.11785233377273</v>
      </c>
      <c r="AK55" s="1">
        <f ca="1">IFERROR(__xludf.UNSUPPORTED("""COMPUTED_VALUE"""),7.53276262408837)</f>
        <v>7.5327626240883703</v>
      </c>
      <c r="AL55" s="1">
        <f ca="1">IFERROR(__xludf.UNSUPPORTED("""COMPUTED_VALUE"""),6.87242564625979)</f>
        <v>6.8724256462597904</v>
      </c>
      <c r="AM55" s="1">
        <f ca="1">IFERROR(__xludf.UNSUPPORTED("""COMPUTED_VALUE"""),2.97879318052218)</f>
        <v>2.9787931805221799</v>
      </c>
      <c r="AN55" s="1">
        <f ca="1">IFERROR(__xludf.UNSUPPORTED("""COMPUTED_VALUE"""),0.148702944801258)</f>
        <v>0.14870294480125801</v>
      </c>
      <c r="AO55" s="1">
        <f ca="1">IFERROR(__xludf.UNSUPPORTED("""COMPUTED_VALUE"""),0.309770039155221)</f>
        <v>0.309770039155221</v>
      </c>
      <c r="AP55" s="1">
        <f ca="1">IFERROR(__xludf.UNSUPPORTED("""COMPUTED_VALUE"""),0.912338007875498)</f>
        <v>0.91233800787549801</v>
      </c>
      <c r="AQ55" s="1">
        <f ca="1">IFERROR(__xludf.UNSUPPORTED("""COMPUTED_VALUE"""),0.922033514492753)</f>
        <v>0.92203351449275295</v>
      </c>
      <c r="AR55" s="1">
        <f ca="1">IFERROR(__xludf.UNSUPPORTED("""COMPUTED_VALUE"""),5.78640454760776)</f>
        <v>5.7864045476077601</v>
      </c>
      <c r="AS55" s="1">
        <f ca="1">IFERROR(__xludf.UNSUPPORTED("""COMPUTED_VALUE"""),11.4074523720582)</f>
        <v>11.4074523720582</v>
      </c>
      <c r="AT55" s="1">
        <f ca="1">IFERROR(__xludf.UNSUPPORTED("""COMPUTED_VALUE"""),4.78104818192492)</f>
        <v>4.7810481819249198</v>
      </c>
      <c r="AU55" s="1">
        <f ca="1">IFERROR(__xludf.UNSUPPORTED("""COMPUTED_VALUE"""),0.148702944801258)</f>
        <v>0.14870294480125801</v>
      </c>
      <c r="AV55" s="1">
        <f ca="1">IFERROR(__xludf.UNSUPPORTED("""COMPUTED_VALUE"""),48.140340110712)</f>
        <v>48.140340110712003</v>
      </c>
      <c r="AW55" s="1">
        <f ca="1">IFERROR(__xludf.UNSUPPORTED("""COMPUTED_VALUE"""),48.140340110712)</f>
        <v>48.140340110712003</v>
      </c>
      <c r="AX55" s="1">
        <f ca="1">IFERROR(__xludf.UNSUPPORTED("""COMPUTED_VALUE"""),6.18613771806719)</f>
        <v>6.1861377180671901</v>
      </c>
      <c r="AY55" s="1">
        <f ca="1">IFERROR(__xludf.UNSUPPORTED("""COMPUTED_VALUE"""),24.4418235332605)</f>
        <v>24.4418235332605</v>
      </c>
      <c r="AZ55" s="1">
        <f ca="1">IFERROR(__xludf.UNSUPPORTED("""COMPUTED_VALUE"""),21.888923611981)</f>
        <v>21.888923611980999</v>
      </c>
      <c r="BA55" s="1">
        <f ca="1">IFERROR(__xludf.UNSUPPORTED("""COMPUTED_VALUE"""),19.9700969626937)</f>
        <v>19.970096962693699</v>
      </c>
      <c r="BB55" s="1">
        <f ca="1">IFERROR(__xludf.UNSUPPORTED("""COMPUTED_VALUE"""),19.9700969626937)</f>
        <v>19.970096962693699</v>
      </c>
      <c r="BC55" s="1">
        <f ca="1">IFERROR(__xludf.UNSUPPORTED("""COMPUTED_VALUE"""),2.8871904048664)</f>
        <v>2.8871904048663999</v>
      </c>
      <c r="BD55" s="1">
        <f ca="1">IFERROR(__xludf.UNSUPPORTED("""COMPUTED_VALUE"""),6.18613771806719)</f>
        <v>6.1861377180671901</v>
      </c>
      <c r="BE55" s="1">
        <f ca="1">IFERROR(__xludf.UNSUPPORTED("""COMPUTED_VALUE"""),0.00608395460342404)</f>
        <v>6.0839546034240398E-3</v>
      </c>
      <c r="BF55" s="1">
        <f ca="1">IFERROR(__xludf.UNSUPPORTED("""COMPUTED_VALUE"""),19.5203140322963)</f>
        <v>19.520314032296302</v>
      </c>
      <c r="BG55" s="1">
        <f ca="1">IFERROR(__xludf.UNSUPPORTED("""COMPUTED_VALUE"""),48.140340110712)</f>
        <v>48.140340110712003</v>
      </c>
    </row>
    <row r="56" spans="1:59" ht="13">
      <c r="A56" s="1">
        <f t="shared" si="1"/>
        <v>6</v>
      </c>
      <c r="B56" s="5" t="str">
        <f ca="1">IFERROR(__xludf.UNSUPPORTED("""COMPUTED_VALUE"""),"AAPL")</f>
        <v>AAPL</v>
      </c>
      <c r="C56" s="1">
        <f ca="1">IFERROR(__xludf.UNSUPPORTED("""COMPUTED_VALUE"""),44464)</f>
        <v>44464</v>
      </c>
      <c r="D56" s="1">
        <f ca="1">IFERROR(__xludf.UNSUPPORTED("""COMPUTED_VALUE"""),2021)</f>
        <v>2021</v>
      </c>
      <c r="E56" s="1" t="str">
        <f ca="1">IFERROR(__xludf.UNSUPPORTED("""COMPUTED_VALUE"""),"FY")</f>
        <v>FY</v>
      </c>
      <c r="F56" s="1">
        <f ca="1">IFERROR(__xludf.UNSUPPORTED("""COMPUTED_VALUE"""),1.07455311959579)</f>
        <v>1.07455311959579</v>
      </c>
      <c r="G56" s="1">
        <f ca="1">IFERROR(__xludf.UNSUPPORTED("""COMPUTED_VALUE"""),1.02211490185765)</f>
        <v>1.0221149018576501</v>
      </c>
      <c r="H56" s="1">
        <f ca="1">IFERROR(__xludf.UNSUPPORTED("""COMPUTED_VALUE"""),0.278448530056343)</f>
        <v>0.27844853005634301</v>
      </c>
      <c r="I56" s="1">
        <f ca="1">IFERROR(__xludf.UNSUPPORTED("""COMPUTED_VALUE"""),51.3909687083979)</f>
        <v>51.390968708397899</v>
      </c>
      <c r="J56" s="1">
        <f ca="1">IFERROR(__xludf.UNSUPPORTED("""COMPUTED_VALUE"""),11.2765927477098)</f>
        <v>11.276592747709801</v>
      </c>
      <c r="K56" s="1">
        <f ca="1">IFERROR(__xludf.UNSUPPORTED("""COMPUTED_VALUE"""),62.6675614561078)</f>
        <v>62.667561456107798</v>
      </c>
      <c r="L56" s="1">
        <f ca="1">IFERROR(__xludf.UNSUPPORTED("""COMPUTED_VALUE"""),93.8510712223156)</f>
        <v>93.851071222315596</v>
      </c>
      <c r="M56" s="1">
        <f ca="1">IFERROR(__xludf.UNSUPPORTED("""COMPUTED_VALUE"""),-31.1835097662078)</f>
        <v>-31.183509766207798</v>
      </c>
      <c r="N56" s="1">
        <f ca="1">IFERROR(__xludf.UNSUPPORTED("""COMPUTED_VALUE"""),0.417793596251677)</f>
        <v>0.417793596251677</v>
      </c>
      <c r="O56" s="1">
        <f ca="1">IFERROR(__xludf.UNSUPPORTED("""COMPUTED_VALUE"""),0.297823775275615)</f>
        <v>0.29782377527561499</v>
      </c>
      <c r="P56" s="1">
        <f ca="1">IFERROR(__xludf.UNSUPPORTED("""COMPUTED_VALUE"""),0.298529045943736)</f>
        <v>0.29852904594373603</v>
      </c>
      <c r="Q56" s="1">
        <f ca="1">IFERROR(__xludf.UNSUPPORTED("""COMPUTED_VALUE"""),0.258817933556942)</f>
        <v>0.25881793355694199</v>
      </c>
      <c r="R56" s="1">
        <f ca="1">IFERROR(__xludf.UNSUPPORTED("""COMPUTED_VALUE"""),0.13302260844085)</f>
        <v>0.13302260844085001</v>
      </c>
      <c r="S56" s="1">
        <f ca="1">IFERROR(__xludf.UNSUPPORTED("""COMPUTED_VALUE"""),0.269742052751836)</f>
        <v>0.26974205275183599</v>
      </c>
      <c r="T56" s="1">
        <f ca="1">IFERROR(__xludf.UNSUPPORTED("""COMPUTED_VALUE"""),1.50071326676176)</f>
        <v>1.50071326676176</v>
      </c>
      <c r="U56" s="1">
        <f ca="1">IFERROR(__xludf.UNSUPPORTED("""COMPUTED_VALUE"""),0.483099134892094)</f>
        <v>0.483099134892094</v>
      </c>
      <c r="V56" s="1">
        <f ca="1">IFERROR(__xludf.UNSUPPORTED("""COMPUTED_VALUE"""),0.866977391559149)</f>
        <v>0.86697739155914899</v>
      </c>
      <c r="W56" s="1">
        <f ca="1">IFERROR(__xludf.UNSUPPORTED("""COMPUTED_VALUE"""),1.00236808047802)</f>
        <v>1.00236808047802</v>
      </c>
      <c r="X56" s="1">
        <f ca="1">IFERROR(__xludf.UNSUPPORTED("""COMPUTED_VALUE"""),0.297823775275615)</f>
        <v>0.29782377527561499</v>
      </c>
      <c r="Y56" s="1">
        <f ca="1">IFERROR(__xludf.UNSUPPORTED("""COMPUTED_VALUE"""),0.38894935071595)</f>
        <v>0.38894935071594999</v>
      </c>
      <c r="Z56" s="1">
        <f ca="1">IFERROR(__xludf.UNSUPPORTED("""COMPUTED_VALUE"""),2.16392455222697)</f>
        <v>2.1639245522269701</v>
      </c>
      <c r="AA56" s="1">
        <f ca="1">IFERROR(__xludf.UNSUPPORTED("""COMPUTED_VALUE"""),0.633615182698785)</f>
        <v>0.63361518269878503</v>
      </c>
      <c r="AB56" s="1">
        <f ca="1">IFERROR(__xludf.UNSUPPORTED("""COMPUTED_VALUE"""),0.683936837464681)</f>
        <v>0.68393683746468104</v>
      </c>
      <c r="AC56" s="1">
        <f ca="1">IFERROR(__xludf.UNSUPPORTED("""COMPUTED_VALUE"""),41.1905482041587)</f>
        <v>41.190548204158702</v>
      </c>
      <c r="AD56" s="1">
        <f ca="1">IFERROR(__xludf.UNSUPPORTED("""COMPUTED_VALUE"""),0.76206032727326)</f>
        <v>0.76206032727326001</v>
      </c>
      <c r="AE56" s="1">
        <f ca="1">IFERROR(__xludf.UNSUPPORTED("""COMPUTED_VALUE"""),5.56351244254239)</f>
        <v>5.5635124425423896</v>
      </c>
      <c r="AF56" s="1">
        <f ca="1">IFERROR(__xludf.UNSUPPORTED("""COMPUTED_VALUE"""),7.10241525259193)</f>
        <v>7.1024152525919302</v>
      </c>
      <c r="AG56" s="1">
        <f ca="1">IFERROR(__xludf.UNSUPPORTED("""COMPUTED_VALUE"""),3.88914047806)</f>
        <v>3.8891404780599999</v>
      </c>
      <c r="AH56" s="1">
        <f ca="1">IFERROR(__xludf.UNSUPPORTED("""COMPUTED_VALUE"""),32.367933130699)</f>
        <v>32.367933130699001</v>
      </c>
      <c r="AI56" s="1">
        <f ca="1">IFERROR(__xludf.UNSUPPORTED("""COMPUTED_VALUE"""),7.38621358047125)</f>
        <v>7.3862135804712503</v>
      </c>
      <c r="AJ56" s="1">
        <f ca="1">IFERROR(__xludf.UNSUPPORTED("""COMPUTED_VALUE"""),1.04220773670805)</f>
        <v>1.04220773670805</v>
      </c>
      <c r="AK56" s="1">
        <f ca="1">IFERROR(__xludf.UNSUPPORTED("""COMPUTED_VALUE"""),6.22934588455298)</f>
        <v>6.2293458845529797</v>
      </c>
      <c r="AL56" s="1">
        <f ca="1">IFERROR(__xludf.UNSUPPORTED("""COMPUTED_VALUE"""),5.56562398361035)</f>
        <v>5.56562398361035</v>
      </c>
      <c r="AM56" s="1">
        <f ca="1">IFERROR(__xludf.UNSUPPORTED("""COMPUTED_VALUE"""),3.75055265251652)</f>
        <v>3.7505526525165198</v>
      </c>
      <c r="AN56" s="1">
        <f ca="1">IFERROR(__xludf.UNSUPPORTED("""COMPUTED_VALUE"""),0.15279890156316)</f>
        <v>0.15279890156316001</v>
      </c>
      <c r="AO56" s="1">
        <f ca="1">IFERROR(__xludf.UNSUPPORTED("""COMPUTED_VALUE"""),0.284399030116151)</f>
        <v>0.28439903011615097</v>
      </c>
      <c r="AP56" s="1">
        <f ca="1">IFERROR(__xludf.UNSUPPORTED("""COMPUTED_VALUE"""),0.893452392395086)</f>
        <v>0.893452392395086</v>
      </c>
      <c r="AQ56" s="1">
        <f ca="1">IFERROR(__xludf.UNSUPPORTED("""COMPUTED_VALUE"""),0.76206032727326)</f>
        <v>0.76206032727326001</v>
      </c>
      <c r="AR56" s="1">
        <f ca="1">IFERROR(__xludf.UNSUPPORTED("""COMPUTED_VALUE"""),6.66354960609748)</f>
        <v>6.6635496060974804</v>
      </c>
      <c r="AS56" s="1">
        <f ca="1">IFERROR(__xludf.UNSUPPORTED("""COMPUTED_VALUE"""),9.38547586829048)</f>
        <v>9.3854758682904809</v>
      </c>
      <c r="AT56" s="1">
        <f ca="1">IFERROR(__xludf.UNSUPPORTED("""COMPUTED_VALUE"""),4.07161865998747)</f>
        <v>4.07161865998747</v>
      </c>
      <c r="AU56" s="1">
        <f ca="1">IFERROR(__xludf.UNSUPPORTED("""COMPUTED_VALUE"""),0.15279890156316)</f>
        <v>0.15279890156316001</v>
      </c>
      <c r="AV56" s="1">
        <f ca="1">IFERROR(__xludf.UNSUPPORTED("""COMPUTED_VALUE"""),38.8928654658424)</f>
        <v>38.892865465842398</v>
      </c>
      <c r="AW56" s="1">
        <f ca="1">IFERROR(__xludf.UNSUPPORTED("""COMPUTED_VALUE"""),38.8928654658424)</f>
        <v>38.892865465842398</v>
      </c>
      <c r="AX56" s="1">
        <f ca="1">IFERROR(__xludf.UNSUPPORTED("""COMPUTED_VALUE"""),6.70759117875877)</f>
        <v>6.7075911787587703</v>
      </c>
      <c r="AY56" s="1">
        <f ca="1">IFERROR(__xludf.UNSUPPORTED("""COMPUTED_VALUE"""),25.9162535090832)</f>
        <v>25.916253509083202</v>
      </c>
      <c r="AZ56" s="1">
        <f ca="1">IFERROR(__xludf.UNSUPPORTED("""COMPUTED_VALUE"""),26.3977588914827)</f>
        <v>26.397758891482699</v>
      </c>
      <c r="BA56" s="1">
        <f ca="1">IFERROR(__xludf.UNSUPPORTED("""COMPUTED_VALUE"""),23.5851408354639)</f>
        <v>23.5851408354639</v>
      </c>
      <c r="BB56" s="1">
        <f ca="1">IFERROR(__xludf.UNSUPPORTED("""COMPUTED_VALUE"""),23.5851408354639)</f>
        <v>23.5851408354639</v>
      </c>
      <c r="BC56" s="1">
        <f ca="1">IFERROR(__xludf.UNSUPPORTED("""COMPUTED_VALUE"""),0.363486436928243)</f>
        <v>0.36348643692824301</v>
      </c>
      <c r="BD56" s="1">
        <f ca="1">IFERROR(__xludf.UNSUPPORTED("""COMPUTED_VALUE"""),6.70759117875877)</f>
        <v>6.7075911787587703</v>
      </c>
      <c r="BE56" s="1">
        <f ca="1">IFERROR(__xludf.UNSUPPORTED("""COMPUTED_VALUE"""),0.00589587154291443)</f>
        <v>5.89587154291443E-3</v>
      </c>
      <c r="BF56" s="1">
        <f ca="1">IFERROR(__xludf.UNSUPPORTED("""COMPUTED_VALUE"""),20.7521186512474)</f>
        <v>20.7521186512474</v>
      </c>
      <c r="BG56" s="1">
        <f ca="1">IFERROR(__xludf.UNSUPPORTED("""COMPUTED_VALUE"""),38.8928654658424)</f>
        <v>38.892865465842398</v>
      </c>
    </row>
    <row r="57" spans="1:59" ht="13">
      <c r="A57" s="1">
        <f t="shared" si="1"/>
        <v>7</v>
      </c>
      <c r="B57" s="5" t="str">
        <f ca="1">IFERROR(__xludf.UNSUPPORTED("""COMPUTED_VALUE"""),"AAPL")</f>
        <v>AAPL</v>
      </c>
      <c r="C57" s="1">
        <f ca="1">IFERROR(__xludf.UNSUPPORTED("""COMPUTED_VALUE"""),44100)</f>
        <v>44100</v>
      </c>
      <c r="D57" s="1">
        <f ca="1">IFERROR(__xludf.UNSUPPORTED("""COMPUTED_VALUE"""),2020)</f>
        <v>2020</v>
      </c>
      <c r="E57" s="1" t="str">
        <f ca="1">IFERROR(__xludf.UNSUPPORTED("""COMPUTED_VALUE"""),"FY")</f>
        <v>FY</v>
      </c>
      <c r="F57" s="1">
        <f ca="1">IFERROR(__xludf.UNSUPPORTED("""COMPUTED_VALUE"""),1.36360444815545)</f>
        <v>1.3636044481554499</v>
      </c>
      <c r="G57" s="1">
        <f ca="1">IFERROR(__xludf.UNSUPPORTED("""COMPUTED_VALUE"""),1.32507211173523)</f>
        <v>1.32507211173523</v>
      </c>
      <c r="H57" s="1">
        <f ca="1">IFERROR(__xludf.UNSUPPORTED("""COMPUTED_VALUE"""),0.360710490359799)</f>
        <v>0.36071049035979902</v>
      </c>
      <c r="I57" s="1">
        <f ca="1">IFERROR(__xludf.UNSUPPORTED("""COMPUTED_VALUE"""),49.7875343788135)</f>
        <v>49.787534378813497</v>
      </c>
      <c r="J57" s="1">
        <f ca="1">IFERROR(__xludf.UNSUPPORTED("""COMPUTED_VALUE"""),8.74188335623588)</f>
        <v>8.7418833562358795</v>
      </c>
      <c r="K57" s="1">
        <f ca="1">IFERROR(__xludf.UNSUPPORTED("""COMPUTED_VALUE"""),58.5294177350494)</f>
        <v>58.5294177350494</v>
      </c>
      <c r="L57" s="1">
        <f ca="1">IFERROR(__xludf.UNSUPPORTED("""COMPUTED_VALUE"""),91.0481897156741)</f>
        <v>91.048189715674098</v>
      </c>
      <c r="M57" s="1">
        <f ca="1">IFERROR(__xludf.UNSUPPORTED("""COMPUTED_VALUE"""),-32.5187719806247)</f>
        <v>-32.518771980624699</v>
      </c>
      <c r="N57" s="1">
        <f ca="1">IFERROR(__xludf.UNSUPPORTED("""COMPUTED_VALUE"""),0.382332477278108)</f>
        <v>0.38233247727810798</v>
      </c>
      <c r="O57" s="1">
        <f ca="1">IFERROR(__xludf.UNSUPPORTED("""COMPUTED_VALUE"""),0.241473143544068)</f>
        <v>0.24147314354406799</v>
      </c>
      <c r="P57" s="1">
        <f ca="1">IFERROR(__xludf.UNSUPPORTED("""COMPUTED_VALUE"""),0.244398302460703)</f>
        <v>0.24439830246070299</v>
      </c>
      <c r="Q57" s="1">
        <f ca="1">IFERROR(__xludf.UNSUPPORTED("""COMPUTED_VALUE"""),0.209136112780722)</f>
        <v>0.209136112780722</v>
      </c>
      <c r="R57" s="1">
        <f ca="1">IFERROR(__xludf.UNSUPPORTED("""COMPUTED_VALUE"""),0.144281647314841)</f>
        <v>0.144281647314841</v>
      </c>
      <c r="S57" s="1">
        <f ca="1">IFERROR(__xludf.UNSUPPORTED("""COMPUTED_VALUE"""),0.177255718025984)</f>
        <v>0.177255718025984</v>
      </c>
      <c r="T57" s="1">
        <f ca="1">IFERROR(__xludf.UNSUPPORTED("""COMPUTED_VALUE"""),0.878663585301274)</f>
        <v>0.87866358530127397</v>
      </c>
      <c r="U57" s="1">
        <f ca="1">IFERROR(__xludf.UNSUPPORTED("""COMPUTED_VALUE"""),0.303383128295254)</f>
        <v>0.30338312829525399</v>
      </c>
      <c r="V57" s="1">
        <f ca="1">IFERROR(__xludf.UNSUPPORTED("""COMPUTED_VALUE"""),0.855718352685159)</f>
        <v>0.85571835268515895</v>
      </c>
      <c r="W57" s="1">
        <f ca="1">IFERROR(__xludf.UNSUPPORTED("""COMPUTED_VALUE"""),1.01211380642046)</f>
        <v>1.01211380642046</v>
      </c>
      <c r="X57" s="1">
        <f ca="1">IFERROR(__xludf.UNSUPPORTED("""COMPUTED_VALUE"""),0.241473143544068)</f>
        <v>0.24147314354406799</v>
      </c>
      <c r="Y57" s="1">
        <f ca="1">IFERROR(__xludf.UNSUPPORTED("""COMPUTED_VALUE"""),0.377531739366694)</f>
        <v>0.37753173936669399</v>
      </c>
      <c r="Z57" s="1">
        <f ca="1">IFERROR(__xludf.UNSUPPORTED("""COMPUTED_VALUE"""),1.87143972206492)</f>
        <v>1.8714397220649199</v>
      </c>
      <c r="AA57" s="1">
        <f ca="1">IFERROR(__xludf.UNSUPPORTED("""COMPUTED_VALUE"""),0.601606038803458)</f>
        <v>0.60160603880345798</v>
      </c>
      <c r="AB57" s="1">
        <f ca="1">IFERROR(__xludf.UNSUPPORTED("""COMPUTED_VALUE"""),0.651742645922277)</f>
        <v>0.65174264592227704</v>
      </c>
      <c r="AC57" s="1">
        <f ca="1">IFERROR(__xludf.UNSUPPORTED("""COMPUTED_VALUE"""),23.0727462582666)</f>
        <v>23.072746258266601</v>
      </c>
      <c r="AD57" s="1">
        <f ca="1">IFERROR(__xludf.UNSUPPORTED("""COMPUTED_VALUE"""),0.659758910024697)</f>
        <v>0.659758910024697</v>
      </c>
      <c r="AE57" s="1">
        <f ca="1">IFERROR(__xludf.UNSUPPORTED("""COMPUTED_VALUE"""),4.95703944045669)</f>
        <v>4.9570394404566898</v>
      </c>
      <c r="AF57" s="1">
        <f ca="1">IFERROR(__xludf.UNSUPPORTED("""COMPUTED_VALUE"""),7.33115235678995)</f>
        <v>7.3311523567899499</v>
      </c>
      <c r="AG57" s="1">
        <f ca="1">IFERROR(__xludf.UNSUPPORTED("""COMPUTED_VALUE"""),4.00886608662757)</f>
        <v>4.0088660866275703</v>
      </c>
      <c r="AH57" s="1">
        <f ca="1">IFERROR(__xludf.UNSUPPORTED("""COMPUTED_VALUE"""),41.7530164983994)</f>
        <v>41.753016498399397</v>
      </c>
      <c r="AI57" s="1">
        <f ca="1">IFERROR(__xludf.UNSUPPORTED("""COMPUTED_VALUE"""),6.05512175754367)</f>
        <v>6.0551217575436702</v>
      </c>
      <c r="AJ57" s="1">
        <f ca="1">IFERROR(__xludf.UNSUPPORTED("""COMPUTED_VALUE"""),0.847561502741688)</f>
        <v>0.84756150274168796</v>
      </c>
      <c r="AK57" s="1">
        <f ca="1">IFERROR(__xludf.UNSUPPORTED("""COMPUTED_VALUE"""),4.64923044845416)</f>
        <v>4.6492304484541602</v>
      </c>
      <c r="AL57" s="1">
        <f ca="1">IFERROR(__xludf.UNSUPPORTED("""COMPUTED_VALUE"""),4.2280138811865)</f>
        <v>4.2280138811864996</v>
      </c>
      <c r="AM57" s="1">
        <f ca="1">IFERROR(__xludf.UNSUPPORTED("""COMPUTED_VALUE"""),5.2410313691371)</f>
        <v>5.2410313691371</v>
      </c>
      <c r="AN57" s="1">
        <f ca="1">IFERROR(__xludf.UNSUPPORTED("""COMPUTED_VALUE"""),0.245266586542648)</f>
        <v>0.24526658654264799</v>
      </c>
      <c r="AO57" s="1">
        <f ca="1">IFERROR(__xludf.UNSUPPORTED("""COMPUTED_VALUE"""),0.293878294446569)</f>
        <v>0.29387829444656899</v>
      </c>
      <c r="AP57" s="1">
        <f ca="1">IFERROR(__xludf.UNSUPPORTED("""COMPUTED_VALUE"""),0.909400798274537)</f>
        <v>0.90940079827453701</v>
      </c>
      <c r="AQ57" s="1">
        <f ca="1">IFERROR(__xludf.UNSUPPORTED("""COMPUTED_VALUE"""),0.659758910024697)</f>
        <v>0.659758910024697</v>
      </c>
      <c r="AR57" s="1">
        <f ca="1">IFERROR(__xludf.UNSUPPORTED("""COMPUTED_VALUE"""),5.8591037838623)</f>
        <v>5.8591037838622997</v>
      </c>
      <c r="AS57" s="1">
        <f ca="1">IFERROR(__xludf.UNSUPPORTED("""COMPUTED_VALUE"""),11.0376248460801)</f>
        <v>11.037624846080099</v>
      </c>
      <c r="AT57" s="1">
        <f ca="1">IFERROR(__xludf.UNSUPPORTED("""COMPUTED_VALUE"""),3.77157550257129)</f>
        <v>3.7715755025712898</v>
      </c>
      <c r="AU57" s="1">
        <f ca="1">IFERROR(__xludf.UNSUPPORTED("""COMPUTED_VALUE"""),0.245266586542648)</f>
        <v>0.24526658654264799</v>
      </c>
      <c r="AV57" s="1">
        <f ca="1">IFERROR(__xludf.UNSUPPORTED("""COMPUTED_VALUE"""),29.8182696600805)</f>
        <v>29.8182696600805</v>
      </c>
      <c r="AW57" s="1">
        <f ca="1">IFERROR(__xludf.UNSUPPORTED("""COMPUTED_VALUE"""),29.8182696600805)</f>
        <v>29.8182696600805</v>
      </c>
      <c r="AX57" s="1">
        <f ca="1">IFERROR(__xludf.UNSUPPORTED("""COMPUTED_VALUE"""),7.09722937296686)</f>
        <v>7.0972293729668596</v>
      </c>
      <c r="AY57" s="1">
        <f ca="1">IFERROR(__xludf.UNSUPPORTED("""COMPUTED_VALUE"""),33.9359342516242)</f>
        <v>33.935934251624197</v>
      </c>
      <c r="AZ57" s="1">
        <f ca="1">IFERROR(__xludf.UNSUPPORTED("""COMPUTED_VALUE"""),26.5562042025488)</f>
        <v>26.556204202548798</v>
      </c>
      <c r="BA57" s="1">
        <f ca="1">IFERROR(__xludf.UNSUPPORTED("""COMPUTED_VALUE"""),24.1502333009395)</f>
        <v>24.150233300939501</v>
      </c>
      <c r="BB57" s="1">
        <f ca="1">IFERROR(__xludf.UNSUPPORTED("""COMPUTED_VALUE"""),24.1502333009395)</f>
        <v>24.150233300939501</v>
      </c>
      <c r="BC57" s="1">
        <f ca="1">IFERROR(__xludf.UNSUPPORTED("""COMPUTED_VALUE"""),3.17088885663614)</f>
        <v>3.17088885663614</v>
      </c>
      <c r="BD57" s="1">
        <f ca="1">IFERROR(__xludf.UNSUPPORTED("""COMPUTED_VALUE"""),7.09722937296686)</f>
        <v>7.0972293729668596</v>
      </c>
      <c r="BE57" s="1">
        <f ca="1">IFERROR(__xludf.UNSUPPORTED("""COMPUTED_VALUE"""),0.00722734151722696)</f>
        <v>7.22734151722696E-3</v>
      </c>
      <c r="BF57" s="1">
        <f ca="1">IFERROR(__xludf.UNSUPPORTED("""COMPUTED_VALUE"""),25.0871133216489)</f>
        <v>25.0871133216489</v>
      </c>
      <c r="BG57" s="1">
        <f ca="1">IFERROR(__xludf.UNSUPPORTED("""COMPUTED_VALUE"""),29.8182696600805)</f>
        <v>29.8182696600805</v>
      </c>
    </row>
    <row r="58" spans="1:59" ht="13">
      <c r="A58" s="1">
        <f t="shared" si="1"/>
        <v>8</v>
      </c>
      <c r="B58" s="5"/>
    </row>
    <row r="59" spans="1:59" ht="13">
      <c r="A59" s="1">
        <f t="shared" si="1"/>
        <v>9</v>
      </c>
      <c r="B59" s="5"/>
    </row>
    <row r="60" spans="1:59" ht="13">
      <c r="A60" s="1">
        <f t="shared" si="1"/>
        <v>10</v>
      </c>
      <c r="B60" s="5"/>
    </row>
    <row r="61" spans="1:59" ht="13">
      <c r="A61" s="1">
        <f t="shared" si="1"/>
        <v>11</v>
      </c>
      <c r="B61" s="5"/>
    </row>
    <row r="62" spans="1:59" ht="13">
      <c r="A62" s="1">
        <f t="shared" si="1"/>
        <v>12</v>
      </c>
      <c r="B62" s="5"/>
    </row>
    <row r="63" spans="1:59" ht="13">
      <c r="A63" s="1">
        <f t="shared" si="1"/>
        <v>13</v>
      </c>
      <c r="B63" s="5"/>
    </row>
    <row r="64" spans="1:59" ht="13">
      <c r="A64" s="1">
        <f t="shared" si="1"/>
        <v>14</v>
      </c>
      <c r="B64" s="5"/>
    </row>
    <row r="65" spans="1:2" ht="13">
      <c r="A65" s="1">
        <f t="shared" si="1"/>
        <v>15</v>
      </c>
      <c r="B65" s="5"/>
    </row>
    <row r="66" spans="1:2" ht="13">
      <c r="A66" s="1">
        <f t="shared" si="1"/>
        <v>16</v>
      </c>
      <c r="B66" s="5"/>
    </row>
    <row r="67" spans="1:2" ht="13">
      <c r="A67" s="1">
        <f t="shared" si="1"/>
        <v>17</v>
      </c>
      <c r="B67" s="5"/>
    </row>
    <row r="68" spans="1:2" ht="13">
      <c r="A68" s="1">
        <f t="shared" si="1"/>
        <v>18</v>
      </c>
      <c r="B68" s="5"/>
    </row>
    <row r="69" spans="1:2" ht="13">
      <c r="A69" s="1">
        <f t="shared" si="1"/>
        <v>19</v>
      </c>
      <c r="B69" s="5"/>
    </row>
    <row r="70" spans="1:2" ht="13">
      <c r="A70" s="1">
        <f t="shared" si="1"/>
        <v>20</v>
      </c>
      <c r="B70" s="5"/>
    </row>
    <row r="71" spans="1:2" ht="13">
      <c r="A71" s="1">
        <f t="shared" si="1"/>
        <v>21</v>
      </c>
      <c r="B71" s="5"/>
    </row>
    <row r="72" spans="1:2" ht="13">
      <c r="A72" s="1">
        <f t="shared" si="1"/>
        <v>22</v>
      </c>
      <c r="B72" s="5"/>
    </row>
    <row r="73" spans="1:2" ht="13">
      <c r="A73" s="1">
        <f t="shared" si="1"/>
        <v>23</v>
      </c>
      <c r="B73" s="5"/>
    </row>
    <row r="74" spans="1:2" ht="13">
      <c r="A74" s="1">
        <f t="shared" si="1"/>
        <v>24</v>
      </c>
      <c r="B74" s="5"/>
    </row>
    <row r="75" spans="1:2" ht="13">
      <c r="A75" s="1">
        <f t="shared" si="1"/>
        <v>25</v>
      </c>
      <c r="B75" s="5"/>
    </row>
    <row r="76" spans="1:2" ht="13">
      <c r="A76" s="1">
        <f t="shared" si="1"/>
        <v>26</v>
      </c>
      <c r="B76" s="5"/>
    </row>
    <row r="77" spans="1:2" ht="13">
      <c r="A77" s="1">
        <f t="shared" si="1"/>
        <v>27</v>
      </c>
      <c r="B77" s="5"/>
    </row>
    <row r="78" spans="1:2" ht="13">
      <c r="A78" s="1">
        <f t="shared" si="1"/>
        <v>28</v>
      </c>
      <c r="B78" s="5"/>
    </row>
    <row r="79" spans="1:2" ht="13">
      <c r="A79" s="1">
        <f t="shared" si="1"/>
        <v>29</v>
      </c>
      <c r="B79" s="5"/>
    </row>
    <row r="80" spans="1:2" ht="13">
      <c r="A80" s="1">
        <f t="shared" si="1"/>
        <v>30</v>
      </c>
      <c r="B80" s="5"/>
    </row>
    <row r="81" spans="1:2" ht="13">
      <c r="A81" s="1">
        <f t="shared" si="1"/>
        <v>31</v>
      </c>
      <c r="B81" s="5"/>
    </row>
    <row r="82" spans="1:2" ht="13">
      <c r="A82" s="1">
        <f t="shared" si="1"/>
        <v>32</v>
      </c>
      <c r="B82" s="5"/>
    </row>
    <row r="83" spans="1:2" ht="13">
      <c r="A83" s="1">
        <f t="shared" si="1"/>
        <v>33</v>
      </c>
      <c r="B83" s="5"/>
    </row>
    <row r="84" spans="1:2" ht="13">
      <c r="A84" s="1">
        <f t="shared" si="1"/>
        <v>34</v>
      </c>
      <c r="B84" s="5"/>
    </row>
    <row r="85" spans="1:2" ht="13">
      <c r="A85" s="1">
        <f t="shared" si="1"/>
        <v>35</v>
      </c>
      <c r="B85" s="5"/>
    </row>
    <row r="86" spans="1:2" ht="13">
      <c r="A86" s="1">
        <f t="shared" si="1"/>
        <v>36</v>
      </c>
      <c r="B86" s="5"/>
    </row>
    <row r="87" spans="1:2" ht="13">
      <c r="A87" s="1">
        <f t="shared" si="1"/>
        <v>37</v>
      </c>
      <c r="B87" s="5"/>
    </row>
    <row r="88" spans="1:2" ht="13">
      <c r="A88" s="1">
        <f t="shared" si="1"/>
        <v>38</v>
      </c>
      <c r="B88" s="5"/>
    </row>
    <row r="89" spans="1:2" ht="13">
      <c r="A89" s="1">
        <f t="shared" si="1"/>
        <v>39</v>
      </c>
      <c r="B89" s="5"/>
    </row>
    <row r="90" spans="1:2" ht="13">
      <c r="A90" s="1">
        <f t="shared" si="1"/>
        <v>40</v>
      </c>
    </row>
    <row r="91" spans="1:2" ht="13">
      <c r="A91" s="1">
        <f t="shared" si="1"/>
        <v>41</v>
      </c>
    </row>
    <row r="92" spans="1:2" ht="13">
      <c r="A92" s="1">
        <f t="shared" si="1"/>
        <v>42</v>
      </c>
    </row>
    <row r="93" spans="1:2" ht="13">
      <c r="A93" s="1">
        <f t="shared" si="1"/>
        <v>43</v>
      </c>
    </row>
    <row r="94" spans="1:2" ht="13">
      <c r="A94" s="1">
        <f t="shared" si="1"/>
        <v>44</v>
      </c>
    </row>
    <row r="95" spans="1:2" ht="13">
      <c r="A95" s="1">
        <f t="shared" si="1"/>
        <v>45</v>
      </c>
    </row>
    <row r="96" spans="1:2" ht="13">
      <c r="A96" s="1">
        <f t="shared" si="1"/>
        <v>46</v>
      </c>
    </row>
    <row r="97" spans="1:1" ht="13">
      <c r="A97" s="1">
        <f t="shared" si="1"/>
        <v>47</v>
      </c>
    </row>
    <row r="98" spans="1:1" ht="13">
      <c r="A98" s="1">
        <f t="shared" si="1"/>
        <v>48</v>
      </c>
    </row>
    <row r="99" spans="1:1" ht="13">
      <c r="A99" s="1">
        <f t="shared" si="1"/>
        <v>49</v>
      </c>
    </row>
    <row r="100" spans="1:1" ht="13">
      <c r="A100" s="1">
        <f t="shared" si="1"/>
        <v>50</v>
      </c>
    </row>
    <row r="201" spans="1:8" ht="13">
      <c r="A201" s="1" t="s">
        <v>8</v>
      </c>
    </row>
    <row r="202" spans="1:8" ht="15.75" customHeight="1">
      <c r="B202" s="3" t="str">
        <f ca="1">IFERROR(__xludf.UNSUPPORTED(IMPORTDATA("https://fmpcloud.io/api/v3/balance-sheet-statement/" &amp;#REF! &amp; "?datatype=csv&amp;apikey=" &amp;#REF!)),"date")</f>
        <v>date</v>
      </c>
      <c r="C202" s="1"/>
      <c r="D202" s="1" t="str">
        <f ca="1">IFERROR(__xludf.UNSUPPORTED("""COMPUTED_VALUE"""),"2024-09-28_FY")</f>
        <v>2024-09-28_FY</v>
      </c>
      <c r="E202" s="1" t="str">
        <f ca="1">IFERROR(__xludf.UNSUPPORTED("""COMPUTED_VALUE"""),"2023-09-30_FY")</f>
        <v>2023-09-30_FY</v>
      </c>
      <c r="F202" s="1" t="str">
        <f ca="1">IFERROR(__xludf.UNSUPPORTED("""COMPUTED_VALUE"""),"2022-09-24_FY")</f>
        <v>2022-09-24_FY</v>
      </c>
      <c r="G202" s="1" t="str">
        <f ca="1">IFERROR(__xludf.UNSUPPORTED("""COMPUTED_VALUE"""),"2021-09-25_FY")</f>
        <v>2021-09-25_FY</v>
      </c>
      <c r="H202" s="1" t="str">
        <f ca="1">IFERROR(__xludf.UNSUPPORTED("""COMPUTED_VALUE"""),"2020-09-26_FY")</f>
        <v>2020-09-26_FY</v>
      </c>
    </row>
    <row r="203" spans="1:8" ht="13">
      <c r="B203" s="1"/>
      <c r="C203" s="1"/>
      <c r="D203" s="1"/>
      <c r="E203" s="1"/>
      <c r="F203" s="1"/>
      <c r="G203" s="1"/>
      <c r="H203" s="1"/>
    </row>
    <row r="204" spans="1:8" ht="13">
      <c r="B204" s="1" t="str">
        <f ca="1">IFERROR(__xludf.UNSUPPORTED("""COMPUTED_VALUE"""),"ASSETS")</f>
        <v>ASSETS</v>
      </c>
      <c r="C204" s="1" t="str">
        <f ca="1">IFERROR(__xludf.UNSUPPORTED("""COMPUTED_VALUE"""),"CURRENT ASSETS")</f>
        <v>CURRENT ASSETS</v>
      </c>
      <c r="D204" s="1"/>
      <c r="E204" s="1"/>
      <c r="F204" s="1"/>
      <c r="G204" s="1"/>
      <c r="H204" s="1"/>
    </row>
    <row r="205" spans="1:8" ht="13">
      <c r="B205" s="1"/>
      <c r="C205" s="1" t="str">
        <f ca="1">IFERROR(__xludf.UNSUPPORTED("""COMPUTED_VALUE"""),"cashAndCashEquivalents")</f>
        <v>cashAndCashEquivalents</v>
      </c>
      <c r="D205" s="1">
        <f ca="1">IFERROR(__xludf.UNSUPPORTED("""COMPUTED_VALUE"""),29943000000)</f>
        <v>29943000000</v>
      </c>
      <c r="E205" s="1">
        <f ca="1">IFERROR(__xludf.UNSUPPORTED("""COMPUTED_VALUE"""),29965000000)</f>
        <v>29965000000</v>
      </c>
      <c r="F205" s="1">
        <f ca="1">IFERROR(__xludf.UNSUPPORTED("""COMPUTED_VALUE"""),23646000000)</f>
        <v>23646000000</v>
      </c>
      <c r="G205" s="1">
        <f ca="1">IFERROR(__xludf.UNSUPPORTED("""COMPUTED_VALUE"""),34940000000)</f>
        <v>34940000000</v>
      </c>
      <c r="H205" s="1">
        <f ca="1">IFERROR(__xludf.UNSUPPORTED("""COMPUTED_VALUE"""),38016000000)</f>
        <v>38016000000</v>
      </c>
    </row>
    <row r="206" spans="1:8" ht="13">
      <c r="B206" s="1"/>
      <c r="C206" s="1" t="str">
        <f ca="1">IFERROR(__xludf.UNSUPPORTED("""COMPUTED_VALUE"""),"shortTermInvestments")</f>
        <v>shortTermInvestments</v>
      </c>
      <c r="D206" s="1">
        <f ca="1">IFERROR(__xludf.UNSUPPORTED("""COMPUTED_VALUE"""),35228000000)</f>
        <v>35228000000</v>
      </c>
      <c r="E206" s="1">
        <f ca="1">IFERROR(__xludf.UNSUPPORTED("""COMPUTED_VALUE"""),31590000000)</f>
        <v>31590000000</v>
      </c>
      <c r="F206" s="1">
        <f ca="1">IFERROR(__xludf.UNSUPPORTED("""COMPUTED_VALUE"""),24658000000)</f>
        <v>24658000000</v>
      </c>
      <c r="G206" s="1">
        <f ca="1">IFERROR(__xludf.UNSUPPORTED("""COMPUTED_VALUE"""),27699000000)</f>
        <v>27699000000</v>
      </c>
      <c r="H206" s="1">
        <f ca="1">IFERROR(__xludf.UNSUPPORTED("""COMPUTED_VALUE"""),52927000000)</f>
        <v>52927000000</v>
      </c>
    </row>
    <row r="207" spans="1:8" ht="13">
      <c r="B207" s="1"/>
      <c r="C207" s="1" t="str">
        <f ca="1">IFERROR(__xludf.UNSUPPORTED("""COMPUTED_VALUE"""),"cashAndShortTermInvestments")</f>
        <v>cashAndShortTermInvestments</v>
      </c>
      <c r="D207" s="1">
        <f ca="1">IFERROR(__xludf.UNSUPPORTED("""COMPUTED_VALUE"""),65171000000)</f>
        <v>65171000000</v>
      </c>
      <c r="E207" s="1">
        <f ca="1">IFERROR(__xludf.UNSUPPORTED("""COMPUTED_VALUE"""),61555000000)</f>
        <v>61555000000</v>
      </c>
      <c r="F207" s="1">
        <f ca="1">IFERROR(__xludf.UNSUPPORTED("""COMPUTED_VALUE"""),48304000000)</f>
        <v>48304000000</v>
      </c>
      <c r="G207" s="1">
        <f ca="1">IFERROR(__xludf.UNSUPPORTED("""COMPUTED_VALUE"""),62639000000)</f>
        <v>62639000000</v>
      </c>
      <c r="H207" s="1">
        <f ca="1">IFERROR(__xludf.UNSUPPORTED("""COMPUTED_VALUE"""),90943000000)</f>
        <v>90943000000</v>
      </c>
    </row>
    <row r="208" spans="1:8" ht="13">
      <c r="B208" s="1"/>
      <c r="C208" s="1" t="str">
        <f ca="1">IFERROR(__xludf.UNSUPPORTED("""COMPUTED_VALUE"""),"netReceivables")</f>
        <v>netReceivables</v>
      </c>
      <c r="D208" s="1">
        <f ca="1">IFERROR(__xludf.UNSUPPORTED("""COMPUTED_VALUE"""),66243000000)</f>
        <v>66243000000</v>
      </c>
      <c r="E208" s="1">
        <f ca="1">IFERROR(__xludf.UNSUPPORTED("""COMPUTED_VALUE"""),60985000000)</f>
        <v>60985000000</v>
      </c>
      <c r="F208" s="1">
        <f ca="1">IFERROR(__xludf.UNSUPPORTED("""COMPUTED_VALUE"""),60932000000)</f>
        <v>60932000000</v>
      </c>
      <c r="G208" s="1">
        <f ca="1">IFERROR(__xludf.UNSUPPORTED("""COMPUTED_VALUE"""),51506000000)</f>
        <v>51506000000</v>
      </c>
      <c r="H208" s="1">
        <f ca="1">IFERROR(__xludf.UNSUPPORTED("""COMPUTED_VALUE"""),37445000000)</f>
        <v>37445000000</v>
      </c>
    </row>
    <row r="209" spans="2:8" ht="13">
      <c r="B209" s="1"/>
      <c r="C209" s="1" t="str">
        <f ca="1">IFERROR(__xludf.UNSUPPORTED("""COMPUTED_VALUE"""),"inventory")</f>
        <v>inventory</v>
      </c>
      <c r="D209" s="1">
        <f ca="1">IFERROR(__xludf.UNSUPPORTED("""COMPUTED_VALUE"""),7286000000)</f>
        <v>7286000000</v>
      </c>
      <c r="E209" s="1">
        <f ca="1">IFERROR(__xludf.UNSUPPORTED("""COMPUTED_VALUE"""),6331000000)</f>
        <v>6331000000</v>
      </c>
      <c r="F209" s="1">
        <f ca="1">IFERROR(__xludf.UNSUPPORTED("""COMPUTED_VALUE"""),4946000000)</f>
        <v>4946000000</v>
      </c>
      <c r="G209" s="1">
        <f ca="1">IFERROR(__xludf.UNSUPPORTED("""COMPUTED_VALUE"""),6580000000)</f>
        <v>6580000000</v>
      </c>
      <c r="H209" s="1">
        <f ca="1">IFERROR(__xludf.UNSUPPORTED("""COMPUTED_VALUE"""),4061000000)</f>
        <v>4061000000</v>
      </c>
    </row>
    <row r="210" spans="2:8" ht="13">
      <c r="B210" s="1"/>
      <c r="C210" s="1" t="str">
        <f ca="1">IFERROR(__xludf.UNSUPPORTED("""COMPUTED_VALUE"""),"otherCurrentAssets")</f>
        <v>otherCurrentAssets</v>
      </c>
      <c r="D210" s="1">
        <f ca="1">IFERROR(__xludf.UNSUPPORTED("""COMPUTED_VALUE"""),14287000000)</f>
        <v>14287000000</v>
      </c>
      <c r="E210" s="1">
        <f ca="1">IFERROR(__xludf.UNSUPPORTED("""COMPUTED_VALUE"""),14695000000)</f>
        <v>14695000000</v>
      </c>
      <c r="F210" s="1">
        <f ca="1">IFERROR(__xludf.UNSUPPORTED("""COMPUTED_VALUE"""),21223000000)</f>
        <v>21223000000</v>
      </c>
      <c r="G210" s="1">
        <f ca="1">IFERROR(__xludf.UNSUPPORTED("""COMPUTED_VALUE"""),14111000000)</f>
        <v>14111000000</v>
      </c>
      <c r="H210" s="1">
        <f ca="1">IFERROR(__xludf.UNSUPPORTED("""COMPUTED_VALUE"""),11264000000)</f>
        <v>11264000000</v>
      </c>
    </row>
    <row r="211" spans="2:8" ht="13">
      <c r="B211" s="1"/>
      <c r="C211" s="1" t="str">
        <f ca="1">IFERROR(__xludf.UNSUPPORTED("""COMPUTED_VALUE"""),"totalCurrentAssets")</f>
        <v>totalCurrentAssets</v>
      </c>
      <c r="D211" s="1">
        <f ca="1">IFERROR(__xludf.UNSUPPORTED("""COMPUTED_VALUE"""),152987000000)</f>
        <v>152987000000</v>
      </c>
      <c r="E211" s="1">
        <f ca="1">IFERROR(__xludf.UNSUPPORTED("""COMPUTED_VALUE"""),143566000000)</f>
        <v>143566000000</v>
      </c>
      <c r="F211" s="1">
        <f ca="1">IFERROR(__xludf.UNSUPPORTED("""COMPUTED_VALUE"""),135405000000)</f>
        <v>135405000000</v>
      </c>
      <c r="G211" s="1">
        <f ca="1">IFERROR(__xludf.UNSUPPORTED("""COMPUTED_VALUE"""),134836000000)</f>
        <v>134836000000</v>
      </c>
      <c r="H211" s="1">
        <f ca="1">IFERROR(__xludf.UNSUPPORTED("""COMPUTED_VALUE"""),143713000000)</f>
        <v>143713000000</v>
      </c>
    </row>
    <row r="212" spans="2:8" ht="13">
      <c r="B212" s="1"/>
      <c r="C212" s="1"/>
      <c r="D212" s="1"/>
      <c r="E212" s="1"/>
      <c r="F212" s="1"/>
      <c r="G212" s="1"/>
      <c r="H212" s="1"/>
    </row>
    <row r="213" spans="2:8" ht="13">
      <c r="B213" s="1"/>
      <c r="C213" s="1" t="str">
        <f ca="1">IFERROR(__xludf.UNSUPPORTED("""COMPUTED_VALUE"""),"NON CURRENT ASSETS")</f>
        <v>NON CURRENT ASSETS</v>
      </c>
      <c r="D213" s="1"/>
      <c r="E213" s="1"/>
      <c r="F213" s="1"/>
      <c r="G213" s="1"/>
      <c r="H213" s="1"/>
    </row>
    <row r="214" spans="2:8" ht="13">
      <c r="B214" s="1"/>
      <c r="C214" s="1" t="str">
        <f ca="1">IFERROR(__xludf.UNSUPPORTED("""COMPUTED_VALUE"""),"propertyPlantEquipmentNet")</f>
        <v>propertyPlantEquipmentNet</v>
      </c>
      <c r="D214" s="1">
        <f ca="1">IFERROR(__xludf.UNSUPPORTED("""COMPUTED_VALUE"""),45680000000)</f>
        <v>45680000000</v>
      </c>
      <c r="E214" s="1">
        <f ca="1">IFERROR(__xludf.UNSUPPORTED("""COMPUTED_VALUE"""),54376000000)</f>
        <v>54376000000</v>
      </c>
      <c r="F214" s="1">
        <f ca="1">IFERROR(__xludf.UNSUPPORTED("""COMPUTED_VALUE"""),52534000000)</f>
        <v>52534000000</v>
      </c>
      <c r="G214" s="1">
        <f ca="1">IFERROR(__xludf.UNSUPPORTED("""COMPUTED_VALUE"""),49527000000)</f>
        <v>49527000000</v>
      </c>
      <c r="H214" s="1">
        <f ca="1">IFERROR(__xludf.UNSUPPORTED("""COMPUTED_VALUE"""),45336000000)</f>
        <v>45336000000</v>
      </c>
    </row>
    <row r="215" spans="2:8" ht="13">
      <c r="B215" s="1"/>
      <c r="C215" s="1" t="str">
        <f ca="1">IFERROR(__xludf.UNSUPPORTED("""COMPUTED_VALUE"""),"goodwill")</f>
        <v>goodwill</v>
      </c>
      <c r="D215" s="1">
        <f ca="1">IFERROR(__xludf.UNSUPPORTED("""COMPUTED_VALUE"""),0)</f>
        <v>0</v>
      </c>
      <c r="E215" s="1">
        <f ca="1">IFERROR(__xludf.UNSUPPORTED("""COMPUTED_VALUE"""),0)</f>
        <v>0</v>
      </c>
      <c r="F215" s="1">
        <f ca="1">IFERROR(__xludf.UNSUPPORTED("""COMPUTED_VALUE"""),0)</f>
        <v>0</v>
      </c>
      <c r="G215" s="1">
        <f ca="1">IFERROR(__xludf.UNSUPPORTED("""COMPUTED_VALUE"""),0)</f>
        <v>0</v>
      </c>
      <c r="H215" s="1">
        <f ca="1">IFERROR(__xludf.UNSUPPORTED("""COMPUTED_VALUE"""),0)</f>
        <v>0</v>
      </c>
    </row>
    <row r="216" spans="2:8" ht="13">
      <c r="B216" s="1"/>
      <c r="C216" s="1" t="str">
        <f ca="1">IFERROR(__xludf.UNSUPPORTED("""COMPUTED_VALUE"""),"intangibleAssets")</f>
        <v>intangibleAssets</v>
      </c>
      <c r="D216" s="1">
        <f ca="1">IFERROR(__xludf.UNSUPPORTED("""COMPUTED_VALUE"""),0)</f>
        <v>0</v>
      </c>
      <c r="E216" s="1">
        <f ca="1">IFERROR(__xludf.UNSUPPORTED("""COMPUTED_VALUE"""),0)</f>
        <v>0</v>
      </c>
      <c r="F216" s="1">
        <f ca="1">IFERROR(__xludf.UNSUPPORTED("""COMPUTED_VALUE"""),0)</f>
        <v>0</v>
      </c>
      <c r="G216" s="1">
        <f ca="1">IFERROR(__xludf.UNSUPPORTED("""COMPUTED_VALUE"""),0)</f>
        <v>0</v>
      </c>
      <c r="H216" s="1">
        <f ca="1">IFERROR(__xludf.UNSUPPORTED("""COMPUTED_VALUE"""),0)</f>
        <v>0</v>
      </c>
    </row>
    <row r="217" spans="2:8" ht="13">
      <c r="B217" s="1"/>
      <c r="C217" s="1" t="str">
        <f ca="1">IFERROR(__xludf.UNSUPPORTED("""COMPUTED_VALUE"""),"goodwillAndIntangibleAssets")</f>
        <v>goodwillAndIntangibleAssets</v>
      </c>
      <c r="D217" s="1">
        <f ca="1">IFERROR(__xludf.UNSUPPORTED("""COMPUTED_VALUE"""),-19499000000)</f>
        <v>-19499000000</v>
      </c>
      <c r="E217" s="1">
        <f ca="1">IFERROR(__xludf.UNSUPPORTED("""COMPUTED_VALUE"""),0)</f>
        <v>0</v>
      </c>
      <c r="F217" s="1">
        <f ca="1">IFERROR(__xludf.UNSUPPORTED("""COMPUTED_VALUE"""),0)</f>
        <v>0</v>
      </c>
      <c r="G217" s="1">
        <f ca="1">IFERROR(__xludf.UNSUPPORTED("""COMPUTED_VALUE"""),0)</f>
        <v>0</v>
      </c>
      <c r="H217" s="1">
        <f ca="1">IFERROR(__xludf.UNSUPPORTED("""COMPUTED_VALUE"""),0)</f>
        <v>0</v>
      </c>
    </row>
    <row r="218" spans="2:8" ht="13">
      <c r="B218" s="1"/>
      <c r="C218" s="1" t="str">
        <f ca="1">IFERROR(__xludf.UNSUPPORTED("""COMPUTED_VALUE"""),"longTermInvestments")</f>
        <v>longTermInvestments</v>
      </c>
      <c r="D218" s="1">
        <f ca="1">IFERROR(__xludf.UNSUPPORTED("""COMPUTED_VALUE"""),91479000000)</f>
        <v>91479000000</v>
      </c>
      <c r="E218" s="1">
        <f ca="1">IFERROR(__xludf.UNSUPPORTED("""COMPUTED_VALUE"""),100544000000)</f>
        <v>100544000000</v>
      </c>
      <c r="F218" s="1">
        <f ca="1">IFERROR(__xludf.UNSUPPORTED("""COMPUTED_VALUE"""),120805000000)</f>
        <v>120805000000</v>
      </c>
      <c r="G218" s="1">
        <f ca="1">IFERROR(__xludf.UNSUPPORTED("""COMPUTED_VALUE"""),127877000000)</f>
        <v>127877000000</v>
      </c>
      <c r="H218" s="1">
        <f ca="1">IFERROR(__xludf.UNSUPPORTED("""COMPUTED_VALUE"""),100887000000)</f>
        <v>100887000000</v>
      </c>
    </row>
    <row r="219" spans="2:8" ht="13">
      <c r="B219" s="1"/>
      <c r="C219" s="1" t="str">
        <f ca="1">IFERROR(__xludf.UNSUPPORTED("""COMPUTED_VALUE"""),"taxAssets")</f>
        <v>taxAssets</v>
      </c>
      <c r="D219" s="1">
        <f ca="1">IFERROR(__xludf.UNSUPPORTED("""COMPUTED_VALUE"""),19499000000)</f>
        <v>19499000000</v>
      </c>
      <c r="E219" s="1">
        <f ca="1">IFERROR(__xludf.UNSUPPORTED("""COMPUTED_VALUE"""),17852000000)</f>
        <v>17852000000</v>
      </c>
      <c r="F219" s="1">
        <f ca="1">IFERROR(__xludf.UNSUPPORTED("""COMPUTED_VALUE"""),15375000000)</f>
        <v>15375000000</v>
      </c>
      <c r="G219" s="1">
        <f ca="1">IFERROR(__xludf.UNSUPPORTED("""COMPUTED_VALUE"""),0)</f>
        <v>0</v>
      </c>
      <c r="H219" s="1">
        <f ca="1">IFERROR(__xludf.UNSUPPORTED("""COMPUTED_VALUE"""),0)</f>
        <v>0</v>
      </c>
    </row>
    <row r="220" spans="2:8" ht="13">
      <c r="B220" s="1"/>
      <c r="C220" s="1" t="str">
        <f ca="1">IFERROR(__xludf.UNSUPPORTED("""COMPUTED_VALUE"""),"otherNonCurrentAssets")</f>
        <v>otherNonCurrentAssets</v>
      </c>
      <c r="D220" s="1">
        <f ca="1">IFERROR(__xludf.UNSUPPORTED("""COMPUTED_VALUE"""),74834000000)</f>
        <v>74834000000</v>
      </c>
      <c r="E220" s="1">
        <f ca="1">IFERROR(__xludf.UNSUPPORTED("""COMPUTED_VALUE"""),36245000000)</f>
        <v>36245000000</v>
      </c>
      <c r="F220" s="1">
        <f ca="1">IFERROR(__xludf.UNSUPPORTED("""COMPUTED_VALUE"""),28636000000)</f>
        <v>28636000000</v>
      </c>
      <c r="G220" s="1">
        <f ca="1">IFERROR(__xludf.UNSUPPORTED("""COMPUTED_VALUE"""),38762000000)</f>
        <v>38762000000</v>
      </c>
      <c r="H220" s="1">
        <f ca="1">IFERROR(__xludf.UNSUPPORTED("""COMPUTED_VALUE"""),33952000000)</f>
        <v>33952000000</v>
      </c>
    </row>
    <row r="221" spans="2:8" ht="13">
      <c r="B221" s="1"/>
      <c r="C221" s="1" t="str">
        <f ca="1">IFERROR(__xludf.UNSUPPORTED("""COMPUTED_VALUE"""),"totalNonCurrentAssets")</f>
        <v>totalNonCurrentAssets</v>
      </c>
      <c r="D221" s="1">
        <f ca="1">IFERROR(__xludf.UNSUPPORTED("""COMPUTED_VALUE"""),211993000000)</f>
        <v>211993000000</v>
      </c>
      <c r="E221" s="1">
        <f ca="1">IFERROR(__xludf.UNSUPPORTED("""COMPUTED_VALUE"""),209017000000)</f>
        <v>209017000000</v>
      </c>
      <c r="F221" s="1">
        <f ca="1">IFERROR(__xludf.UNSUPPORTED("""COMPUTED_VALUE"""),217350000000)</f>
        <v>217350000000</v>
      </c>
      <c r="G221" s="1">
        <f ca="1">IFERROR(__xludf.UNSUPPORTED("""COMPUTED_VALUE"""),216166000000)</f>
        <v>216166000000</v>
      </c>
      <c r="H221" s="1">
        <f ca="1">IFERROR(__xludf.UNSUPPORTED("""COMPUTED_VALUE"""),180175000000)</f>
        <v>180175000000</v>
      </c>
    </row>
    <row r="222" spans="2:8" ht="13">
      <c r="B222" s="1"/>
      <c r="C222" s="1"/>
      <c r="D222" s="1"/>
      <c r="E222" s="1"/>
      <c r="F222" s="1"/>
      <c r="G222" s="1"/>
      <c r="H222" s="1"/>
    </row>
    <row r="223" spans="2:8" ht="13">
      <c r="B223" s="1"/>
      <c r="C223" s="1" t="str">
        <f ca="1">IFERROR(__xludf.UNSUPPORTED("""COMPUTED_VALUE"""),"TOTAL ASSETS")</f>
        <v>TOTAL ASSETS</v>
      </c>
      <c r="D223" s="1"/>
      <c r="E223" s="1"/>
      <c r="F223" s="1"/>
      <c r="G223" s="1"/>
      <c r="H223" s="1"/>
    </row>
    <row r="224" spans="2:8" ht="13">
      <c r="B224" s="1"/>
      <c r="C224" s="1" t="str">
        <f ca="1">IFERROR(__xludf.UNSUPPORTED("""COMPUTED_VALUE"""),"otherAssets")</f>
        <v>otherAssets</v>
      </c>
      <c r="D224" s="1">
        <f ca="1">IFERROR(__xludf.UNSUPPORTED("""COMPUTED_VALUE"""),0)</f>
        <v>0</v>
      </c>
      <c r="E224" s="1">
        <f ca="1">IFERROR(__xludf.UNSUPPORTED("""COMPUTED_VALUE"""),0)</f>
        <v>0</v>
      </c>
      <c r="F224" s="1">
        <f ca="1">IFERROR(__xludf.UNSUPPORTED("""COMPUTED_VALUE"""),0)</f>
        <v>0</v>
      </c>
      <c r="G224" s="1">
        <f ca="1">IFERROR(__xludf.UNSUPPORTED("""COMPUTED_VALUE"""),0)</f>
        <v>0</v>
      </c>
      <c r="H224" s="1">
        <f ca="1">IFERROR(__xludf.UNSUPPORTED("""COMPUTED_VALUE"""),0)</f>
        <v>0</v>
      </c>
    </row>
    <row r="225" spans="2:8" ht="13">
      <c r="B225" s="1"/>
      <c r="C225" s="1" t="str">
        <f ca="1">IFERROR(__xludf.UNSUPPORTED("""COMPUTED_VALUE"""),"totalAssets")</f>
        <v>totalAssets</v>
      </c>
      <c r="D225" s="1">
        <f ca="1">IFERROR(__xludf.UNSUPPORTED("""COMPUTED_VALUE"""),364980000000)</f>
        <v>364980000000</v>
      </c>
      <c r="E225" s="1">
        <f ca="1">IFERROR(__xludf.UNSUPPORTED("""COMPUTED_VALUE"""),352583000000)</f>
        <v>352583000000</v>
      </c>
      <c r="F225" s="1">
        <f ca="1">IFERROR(__xludf.UNSUPPORTED("""COMPUTED_VALUE"""),352755000000)</f>
        <v>352755000000</v>
      </c>
      <c r="G225" s="1">
        <f ca="1">IFERROR(__xludf.UNSUPPORTED("""COMPUTED_VALUE"""),351002000000)</f>
        <v>351002000000</v>
      </c>
      <c r="H225" s="1">
        <f ca="1">IFERROR(__xludf.UNSUPPORTED("""COMPUTED_VALUE"""),323888000000)</f>
        <v>323888000000</v>
      </c>
    </row>
    <row r="226" spans="2:8" ht="13">
      <c r="B226" s="1"/>
      <c r="C226" s="1"/>
      <c r="D226" s="1"/>
      <c r="E226" s="1"/>
      <c r="F226" s="1"/>
      <c r="G226" s="1"/>
      <c r="H226" s="1"/>
    </row>
    <row r="227" spans="2:8" ht="13">
      <c r="B227" s="1" t="str">
        <f ca="1">IFERROR(__xludf.UNSUPPORTED("""COMPUTED_VALUE"""),"LIABILITIES")</f>
        <v>LIABILITIES</v>
      </c>
      <c r="C227" s="1" t="str">
        <f ca="1">IFERROR(__xludf.UNSUPPORTED("""COMPUTED_VALUE"""),"CURRENT LIABILITIES")</f>
        <v>CURRENT LIABILITIES</v>
      </c>
      <c r="D227" s="1"/>
      <c r="E227" s="1"/>
      <c r="F227" s="1"/>
      <c r="G227" s="1"/>
      <c r="H227" s="1"/>
    </row>
    <row r="228" spans="2:8" ht="13">
      <c r="B228" s="1"/>
      <c r="C228" s="1" t="str">
        <f ca="1">IFERROR(__xludf.UNSUPPORTED("""COMPUTED_VALUE"""),"accountPayables")</f>
        <v>accountPayables</v>
      </c>
      <c r="D228" s="1">
        <f ca="1">IFERROR(__xludf.UNSUPPORTED("""COMPUTED_VALUE"""),68960000000)</f>
        <v>68960000000</v>
      </c>
      <c r="E228" s="1">
        <f ca="1">IFERROR(__xludf.UNSUPPORTED("""COMPUTED_VALUE"""),62611000000)</f>
        <v>62611000000</v>
      </c>
      <c r="F228" s="1">
        <f ca="1">IFERROR(__xludf.UNSUPPORTED("""COMPUTED_VALUE"""),64115000000)</f>
        <v>64115000000</v>
      </c>
      <c r="G228" s="1">
        <f ca="1">IFERROR(__xludf.UNSUPPORTED("""COMPUTED_VALUE"""),54763000000)</f>
        <v>54763000000</v>
      </c>
      <c r="H228" s="1">
        <f ca="1">IFERROR(__xludf.UNSUPPORTED("""COMPUTED_VALUE"""),42296000000)</f>
        <v>42296000000</v>
      </c>
    </row>
    <row r="229" spans="2:8" ht="13">
      <c r="B229" s="1"/>
      <c r="C229" s="1" t="str">
        <f ca="1">IFERROR(__xludf.UNSUPPORTED("""COMPUTED_VALUE"""),"shortTermDebt")</f>
        <v>shortTermDebt</v>
      </c>
      <c r="D229" s="1">
        <f ca="1">IFERROR(__xludf.UNSUPPORTED("""COMPUTED_VALUE"""),20879000000)</f>
        <v>20879000000</v>
      </c>
      <c r="E229" s="1">
        <f ca="1">IFERROR(__xludf.UNSUPPORTED("""COMPUTED_VALUE"""),17382000000)</f>
        <v>17382000000</v>
      </c>
      <c r="F229" s="1">
        <f ca="1">IFERROR(__xludf.UNSUPPORTED("""COMPUTED_VALUE"""),22773000000)</f>
        <v>22773000000</v>
      </c>
      <c r="G229" s="1">
        <f ca="1">IFERROR(__xludf.UNSUPPORTED("""COMPUTED_VALUE"""),17141000000)</f>
        <v>17141000000</v>
      </c>
      <c r="H229" s="1">
        <f ca="1">IFERROR(__xludf.UNSUPPORTED("""COMPUTED_VALUE"""),15229000000)</f>
        <v>15229000000</v>
      </c>
    </row>
    <row r="230" spans="2:8" ht="13">
      <c r="B230" s="1"/>
      <c r="C230" s="1" t="str">
        <f ca="1">IFERROR(__xludf.UNSUPPORTED("""COMPUTED_VALUE"""),"taxPayables")</f>
        <v>taxPayables</v>
      </c>
      <c r="D230" s="1">
        <f ca="1">IFERROR(__xludf.UNSUPPORTED("""COMPUTED_VALUE"""),26601000000)</f>
        <v>26601000000</v>
      </c>
      <c r="E230" s="1">
        <f ca="1">IFERROR(__xludf.UNSUPPORTED("""COMPUTED_VALUE"""),8819000000)</f>
        <v>8819000000</v>
      </c>
      <c r="F230" s="1">
        <f ca="1">IFERROR(__xludf.UNSUPPORTED("""COMPUTED_VALUE"""),6552000000)</f>
        <v>6552000000</v>
      </c>
      <c r="G230" s="1">
        <f ca="1">IFERROR(__xludf.UNSUPPORTED("""COMPUTED_VALUE"""),0)</f>
        <v>0</v>
      </c>
      <c r="H230" s="1">
        <f ca="1">IFERROR(__xludf.UNSUPPORTED("""COMPUTED_VALUE"""),0)</f>
        <v>0</v>
      </c>
    </row>
    <row r="231" spans="2:8" ht="13">
      <c r="B231" s="1"/>
      <c r="C231" s="1" t="str">
        <f ca="1">IFERROR(__xludf.UNSUPPORTED("""COMPUTED_VALUE"""),"deferredRevenue")</f>
        <v>deferredRevenue</v>
      </c>
      <c r="D231" s="1">
        <f ca="1">IFERROR(__xludf.UNSUPPORTED("""COMPUTED_VALUE"""),8249000000)</f>
        <v>8249000000</v>
      </c>
      <c r="E231" s="1">
        <f ca="1">IFERROR(__xludf.UNSUPPORTED("""COMPUTED_VALUE"""),8061000000)</f>
        <v>8061000000</v>
      </c>
      <c r="F231" s="1">
        <f ca="1">IFERROR(__xludf.UNSUPPORTED("""COMPUTED_VALUE"""),7912000000)</f>
        <v>7912000000</v>
      </c>
      <c r="G231" s="1">
        <f ca="1">IFERROR(__xludf.UNSUPPORTED("""COMPUTED_VALUE"""),7612000000)</f>
        <v>7612000000</v>
      </c>
      <c r="H231" s="1">
        <f ca="1">IFERROR(__xludf.UNSUPPORTED("""COMPUTED_VALUE"""),6643000000)</f>
        <v>6643000000</v>
      </c>
    </row>
    <row r="232" spans="2:8" ht="13">
      <c r="B232" s="1"/>
      <c r="C232" s="1" t="str">
        <f ca="1">IFERROR(__xludf.UNSUPPORTED("""COMPUTED_VALUE"""),"otherCurrentLiabilities")</f>
        <v>otherCurrentLiabilities</v>
      </c>
      <c r="D232" s="1">
        <f ca="1">IFERROR(__xludf.UNSUPPORTED("""COMPUTED_VALUE"""),78304000000)</f>
        <v>78304000000</v>
      </c>
      <c r="E232" s="1">
        <f ca="1">IFERROR(__xludf.UNSUPPORTED("""COMPUTED_VALUE"""),48435000000)</f>
        <v>48435000000</v>
      </c>
      <c r="F232" s="1">
        <f ca="1">IFERROR(__xludf.UNSUPPORTED("""COMPUTED_VALUE"""),52630000000)</f>
        <v>52630000000</v>
      </c>
      <c r="G232" s="1">
        <f ca="1">IFERROR(__xludf.UNSUPPORTED("""COMPUTED_VALUE"""),45965000000)</f>
        <v>45965000000</v>
      </c>
      <c r="H232" s="1">
        <f ca="1">IFERROR(__xludf.UNSUPPORTED("""COMPUTED_VALUE"""),41224000000)</f>
        <v>41224000000</v>
      </c>
    </row>
    <row r="233" spans="2:8" ht="13">
      <c r="B233" s="1"/>
      <c r="C233" s="1" t="str">
        <f ca="1">IFERROR(__xludf.UNSUPPORTED("""COMPUTED_VALUE"""),"totalCurrentLiabilities")</f>
        <v>totalCurrentLiabilities</v>
      </c>
      <c r="D233" s="1">
        <f ca="1">IFERROR(__xludf.UNSUPPORTED("""COMPUTED_VALUE"""),176392000000)</f>
        <v>176392000000</v>
      </c>
      <c r="E233" s="1">
        <f ca="1">IFERROR(__xludf.UNSUPPORTED("""COMPUTED_VALUE"""),145308000000)</f>
        <v>145308000000</v>
      </c>
      <c r="F233" s="1">
        <f ca="1">IFERROR(__xludf.UNSUPPORTED("""COMPUTED_VALUE"""),153982000000)</f>
        <v>153982000000</v>
      </c>
      <c r="G233" s="1">
        <f ca="1">IFERROR(__xludf.UNSUPPORTED("""COMPUTED_VALUE"""),125481000000)</f>
        <v>125481000000</v>
      </c>
      <c r="H233" s="1">
        <f ca="1">IFERROR(__xludf.UNSUPPORTED("""COMPUTED_VALUE"""),105392000000)</f>
        <v>105392000000</v>
      </c>
    </row>
    <row r="234" spans="2:8" ht="13">
      <c r="B234" s="1"/>
      <c r="C234" s="1"/>
      <c r="D234" s="1"/>
      <c r="E234" s="1"/>
      <c r="F234" s="1"/>
      <c r="G234" s="1"/>
      <c r="H234" s="1"/>
    </row>
    <row r="235" spans="2:8" ht="13">
      <c r="B235" s="1"/>
      <c r="C235" s="1" t="str">
        <f ca="1">IFERROR(__xludf.UNSUPPORTED("""COMPUTED_VALUE"""),"NON CURRENT LIABILITIES")</f>
        <v>NON CURRENT LIABILITIES</v>
      </c>
      <c r="D235" s="1"/>
      <c r="E235" s="1"/>
      <c r="F235" s="1"/>
      <c r="G235" s="1"/>
      <c r="H235" s="1"/>
    </row>
    <row r="236" spans="2:8" ht="13">
      <c r="B236" s="1"/>
      <c r="C236" s="1" t="str">
        <f ca="1">IFERROR(__xludf.UNSUPPORTED("""COMPUTED_VALUE"""),"longTermDebt")</f>
        <v>longTermDebt</v>
      </c>
      <c r="D236" s="1">
        <f ca="1">IFERROR(__xludf.UNSUPPORTED("""COMPUTED_VALUE"""),85750000000)</f>
        <v>85750000000</v>
      </c>
      <c r="E236" s="1">
        <f ca="1">IFERROR(__xludf.UNSUPPORTED("""COMPUTED_VALUE"""),106548000000)</f>
        <v>106548000000</v>
      </c>
      <c r="F236" s="1">
        <f ca="1">IFERROR(__xludf.UNSUPPORTED("""COMPUTED_VALUE"""),109707000000)</f>
        <v>109707000000</v>
      </c>
      <c r="G236" s="1">
        <f ca="1">IFERROR(__xludf.UNSUPPORTED("""COMPUTED_VALUE"""),119381000000)</f>
        <v>119381000000</v>
      </c>
      <c r="H236" s="1">
        <f ca="1">IFERROR(__xludf.UNSUPPORTED("""COMPUTED_VALUE"""),107049000000)</f>
        <v>107049000000</v>
      </c>
    </row>
    <row r="237" spans="2:8" ht="13">
      <c r="B237" s="1"/>
      <c r="C237" s="1" t="str">
        <f ca="1">IFERROR(__xludf.UNSUPPORTED("""COMPUTED_VALUE"""),"deferredRevenueNonCurrent")</f>
        <v>deferredRevenueNonCurrent</v>
      </c>
      <c r="D237" s="1">
        <f ca="1">IFERROR(__xludf.UNSUPPORTED("""COMPUTED_VALUE"""),0)</f>
        <v>0</v>
      </c>
      <c r="E237" s="1">
        <f ca="1">IFERROR(__xludf.UNSUPPORTED("""COMPUTED_VALUE"""),0)</f>
        <v>0</v>
      </c>
      <c r="F237" s="1">
        <f ca="1">IFERROR(__xludf.UNSUPPORTED("""COMPUTED_VALUE"""),0)</f>
        <v>0</v>
      </c>
      <c r="G237" s="1">
        <f ca="1">IFERROR(__xludf.UNSUPPORTED("""COMPUTED_VALUE"""),0)</f>
        <v>0</v>
      </c>
      <c r="H237" s="1">
        <f ca="1">IFERROR(__xludf.UNSUPPORTED("""COMPUTED_VALUE"""),0)</f>
        <v>0</v>
      </c>
    </row>
    <row r="238" spans="2:8" ht="13">
      <c r="B238" s="1"/>
      <c r="C238" s="1" t="str">
        <f ca="1">IFERROR(__xludf.UNSUPPORTED("""COMPUTED_VALUE"""),"deferrredTaxLiabilitiesNonCurrent")</f>
        <v>deferrredTaxLiabilitiesNonCurrent</v>
      </c>
      <c r="D238" s="1">
        <f ca="1">IFERROR(__xludf.UNSUPPORTED("""COMPUTED_VALUE"""),0)</f>
        <v>0</v>
      </c>
      <c r="E238" s="1">
        <f ca="1">IFERROR(__xludf.UNSUPPORTED("""COMPUTED_VALUE"""),0)</f>
        <v>0</v>
      </c>
      <c r="F238" s="1">
        <f ca="1">IFERROR(__xludf.UNSUPPORTED("""COMPUTED_VALUE"""),0)</f>
        <v>0</v>
      </c>
      <c r="G238" s="1">
        <f ca="1">IFERROR(__xludf.UNSUPPORTED("""COMPUTED_VALUE"""),0)</f>
        <v>0</v>
      </c>
      <c r="H238" s="1">
        <f ca="1">IFERROR(__xludf.UNSUPPORTED("""COMPUTED_VALUE"""),0)</f>
        <v>0</v>
      </c>
    </row>
    <row r="239" spans="2:8" ht="13">
      <c r="B239" s="1"/>
      <c r="C239" s="1" t="str">
        <f ca="1">IFERROR(__xludf.UNSUPPORTED("""COMPUTED_VALUE"""),"otherNonCurrentLiabilities")</f>
        <v>otherNonCurrentLiabilities</v>
      </c>
      <c r="D239" s="1">
        <f ca="1">IFERROR(__xludf.UNSUPPORTED("""COMPUTED_VALUE"""),45888000000)</f>
        <v>45888000000</v>
      </c>
      <c r="E239" s="1">
        <f ca="1">IFERROR(__xludf.UNSUPPORTED("""COMPUTED_VALUE"""),49848000000)</f>
        <v>49848000000</v>
      </c>
      <c r="F239" s="1">
        <f ca="1">IFERROR(__xludf.UNSUPPORTED("""COMPUTED_VALUE"""),38394000000)</f>
        <v>38394000000</v>
      </c>
      <c r="G239" s="1">
        <f ca="1">IFERROR(__xludf.UNSUPPORTED("""COMPUTED_VALUE"""),43050000000)</f>
        <v>43050000000</v>
      </c>
      <c r="H239" s="1">
        <f ca="1">IFERROR(__xludf.UNSUPPORTED("""COMPUTED_VALUE"""),46108000000)</f>
        <v>46108000000</v>
      </c>
    </row>
    <row r="240" spans="2:8" ht="13">
      <c r="B240" s="1"/>
      <c r="C240" s="1" t="str">
        <f ca="1">IFERROR(__xludf.UNSUPPORTED("""COMPUTED_VALUE"""),"totalNonCurrentLiabilities")</f>
        <v>totalNonCurrentLiabilities</v>
      </c>
      <c r="D240" s="1">
        <f ca="1">IFERROR(__xludf.UNSUPPORTED("""COMPUTED_VALUE"""),131638000000)</f>
        <v>131638000000</v>
      </c>
      <c r="E240" s="1">
        <f ca="1">IFERROR(__xludf.UNSUPPORTED("""COMPUTED_VALUE"""),145129000000)</f>
        <v>145129000000</v>
      </c>
      <c r="F240" s="1">
        <f ca="1">IFERROR(__xludf.UNSUPPORTED("""COMPUTED_VALUE"""),148101000000)</f>
        <v>148101000000</v>
      </c>
      <c r="G240" s="1">
        <f ca="1">IFERROR(__xludf.UNSUPPORTED("""COMPUTED_VALUE"""),162431000000)</f>
        <v>162431000000</v>
      </c>
      <c r="H240" s="1">
        <f ca="1">IFERROR(__xludf.UNSUPPORTED("""COMPUTED_VALUE"""),153157000000)</f>
        <v>153157000000</v>
      </c>
    </row>
    <row r="241" spans="2:8" ht="13">
      <c r="B241" s="1"/>
      <c r="C241" s="1"/>
      <c r="D241" s="1"/>
      <c r="E241" s="1"/>
      <c r="F241" s="1"/>
      <c r="G241" s="1"/>
      <c r="H241" s="1"/>
    </row>
    <row r="242" spans="2:8" ht="13">
      <c r="B242" s="1"/>
      <c r="C242" s="1" t="str">
        <f ca="1">IFERROR(__xludf.UNSUPPORTED("""COMPUTED_VALUE"""),"TOTAL LIABILITIES")</f>
        <v>TOTAL LIABILITIES</v>
      </c>
      <c r="D242" s="1"/>
      <c r="E242" s="1"/>
      <c r="F242" s="1"/>
      <c r="G242" s="1"/>
      <c r="H242" s="1"/>
    </row>
    <row r="243" spans="2:8" ht="13">
      <c r="B243" s="1"/>
      <c r="C243" s="1" t="str">
        <f ca="1">IFERROR(__xludf.UNSUPPORTED("""COMPUTED_VALUE"""),"otherLiabilities")</f>
        <v>otherLiabilities</v>
      </c>
      <c r="D243" s="1">
        <f ca="1">IFERROR(__xludf.UNSUPPORTED("""COMPUTED_VALUE"""),0)</f>
        <v>0</v>
      </c>
      <c r="E243" s="1">
        <f ca="1">IFERROR(__xludf.UNSUPPORTED("""COMPUTED_VALUE"""),0)</f>
        <v>0</v>
      </c>
      <c r="F243" s="1">
        <f ca="1">IFERROR(__xludf.UNSUPPORTED("""COMPUTED_VALUE"""),0)</f>
        <v>0</v>
      </c>
      <c r="G243" s="1">
        <f ca="1">IFERROR(__xludf.UNSUPPORTED("""COMPUTED_VALUE"""),0)</f>
        <v>0</v>
      </c>
      <c r="H243" s="1">
        <f ca="1">IFERROR(__xludf.UNSUPPORTED("""COMPUTED_VALUE"""),0)</f>
        <v>0</v>
      </c>
    </row>
    <row r="244" spans="2:8" ht="13">
      <c r="B244" s="1"/>
      <c r="C244" s="1" t="str">
        <f ca="1">IFERROR(__xludf.UNSUPPORTED("""COMPUTED_VALUE"""),"totalLiabilities")</f>
        <v>totalLiabilities</v>
      </c>
      <c r="D244" s="1">
        <f ca="1">IFERROR(__xludf.UNSUPPORTED("""COMPUTED_VALUE"""),308030000000)</f>
        <v>308030000000</v>
      </c>
      <c r="E244" s="1">
        <f ca="1">IFERROR(__xludf.UNSUPPORTED("""COMPUTED_VALUE"""),290437000000)</f>
        <v>290437000000</v>
      </c>
      <c r="F244" s="1">
        <f ca="1">IFERROR(__xludf.UNSUPPORTED("""COMPUTED_VALUE"""),302083000000)</f>
        <v>302083000000</v>
      </c>
      <c r="G244" s="1">
        <f ca="1">IFERROR(__xludf.UNSUPPORTED("""COMPUTED_VALUE"""),287912000000)</f>
        <v>287912000000</v>
      </c>
      <c r="H244" s="1">
        <f ca="1">IFERROR(__xludf.UNSUPPORTED("""COMPUTED_VALUE"""),258549000000)</f>
        <v>258549000000</v>
      </c>
    </row>
    <row r="245" spans="2:8" ht="13">
      <c r="B245" s="1"/>
      <c r="C245" s="1"/>
      <c r="D245" s="1"/>
      <c r="E245" s="1"/>
      <c r="F245" s="1"/>
      <c r="G245" s="1"/>
      <c r="H245" s="1"/>
    </row>
    <row r="246" spans="2:8" ht="13">
      <c r="B246" s="1" t="str">
        <f ca="1">IFERROR(__xludf.UNSUPPORTED("""COMPUTED_VALUE"""),"STOCKHOLDERS EQUITY")</f>
        <v>STOCKHOLDERS EQUITY</v>
      </c>
      <c r="C246" s="1" t="str">
        <f ca="1">IFERROR(__xludf.UNSUPPORTED("""COMPUTED_VALUE"""),"STOCKHOLDERS EQUITY")</f>
        <v>STOCKHOLDERS EQUITY</v>
      </c>
      <c r="D246" s="1"/>
      <c r="E246" s="1"/>
      <c r="F246" s="1"/>
      <c r="G246" s="1"/>
      <c r="H246" s="1"/>
    </row>
    <row r="247" spans="2:8" ht="13">
      <c r="B247" s="1"/>
      <c r="C247" s="1" t="str">
        <f ca="1">IFERROR(__xludf.UNSUPPORTED("""COMPUTED_VALUE"""),"commonStock")</f>
        <v>commonStock</v>
      </c>
      <c r="D247" s="1">
        <f ca="1">IFERROR(__xludf.UNSUPPORTED("""COMPUTED_VALUE"""),83276000000)</f>
        <v>83276000000</v>
      </c>
      <c r="E247" s="1">
        <f ca="1">IFERROR(__xludf.UNSUPPORTED("""COMPUTED_VALUE"""),73812000000)</f>
        <v>73812000000</v>
      </c>
      <c r="F247" s="1">
        <f ca="1">IFERROR(__xludf.UNSUPPORTED("""COMPUTED_VALUE"""),64849000000)</f>
        <v>64849000000</v>
      </c>
      <c r="G247" s="1">
        <f ca="1">IFERROR(__xludf.UNSUPPORTED("""COMPUTED_VALUE"""),57365000000)</f>
        <v>57365000000</v>
      </c>
      <c r="H247" s="1">
        <f ca="1">IFERROR(__xludf.UNSUPPORTED("""COMPUTED_VALUE"""),50779000000)</f>
        <v>50779000000</v>
      </c>
    </row>
    <row r="248" spans="2:8" ht="13">
      <c r="B248" s="1"/>
      <c r="C248" s="1" t="str">
        <f ca="1">IFERROR(__xludf.UNSUPPORTED("""COMPUTED_VALUE"""),"retainedEarnings")</f>
        <v>retainedEarnings</v>
      </c>
      <c r="D248" s="1">
        <f ca="1">IFERROR(__xludf.UNSUPPORTED("""COMPUTED_VALUE"""),-19154000000)</f>
        <v>-19154000000</v>
      </c>
      <c r="E248" s="1">
        <f ca="1">IFERROR(__xludf.UNSUPPORTED("""COMPUTED_VALUE"""),-214000000)</f>
        <v>-214000000</v>
      </c>
      <c r="F248" s="1">
        <f ca="1">IFERROR(__xludf.UNSUPPORTED("""COMPUTED_VALUE"""),-3068000000)</f>
        <v>-3068000000</v>
      </c>
      <c r="G248" s="1">
        <f ca="1">IFERROR(__xludf.UNSUPPORTED("""COMPUTED_VALUE"""),5562000000)</f>
        <v>5562000000</v>
      </c>
      <c r="H248" s="1">
        <f ca="1">IFERROR(__xludf.UNSUPPORTED("""COMPUTED_VALUE"""),14966000000)</f>
        <v>14966000000</v>
      </c>
    </row>
    <row r="249" spans="2:8" ht="13">
      <c r="B249" s="1"/>
      <c r="C249" s="1" t="str">
        <f ca="1">IFERROR(__xludf.UNSUPPORTED("""COMPUTED_VALUE"""),"accumulatedOtherComprehensiveIncomeLoss")</f>
        <v>accumulatedOtherComprehensiveIncomeLoss</v>
      </c>
      <c r="D249" s="1">
        <f ca="1">IFERROR(__xludf.UNSUPPORTED("""COMPUTED_VALUE"""),-7172000000)</f>
        <v>-7172000000</v>
      </c>
      <c r="E249" s="1">
        <f ca="1">IFERROR(__xludf.UNSUPPORTED("""COMPUTED_VALUE"""),-11452000000)</f>
        <v>-11452000000</v>
      </c>
      <c r="F249" s="1">
        <f ca="1">IFERROR(__xludf.UNSUPPORTED("""COMPUTED_VALUE"""),-11109000000)</f>
        <v>-11109000000</v>
      </c>
      <c r="G249" s="1">
        <f ca="1">IFERROR(__xludf.UNSUPPORTED("""COMPUTED_VALUE"""),163000000)</f>
        <v>163000000</v>
      </c>
      <c r="H249" s="1">
        <f ca="1">IFERROR(__xludf.UNSUPPORTED("""COMPUTED_VALUE"""),-406000000)</f>
        <v>-406000000</v>
      </c>
    </row>
    <row r="250" spans="2:8" ht="13">
      <c r="B250" s="1"/>
      <c r="C250" s="1" t="str">
        <f ca="1">IFERROR(__xludf.UNSUPPORTED("""COMPUTED_VALUE"""),"othertotalStockholdersEquity")</f>
        <v>othertotalStockholdersEquity</v>
      </c>
      <c r="D250" s="1">
        <f ca="1">IFERROR(__xludf.UNSUPPORTED("""COMPUTED_VALUE"""),0)</f>
        <v>0</v>
      </c>
      <c r="E250" s="1">
        <f ca="1">IFERROR(__xludf.UNSUPPORTED("""COMPUTED_VALUE"""),0)</f>
        <v>0</v>
      </c>
      <c r="F250" s="1">
        <f ca="1">IFERROR(__xludf.UNSUPPORTED("""COMPUTED_VALUE"""),0)</f>
        <v>0</v>
      </c>
      <c r="G250" s="1">
        <f ca="1">IFERROR(__xludf.UNSUPPORTED("""COMPUTED_VALUE"""),0)</f>
        <v>0</v>
      </c>
      <c r="H250" s="1">
        <f ca="1">IFERROR(__xludf.UNSUPPORTED("""COMPUTED_VALUE"""),0)</f>
        <v>0</v>
      </c>
    </row>
    <row r="251" spans="2:8" ht="13">
      <c r="B251" s="1"/>
      <c r="C251" s="1" t="str">
        <f ca="1">IFERROR(__xludf.UNSUPPORTED("""COMPUTED_VALUE"""),"totalStockholdersEquity")</f>
        <v>totalStockholdersEquity</v>
      </c>
      <c r="D251" s="1">
        <f ca="1">IFERROR(__xludf.UNSUPPORTED("""COMPUTED_VALUE"""),56950000000)</f>
        <v>56950000000</v>
      </c>
      <c r="E251" s="1">
        <f ca="1">IFERROR(__xludf.UNSUPPORTED("""COMPUTED_VALUE"""),62146000000)</f>
        <v>62146000000</v>
      </c>
      <c r="F251" s="1">
        <f ca="1">IFERROR(__xludf.UNSUPPORTED("""COMPUTED_VALUE"""),50672000000)</f>
        <v>50672000000</v>
      </c>
      <c r="G251" s="1">
        <f ca="1">IFERROR(__xludf.UNSUPPORTED("""COMPUTED_VALUE"""),63090000000)</f>
        <v>63090000000</v>
      </c>
      <c r="H251" s="1">
        <f ca="1">IFERROR(__xludf.UNSUPPORTED("""COMPUTED_VALUE"""),65339000000)</f>
        <v>65339000000</v>
      </c>
    </row>
    <row r="252" spans="2:8" ht="13">
      <c r="B252" s="1"/>
      <c r="C252" s="1"/>
      <c r="D252" s="1"/>
      <c r="E252" s="1"/>
      <c r="F252" s="1"/>
      <c r="G252" s="1"/>
      <c r="H252" s="1"/>
    </row>
    <row r="253" spans="2:8" ht="13">
      <c r="B253" s="1" t="str">
        <f ca="1">IFERROR(__xludf.UNSUPPORTED("""COMPUTED_VALUE"""),"LIABILITIES and EQUITY")</f>
        <v>LIABILITIES and EQUITY</v>
      </c>
      <c r="C253" s="1" t="str">
        <f ca="1">IFERROR(__xludf.UNSUPPORTED("""COMPUTED_VALUE"""),"LIABILITIES and EQUITY")</f>
        <v>LIABILITIES and EQUITY</v>
      </c>
      <c r="D253" s="1"/>
      <c r="E253" s="1"/>
      <c r="F253" s="1"/>
      <c r="G253" s="1"/>
      <c r="H253" s="1"/>
    </row>
    <row r="254" spans="2:8" ht="13">
      <c r="B254" s="1"/>
      <c r="C254" s="1" t="str">
        <f ca="1">IFERROR(__xludf.UNSUPPORTED("""COMPUTED_VALUE"""),"totalLiabilitiesAndStockholdersEquity")</f>
        <v>totalLiabilitiesAndStockholdersEquity</v>
      </c>
      <c r="D254" s="1">
        <f ca="1">IFERROR(__xludf.UNSUPPORTED("""COMPUTED_VALUE"""),364980000000)</f>
        <v>364980000000</v>
      </c>
      <c r="E254" s="1">
        <f ca="1">IFERROR(__xludf.UNSUPPORTED("""COMPUTED_VALUE"""),352583000000)</f>
        <v>352583000000</v>
      </c>
      <c r="F254" s="1">
        <f ca="1">IFERROR(__xludf.UNSUPPORTED("""COMPUTED_VALUE"""),352755000000)</f>
        <v>352755000000</v>
      </c>
      <c r="G254" s="1">
        <f ca="1">IFERROR(__xludf.UNSUPPORTED("""COMPUTED_VALUE"""),351002000000)</f>
        <v>351002000000</v>
      </c>
      <c r="H254" s="1">
        <f ca="1">IFERROR(__xludf.UNSUPPORTED("""COMPUTED_VALUE"""),323888000000)</f>
        <v>323888000000</v>
      </c>
    </row>
    <row r="255" spans="2:8" ht="13">
      <c r="B255" s="1"/>
      <c r="C255" s="1"/>
      <c r="D255" s="1"/>
      <c r="E255" s="1"/>
      <c r="F255" s="1"/>
      <c r="G255" s="1"/>
      <c r="H255" s="1"/>
    </row>
    <row r="256" spans="2:8" ht="13">
      <c r="B256" s="1" t="str">
        <f ca="1">IFERROR(__xludf.UNSUPPORTED("""COMPUTED_VALUE"""),"INVESTMENT and DEBT")</f>
        <v>INVESTMENT and DEBT</v>
      </c>
      <c r="C256" s="1" t="str">
        <f ca="1">IFERROR(__xludf.UNSUPPORTED("""COMPUTED_VALUE"""),"INVESTMENT and DEBT")</f>
        <v>INVESTMENT and DEBT</v>
      </c>
      <c r="D256" s="1"/>
      <c r="E256" s="1"/>
      <c r="F256" s="1"/>
      <c r="G256" s="1"/>
      <c r="H256" s="1"/>
    </row>
    <row r="257" spans="2:8" ht="13">
      <c r="B257" s="1"/>
      <c r="C257" s="1" t="str">
        <f ca="1">IFERROR(__xludf.UNSUPPORTED("""COMPUTED_VALUE"""),"totalInvestments")</f>
        <v>totalInvestments</v>
      </c>
      <c r="D257" s="1">
        <f ca="1">IFERROR(__xludf.UNSUPPORTED("""COMPUTED_VALUE"""),126707000000)</f>
        <v>126707000000</v>
      </c>
      <c r="E257" s="1">
        <f ca="1">IFERROR(__xludf.UNSUPPORTED("""COMPUTED_VALUE"""),132134000000)</f>
        <v>132134000000</v>
      </c>
      <c r="F257" s="1">
        <f ca="1">IFERROR(__xludf.UNSUPPORTED("""COMPUTED_VALUE"""),145463000000)</f>
        <v>145463000000</v>
      </c>
      <c r="G257" s="1">
        <f ca="1">IFERROR(__xludf.UNSUPPORTED("""COMPUTED_VALUE"""),155576000000)</f>
        <v>155576000000</v>
      </c>
      <c r="H257" s="1">
        <f ca="1">IFERROR(__xludf.UNSUPPORTED("""COMPUTED_VALUE"""),153814000000)</f>
        <v>153814000000</v>
      </c>
    </row>
    <row r="258" spans="2:8" ht="13">
      <c r="B258" s="1"/>
      <c r="C258" s="1" t="str">
        <f ca="1">IFERROR(__xludf.UNSUPPORTED("""COMPUTED_VALUE"""),"totalDebt")</f>
        <v>totalDebt</v>
      </c>
      <c r="D258" s="1">
        <f ca="1">IFERROR(__xludf.UNSUPPORTED("""COMPUTED_VALUE"""),106629000000)</f>
        <v>106629000000</v>
      </c>
      <c r="E258" s="1">
        <f ca="1">IFERROR(__xludf.UNSUPPORTED("""COMPUTED_VALUE"""),111088000000)</f>
        <v>111088000000</v>
      </c>
      <c r="F258" s="1">
        <f ca="1">IFERROR(__xludf.UNSUPPORTED("""COMPUTED_VALUE"""),132480000000)</f>
        <v>132480000000</v>
      </c>
      <c r="G258" s="1">
        <f ca="1">IFERROR(__xludf.UNSUPPORTED("""COMPUTED_VALUE"""),136522000000)</f>
        <v>136522000000</v>
      </c>
      <c r="H258" s="1">
        <f ca="1">IFERROR(__xludf.UNSUPPORTED("""COMPUTED_VALUE"""),122278000000)</f>
        <v>122278000000</v>
      </c>
    </row>
    <row r="259" spans="2:8" ht="13">
      <c r="B259" s="1"/>
      <c r="C259" s="1" t="str">
        <f ca="1">IFERROR(__xludf.UNSUPPORTED("""COMPUTED_VALUE"""),"netDebt")</f>
        <v>netDebt</v>
      </c>
      <c r="D259" s="1">
        <f ca="1">IFERROR(__xludf.UNSUPPORTED("""COMPUTED_VALUE"""),76686000000)</f>
        <v>76686000000</v>
      </c>
      <c r="E259" s="1">
        <f ca="1">IFERROR(__xludf.UNSUPPORTED("""COMPUTED_VALUE"""),81123000000)</f>
        <v>81123000000</v>
      </c>
      <c r="F259" s="1">
        <f ca="1">IFERROR(__xludf.UNSUPPORTED("""COMPUTED_VALUE"""),108834000000)</f>
        <v>108834000000</v>
      </c>
      <c r="G259" s="1">
        <f ca="1">IFERROR(__xludf.UNSUPPORTED("""COMPUTED_VALUE"""),101582000000)</f>
        <v>101582000000</v>
      </c>
      <c r="H259" s="1">
        <f ca="1">IFERROR(__xludf.UNSUPPORTED("""COMPUTED_VALUE"""),84262000000)</f>
        <v>84262000000</v>
      </c>
    </row>
    <row r="401" spans="1:8" ht="13">
      <c r="A401" s="1" t="s">
        <v>233</v>
      </c>
    </row>
    <row r="402" spans="1:8" ht="15.75" customHeight="1">
      <c r="B402" s="3" t="str">
        <f ca="1">IFERROR(__xludf.UNSUPPORTED(IMPORTDATA("https://fmpcloud.io/api/v3/cash-flow-statement/" &amp;#REF! &amp; "?datatype=csv&amp;apikey=" &amp;#REF!)),"date")</f>
        <v>date</v>
      </c>
      <c r="C402" s="1"/>
      <c r="D402" s="1" t="str">
        <f ca="1">IFERROR(__xludf.UNSUPPORTED("""COMPUTED_VALUE"""),"2024-09-28_FY")</f>
        <v>2024-09-28_FY</v>
      </c>
      <c r="E402" s="1" t="str">
        <f ca="1">IFERROR(__xludf.UNSUPPORTED("""COMPUTED_VALUE"""),"2023-09-30_FY")</f>
        <v>2023-09-30_FY</v>
      </c>
      <c r="F402" s="1" t="str">
        <f ca="1">IFERROR(__xludf.UNSUPPORTED("""COMPUTED_VALUE"""),"2022-09-24_FY")</f>
        <v>2022-09-24_FY</v>
      </c>
      <c r="G402" s="1" t="str">
        <f ca="1">IFERROR(__xludf.UNSUPPORTED("""COMPUTED_VALUE"""),"2021-09-25_FY")</f>
        <v>2021-09-25_FY</v>
      </c>
      <c r="H402" s="1" t="str">
        <f ca="1">IFERROR(__xludf.UNSUPPORTED("""COMPUTED_VALUE"""),"2020-09-26_FY")</f>
        <v>2020-09-26_FY</v>
      </c>
    </row>
    <row r="403" spans="1:8" ht="13">
      <c r="B403" s="1"/>
      <c r="C403" s="1"/>
      <c r="D403" s="1"/>
      <c r="E403" s="1"/>
      <c r="F403" s="1"/>
      <c r="G403" s="1"/>
      <c r="H403" s="1"/>
    </row>
    <row r="404" spans="1:8" ht="13">
      <c r="B404" s="1" t="str">
        <f ca="1">IFERROR(__xludf.UNSUPPORTED("""COMPUTED_VALUE"""),"CashProvidedByOperatingActivites")</f>
        <v>CashProvidedByOperatingActivites</v>
      </c>
      <c r="C404" s="1"/>
      <c r="D404" s="1"/>
      <c r="E404" s="1"/>
      <c r="F404" s="1"/>
      <c r="G404" s="1"/>
      <c r="H404" s="1"/>
    </row>
    <row r="405" spans="1:8" ht="13">
      <c r="B405" s="1"/>
      <c r="C405" s="1" t="str">
        <f ca="1">IFERROR(__xludf.UNSUPPORTED("""COMPUTED_VALUE"""),"netIncome")</f>
        <v>netIncome</v>
      </c>
      <c r="D405" s="1">
        <f ca="1">IFERROR(__xludf.UNSUPPORTED("""COMPUTED_VALUE"""),93736000000)</f>
        <v>93736000000</v>
      </c>
      <c r="E405" s="1">
        <f ca="1">IFERROR(__xludf.UNSUPPORTED("""COMPUTED_VALUE"""),96995000000)</f>
        <v>96995000000</v>
      </c>
      <c r="F405" s="1">
        <f ca="1">IFERROR(__xludf.UNSUPPORTED("""COMPUTED_VALUE"""),99803000000)</f>
        <v>99803000000</v>
      </c>
      <c r="G405" s="1">
        <f ca="1">IFERROR(__xludf.UNSUPPORTED("""COMPUTED_VALUE"""),94680000000)</f>
        <v>94680000000</v>
      </c>
      <c r="H405" s="1">
        <f ca="1">IFERROR(__xludf.UNSUPPORTED("""COMPUTED_VALUE"""),57411000000)</f>
        <v>57411000000</v>
      </c>
    </row>
    <row r="406" spans="1:8" ht="13">
      <c r="B406" s="1"/>
      <c r="C406" s="1" t="str">
        <f ca="1">IFERROR(__xludf.UNSUPPORTED("""COMPUTED_VALUE"""),"depreciationAndAmortization")</f>
        <v>depreciationAndAmortization</v>
      </c>
      <c r="D406" s="1">
        <f ca="1">IFERROR(__xludf.UNSUPPORTED("""COMPUTED_VALUE"""),11445000000)</f>
        <v>11445000000</v>
      </c>
      <c r="E406" s="1">
        <f ca="1">IFERROR(__xludf.UNSUPPORTED("""COMPUTED_VALUE"""),11519000000)</f>
        <v>11519000000</v>
      </c>
      <c r="F406" s="1">
        <f ca="1">IFERROR(__xludf.UNSUPPORTED("""COMPUTED_VALUE"""),11104000000)</f>
        <v>11104000000</v>
      </c>
      <c r="G406" s="1">
        <f ca="1">IFERROR(__xludf.UNSUPPORTED("""COMPUTED_VALUE"""),11284000000)</f>
        <v>11284000000</v>
      </c>
      <c r="H406" s="1">
        <f ca="1">IFERROR(__xludf.UNSUPPORTED("""COMPUTED_VALUE"""),11056000000)</f>
        <v>11056000000</v>
      </c>
    </row>
    <row r="407" spans="1:8" ht="13">
      <c r="B407" s="1"/>
      <c r="C407" s="1" t="str">
        <f ca="1">IFERROR(__xludf.UNSUPPORTED("""COMPUTED_VALUE"""),"deferredIncomeTax")</f>
        <v>deferredIncomeTax</v>
      </c>
      <c r="D407" s="1">
        <f ca="1">IFERROR(__xludf.UNSUPPORTED("""COMPUTED_VALUE"""),0)</f>
        <v>0</v>
      </c>
      <c r="E407" s="1">
        <f ca="1">IFERROR(__xludf.UNSUPPORTED("""COMPUTED_VALUE"""),0)</f>
        <v>0</v>
      </c>
      <c r="F407" s="1">
        <f ca="1">IFERROR(__xludf.UNSUPPORTED("""COMPUTED_VALUE"""),895000000)</f>
        <v>895000000</v>
      </c>
      <c r="G407" s="1">
        <f ca="1">IFERROR(__xludf.UNSUPPORTED("""COMPUTED_VALUE"""),-4774000000)</f>
        <v>-4774000000</v>
      </c>
      <c r="H407" s="1">
        <f ca="1">IFERROR(__xludf.UNSUPPORTED("""COMPUTED_VALUE"""),-215000000)</f>
        <v>-215000000</v>
      </c>
    </row>
    <row r="408" spans="1:8" ht="13">
      <c r="B408" s="1"/>
      <c r="C408" s="1" t="str">
        <f ca="1">IFERROR(__xludf.UNSUPPORTED("""COMPUTED_VALUE"""),"stockBasedCompensation")</f>
        <v>stockBasedCompensation</v>
      </c>
      <c r="D408" s="1">
        <f ca="1">IFERROR(__xludf.UNSUPPORTED("""COMPUTED_VALUE"""),11688000000)</f>
        <v>11688000000</v>
      </c>
      <c r="E408" s="1">
        <f ca="1">IFERROR(__xludf.UNSUPPORTED("""COMPUTED_VALUE"""),10833000000)</f>
        <v>10833000000</v>
      </c>
      <c r="F408" s="1">
        <f ca="1">IFERROR(__xludf.UNSUPPORTED("""COMPUTED_VALUE"""),9038000000)</f>
        <v>9038000000</v>
      </c>
      <c r="G408" s="1">
        <f ca="1">IFERROR(__xludf.UNSUPPORTED("""COMPUTED_VALUE"""),7906000000)</f>
        <v>7906000000</v>
      </c>
      <c r="H408" s="1">
        <f ca="1">IFERROR(__xludf.UNSUPPORTED("""COMPUTED_VALUE"""),6829000000)</f>
        <v>6829000000</v>
      </c>
    </row>
    <row r="409" spans="1:8" ht="13">
      <c r="B409" s="1"/>
      <c r="C409" s="1" t="str">
        <f ca="1">IFERROR(__xludf.UNSUPPORTED("""COMPUTED_VALUE"""),"changeInWorkingCapital")</f>
        <v>changeInWorkingCapital</v>
      </c>
      <c r="D409" s="1">
        <f ca="1">IFERROR(__xludf.UNSUPPORTED("""COMPUTED_VALUE"""),3651000000)</f>
        <v>3651000000</v>
      </c>
      <c r="E409" s="1">
        <f ca="1">IFERROR(__xludf.UNSUPPORTED("""COMPUTED_VALUE"""),-6577000000)</f>
        <v>-6577000000</v>
      </c>
      <c r="F409" s="1">
        <f ca="1">IFERROR(__xludf.UNSUPPORTED("""COMPUTED_VALUE"""),1200000000)</f>
        <v>1200000000</v>
      </c>
      <c r="G409" s="1">
        <f ca="1">IFERROR(__xludf.UNSUPPORTED("""COMPUTED_VALUE"""),-4911000000)</f>
        <v>-4911000000</v>
      </c>
      <c r="H409" s="1">
        <f ca="1">IFERROR(__xludf.UNSUPPORTED("""COMPUTED_VALUE"""),5690000000)</f>
        <v>5690000000</v>
      </c>
    </row>
    <row r="410" spans="1:8" ht="13">
      <c r="B410" s="1"/>
      <c r="C410" s="1" t="str">
        <f ca="1">IFERROR(__xludf.UNSUPPORTED("""COMPUTED_VALUE"""),"accountsReceivables")</f>
        <v>accountsReceivables</v>
      </c>
      <c r="D410" s="1">
        <f ca="1">IFERROR(__xludf.UNSUPPORTED("""COMPUTED_VALUE"""),-5144000000)</f>
        <v>-5144000000</v>
      </c>
      <c r="E410" s="1">
        <f ca="1">IFERROR(__xludf.UNSUPPORTED("""COMPUTED_VALUE"""),-1688000000)</f>
        <v>-1688000000</v>
      </c>
      <c r="F410" s="1">
        <f ca="1">IFERROR(__xludf.UNSUPPORTED("""COMPUTED_VALUE"""),-1823000000)</f>
        <v>-1823000000</v>
      </c>
      <c r="G410" s="1">
        <f ca="1">IFERROR(__xludf.UNSUPPORTED("""COMPUTED_VALUE"""),-10125000000)</f>
        <v>-10125000000</v>
      </c>
      <c r="H410" s="1">
        <f ca="1">IFERROR(__xludf.UNSUPPORTED("""COMPUTED_VALUE"""),6917000000)</f>
        <v>6917000000</v>
      </c>
    </row>
    <row r="411" spans="1:8" ht="13">
      <c r="B411" s="1"/>
      <c r="C411" s="1" t="str">
        <f ca="1">IFERROR(__xludf.UNSUPPORTED("""COMPUTED_VALUE"""),"inventory")</f>
        <v>inventory</v>
      </c>
      <c r="D411" s="1">
        <f ca="1">IFERROR(__xludf.UNSUPPORTED("""COMPUTED_VALUE"""),-1046000000)</f>
        <v>-1046000000</v>
      </c>
      <c r="E411" s="1">
        <f ca="1">IFERROR(__xludf.UNSUPPORTED("""COMPUTED_VALUE"""),-1618000000)</f>
        <v>-1618000000</v>
      </c>
      <c r="F411" s="1">
        <f ca="1">IFERROR(__xludf.UNSUPPORTED("""COMPUTED_VALUE"""),1484000000)</f>
        <v>1484000000</v>
      </c>
      <c r="G411" s="1">
        <f ca="1">IFERROR(__xludf.UNSUPPORTED("""COMPUTED_VALUE"""),-2642000000)</f>
        <v>-2642000000</v>
      </c>
      <c r="H411" s="1">
        <f ca="1">IFERROR(__xludf.UNSUPPORTED("""COMPUTED_VALUE"""),-127000000)</f>
        <v>-127000000</v>
      </c>
    </row>
    <row r="412" spans="1:8" ht="13">
      <c r="B412" s="1"/>
      <c r="C412" s="1" t="str">
        <f ca="1">IFERROR(__xludf.UNSUPPORTED("""COMPUTED_VALUE"""),"accountsPayables")</f>
        <v>accountsPayables</v>
      </c>
      <c r="D412" s="1">
        <f ca="1">IFERROR(__xludf.UNSUPPORTED("""COMPUTED_VALUE"""),6020000000)</f>
        <v>6020000000</v>
      </c>
      <c r="E412" s="1">
        <f ca="1">IFERROR(__xludf.UNSUPPORTED("""COMPUTED_VALUE"""),-1889000000)</f>
        <v>-1889000000</v>
      </c>
      <c r="F412" s="1">
        <f ca="1">IFERROR(__xludf.UNSUPPORTED("""COMPUTED_VALUE"""),9448000000)</f>
        <v>9448000000</v>
      </c>
      <c r="G412" s="1">
        <f ca="1">IFERROR(__xludf.UNSUPPORTED("""COMPUTED_VALUE"""),12326000000)</f>
        <v>12326000000</v>
      </c>
      <c r="H412" s="1">
        <f ca="1">IFERROR(__xludf.UNSUPPORTED("""COMPUTED_VALUE"""),-4062000000)</f>
        <v>-4062000000</v>
      </c>
    </row>
    <row r="413" spans="1:8" ht="13">
      <c r="B413" s="1"/>
      <c r="C413" s="1" t="str">
        <f ca="1">IFERROR(__xludf.UNSUPPORTED("""COMPUTED_VALUE"""),"otherWorkingCapital")</f>
        <v>otherWorkingCapital</v>
      </c>
      <c r="D413" s="1">
        <f ca="1">IFERROR(__xludf.UNSUPPORTED("""COMPUTED_VALUE"""),3821000000)</f>
        <v>3821000000</v>
      </c>
      <c r="E413" s="1">
        <f ca="1">IFERROR(__xludf.UNSUPPORTED("""COMPUTED_VALUE"""),-2653000000)</f>
        <v>-2653000000</v>
      </c>
      <c r="F413" s="1">
        <f ca="1">IFERROR(__xludf.UNSUPPORTED("""COMPUTED_VALUE"""),478000000)</f>
        <v>478000000</v>
      </c>
      <c r="G413" s="1">
        <f ca="1">IFERROR(__xludf.UNSUPPORTED("""COMPUTED_VALUE"""),1676000000)</f>
        <v>1676000000</v>
      </c>
      <c r="H413" s="1">
        <f ca="1">IFERROR(__xludf.UNSUPPORTED("""COMPUTED_VALUE"""),2081000000)</f>
        <v>2081000000</v>
      </c>
    </row>
    <row r="414" spans="1:8" ht="13">
      <c r="B414" s="1"/>
      <c r="C414" s="1" t="str">
        <f ca="1">IFERROR(__xludf.UNSUPPORTED("""COMPUTED_VALUE"""),"otherNonCashItems")</f>
        <v>otherNonCashItems</v>
      </c>
      <c r="D414" s="1">
        <f ca="1">IFERROR(__xludf.UNSUPPORTED("""COMPUTED_VALUE"""),-2266000000)</f>
        <v>-2266000000</v>
      </c>
      <c r="E414" s="1">
        <f ca="1">IFERROR(__xludf.UNSUPPORTED("""COMPUTED_VALUE"""),-2227000000)</f>
        <v>-2227000000</v>
      </c>
      <c r="F414" s="1">
        <f ca="1">IFERROR(__xludf.UNSUPPORTED("""COMPUTED_VALUE"""),111000000)</f>
        <v>111000000</v>
      </c>
      <c r="G414" s="1">
        <f ca="1">IFERROR(__xludf.UNSUPPORTED("""COMPUTED_VALUE"""),-147000000)</f>
        <v>-147000000</v>
      </c>
      <c r="H414" s="1">
        <f ca="1">IFERROR(__xludf.UNSUPPORTED("""COMPUTED_VALUE"""),-97000000)</f>
        <v>-97000000</v>
      </c>
    </row>
    <row r="415" spans="1:8" ht="13">
      <c r="B415" s="1"/>
      <c r="C415" s="1" t="str">
        <f ca="1">IFERROR(__xludf.UNSUPPORTED("""COMPUTED_VALUE"""),"netCashProvidedByOperatingActivites")</f>
        <v>netCashProvidedByOperatingActivites</v>
      </c>
      <c r="D415" s="1">
        <f ca="1">IFERROR(__xludf.UNSUPPORTED("""COMPUTED_VALUE"""),118254000000)</f>
        <v>118254000000</v>
      </c>
      <c r="E415" s="1">
        <f ca="1">IFERROR(__xludf.UNSUPPORTED("""COMPUTED_VALUE"""),110543000000)</f>
        <v>110543000000</v>
      </c>
      <c r="F415" s="1">
        <f ca="1">IFERROR(__xludf.UNSUPPORTED("""COMPUTED_VALUE"""),122151000000)</f>
        <v>122151000000</v>
      </c>
      <c r="G415" s="1">
        <f ca="1">IFERROR(__xludf.UNSUPPORTED("""COMPUTED_VALUE"""),104038000000)</f>
        <v>104038000000</v>
      </c>
      <c r="H415" s="1">
        <f ca="1">IFERROR(__xludf.UNSUPPORTED("""COMPUTED_VALUE"""),80674000000)</f>
        <v>80674000000</v>
      </c>
    </row>
    <row r="416" spans="1:8" ht="13">
      <c r="B416" s="1"/>
      <c r="C416" s="1"/>
      <c r="D416" s="1"/>
      <c r="E416" s="1"/>
      <c r="F416" s="1"/>
      <c r="G416" s="1"/>
      <c r="H416" s="1"/>
    </row>
    <row r="417" spans="2:8" ht="13">
      <c r="B417" s="1" t="str">
        <f ca="1">IFERROR(__xludf.UNSUPPORTED("""COMPUTED_VALUE"""),"CashProvidedByInvestingActivites")</f>
        <v>CashProvidedByInvestingActivites</v>
      </c>
      <c r="C417" s="1"/>
      <c r="D417" s="1"/>
      <c r="E417" s="1"/>
      <c r="F417" s="1"/>
      <c r="G417" s="1"/>
      <c r="H417" s="1"/>
    </row>
    <row r="418" spans="2:8" ht="13">
      <c r="B418" s="1"/>
      <c r="C418" s="1" t="str">
        <f ca="1">IFERROR(__xludf.UNSUPPORTED("""COMPUTED_VALUE"""),"investmentsInPropertyPlantAndEquipment")</f>
        <v>investmentsInPropertyPlantAndEquipment</v>
      </c>
      <c r="D418" s="1">
        <f ca="1">IFERROR(__xludf.UNSUPPORTED("""COMPUTED_VALUE"""),-9447000000)</f>
        <v>-9447000000</v>
      </c>
      <c r="E418" s="1">
        <f ca="1">IFERROR(__xludf.UNSUPPORTED("""COMPUTED_VALUE"""),-10959000000)</f>
        <v>-10959000000</v>
      </c>
      <c r="F418" s="1">
        <f ca="1">IFERROR(__xludf.UNSUPPORTED("""COMPUTED_VALUE"""),-10708000000)</f>
        <v>-10708000000</v>
      </c>
      <c r="G418" s="1">
        <f ca="1">IFERROR(__xludf.UNSUPPORTED("""COMPUTED_VALUE"""),-11085000000)</f>
        <v>-11085000000</v>
      </c>
      <c r="H418" s="1">
        <f ca="1">IFERROR(__xludf.UNSUPPORTED("""COMPUTED_VALUE"""),-7309000000)</f>
        <v>-7309000000</v>
      </c>
    </row>
    <row r="419" spans="2:8" ht="13">
      <c r="B419" s="1"/>
      <c r="C419" s="1" t="str">
        <f ca="1">IFERROR(__xludf.UNSUPPORTED("""COMPUTED_VALUE"""),"acquisitionsNet")</f>
        <v>acquisitionsNet</v>
      </c>
      <c r="D419" s="1">
        <f ca="1">IFERROR(__xludf.UNSUPPORTED("""COMPUTED_VALUE"""),0)</f>
        <v>0</v>
      </c>
      <c r="E419" s="1">
        <f ca="1">IFERROR(__xludf.UNSUPPORTED("""COMPUTED_VALUE"""),0)</f>
        <v>0</v>
      </c>
      <c r="F419" s="1">
        <f ca="1">IFERROR(__xludf.UNSUPPORTED("""COMPUTED_VALUE"""),-306000000)</f>
        <v>-306000000</v>
      </c>
      <c r="G419" s="1">
        <f ca="1">IFERROR(__xludf.UNSUPPORTED("""COMPUTED_VALUE"""),-33000000)</f>
        <v>-33000000</v>
      </c>
      <c r="H419" s="1">
        <f ca="1">IFERROR(__xludf.UNSUPPORTED("""COMPUTED_VALUE"""),-1524000000)</f>
        <v>-1524000000</v>
      </c>
    </row>
    <row r="420" spans="2:8" ht="13">
      <c r="B420" s="1"/>
      <c r="C420" s="1" t="str">
        <f ca="1">IFERROR(__xludf.UNSUPPORTED("""COMPUTED_VALUE"""),"purchasesOfInvestments")</f>
        <v>purchasesOfInvestments</v>
      </c>
      <c r="D420" s="1">
        <f ca="1">IFERROR(__xludf.UNSUPPORTED("""COMPUTED_VALUE"""),-48656000000)</f>
        <v>-48656000000</v>
      </c>
      <c r="E420" s="1">
        <f ca="1">IFERROR(__xludf.UNSUPPORTED("""COMPUTED_VALUE"""),-29513000000)</f>
        <v>-29513000000</v>
      </c>
      <c r="F420" s="1">
        <f ca="1">IFERROR(__xludf.UNSUPPORTED("""COMPUTED_VALUE"""),-76923000000)</f>
        <v>-76923000000</v>
      </c>
      <c r="G420" s="1">
        <f ca="1">IFERROR(__xludf.UNSUPPORTED("""COMPUTED_VALUE"""),-109558000000)</f>
        <v>-109558000000</v>
      </c>
      <c r="H420" s="1">
        <f ca="1">IFERROR(__xludf.UNSUPPORTED("""COMPUTED_VALUE"""),-114938000000)</f>
        <v>-114938000000</v>
      </c>
    </row>
    <row r="421" spans="2:8" ht="13">
      <c r="B421" s="1"/>
      <c r="C421" s="1" t="str">
        <f ca="1">IFERROR(__xludf.UNSUPPORTED("""COMPUTED_VALUE"""),"salesMaturitiesOfInvestments")</f>
        <v>salesMaturitiesOfInvestments</v>
      </c>
      <c r="D421" s="1">
        <f ca="1">IFERROR(__xludf.UNSUPPORTED("""COMPUTED_VALUE"""),62346000000)</f>
        <v>62346000000</v>
      </c>
      <c r="E421" s="1">
        <f ca="1">IFERROR(__xludf.UNSUPPORTED("""COMPUTED_VALUE"""),45514000000)</f>
        <v>45514000000</v>
      </c>
      <c r="F421" s="1">
        <f ca="1">IFERROR(__xludf.UNSUPPORTED("""COMPUTED_VALUE"""),67363000000)</f>
        <v>67363000000</v>
      </c>
      <c r="G421" s="1">
        <f ca="1">IFERROR(__xludf.UNSUPPORTED("""COMPUTED_VALUE"""),106483000000)</f>
        <v>106483000000</v>
      </c>
      <c r="H421" s="1">
        <f ca="1">IFERROR(__xludf.UNSUPPORTED("""COMPUTED_VALUE"""),120391000000)</f>
        <v>120391000000</v>
      </c>
    </row>
    <row r="422" spans="2:8" ht="13">
      <c r="B422" s="1"/>
      <c r="C422" s="1" t="str">
        <f ca="1">IFERROR(__xludf.UNSUPPORTED("""COMPUTED_VALUE"""),"otherInvestingActivites")</f>
        <v>otherInvestingActivites</v>
      </c>
      <c r="D422" s="1">
        <f ca="1">IFERROR(__xludf.UNSUPPORTED("""COMPUTED_VALUE"""),-1308000000)</f>
        <v>-1308000000</v>
      </c>
      <c r="E422" s="1">
        <f ca="1">IFERROR(__xludf.UNSUPPORTED("""COMPUTED_VALUE"""),-1337000000)</f>
        <v>-1337000000</v>
      </c>
      <c r="F422" s="1">
        <f ca="1">IFERROR(__xludf.UNSUPPORTED("""COMPUTED_VALUE"""),-2086000000)</f>
        <v>-2086000000</v>
      </c>
      <c r="G422" s="1">
        <f ca="1">IFERROR(__xludf.UNSUPPORTED("""COMPUTED_VALUE"""),-385000000)</f>
        <v>-385000000</v>
      </c>
      <c r="H422" s="1">
        <f ca="1">IFERROR(__xludf.UNSUPPORTED("""COMPUTED_VALUE"""),-909000000)</f>
        <v>-909000000</v>
      </c>
    </row>
    <row r="423" spans="2:8" ht="13">
      <c r="B423" s="1"/>
      <c r="C423" s="1" t="str">
        <f ca="1">IFERROR(__xludf.UNSUPPORTED("""COMPUTED_VALUE"""),"netCashUsedForInvestingActivites")</f>
        <v>netCashUsedForInvestingActivites</v>
      </c>
      <c r="D423" s="1">
        <f ca="1">IFERROR(__xludf.UNSUPPORTED("""COMPUTED_VALUE"""),2935000000)</f>
        <v>2935000000</v>
      </c>
      <c r="E423" s="1">
        <f ca="1">IFERROR(__xludf.UNSUPPORTED("""COMPUTED_VALUE"""),3705000000)</f>
        <v>3705000000</v>
      </c>
      <c r="F423" s="1">
        <f ca="1">IFERROR(__xludf.UNSUPPORTED("""COMPUTED_VALUE"""),-22354000000)</f>
        <v>-22354000000</v>
      </c>
      <c r="G423" s="1">
        <f ca="1">IFERROR(__xludf.UNSUPPORTED("""COMPUTED_VALUE"""),-14545000000)</f>
        <v>-14545000000</v>
      </c>
      <c r="H423" s="1">
        <f ca="1">IFERROR(__xludf.UNSUPPORTED("""COMPUTED_VALUE"""),-4289000000)</f>
        <v>-4289000000</v>
      </c>
    </row>
    <row r="424" spans="2:8" ht="13">
      <c r="B424" s="1"/>
      <c r="C424" s="1"/>
      <c r="D424" s="1"/>
      <c r="E424" s="1"/>
      <c r="F424" s="1"/>
      <c r="G424" s="1"/>
      <c r="H424" s="1"/>
    </row>
    <row r="425" spans="2:8" ht="13">
      <c r="B425" s="1" t="str">
        <f ca="1">IFERROR(__xludf.UNSUPPORTED("""COMPUTED_VALUE"""),"CashProvidedByFinancingingActivites")</f>
        <v>CashProvidedByFinancingingActivites</v>
      </c>
      <c r="C425" s="1"/>
      <c r="D425" s="1"/>
      <c r="E425" s="1"/>
      <c r="F425" s="1"/>
      <c r="G425" s="1"/>
      <c r="H425" s="1"/>
    </row>
    <row r="426" spans="2:8" ht="13">
      <c r="B426" s="1"/>
      <c r="C426" s="1" t="str">
        <f ca="1">IFERROR(__xludf.UNSUPPORTED("""COMPUTED_VALUE"""),"debtRepayment")</f>
        <v>debtRepayment</v>
      </c>
      <c r="D426" s="1"/>
      <c r="E426" s="1">
        <f ca="1">IFERROR(__xludf.UNSUPPORTED("""COMPUTED_VALUE"""),-9901000000)</f>
        <v>-9901000000</v>
      </c>
      <c r="F426" s="1"/>
      <c r="G426" s="1"/>
      <c r="H426" s="1"/>
    </row>
    <row r="427" spans="2:8" ht="13">
      <c r="B427" s="1"/>
      <c r="C427" s="1" t="str">
        <f ca="1">IFERROR(__xludf.UNSUPPORTED("""COMPUTED_VALUE"""),"commonStockIssued")</f>
        <v>commonStockIssued</v>
      </c>
      <c r="D427" s="1">
        <f ca="1">IFERROR(__xludf.UNSUPPORTED("""COMPUTED_VALUE"""),0)</f>
        <v>0</v>
      </c>
      <c r="E427" s="1">
        <f ca="1">IFERROR(__xludf.UNSUPPORTED("""COMPUTED_VALUE"""),0)</f>
        <v>0</v>
      </c>
      <c r="F427" s="1">
        <f ca="1">IFERROR(__xludf.UNSUPPORTED("""COMPUTED_VALUE"""),0)</f>
        <v>0</v>
      </c>
      <c r="G427" s="1">
        <f ca="1">IFERROR(__xludf.UNSUPPORTED("""COMPUTED_VALUE"""),1105000000)</f>
        <v>1105000000</v>
      </c>
      <c r="H427" s="1">
        <f ca="1">IFERROR(__xludf.UNSUPPORTED("""COMPUTED_VALUE"""),880000000)</f>
        <v>880000000</v>
      </c>
    </row>
    <row r="428" spans="2:8" ht="13">
      <c r="B428" s="1"/>
      <c r="C428" s="1" t="str">
        <f ca="1">IFERROR(__xludf.UNSUPPORTED("""COMPUTED_VALUE"""),"commonStockRepurchased")</f>
        <v>commonStockRepurchased</v>
      </c>
      <c r="D428" s="1">
        <f ca="1">IFERROR(__xludf.UNSUPPORTED("""COMPUTED_VALUE"""),-94949000000)</f>
        <v>-94949000000</v>
      </c>
      <c r="E428" s="1">
        <f ca="1">IFERROR(__xludf.UNSUPPORTED("""COMPUTED_VALUE"""),-77550000000)</f>
        <v>-77550000000</v>
      </c>
      <c r="F428" s="1">
        <f ca="1">IFERROR(__xludf.UNSUPPORTED("""COMPUTED_VALUE"""),-95625000000)</f>
        <v>-95625000000</v>
      </c>
      <c r="G428" s="1">
        <f ca="1">IFERROR(__xludf.UNSUPPORTED("""COMPUTED_VALUE"""),-92527000000)</f>
        <v>-92527000000</v>
      </c>
      <c r="H428" s="1">
        <f ca="1">IFERROR(__xludf.UNSUPPORTED("""COMPUTED_VALUE"""),-75992000000)</f>
        <v>-75992000000</v>
      </c>
    </row>
    <row r="429" spans="2:8" ht="13">
      <c r="B429" s="1"/>
      <c r="C429" s="1" t="str">
        <f ca="1">IFERROR(__xludf.UNSUPPORTED("""COMPUTED_VALUE"""),"dividendsPaid")</f>
        <v>dividendsPaid</v>
      </c>
      <c r="D429" s="1">
        <f ca="1">IFERROR(__xludf.UNSUPPORTED("""COMPUTED_VALUE"""),-15234000000)</f>
        <v>-15234000000</v>
      </c>
      <c r="E429" s="1">
        <f ca="1">IFERROR(__xludf.UNSUPPORTED("""COMPUTED_VALUE"""),-15025000000)</f>
        <v>-15025000000</v>
      </c>
      <c r="F429" s="1">
        <f ca="1">IFERROR(__xludf.UNSUPPORTED("""COMPUTED_VALUE"""),-14841000000)</f>
        <v>-14841000000</v>
      </c>
      <c r="G429" s="1">
        <f ca="1">IFERROR(__xludf.UNSUPPORTED("""COMPUTED_VALUE"""),-14467000000)</f>
        <v>-14467000000</v>
      </c>
      <c r="H429" s="1">
        <f ca="1">IFERROR(__xludf.UNSUPPORTED("""COMPUTED_VALUE"""),-14081000000)</f>
        <v>-14081000000</v>
      </c>
    </row>
    <row r="430" spans="2:8" ht="13">
      <c r="B430" s="1"/>
      <c r="C430" s="1" t="str">
        <f ca="1">IFERROR(__xludf.UNSUPPORTED("""COMPUTED_VALUE"""),"otherFinancingActivites")</f>
        <v>otherFinancingActivites</v>
      </c>
      <c r="D430" s="1">
        <f ca="1">IFERROR(__xludf.UNSUPPORTED("""COMPUTED_VALUE"""),-5802000000)</f>
        <v>-5802000000</v>
      </c>
      <c r="E430" s="1">
        <f ca="1">IFERROR(__xludf.UNSUPPORTED("""COMPUTED_VALUE"""),-6012000000)</f>
        <v>-6012000000</v>
      </c>
      <c r="F430" s="1">
        <f ca="1">IFERROR(__xludf.UNSUPPORTED("""COMPUTED_VALUE"""),3795000000)</f>
        <v>3795000000</v>
      </c>
      <c r="G430" s="1">
        <f ca="1">IFERROR(__xludf.UNSUPPORTED("""COMPUTED_VALUE"""),1998000000)</f>
        <v>1998000000</v>
      </c>
      <c r="H430" s="1">
        <f ca="1">IFERROR(__xludf.UNSUPPORTED("""COMPUTED_VALUE"""),-209000000)</f>
        <v>-209000000</v>
      </c>
    </row>
    <row r="431" spans="2:8" ht="13">
      <c r="B431" s="1"/>
      <c r="C431" s="1" t="str">
        <f ca="1">IFERROR(__xludf.UNSUPPORTED("""COMPUTED_VALUE"""),"netCashUsedProvidedByFinancingActivities")</f>
        <v>netCashUsedProvidedByFinancingActivities</v>
      </c>
      <c r="D431" s="1">
        <f ca="1">IFERROR(__xludf.UNSUPPORTED("""COMPUTED_VALUE"""),-121983000000)</f>
        <v>-121983000000</v>
      </c>
      <c r="E431" s="1">
        <f ca="1">IFERROR(__xludf.UNSUPPORTED("""COMPUTED_VALUE"""),-108488000000)</f>
        <v>-108488000000</v>
      </c>
      <c r="F431" s="1">
        <f ca="1">IFERROR(__xludf.UNSUPPORTED("""COMPUTED_VALUE"""),-110749000000)</f>
        <v>-110749000000</v>
      </c>
      <c r="G431" s="1">
        <f ca="1">IFERROR(__xludf.UNSUPPORTED("""COMPUTED_VALUE"""),-93353000000)</f>
        <v>-93353000000</v>
      </c>
      <c r="H431" s="1">
        <f ca="1">IFERROR(__xludf.UNSUPPORTED("""COMPUTED_VALUE"""),-86820000000)</f>
        <v>-86820000000</v>
      </c>
    </row>
    <row r="432" spans="2:8" ht="13">
      <c r="B432" s="1"/>
      <c r="C432" s="1"/>
      <c r="D432" s="1"/>
      <c r="E432" s="1"/>
      <c r="F432" s="1"/>
      <c r="G432" s="1"/>
      <c r="H432" s="1"/>
    </row>
    <row r="433" spans="2:8" ht="13">
      <c r="B433" s="1" t="str">
        <f ca="1">IFERROR(__xludf.UNSUPPORTED("""COMPUTED_VALUE"""),"Other")</f>
        <v>Other</v>
      </c>
      <c r="C433" s="1"/>
      <c r="D433" s="1"/>
      <c r="E433" s="1"/>
      <c r="F433" s="1"/>
      <c r="G433" s="1"/>
      <c r="H433" s="1"/>
    </row>
    <row r="434" spans="2:8" ht="13">
      <c r="B434" s="1"/>
      <c r="C434" s="1" t="str">
        <f ca="1">IFERROR(__xludf.UNSUPPORTED("""COMPUTED_VALUE"""),"effectOfForexChangesOnCash")</f>
        <v>effectOfForexChangesOnCash</v>
      </c>
      <c r="D434" s="1">
        <f ca="1">IFERROR(__xludf.UNSUPPORTED("""COMPUTED_VALUE"""),0)</f>
        <v>0</v>
      </c>
      <c r="E434" s="1">
        <f ca="1">IFERROR(__xludf.UNSUPPORTED("""COMPUTED_VALUE"""),0)</f>
        <v>0</v>
      </c>
      <c r="F434" s="1">
        <f ca="1">IFERROR(__xludf.UNSUPPORTED("""COMPUTED_VALUE"""),0)</f>
        <v>0</v>
      </c>
      <c r="G434" s="1">
        <f ca="1">IFERROR(__xludf.UNSUPPORTED("""COMPUTED_VALUE"""),0)</f>
        <v>0</v>
      </c>
      <c r="H434" s="1">
        <f ca="1">IFERROR(__xludf.UNSUPPORTED("""COMPUTED_VALUE"""),0)</f>
        <v>0</v>
      </c>
    </row>
    <row r="435" spans="2:8" ht="13">
      <c r="B435" s="1"/>
      <c r="C435" s="1"/>
      <c r="D435" s="1"/>
      <c r="E435" s="1"/>
      <c r="F435" s="1"/>
      <c r="G435" s="1"/>
      <c r="H435" s="1"/>
    </row>
    <row r="436" spans="2:8" ht="13">
      <c r="B436" s="1" t="str">
        <f ca="1">IFERROR(__xludf.UNSUPPORTED("""COMPUTED_VALUE"""),"Cash&amp;CashFlow")</f>
        <v>Cash&amp;CashFlow</v>
      </c>
      <c r="C436" s="1"/>
      <c r="D436" s="1"/>
      <c r="E436" s="1"/>
      <c r="F436" s="1"/>
      <c r="G436" s="1"/>
      <c r="H436" s="1"/>
    </row>
    <row r="437" spans="2:8" ht="13">
      <c r="B437" s="1"/>
      <c r="C437" s="1" t="str">
        <f ca="1">IFERROR(__xludf.UNSUPPORTED("""COMPUTED_VALUE"""),"netChangeInCash")</f>
        <v>netChangeInCash</v>
      </c>
      <c r="D437" s="1">
        <f ca="1">IFERROR(__xludf.UNSUPPORTED("""COMPUTED_VALUE"""),-794000000)</f>
        <v>-794000000</v>
      </c>
      <c r="E437" s="1">
        <f ca="1">IFERROR(__xludf.UNSUPPORTED("""COMPUTED_VALUE"""),5760000000)</f>
        <v>5760000000</v>
      </c>
      <c r="F437" s="1">
        <f ca="1">IFERROR(__xludf.UNSUPPORTED("""COMPUTED_VALUE"""),-10952000000)</f>
        <v>-10952000000</v>
      </c>
      <c r="G437" s="1">
        <f ca="1">IFERROR(__xludf.UNSUPPORTED("""COMPUTED_VALUE"""),-3860000000)</f>
        <v>-3860000000</v>
      </c>
      <c r="H437" s="1">
        <f ca="1">IFERROR(__xludf.UNSUPPORTED("""COMPUTED_VALUE"""),-10435000000)</f>
        <v>-10435000000</v>
      </c>
    </row>
    <row r="438" spans="2:8" ht="13">
      <c r="B438" s="1"/>
      <c r="C438" s="1" t="str">
        <f ca="1">IFERROR(__xludf.UNSUPPORTED("""COMPUTED_VALUE"""),"cashAtEndOfPeriod")</f>
        <v>cashAtEndOfPeriod</v>
      </c>
      <c r="D438" s="1">
        <f ca="1">IFERROR(__xludf.UNSUPPORTED("""COMPUTED_VALUE"""),29943000000)</f>
        <v>29943000000</v>
      </c>
      <c r="E438" s="1">
        <f ca="1">IFERROR(__xludf.UNSUPPORTED("""COMPUTED_VALUE"""),30737000000)</f>
        <v>30737000000</v>
      </c>
      <c r="F438" s="1">
        <f ca="1">IFERROR(__xludf.UNSUPPORTED("""COMPUTED_VALUE"""),24977000000)</f>
        <v>24977000000</v>
      </c>
      <c r="G438" s="1">
        <f ca="1">IFERROR(__xludf.UNSUPPORTED("""COMPUTED_VALUE"""),35929000000)</f>
        <v>35929000000</v>
      </c>
      <c r="H438" s="1">
        <f ca="1">IFERROR(__xludf.UNSUPPORTED("""COMPUTED_VALUE"""),39789000000)</f>
        <v>39789000000</v>
      </c>
    </row>
    <row r="439" spans="2:8" ht="13">
      <c r="B439" s="1"/>
      <c r="C439" s="1" t="str">
        <f ca="1">IFERROR(__xludf.UNSUPPORTED("""COMPUTED_VALUE"""),"cashAtBeginningOfPeriod")</f>
        <v>cashAtBeginningOfPeriod</v>
      </c>
      <c r="D439" s="1">
        <f ca="1">IFERROR(__xludf.UNSUPPORTED("""COMPUTED_VALUE"""),30737000000)</f>
        <v>30737000000</v>
      </c>
      <c r="E439" s="1">
        <f ca="1">IFERROR(__xludf.UNSUPPORTED("""COMPUTED_VALUE"""),24977000000)</f>
        <v>24977000000</v>
      </c>
      <c r="F439" s="1">
        <f ca="1">IFERROR(__xludf.UNSUPPORTED("""COMPUTED_VALUE"""),35929000000)</f>
        <v>35929000000</v>
      </c>
      <c r="G439" s="1">
        <f ca="1">IFERROR(__xludf.UNSUPPORTED("""COMPUTED_VALUE"""),39789000000)</f>
        <v>39789000000</v>
      </c>
      <c r="H439" s="1">
        <f ca="1">IFERROR(__xludf.UNSUPPORTED("""COMPUTED_VALUE"""),50224000000)</f>
        <v>50224000000</v>
      </c>
    </row>
    <row r="440" spans="2:8" ht="13">
      <c r="B440" s="1"/>
      <c r="C440" s="1" t="str">
        <f ca="1">IFERROR(__xludf.UNSUPPORTED("""COMPUTED_VALUE"""),"operatingCashFlow")</f>
        <v>operatingCashFlow</v>
      </c>
      <c r="D440" s="1">
        <f ca="1">IFERROR(__xludf.UNSUPPORTED("""COMPUTED_VALUE"""),118254000000)</f>
        <v>118254000000</v>
      </c>
      <c r="E440" s="1">
        <f ca="1">IFERROR(__xludf.UNSUPPORTED("""COMPUTED_VALUE"""),110543000000)</f>
        <v>110543000000</v>
      </c>
      <c r="F440" s="1">
        <f ca="1">IFERROR(__xludf.UNSUPPORTED("""COMPUTED_VALUE"""),122151000000)</f>
        <v>122151000000</v>
      </c>
      <c r="G440" s="1">
        <f ca="1">IFERROR(__xludf.UNSUPPORTED("""COMPUTED_VALUE"""),104038000000)</f>
        <v>104038000000</v>
      </c>
      <c r="H440" s="1">
        <f ca="1">IFERROR(__xludf.UNSUPPORTED("""COMPUTED_VALUE"""),80674000000)</f>
        <v>80674000000</v>
      </c>
    </row>
    <row r="441" spans="2:8" ht="13">
      <c r="B441" s="1"/>
      <c r="C441" s="1" t="str">
        <f ca="1">IFERROR(__xludf.UNSUPPORTED("""COMPUTED_VALUE"""),"capitalExpenditure")</f>
        <v>capitalExpenditure</v>
      </c>
      <c r="D441" s="1">
        <f ca="1">IFERROR(__xludf.UNSUPPORTED("""COMPUTED_VALUE"""),-9447000000)</f>
        <v>-9447000000</v>
      </c>
      <c r="E441" s="1">
        <f ca="1">IFERROR(__xludf.UNSUPPORTED("""COMPUTED_VALUE"""),-10959000000)</f>
        <v>-10959000000</v>
      </c>
      <c r="F441" s="1">
        <f ca="1">IFERROR(__xludf.UNSUPPORTED("""COMPUTED_VALUE"""),-10708000000)</f>
        <v>-10708000000</v>
      </c>
      <c r="G441" s="1">
        <f ca="1">IFERROR(__xludf.UNSUPPORTED("""COMPUTED_VALUE"""),-11085000000)</f>
        <v>-11085000000</v>
      </c>
      <c r="H441" s="1">
        <f ca="1">IFERROR(__xludf.UNSUPPORTED("""COMPUTED_VALUE"""),-7309000000)</f>
        <v>-7309000000</v>
      </c>
    </row>
    <row r="442" spans="2:8" ht="13">
      <c r="B442" s="1"/>
      <c r="C442" s="1" t="str">
        <f ca="1">IFERROR(__xludf.UNSUPPORTED("""COMPUTED_VALUE"""),"freeCashFlow")</f>
        <v>freeCashFlow</v>
      </c>
      <c r="D442" s="1">
        <f ca="1">IFERROR(__xludf.UNSUPPORTED("""COMPUTED_VALUE"""),108807000000)</f>
        <v>108807000000</v>
      </c>
      <c r="E442" s="1">
        <f ca="1">IFERROR(__xludf.UNSUPPORTED("""COMPUTED_VALUE"""),99584000000)</f>
        <v>99584000000</v>
      </c>
      <c r="F442" s="1">
        <f ca="1">IFERROR(__xludf.UNSUPPORTED("""COMPUTED_VALUE"""),111443000000)</f>
        <v>111443000000</v>
      </c>
      <c r="G442" s="1">
        <f ca="1">IFERROR(__xludf.UNSUPPORTED("""COMPUTED_VALUE"""),92953000000)</f>
        <v>92953000000</v>
      </c>
      <c r="H442" s="1">
        <f ca="1">IFERROR(__xludf.UNSUPPORTED("""COMPUTED_VALUE"""),73365000000)</f>
        <v>73365000000</v>
      </c>
    </row>
    <row r="501" spans="1:62" ht="13">
      <c r="A501" s="1" t="s">
        <v>234</v>
      </c>
    </row>
    <row r="502" spans="1:62" ht="13">
      <c r="B502" s="1" t="str">
        <f ca="1">IFERROR(__xludf.UNSUPPORTED(IMPORTDATA("https://fmpcloud.io/api/v3/key-metrics/" &amp;#REF! &amp; "?datatype=csv&amp;apikey=" &amp;#REF!)),"symbol")</f>
        <v>symbol</v>
      </c>
      <c r="C502" s="1" t="str">
        <f ca="1">IFERROR(__xludf.UNSUPPORTED("""COMPUTED_VALUE"""),"date")</f>
        <v>date</v>
      </c>
      <c r="D502" s="1" t="str">
        <f ca="1">IFERROR(__xludf.UNSUPPORTED("""COMPUTED_VALUE"""),"calendarYear")</f>
        <v>calendarYear</v>
      </c>
      <c r="E502" s="1" t="str">
        <f ca="1">IFERROR(__xludf.UNSUPPORTED("""COMPUTED_VALUE"""),"period")</f>
        <v>period</v>
      </c>
      <c r="F502" s="1" t="str">
        <f ca="1">IFERROR(__xludf.UNSUPPORTED("""COMPUTED_VALUE"""),"revenuePerShare")</f>
        <v>revenuePerShare</v>
      </c>
      <c r="G502" s="1" t="str">
        <f ca="1">IFERROR(__xludf.UNSUPPORTED("""COMPUTED_VALUE"""),"netIncomePerShare")</f>
        <v>netIncomePerShare</v>
      </c>
      <c r="H502" s="1" t="str">
        <f ca="1">IFERROR(__xludf.UNSUPPORTED("""COMPUTED_VALUE"""),"operatingCashFlowPerShare")</f>
        <v>operatingCashFlowPerShare</v>
      </c>
      <c r="I502" s="1" t="str">
        <f ca="1">IFERROR(__xludf.UNSUPPORTED("""COMPUTED_VALUE"""),"freeCashFlowPerShare")</f>
        <v>freeCashFlowPerShare</v>
      </c>
      <c r="J502" s="1" t="str">
        <f ca="1">IFERROR(__xludf.UNSUPPORTED("""COMPUTED_VALUE"""),"cashPerShare")</f>
        <v>cashPerShare</v>
      </c>
      <c r="K502" s="1" t="str">
        <f ca="1">IFERROR(__xludf.UNSUPPORTED("""COMPUTED_VALUE"""),"bookValuePerShare")</f>
        <v>bookValuePerShare</v>
      </c>
      <c r="L502" s="1" t="str">
        <f ca="1">IFERROR(__xludf.UNSUPPORTED("""COMPUTED_VALUE"""),"tangibleBookValuePerShare")</f>
        <v>tangibleBookValuePerShare</v>
      </c>
      <c r="M502" s="1" t="str">
        <f ca="1">IFERROR(__xludf.UNSUPPORTED("""COMPUTED_VALUE"""),"shareholdersEquityPerShare")</f>
        <v>shareholdersEquityPerShare</v>
      </c>
      <c r="N502" s="1" t="str">
        <f ca="1">IFERROR(__xludf.UNSUPPORTED("""COMPUTED_VALUE"""),"interestDebtPerShare")</f>
        <v>interestDebtPerShare</v>
      </c>
      <c r="O502" s="1" t="str">
        <f ca="1">IFERROR(__xludf.UNSUPPORTED("""COMPUTED_VALUE"""),"marketCap")</f>
        <v>marketCap</v>
      </c>
      <c r="P502" s="1" t="str">
        <f ca="1">IFERROR(__xludf.UNSUPPORTED("""COMPUTED_VALUE"""),"enterpriseValue")</f>
        <v>enterpriseValue</v>
      </c>
      <c r="Q502" s="1" t="str">
        <f ca="1">IFERROR(__xludf.UNSUPPORTED("""COMPUTED_VALUE"""),"peRatio")</f>
        <v>peRatio</v>
      </c>
      <c r="R502" s="1" t="str">
        <f ca="1">IFERROR(__xludf.UNSUPPORTED("""COMPUTED_VALUE"""),"priceToSalesRatio")</f>
        <v>priceToSalesRatio</v>
      </c>
      <c r="S502" s="1" t="str">
        <f ca="1">IFERROR(__xludf.UNSUPPORTED("""COMPUTED_VALUE"""),"pocfratio")</f>
        <v>pocfratio</v>
      </c>
      <c r="T502" s="1" t="str">
        <f ca="1">IFERROR(__xludf.UNSUPPORTED("""COMPUTED_VALUE"""),"pfcfRatio")</f>
        <v>pfcfRatio</v>
      </c>
      <c r="U502" s="1" t="str">
        <f ca="1">IFERROR(__xludf.UNSUPPORTED("""COMPUTED_VALUE"""),"pbRatio")</f>
        <v>pbRatio</v>
      </c>
      <c r="V502" s="1" t="str">
        <f ca="1">IFERROR(__xludf.UNSUPPORTED("""COMPUTED_VALUE"""),"ptbRatio")</f>
        <v>ptbRatio</v>
      </c>
      <c r="W502" s="1" t="str">
        <f ca="1">IFERROR(__xludf.UNSUPPORTED("""COMPUTED_VALUE"""),"evToSales")</f>
        <v>evToSales</v>
      </c>
      <c r="X502" s="1" t="str">
        <f ca="1">IFERROR(__xludf.UNSUPPORTED("""COMPUTED_VALUE"""),"enterpriseValueOverEBITDA")</f>
        <v>enterpriseValueOverEBITDA</v>
      </c>
      <c r="Y502" s="1" t="str">
        <f ca="1">IFERROR(__xludf.UNSUPPORTED("""COMPUTED_VALUE"""),"evToOperatingCashFlow")</f>
        <v>evToOperatingCashFlow</v>
      </c>
      <c r="Z502" s="1" t="str">
        <f ca="1">IFERROR(__xludf.UNSUPPORTED("""COMPUTED_VALUE"""),"evToFreeCashFlow")</f>
        <v>evToFreeCashFlow</v>
      </c>
      <c r="AA502" s="1" t="str">
        <f ca="1">IFERROR(__xludf.UNSUPPORTED("""COMPUTED_VALUE"""),"earningsYield")</f>
        <v>earningsYield</v>
      </c>
      <c r="AB502" s="1" t="str">
        <f ca="1">IFERROR(__xludf.UNSUPPORTED("""COMPUTED_VALUE"""),"freeCashFlowYield")</f>
        <v>freeCashFlowYield</v>
      </c>
      <c r="AC502" s="1" t="str">
        <f ca="1">IFERROR(__xludf.UNSUPPORTED("""COMPUTED_VALUE"""),"debtToEquity")</f>
        <v>debtToEquity</v>
      </c>
      <c r="AD502" s="1" t="str">
        <f ca="1">IFERROR(__xludf.UNSUPPORTED("""COMPUTED_VALUE"""),"debtToAssets")</f>
        <v>debtToAssets</v>
      </c>
      <c r="AE502" s="1" t="str">
        <f ca="1">IFERROR(__xludf.UNSUPPORTED("""COMPUTED_VALUE"""),"netDebtToEBITDA")</f>
        <v>netDebtToEBITDA</v>
      </c>
      <c r="AF502" s="1" t="str">
        <f ca="1">IFERROR(__xludf.UNSUPPORTED("""COMPUTED_VALUE"""),"currentRatio")</f>
        <v>currentRatio</v>
      </c>
      <c r="AG502" s="1" t="str">
        <f ca="1">IFERROR(__xludf.UNSUPPORTED("""COMPUTED_VALUE"""),"interestCoverage")</f>
        <v>interestCoverage</v>
      </c>
      <c r="AH502" s="1" t="str">
        <f ca="1">IFERROR(__xludf.UNSUPPORTED("""COMPUTED_VALUE"""),"incomeQuality")</f>
        <v>incomeQuality</v>
      </c>
      <c r="AI502" s="1" t="str">
        <f ca="1">IFERROR(__xludf.UNSUPPORTED("""COMPUTED_VALUE"""),"dividendYield")</f>
        <v>dividendYield</v>
      </c>
      <c r="AJ502" s="1" t="str">
        <f ca="1">IFERROR(__xludf.UNSUPPORTED("""COMPUTED_VALUE"""),"payoutRatio")</f>
        <v>payoutRatio</v>
      </c>
      <c r="AK502" s="1" t="str">
        <f ca="1">IFERROR(__xludf.UNSUPPORTED("""COMPUTED_VALUE"""),"salesGeneralAndAdministrativeToRevenue")</f>
        <v>salesGeneralAndAdministrativeToRevenue</v>
      </c>
      <c r="AL502" s="1" t="str">
        <f ca="1">IFERROR(__xludf.UNSUPPORTED("""COMPUTED_VALUE"""),"researchAndDdevelopementToRevenue")</f>
        <v>researchAndDdevelopementToRevenue</v>
      </c>
      <c r="AM502" s="1" t="str">
        <f ca="1">IFERROR(__xludf.UNSUPPORTED("""COMPUTED_VALUE"""),"intangiblesToTotalAssets")</f>
        <v>intangiblesToTotalAssets</v>
      </c>
      <c r="AN502" s="1" t="str">
        <f ca="1">IFERROR(__xludf.UNSUPPORTED("""COMPUTED_VALUE"""),"capexToOperatingCashFlow")</f>
        <v>capexToOperatingCashFlow</v>
      </c>
      <c r="AO502" s="1" t="str">
        <f ca="1">IFERROR(__xludf.UNSUPPORTED("""COMPUTED_VALUE"""),"capexToRevenue")</f>
        <v>capexToRevenue</v>
      </c>
      <c r="AP502" s="1" t="str">
        <f ca="1">IFERROR(__xludf.UNSUPPORTED("""COMPUTED_VALUE"""),"capexToDepreciation")</f>
        <v>capexToDepreciation</v>
      </c>
      <c r="AQ502" s="1" t="str">
        <f ca="1">IFERROR(__xludf.UNSUPPORTED("""COMPUTED_VALUE"""),"stockBasedCompensationToRevenue")</f>
        <v>stockBasedCompensationToRevenue</v>
      </c>
      <c r="AR502" s="1" t="str">
        <f ca="1">IFERROR(__xludf.UNSUPPORTED("""COMPUTED_VALUE"""),"grahamNumber")</f>
        <v>grahamNumber</v>
      </c>
      <c r="AS502" s="1" t="str">
        <f ca="1">IFERROR(__xludf.UNSUPPORTED("""COMPUTED_VALUE"""),"roic")</f>
        <v>roic</v>
      </c>
      <c r="AT502" s="1" t="str">
        <f ca="1">IFERROR(__xludf.UNSUPPORTED("""COMPUTED_VALUE"""),"returnOnTangibleAssets")</f>
        <v>returnOnTangibleAssets</v>
      </c>
      <c r="AU502" s="1" t="str">
        <f ca="1">IFERROR(__xludf.UNSUPPORTED("""COMPUTED_VALUE"""),"grahamNetNet")</f>
        <v>grahamNetNet</v>
      </c>
      <c r="AV502" s="1" t="str">
        <f ca="1">IFERROR(__xludf.UNSUPPORTED("""COMPUTED_VALUE"""),"workingCapital")</f>
        <v>workingCapital</v>
      </c>
      <c r="AW502" s="1" t="str">
        <f ca="1">IFERROR(__xludf.UNSUPPORTED("""COMPUTED_VALUE"""),"tangibleAssetValue")</f>
        <v>tangibleAssetValue</v>
      </c>
      <c r="AX502" s="1" t="str">
        <f ca="1">IFERROR(__xludf.UNSUPPORTED("""COMPUTED_VALUE"""),"netCurrentAssetValue")</f>
        <v>netCurrentAssetValue</v>
      </c>
      <c r="AY502" s="1" t="str">
        <f ca="1">IFERROR(__xludf.UNSUPPORTED("""COMPUTED_VALUE"""),"investedCapital")</f>
        <v>investedCapital</v>
      </c>
      <c r="AZ502" s="1" t="str">
        <f ca="1">IFERROR(__xludf.UNSUPPORTED("""COMPUTED_VALUE"""),"averageReceivables")</f>
        <v>averageReceivables</v>
      </c>
      <c r="BA502" s="1" t="str">
        <f ca="1">IFERROR(__xludf.UNSUPPORTED("""COMPUTED_VALUE"""),"averagePayables")</f>
        <v>averagePayables</v>
      </c>
      <c r="BB502" s="1" t="str">
        <f ca="1">IFERROR(__xludf.UNSUPPORTED("""COMPUTED_VALUE"""),"averageInventory")</f>
        <v>averageInventory</v>
      </c>
      <c r="BC502" s="1" t="str">
        <f ca="1">IFERROR(__xludf.UNSUPPORTED("""COMPUTED_VALUE"""),"daysSalesOutstanding")</f>
        <v>daysSalesOutstanding</v>
      </c>
      <c r="BD502" s="1" t="str">
        <f ca="1">IFERROR(__xludf.UNSUPPORTED("""COMPUTED_VALUE"""),"daysPayablesOutstanding")</f>
        <v>daysPayablesOutstanding</v>
      </c>
      <c r="BE502" s="1" t="str">
        <f ca="1">IFERROR(__xludf.UNSUPPORTED("""COMPUTED_VALUE"""),"daysOfInventoryOnHand")</f>
        <v>daysOfInventoryOnHand</v>
      </c>
      <c r="BF502" s="1" t="str">
        <f ca="1">IFERROR(__xludf.UNSUPPORTED("""COMPUTED_VALUE"""),"receivablesTurnover")</f>
        <v>receivablesTurnover</v>
      </c>
      <c r="BG502" s="1" t="str">
        <f ca="1">IFERROR(__xludf.UNSUPPORTED("""COMPUTED_VALUE"""),"payablesTurnover")</f>
        <v>payablesTurnover</v>
      </c>
      <c r="BH502" s="1" t="str">
        <f ca="1">IFERROR(__xludf.UNSUPPORTED("""COMPUTED_VALUE"""),"inventoryTurnover")</f>
        <v>inventoryTurnover</v>
      </c>
      <c r="BI502" s="1" t="str">
        <f ca="1">IFERROR(__xludf.UNSUPPORTED("""COMPUTED_VALUE"""),"roe")</f>
        <v>roe</v>
      </c>
      <c r="BJ502" s="1" t="str">
        <f ca="1">IFERROR(__xludf.UNSUPPORTED("""COMPUTED_VALUE"""),"capexPerShare")</f>
        <v>capexPerShare</v>
      </c>
    </row>
    <row r="503" spans="1:62" ht="13">
      <c r="A503" s="1" t="e">
        <f t="shared" ref="A503:A532" ca="1" si="2">IFERROR(DATEVALUE(B503),DATEVALUE(C503))</f>
        <v>#VALUE!</v>
      </c>
      <c r="B503" s="5" t="str">
        <f ca="1">IFERROR(__xludf.UNSUPPORTED("""COMPUTED_VALUE"""),"AAPL")</f>
        <v>AAPL</v>
      </c>
      <c r="C503" s="5">
        <f ca="1">IFERROR(__xludf.UNSUPPORTED("""COMPUTED_VALUE"""),45563)</f>
        <v>45563</v>
      </c>
      <c r="D503" s="1">
        <f ca="1">IFERROR(__xludf.UNSUPPORTED("""COMPUTED_VALUE"""),2024)</f>
        <v>2024</v>
      </c>
      <c r="E503" s="1" t="str">
        <f ca="1">IFERROR(__xludf.UNSUPPORTED("""COMPUTED_VALUE"""),"FY")</f>
        <v>FY</v>
      </c>
      <c r="F503" s="1">
        <f ca="1">IFERROR(__xludf.UNSUPPORTED("""COMPUTED_VALUE"""),25.4849146393689)</f>
        <v>25.484914639368899</v>
      </c>
      <c r="G503" s="1">
        <f ca="1">IFERROR(__xludf.UNSUPPORTED("""COMPUTED_VALUE"""),6.10905407095499)</f>
        <v>6.1090540709549899</v>
      </c>
      <c r="H503" s="1">
        <f ca="1">IFERROR(__xludf.UNSUPPORTED("""COMPUTED_VALUE"""),7.70696509459238)</f>
        <v>7.7069650945923804</v>
      </c>
      <c r="I503" s="1">
        <f ca="1">IFERROR(__xludf.UNSUPPORTED("""COMPUTED_VALUE"""),7.09127599106426)</f>
        <v>7.0912759910642604</v>
      </c>
      <c r="J503" s="1">
        <f ca="1">IFERROR(__xludf.UNSUPPORTED("""COMPUTED_VALUE"""),4.24738801376427)</f>
        <v>4.2473880137642697</v>
      </c>
      <c r="K503" s="1">
        <f ca="1">IFERROR(__xludf.UNSUPPORTED("""COMPUTED_VALUE"""),3.71160097871561)</f>
        <v>3.7116009787156101</v>
      </c>
      <c r="L503" s="1">
        <f ca="1">IFERROR(__xludf.UNSUPPORTED("""COMPUTED_VALUE"""),3.71160097871561)</f>
        <v>3.7116009787156101</v>
      </c>
      <c r="M503" s="1">
        <f ca="1">IFERROR(__xludf.UNSUPPORTED("""COMPUTED_VALUE"""),3.71160097871561)</f>
        <v>3.7116009787156101</v>
      </c>
      <c r="N503" s="1">
        <f ca="1">IFERROR(__xludf.UNSUPPORTED("""COMPUTED_VALUE"""),6.94932924950776)</f>
        <v>6.9493292495077599</v>
      </c>
      <c r="O503" s="1">
        <f ca="1">IFERROR(__xludf.UNSUPPORTED("""COMPUTED_VALUE"""),3495160329570)</f>
        <v>3495160329570</v>
      </c>
      <c r="P503" s="1">
        <f ca="1">IFERROR(__xludf.UNSUPPORTED("""COMPUTED_VALUE"""),3571846329570)</f>
        <v>3571846329570</v>
      </c>
      <c r="Q503" s="1">
        <f ca="1">IFERROR(__xludf.UNSUPPORTED("""COMPUTED_VALUE"""),37.2872784156567)</f>
        <v>37.287278415656701</v>
      </c>
      <c r="R503" s="1">
        <f ca="1">IFERROR(__xludf.UNSUPPORTED("""COMPUTED_VALUE"""),8.93822887866815)</f>
        <v>8.9382288786681503</v>
      </c>
      <c r="S503" s="1">
        <f ca="1">IFERROR(__xludf.UNSUPPORTED("""COMPUTED_VALUE"""),29.5563814295499)</f>
        <v>29.556381429549901</v>
      </c>
      <c r="T503" s="1">
        <f ca="1">IFERROR(__xludf.UNSUPPORTED("""COMPUTED_VALUE"""),32.1225686726956)</f>
        <v>32.1225686726956</v>
      </c>
      <c r="U503" s="1">
        <f ca="1">IFERROR(__xludf.UNSUPPORTED("""COMPUTED_VALUE"""),61.3724377448639)</f>
        <v>61.372437744863902</v>
      </c>
      <c r="V503" s="1">
        <f ca="1">IFERROR(__xludf.UNSUPPORTED("""COMPUTED_VALUE"""),61.3724377448639)</f>
        <v>61.372437744863902</v>
      </c>
      <c r="W503" s="1">
        <f ca="1">IFERROR(__xludf.UNSUPPORTED("""COMPUTED_VALUE"""),9.13433920127354)</f>
        <v>9.1343392012735407</v>
      </c>
      <c r="X503" s="1">
        <f ca="1">IFERROR(__xludf.UNSUPPORTED("""COMPUTED_VALUE"""),26.5247274977164)</f>
        <v>26.524727497716398</v>
      </c>
      <c r="Y503" s="1">
        <f ca="1">IFERROR(__xludf.UNSUPPORTED("""COMPUTED_VALUE"""),30.2048668930437)</f>
        <v>30.2048668930437</v>
      </c>
      <c r="Z503" s="1">
        <f ca="1">IFERROR(__xludf.UNSUPPORTED("""COMPUTED_VALUE"""),32.8273578866249)</f>
        <v>32.827357886624903</v>
      </c>
      <c r="AA503" s="1">
        <f ca="1">IFERROR(__xludf.UNSUPPORTED("""COMPUTED_VALUE"""),0.0268187983272092)</f>
        <v>2.6818798327209199E-2</v>
      </c>
      <c r="AB503" s="1">
        <f ca="1">IFERROR(__xludf.UNSUPPORTED("""COMPUTED_VALUE"""),0.0311307607492175)</f>
        <v>3.1130760749217501E-2</v>
      </c>
      <c r="AC503" s="1">
        <f ca="1">IFERROR(__xludf.UNSUPPORTED("""COMPUTED_VALUE"""),1.8723266022827)</f>
        <v>1.8723266022827001</v>
      </c>
      <c r="AD503" s="1">
        <f ca="1">IFERROR(__xludf.UNSUPPORTED("""COMPUTED_VALUE"""),0.292150254808482)</f>
        <v>0.292150254808482</v>
      </c>
      <c r="AE503" s="1">
        <f ca="1">IFERROR(__xludf.UNSUPPORTED("""COMPUTED_VALUE"""),0.569474458083632)</f>
        <v>0.56947445808363195</v>
      </c>
      <c r="AF503" s="1">
        <f ca="1">IFERROR(__xludf.UNSUPPORTED("""COMPUTED_VALUE"""),0.867312576534083)</f>
        <v>0.867312576534083</v>
      </c>
      <c r="AG503" s="1">
        <f ca="1">IFERROR(__xludf.UNSUPPORTED("""COMPUTED_VALUE"""),0)</f>
        <v>0</v>
      </c>
      <c r="AH503" s="1">
        <f ca="1">IFERROR(__xludf.UNSUPPORTED("""COMPUTED_VALUE"""),1.26156439361611)</f>
        <v>1.2615643936161101</v>
      </c>
      <c r="AI503" s="1">
        <f ca="1">IFERROR(__xludf.UNSUPPORTED("""COMPUTED_VALUE"""),0.00435859833699651)</f>
        <v>4.3585983369965097E-3</v>
      </c>
      <c r="AJ503" s="1">
        <f ca="1">IFERROR(__xludf.UNSUPPORTED("""COMPUTED_VALUE"""),0.162520269693607)</f>
        <v>0.162520269693607</v>
      </c>
      <c r="AK503" s="1">
        <f ca="1">IFERROR(__xludf.UNSUPPORTED("""COMPUTED_VALUE"""),0)</f>
        <v>0</v>
      </c>
      <c r="AL503" s="1">
        <f ca="1">IFERROR(__xludf.UNSUPPORTED("""COMPUTED_VALUE"""),0.0802229979413607)</f>
        <v>8.0222997941360702E-2</v>
      </c>
      <c r="AM503" s="1">
        <f ca="1">IFERROR(__xludf.UNSUPPORTED("""COMPUTED_VALUE"""),0)</f>
        <v>0</v>
      </c>
      <c r="AN503" s="1">
        <f ca="1">IFERROR(__xludf.UNSUPPORTED("""COMPUTED_VALUE"""),0.0798873611040641)</f>
        <v>7.9887361104064095E-2</v>
      </c>
      <c r="AO503" s="1">
        <f ca="1">IFERROR(__xludf.UNSUPPORTED("""COMPUTED_VALUE"""),0.0241589627526947)</f>
        <v>2.4158962752694701E-2</v>
      </c>
      <c r="AP503" s="1">
        <f ca="1">IFERROR(__xludf.UNSUPPORTED("""COMPUTED_VALUE"""),0.825425950196592)</f>
        <v>0.82542595019659204</v>
      </c>
      <c r="AQ503" s="1">
        <f ca="1">IFERROR(__xludf.UNSUPPORTED("""COMPUTED_VALUE"""),0.0298899075530323)</f>
        <v>2.9889907553032301E-2</v>
      </c>
      <c r="AR503" s="1">
        <f ca="1">IFERROR(__xludf.UNSUPPORTED("""COMPUTED_VALUE"""),22.5870172676168)</f>
        <v>22.587017267616801</v>
      </c>
      <c r="AS503" s="1">
        <f ca="1">IFERROR(__xludf.UNSUPPORTED("""COMPUTED_VALUE"""),0.443070811742792)</f>
        <v>0.443070811742792</v>
      </c>
      <c r="AT503" s="1">
        <f ca="1">IFERROR(__xludf.UNSUPPORTED("""COMPUTED_VALUE"""),0.256825031508575)</f>
        <v>0.256825031508575</v>
      </c>
      <c r="AU503" s="1">
        <f ca="1">IFERROR(__xludf.UNSUPPORTED("""COMPUTED_VALUE"""),-12.3524785250156)</f>
        <v>-12.3524785250156</v>
      </c>
      <c r="AV503" s="1">
        <f ca="1">IFERROR(__xludf.UNSUPPORTED("""COMPUTED_VALUE"""),-23405000000)</f>
        <v>-23405000000</v>
      </c>
      <c r="AW503" s="1">
        <f ca="1">IFERROR(__xludf.UNSUPPORTED("""COMPUTED_VALUE"""),56950000000)</f>
        <v>56950000000</v>
      </c>
      <c r="AX503" s="1">
        <f ca="1">IFERROR(__xludf.UNSUPPORTED("""COMPUTED_VALUE"""),-155043000000)</f>
        <v>-155043000000</v>
      </c>
      <c r="AY503" s="1">
        <f ca="1">IFERROR(__xludf.UNSUPPORTED("""COMPUTED_VALUE"""),22275000000)</f>
        <v>22275000000</v>
      </c>
      <c r="AZ503" s="1">
        <f ca="1">IFERROR(__xludf.UNSUPPORTED("""COMPUTED_VALUE"""),63614000000)</f>
        <v>63614000000</v>
      </c>
      <c r="BA503" s="1">
        <f ca="1">IFERROR(__xludf.UNSUPPORTED("""COMPUTED_VALUE"""),65785500000)</f>
        <v>65785500000</v>
      </c>
      <c r="BB503" s="1">
        <f ca="1">IFERROR(__xludf.UNSUPPORTED("""COMPUTED_VALUE"""),6808500000)</f>
        <v>6808500000</v>
      </c>
      <c r="BC503" s="1">
        <f ca="1">IFERROR(__xludf.UNSUPPORTED("""COMPUTED_VALUE"""),61.8325597452913)</f>
        <v>61.832559745291299</v>
      </c>
      <c r="BD503" s="1">
        <f ca="1">IFERROR(__xludf.UNSUPPORTED("""COMPUTED_VALUE"""),119.658477219137)</f>
        <v>119.658477219137</v>
      </c>
      <c r="BE503" s="1">
        <f ca="1">IFERROR(__xludf.UNSUPPORTED("""COMPUTED_VALUE"""),12.642570548414)</f>
        <v>12.642570548414</v>
      </c>
      <c r="BF503" s="1">
        <f ca="1">IFERROR(__xludf.UNSUPPORTED("""COMPUTED_VALUE"""),5.90303881164802)</f>
        <v>5.9030388116480204</v>
      </c>
      <c r="BG503" s="1">
        <f ca="1">IFERROR(__xludf.UNSUPPORTED("""COMPUTED_VALUE"""),3.05034802784222)</f>
        <v>3.0503480278422201</v>
      </c>
      <c r="BH503" s="1">
        <f ca="1">IFERROR(__xludf.UNSUPPORTED("""COMPUTED_VALUE"""),28.8707109525116)</f>
        <v>28.870710952511601</v>
      </c>
      <c r="BI503" s="1">
        <f ca="1">IFERROR(__xludf.UNSUPPORTED("""COMPUTED_VALUE"""),1.6459350307287)</f>
        <v>1.6459350307287</v>
      </c>
      <c r="BJ503" s="1">
        <f ca="1">IFERROR(__xludf.UNSUPPORTED("""COMPUTED_VALUE"""),0.615689103528119)</f>
        <v>0.61568910352811901</v>
      </c>
    </row>
    <row r="504" spans="1:62" ht="13">
      <c r="A504" s="1" t="e">
        <f t="shared" ca="1" si="2"/>
        <v>#VALUE!</v>
      </c>
      <c r="B504" s="5" t="str">
        <f ca="1">IFERROR(__xludf.UNSUPPORTED("""COMPUTED_VALUE"""),"AAPL")</f>
        <v>AAPL</v>
      </c>
      <c r="C504" s="5">
        <f ca="1">IFERROR(__xludf.UNSUPPORTED("""COMPUTED_VALUE"""),45199)</f>
        <v>45199</v>
      </c>
      <c r="D504" s="1">
        <f ca="1">IFERROR(__xludf.UNSUPPORTED("""COMPUTED_VALUE"""),2023)</f>
        <v>2023</v>
      </c>
      <c r="E504" s="1" t="str">
        <f ca="1">IFERROR(__xludf.UNSUPPORTED("""COMPUTED_VALUE"""),"FY")</f>
        <v>FY</v>
      </c>
      <c r="F504" s="1">
        <f ca="1">IFERROR(__xludf.UNSUPPORTED("""COMPUTED_VALUE"""),24.3444725880863)</f>
        <v>24.344472588086301</v>
      </c>
      <c r="G504" s="1">
        <f ca="1">IFERROR(__xludf.UNSUPPORTED("""COMPUTED_VALUE"""),6.16066926355437)</f>
        <v>6.1606692635543698</v>
      </c>
      <c r="H504" s="1">
        <f ca="1">IFERROR(__xludf.UNSUPPORTED("""COMPUTED_VALUE"""),7.02117493067778)</f>
        <v>7.0211749306777804</v>
      </c>
      <c r="I504" s="1">
        <f ca="1">IFERROR(__xludf.UNSUPPORTED("""COMPUTED_VALUE"""),6.32511044839217)</f>
        <v>6.3251104483921701</v>
      </c>
      <c r="J504" s="1">
        <f ca="1">IFERROR(__xludf.UNSUPPORTED("""COMPUTED_VALUE"""),3.90968603039424)</f>
        <v>3.9096860303942398</v>
      </c>
      <c r="K504" s="1">
        <f ca="1">IFERROR(__xludf.UNSUPPORTED("""COMPUTED_VALUE"""),3.94722358938966)</f>
        <v>3.9472235893896599</v>
      </c>
      <c r="L504" s="1">
        <f ca="1">IFERROR(__xludf.UNSUPPORTED("""COMPUTED_VALUE"""),3.94722358938966)</f>
        <v>3.9472235893896599</v>
      </c>
      <c r="M504" s="1">
        <f ca="1">IFERROR(__xludf.UNSUPPORTED("""COMPUTED_VALUE"""),3.94722358938966)</f>
        <v>3.9472235893896599</v>
      </c>
      <c r="N504" s="1">
        <f ca="1">IFERROR(__xludf.UNSUPPORTED("""COMPUTED_VALUE"""),7.30559657057877)</f>
        <v>7.3055965705787704</v>
      </c>
      <c r="O504" s="1">
        <f ca="1">IFERROR(__xludf.UNSUPPORTED("""COMPUTED_VALUE"""),2695569789510)</f>
        <v>2695569789510</v>
      </c>
      <c r="P504" s="1">
        <f ca="1">IFERROR(__xludf.UNSUPPORTED("""COMPUTED_VALUE"""),2776692789510)</f>
        <v>2776692789510</v>
      </c>
      <c r="Q504" s="1">
        <f ca="1">IFERROR(__xludf.UNSUPPORTED("""COMPUTED_VALUE"""),27.7908117893705)</f>
        <v>27.790811789370501</v>
      </c>
      <c r="R504" s="1">
        <f ca="1">IFERROR(__xludf.UNSUPPORTED("""COMPUTED_VALUE"""),7.03280793537446)</f>
        <v>7.0328079353744597</v>
      </c>
      <c r="S504" s="1">
        <f ca="1">IFERROR(__xludf.UNSUPPORTED("""COMPUTED_VALUE"""),24.3848076269867)</f>
        <v>24.384807626986699</v>
      </c>
      <c r="T504" s="1">
        <f ca="1">IFERROR(__xludf.UNSUPPORTED("""COMPUTED_VALUE"""),27.0683020315512)</f>
        <v>27.068302031551202</v>
      </c>
      <c r="U504" s="1">
        <f ca="1">IFERROR(__xludf.UNSUPPORTED("""COMPUTED_VALUE"""),43.3747914509381)</f>
        <v>43.374791450938098</v>
      </c>
      <c r="V504" s="1">
        <f ca="1">IFERROR(__xludf.UNSUPPORTED("""COMPUTED_VALUE"""),43.3747914509381)</f>
        <v>43.374791450938098</v>
      </c>
      <c r="W504" s="1">
        <f ca="1">IFERROR(__xludf.UNSUPPORTED("""COMPUTED_VALUE"""),7.24445983931017)</f>
        <v>7.2444598393101698</v>
      </c>
      <c r="X504" s="1">
        <f ca="1">IFERROR(__xludf.UNSUPPORTED("""COMPUTED_VALUE"""),22.0687711771578)</f>
        <v>22.068771177157799</v>
      </c>
      <c r="Y504" s="1">
        <f ca="1">IFERROR(__xludf.UNSUPPORTED("""COMPUTED_VALUE"""),25.1186668491899)</f>
        <v>25.1186668491899</v>
      </c>
      <c r="Z504" s="1">
        <f ca="1">IFERROR(__xludf.UNSUPPORTED("""COMPUTED_VALUE"""),27.8829208458186)</f>
        <v>27.8829208458186</v>
      </c>
      <c r="AA504" s="1">
        <f ca="1">IFERROR(__xludf.UNSUPPORTED("""COMPUTED_VALUE"""),0.0359831158434342)</f>
        <v>3.59831158434342E-2</v>
      </c>
      <c r="AB504" s="1">
        <f ca="1">IFERROR(__xludf.UNSUPPORTED("""COMPUTED_VALUE"""),0.0369435806809892)</f>
        <v>3.6943580680989199E-2</v>
      </c>
      <c r="AC504" s="1">
        <f ca="1">IFERROR(__xludf.UNSUPPORTED("""COMPUTED_VALUE"""),1.78753258455894)</f>
        <v>1.78753258455894</v>
      </c>
      <c r="AD504" s="1">
        <f ca="1">IFERROR(__xludf.UNSUPPORTED("""COMPUTED_VALUE"""),0.315069075933893)</f>
        <v>0.31506907593389299</v>
      </c>
      <c r="AE504" s="1">
        <f ca="1">IFERROR(__xludf.UNSUPPORTED("""COMPUTED_VALUE"""),0.644754411063423)</f>
        <v>0.64475441106342302</v>
      </c>
      <c r="AF504" s="1">
        <f ca="1">IFERROR(__xludf.UNSUPPORTED("""COMPUTED_VALUE"""),0.988011671759297)</f>
        <v>0.98801167175929705</v>
      </c>
      <c r="AG504" s="1">
        <f ca="1">IFERROR(__xludf.UNSUPPORTED("""COMPUTED_VALUE"""),29.0620391558606)</f>
        <v>29.062039155860599</v>
      </c>
      <c r="AH504" s="1">
        <f ca="1">IFERROR(__xludf.UNSUPPORTED("""COMPUTED_VALUE"""),1.13967730295376)</f>
        <v>1.1396773029537599</v>
      </c>
      <c r="AI504" s="1">
        <f ca="1">IFERROR(__xludf.UNSUPPORTED("""COMPUTED_VALUE"""),0.00557396067372132)</f>
        <v>5.5739606737213203E-3</v>
      </c>
      <c r="AJ504" s="1">
        <f ca="1">IFERROR(__xludf.UNSUPPORTED("""COMPUTED_VALUE"""),0.154904892004742)</f>
        <v>0.154904892004742</v>
      </c>
      <c r="AK504" s="1">
        <f ca="1">IFERROR(__xludf.UNSUPPORTED("""COMPUTED_VALUE"""),0)</f>
        <v>0</v>
      </c>
      <c r="AL504" s="1">
        <f ca="1">IFERROR(__xludf.UNSUPPORTED("""COMPUTED_VALUE"""),0.078048971392045)</f>
        <v>7.8048971392045002E-2</v>
      </c>
      <c r="AM504" s="1">
        <f ca="1">IFERROR(__xludf.UNSUPPORTED("""COMPUTED_VALUE"""),0)</f>
        <v>0</v>
      </c>
      <c r="AN504" s="1">
        <f ca="1">IFERROR(__xludf.UNSUPPORTED("""COMPUTED_VALUE"""),0.0991378920420108)</f>
        <v>9.9137892042010803E-2</v>
      </c>
      <c r="AO504" s="1">
        <f ca="1">IFERROR(__xludf.UNSUPPORTED("""COMPUTED_VALUE"""),0.0285923007683577)</f>
        <v>2.8592300768357701E-2</v>
      </c>
      <c r="AP504" s="1">
        <f ca="1">IFERROR(__xludf.UNSUPPORTED("""COMPUTED_VALUE"""),0.951384668808056)</f>
        <v>0.95138466880805606</v>
      </c>
      <c r="AQ504" s="1">
        <f ca="1">IFERROR(__xludf.UNSUPPORTED("""COMPUTED_VALUE"""),0.0282635636667231)</f>
        <v>2.8263563666723099E-2</v>
      </c>
      <c r="AR504" s="1">
        <f ca="1">IFERROR(__xludf.UNSUPPORTED("""COMPUTED_VALUE"""),23.3911228563191)</f>
        <v>23.3911228563191</v>
      </c>
      <c r="AS504" s="1">
        <f ca="1">IFERROR(__xludf.UNSUPPORTED("""COMPUTED_VALUE"""),0.433891829168962)</f>
        <v>0.43389182916896202</v>
      </c>
      <c r="AT504" s="1">
        <f ca="1">IFERROR(__xludf.UNSUPPORTED("""COMPUTED_VALUE"""),0.275098345637764)</f>
        <v>0.27509834563776397</v>
      </c>
      <c r="AU504" s="1">
        <f ca="1">IFERROR(__xludf.UNSUPPORTED("""COMPUTED_VALUE"""),-11.4313458688455)</f>
        <v>-11.431345868845501</v>
      </c>
      <c r="AV504" s="1">
        <f ca="1">IFERROR(__xludf.UNSUPPORTED("""COMPUTED_VALUE"""),-1742000000)</f>
        <v>-1742000000</v>
      </c>
      <c r="AW504" s="1">
        <f ca="1">IFERROR(__xludf.UNSUPPORTED("""COMPUTED_VALUE"""),62146000000)</f>
        <v>62146000000</v>
      </c>
      <c r="AX504" s="1">
        <f ca="1">IFERROR(__xludf.UNSUPPORTED("""COMPUTED_VALUE"""),-146871000000)</f>
        <v>-146871000000</v>
      </c>
      <c r="AY504" s="1">
        <f ca="1">IFERROR(__xludf.UNSUPPORTED("""COMPUTED_VALUE"""),52634000000)</f>
        <v>52634000000</v>
      </c>
      <c r="AZ504" s="1">
        <f ca="1">IFERROR(__xludf.UNSUPPORTED("""COMPUTED_VALUE"""),60958500000)</f>
        <v>60958500000</v>
      </c>
      <c r="BA504" s="1">
        <f ca="1">IFERROR(__xludf.UNSUPPORTED("""COMPUTED_VALUE"""),63363000000)</f>
        <v>63363000000</v>
      </c>
      <c r="BB504" s="1">
        <f ca="1">IFERROR(__xludf.UNSUPPORTED("""COMPUTED_VALUE"""),5638500000)</f>
        <v>5638500000</v>
      </c>
      <c r="BC504" s="1">
        <f ca="1">IFERROR(__xludf.UNSUPPORTED("""COMPUTED_VALUE"""),58.0756486687451)</f>
        <v>58.075648668745103</v>
      </c>
      <c r="BD504" s="1">
        <f ca="1">IFERROR(__xludf.UNSUPPORTED("""COMPUTED_VALUE"""),106.721468032147)</f>
        <v>106.721468032147</v>
      </c>
      <c r="BE504" s="1">
        <f ca="1">IFERROR(__xludf.UNSUPPORTED("""COMPUTED_VALUE"""),10.7912924903216)</f>
        <v>10.791292490321601</v>
      </c>
      <c r="BF504" s="1">
        <f ca="1">IFERROR(__xludf.UNSUPPORTED("""COMPUTED_VALUE"""),6.28490612445683)</f>
        <v>6.2849061244568301</v>
      </c>
      <c r="BG504" s="1">
        <f ca="1">IFERROR(__xludf.UNSUPPORTED("""COMPUTED_VALUE"""),3.4201178706617)</f>
        <v>3.4201178706616999</v>
      </c>
      <c r="BH504" s="1">
        <f ca="1">IFERROR(__xludf.UNSUPPORTED("""COMPUTED_VALUE"""),33.82356657716)</f>
        <v>33.823566577160001</v>
      </c>
      <c r="BI504" s="1">
        <f ca="1">IFERROR(__xludf.UNSUPPORTED("""COMPUTED_VALUE"""),1.5607601454639)</f>
        <v>1.5607601454639</v>
      </c>
      <c r="BJ504" s="1">
        <f ca="1">IFERROR(__xludf.UNSUPPORTED("""COMPUTED_VALUE"""),0.696064482285606)</f>
        <v>0.69606448228560602</v>
      </c>
    </row>
    <row r="505" spans="1:62" ht="13">
      <c r="A505" s="1" t="e">
        <f t="shared" ca="1" si="2"/>
        <v>#VALUE!</v>
      </c>
      <c r="B505" s="5" t="str">
        <f ca="1">IFERROR(__xludf.UNSUPPORTED("""COMPUTED_VALUE"""),"AAPL")</f>
        <v>AAPL</v>
      </c>
      <c r="C505" s="5">
        <f ca="1">IFERROR(__xludf.UNSUPPORTED("""COMPUTED_VALUE"""),44828)</f>
        <v>44828</v>
      </c>
      <c r="D505" s="1">
        <f ca="1">IFERROR(__xludf.UNSUPPORTED("""COMPUTED_VALUE"""),2022)</f>
        <v>2022</v>
      </c>
      <c r="E505" s="1" t="str">
        <f ca="1">IFERROR(__xludf.UNSUPPORTED("""COMPUTED_VALUE"""),"FY")</f>
        <v>FY</v>
      </c>
      <c r="F505" s="1">
        <f ca="1">IFERROR(__xludf.UNSUPPORTED("""COMPUTED_VALUE"""),24.3172730475519)</f>
        <v>24.3172730475519</v>
      </c>
      <c r="G505" s="1">
        <f ca="1">IFERROR(__xludf.UNSUPPORTED("""COMPUTED_VALUE"""),6.15461443763777)</f>
        <v>6.1546144376377701</v>
      </c>
      <c r="H505" s="1">
        <f ca="1">IFERROR(__xludf.UNSUPPORTED("""COMPUTED_VALUE"""),7.53276262408837)</f>
        <v>7.5327626240883703</v>
      </c>
      <c r="I505" s="1">
        <f ca="1">IFERROR(__xludf.UNSUPPORTED("""COMPUTED_VALUE"""),6.87242564625979)</f>
        <v>6.8724256462597904</v>
      </c>
      <c r="J505" s="1">
        <f ca="1">IFERROR(__xludf.UNSUPPORTED("""COMPUTED_VALUE"""),2.97879318052218)</f>
        <v>2.9787931805221799</v>
      </c>
      <c r="K505" s="1">
        <f ca="1">IFERROR(__xludf.UNSUPPORTED("""COMPUTED_VALUE"""),3.12482212743085)</f>
        <v>3.1248221274308499</v>
      </c>
      <c r="L505" s="1">
        <f ca="1">IFERROR(__xludf.UNSUPPORTED("""COMPUTED_VALUE"""),3.12482212743085)</f>
        <v>3.1248221274308499</v>
      </c>
      <c r="M505" s="1">
        <f ca="1">IFERROR(__xludf.UNSUPPORTED("""COMPUTED_VALUE"""),3.12482212743085)</f>
        <v>3.1248221274308499</v>
      </c>
      <c r="N505" s="1">
        <f ca="1">IFERROR(__xludf.UNSUPPORTED("""COMPUTED_VALUE"""),8.35047539267325)</f>
        <v>8.3504753926732498</v>
      </c>
      <c r="O505" s="1">
        <f ca="1">IFERROR(__xludf.UNSUPPORTED("""COMPUTED_VALUE"""),2439367314090)</f>
        <v>2439367314090</v>
      </c>
      <c r="P505" s="1">
        <f ca="1">IFERROR(__xludf.UNSUPPORTED("""COMPUTED_VALUE"""),2548201314090)</f>
        <v>2548201314090</v>
      </c>
      <c r="Q505" s="1">
        <f ca="1">IFERROR(__xludf.UNSUPPORTED("""COMPUTED_VALUE"""),24.4418235332605)</f>
        <v>24.4418235332605</v>
      </c>
      <c r="R505" s="1">
        <f ca="1">IFERROR(__xludf.UNSUPPORTED("""COMPUTED_VALUE"""),6.18613771806719)</f>
        <v>6.1861377180671901</v>
      </c>
      <c r="S505" s="1">
        <f ca="1">IFERROR(__xludf.UNSUPPORTED("""COMPUTED_VALUE"""),19.9700969626937)</f>
        <v>19.970096962693699</v>
      </c>
      <c r="T505" s="1">
        <f ca="1">IFERROR(__xludf.UNSUPPORTED("""COMPUTED_VALUE"""),21.888923611981)</f>
        <v>21.888923611980999</v>
      </c>
      <c r="U505" s="1">
        <f ca="1">IFERROR(__xludf.UNSUPPORTED("""COMPUTED_VALUE"""),48.140340110712)</f>
        <v>48.140340110712003</v>
      </c>
      <c r="V505" s="1">
        <f ca="1">IFERROR(__xludf.UNSUPPORTED("""COMPUTED_VALUE"""),48.140340110712)</f>
        <v>48.140340110712003</v>
      </c>
      <c r="W505" s="1">
        <f ca="1">IFERROR(__xludf.UNSUPPORTED("""COMPUTED_VALUE"""),6.46213637908035)</f>
        <v>6.4621363790803503</v>
      </c>
      <c r="X505" s="1">
        <f ca="1">IFERROR(__xludf.UNSUPPORTED("""COMPUTED_VALUE"""),19.5203140322963)</f>
        <v>19.520314032296302</v>
      </c>
      <c r="Y505" s="1">
        <f ca="1">IFERROR(__xludf.UNSUPPORTED("""COMPUTED_VALUE"""),20.8610761605717)</f>
        <v>20.861076160571699</v>
      </c>
      <c r="Z505" s="1">
        <f ca="1">IFERROR(__xludf.UNSUPPORTED("""COMPUTED_VALUE"""),22.8655125408504)</f>
        <v>22.8655125408504</v>
      </c>
      <c r="AA505" s="1">
        <f ca="1">IFERROR(__xludf.UNSUPPORTED("""COMPUTED_VALUE"""),0.0409134776150885)</f>
        <v>4.0913477615088498E-2</v>
      </c>
      <c r="AB505" s="1">
        <f ca="1">IFERROR(__xludf.UNSUPPORTED("""COMPUTED_VALUE"""),0.0456852067158133)</f>
        <v>4.5685206715813297E-2</v>
      </c>
      <c r="AC505" s="1">
        <f ca="1">IFERROR(__xludf.UNSUPPORTED("""COMPUTED_VALUE"""),2.6144616356173)</f>
        <v>2.6144616356173001</v>
      </c>
      <c r="AD505" s="1">
        <f ca="1">IFERROR(__xludf.UNSUPPORTED("""COMPUTED_VALUE"""),0.37555810690139)</f>
        <v>0.37555810690139002</v>
      </c>
      <c r="AE505" s="1">
        <f ca="1">IFERROR(__xludf.UNSUPPORTED("""COMPUTED_VALUE"""),0.833715078021464)</f>
        <v>0.83371507802146405</v>
      </c>
      <c r="AF505" s="1">
        <f ca="1">IFERROR(__xludf.UNSUPPORTED("""COMPUTED_VALUE"""),0.879356028626722)</f>
        <v>0.87935602862672202</v>
      </c>
      <c r="AG505" s="1">
        <f ca="1">IFERROR(__xludf.UNSUPPORTED("""COMPUTED_VALUE"""),40.7495735243944)</f>
        <v>40.7495735243944</v>
      </c>
      <c r="AH505" s="1">
        <f ca="1">IFERROR(__xludf.UNSUPPORTED("""COMPUTED_VALUE"""),1.22392112461549)</f>
        <v>1.22392112461549</v>
      </c>
      <c r="AI505" s="1">
        <f ca="1">IFERROR(__xludf.UNSUPPORTED("""COMPUTED_VALUE"""),0.00608395460342404)</f>
        <v>6.0839546034240398E-3</v>
      </c>
      <c r="AJ505" s="1">
        <f ca="1">IFERROR(__xludf.UNSUPPORTED("""COMPUTED_VALUE"""),0.148702944801258)</f>
        <v>0.14870294480125801</v>
      </c>
      <c r="AK505" s="1">
        <f ca="1">IFERROR(__xludf.UNSUPPORTED("""COMPUTED_VALUE"""),0)</f>
        <v>0</v>
      </c>
      <c r="AL505" s="1">
        <f ca="1">IFERROR(__xludf.UNSUPPORTED("""COMPUTED_VALUE"""),0.0665714836379866)</f>
        <v>6.6571483637986595E-2</v>
      </c>
      <c r="AM505" s="1">
        <f ca="1">IFERROR(__xludf.UNSUPPORTED("""COMPUTED_VALUE"""),0)</f>
        <v>0</v>
      </c>
      <c r="AN505" s="1">
        <f ca="1">IFERROR(__xludf.UNSUPPORTED("""COMPUTED_VALUE"""),0.0876619921245016)</f>
        <v>8.7661992124501598E-2</v>
      </c>
      <c r="AO505" s="1">
        <f ca="1">IFERROR(__xludf.UNSUPPORTED("""COMPUTED_VALUE"""),0.0271550587328315)</f>
        <v>2.71550587328315E-2</v>
      </c>
      <c r="AP505" s="1">
        <f ca="1">IFERROR(__xludf.UNSUPPORTED("""COMPUTED_VALUE"""),0.964337175792507)</f>
        <v>0.964337175792507</v>
      </c>
      <c r="AQ505" s="1">
        <f ca="1">IFERROR(__xludf.UNSUPPORTED("""COMPUTED_VALUE"""),0.0229200056805502)</f>
        <v>2.29200056805502E-2</v>
      </c>
      <c r="AR505" s="1">
        <f ca="1">IFERROR(__xludf.UNSUPPORTED("""COMPUTED_VALUE"""),20.8019637549453)</f>
        <v>20.801963754945302</v>
      </c>
      <c r="AS505" s="1">
        <f ca="1">IFERROR(__xludf.UNSUPPORTED("""COMPUTED_VALUE"""),0.451747614933124)</f>
        <v>0.45174761493312399</v>
      </c>
      <c r="AT505" s="1">
        <f ca="1">IFERROR(__xludf.UNSUPPORTED("""COMPUTED_VALUE"""),0.282924409292568)</f>
        <v>0.28292440929256801</v>
      </c>
      <c r="AU505" s="1">
        <f ca="1">IFERROR(__xludf.UNSUPPORTED("""COMPUTED_VALUE"""),-12.6792963205453)</f>
        <v>-12.6792963205453</v>
      </c>
      <c r="AV505" s="1">
        <f ca="1">IFERROR(__xludf.UNSUPPORTED("""COMPUTED_VALUE"""),-18577000000)</f>
        <v>-18577000000</v>
      </c>
      <c r="AW505" s="1">
        <f ca="1">IFERROR(__xludf.UNSUPPORTED("""COMPUTED_VALUE"""),50672000000)</f>
        <v>50672000000</v>
      </c>
      <c r="AX505" s="1">
        <f ca="1">IFERROR(__xludf.UNSUPPORTED("""COMPUTED_VALUE"""),-166678000000)</f>
        <v>-166678000000</v>
      </c>
      <c r="AY505" s="1">
        <f ca="1">IFERROR(__xludf.UNSUPPORTED("""COMPUTED_VALUE"""),33957000000)</f>
        <v>33957000000</v>
      </c>
      <c r="AZ505" s="1">
        <f ca="1">IFERROR(__xludf.UNSUPPORTED("""COMPUTED_VALUE"""),56219000000)</f>
        <v>56219000000</v>
      </c>
      <c r="BA505" s="1">
        <f ca="1">IFERROR(__xludf.UNSUPPORTED("""COMPUTED_VALUE"""),59439000000)</f>
        <v>59439000000</v>
      </c>
      <c r="BB505" s="1">
        <f ca="1">IFERROR(__xludf.UNSUPPORTED("""COMPUTED_VALUE"""),5763000000)</f>
        <v>5763000000</v>
      </c>
      <c r="BC505" s="1">
        <f ca="1">IFERROR(__xludf.UNSUPPORTED("""COMPUTED_VALUE"""),56.4002049055608)</f>
        <v>56.400204905560798</v>
      </c>
      <c r="BD505" s="1">
        <f ca="1">IFERROR(__xludf.UNSUPPORTED("""COMPUTED_VALUE"""),104.685277303105)</f>
        <v>104.685277303105</v>
      </c>
      <c r="BE505" s="1">
        <f ca="1">IFERROR(__xludf.UNSUPPORTED("""COMPUTED_VALUE"""),8.07569806661716)</f>
        <v>8.0756980666171607</v>
      </c>
      <c r="BF505" s="1">
        <f ca="1">IFERROR(__xludf.UNSUPPORTED("""COMPUTED_VALUE"""),6.47160769382262)</f>
        <v>6.4716076938226204</v>
      </c>
      <c r="BG505" s="1">
        <f ca="1">IFERROR(__xludf.UNSUPPORTED("""COMPUTED_VALUE"""),3.48664119160882)</f>
        <v>3.48664119160882</v>
      </c>
      <c r="BH505" s="1">
        <f ca="1">IFERROR(__xludf.UNSUPPORTED("""COMPUTED_VALUE"""),45.1973311767084)</f>
        <v>45.197331176708403</v>
      </c>
      <c r="BI505" s="1">
        <f ca="1">IFERROR(__xludf.UNSUPPORTED("""COMPUTED_VALUE"""),1.96958872750236)</f>
        <v>1.96958872750236</v>
      </c>
      <c r="BJ505" s="1">
        <f ca="1">IFERROR(__xludf.UNSUPPORTED("""COMPUTED_VALUE"""),0.660336977828575)</f>
        <v>0.66033697782857503</v>
      </c>
    </row>
    <row r="506" spans="1:62" ht="13">
      <c r="A506" s="1" t="e">
        <f t="shared" ca="1" si="2"/>
        <v>#VALUE!</v>
      </c>
      <c r="B506" s="5" t="str">
        <f ca="1">IFERROR(__xludf.UNSUPPORTED("""COMPUTED_VALUE"""),"AAPL")</f>
        <v>AAPL</v>
      </c>
      <c r="C506" s="5">
        <f ca="1">IFERROR(__xludf.UNSUPPORTED("""COMPUTED_VALUE"""),44464)</f>
        <v>44464</v>
      </c>
      <c r="D506" s="1">
        <f ca="1">IFERROR(__xludf.UNSUPPORTED("""COMPUTED_VALUE"""),2021)</f>
        <v>2021</v>
      </c>
      <c r="E506" s="1" t="str">
        <f ca="1">IFERROR(__xludf.UNSUPPORTED("""COMPUTED_VALUE"""),"FY")</f>
        <v>FY</v>
      </c>
      <c r="F506" s="1">
        <f ca="1">IFERROR(__xludf.UNSUPPORTED("""COMPUTED_VALUE"""),21.9035412392541)</f>
        <v>21.9035412392541</v>
      </c>
      <c r="G506" s="1">
        <f ca="1">IFERROR(__xludf.UNSUPPORTED("""COMPUTED_VALUE"""),5.66902928112301)</f>
        <v>5.6690292811230103</v>
      </c>
      <c r="H506" s="1">
        <f ca="1">IFERROR(__xludf.UNSUPPORTED("""COMPUTED_VALUE"""),6.22934588455298)</f>
        <v>6.2293458845529797</v>
      </c>
      <c r="I506" s="1">
        <f ca="1">IFERROR(__xludf.UNSUPPORTED("""COMPUTED_VALUE"""),5.56562398361035)</f>
        <v>5.56562398361035</v>
      </c>
      <c r="J506" s="1">
        <f ca="1">IFERROR(__xludf.UNSUPPORTED("""COMPUTED_VALUE"""),3.75055265251652)</f>
        <v>3.7505526525165198</v>
      </c>
      <c r="K506" s="1">
        <f ca="1">IFERROR(__xludf.UNSUPPORTED("""COMPUTED_VALUE"""),3.7775565837141)</f>
        <v>3.7775565837140999</v>
      </c>
      <c r="L506" s="1">
        <f ca="1">IFERROR(__xludf.UNSUPPORTED("""COMPUTED_VALUE"""),3.7775565837141)</f>
        <v>3.7775565837140999</v>
      </c>
      <c r="M506" s="1">
        <f ca="1">IFERROR(__xludf.UNSUPPORTED("""COMPUTED_VALUE"""),3.7775565837141)</f>
        <v>3.7775565837140999</v>
      </c>
      <c r="N506" s="1">
        <f ca="1">IFERROR(__xludf.UNSUPPORTED("""COMPUTED_VALUE"""),8.33271860969631)</f>
        <v>8.3327186096963093</v>
      </c>
      <c r="O506" s="1">
        <f ca="1">IFERROR(__xludf.UNSUPPORTED("""COMPUTED_VALUE"""),2453750882240)</f>
        <v>2453750882240</v>
      </c>
      <c r="P506" s="1">
        <f ca="1">IFERROR(__xludf.UNSUPPORTED("""COMPUTED_VALUE"""),2555332882240)</f>
        <v>2555332882240</v>
      </c>
      <c r="Q506" s="1">
        <f ca="1">IFERROR(__xludf.UNSUPPORTED("""COMPUTED_VALUE"""),25.9162535090832)</f>
        <v>25.916253509083202</v>
      </c>
      <c r="R506" s="1">
        <f ca="1">IFERROR(__xludf.UNSUPPORTED("""COMPUTED_VALUE"""),6.70759117875877)</f>
        <v>6.7075911787587703</v>
      </c>
      <c r="S506" s="1">
        <f ca="1">IFERROR(__xludf.UNSUPPORTED("""COMPUTED_VALUE"""),23.5851408354639)</f>
        <v>23.5851408354639</v>
      </c>
      <c r="T506" s="1">
        <f ca="1">IFERROR(__xludf.UNSUPPORTED("""COMPUTED_VALUE"""),26.3977588914827)</f>
        <v>26.397758891482699</v>
      </c>
      <c r="U506" s="1">
        <f ca="1">IFERROR(__xludf.UNSUPPORTED("""COMPUTED_VALUE"""),38.8928654658424)</f>
        <v>38.892865465842398</v>
      </c>
      <c r="V506" s="1">
        <f ca="1">IFERROR(__xludf.UNSUPPORTED("""COMPUTED_VALUE"""),38.8928654658424)</f>
        <v>38.892865465842398</v>
      </c>
      <c r="W506" s="1">
        <f ca="1">IFERROR(__xludf.UNSUPPORTED("""COMPUTED_VALUE"""),6.98527646949157)</f>
        <v>6.9852764694915699</v>
      </c>
      <c r="X506" s="1">
        <f ca="1">IFERROR(__xludf.UNSUPPORTED("""COMPUTED_VALUE"""),20.7521186512474)</f>
        <v>20.7521186512474</v>
      </c>
      <c r="Y506" s="1">
        <f ca="1">IFERROR(__xludf.UNSUPPORTED("""COMPUTED_VALUE"""),24.5615340763951)</f>
        <v>24.561534076395098</v>
      </c>
      <c r="Z506" s="1">
        <f ca="1">IFERROR(__xludf.UNSUPPORTED("""COMPUTED_VALUE"""),27.490590752746)</f>
        <v>27.490590752746002</v>
      </c>
      <c r="AA506" s="1">
        <f ca="1">IFERROR(__xludf.UNSUPPORTED("""COMPUTED_VALUE"""),0.0385858241296148)</f>
        <v>3.8585824129614803E-2</v>
      </c>
      <c r="AB506" s="1">
        <f ca="1">IFERROR(__xludf.UNSUPPORTED("""COMPUTED_VALUE"""),0.0378820037000432)</f>
        <v>3.7882003700043201E-2</v>
      </c>
      <c r="AC506" s="1">
        <f ca="1">IFERROR(__xludf.UNSUPPORTED("""COMPUTED_VALUE"""),2.16392455222697)</f>
        <v>2.1639245522269701</v>
      </c>
      <c r="AD506" s="1">
        <f ca="1">IFERROR(__xludf.UNSUPPORTED("""COMPUTED_VALUE"""),0.38894935071595)</f>
        <v>0.38894935071594999</v>
      </c>
      <c r="AE506" s="1">
        <f ca="1">IFERROR(__xludf.UNSUPPORTED("""COMPUTED_VALUE"""),0.82495777027027)</f>
        <v>0.82495777027026995</v>
      </c>
      <c r="AF506" s="1">
        <f ca="1">IFERROR(__xludf.UNSUPPORTED("""COMPUTED_VALUE"""),1.07455311959579)</f>
        <v>1.07455311959579</v>
      </c>
      <c r="AG506" s="1">
        <f ca="1">IFERROR(__xludf.UNSUPPORTED("""COMPUTED_VALUE"""),41.1905482041587)</f>
        <v>41.190548204158702</v>
      </c>
      <c r="AH506" s="1">
        <f ca="1">IFERROR(__xludf.UNSUPPORTED("""COMPUTED_VALUE"""),1.09883819180397)</f>
        <v>1.09883819180397</v>
      </c>
      <c r="AI506" s="1">
        <f ca="1">IFERROR(__xludf.UNSUPPORTED("""COMPUTED_VALUE"""),0.00589587154291443)</f>
        <v>5.89587154291443E-3</v>
      </c>
      <c r="AJ506" s="1">
        <f ca="1">IFERROR(__xludf.UNSUPPORTED("""COMPUTED_VALUE"""),0.15279890156316)</f>
        <v>0.15279890156316001</v>
      </c>
      <c r="AK506" s="1">
        <f ca="1">IFERROR(__xludf.UNSUPPORTED("""COMPUTED_VALUE"""),0)</f>
        <v>0</v>
      </c>
      <c r="AL506" s="1">
        <f ca="1">IFERROR(__xludf.UNSUPPORTED("""COMPUTED_VALUE"""),0.0599042690744279)</f>
        <v>5.9904269074427897E-2</v>
      </c>
      <c r="AM506" s="1">
        <f ca="1">IFERROR(__xludf.UNSUPPORTED("""COMPUTED_VALUE"""),0)</f>
        <v>0</v>
      </c>
      <c r="AN506" s="1">
        <f ca="1">IFERROR(__xludf.UNSUPPORTED("""COMPUTED_VALUE"""),0.106547607604913)</f>
        <v>0.106547607604913</v>
      </c>
      <c r="AO506" s="1">
        <f ca="1">IFERROR(__xludf.UNSUPPORTED("""COMPUTED_VALUE"""),0.0303020362640336)</f>
        <v>3.0302036264033601E-2</v>
      </c>
      <c r="AP506" s="1">
        <f ca="1">IFERROR(__xludf.UNSUPPORTED("""COMPUTED_VALUE"""),0.982364409783764)</f>
        <v>0.98236440978376405</v>
      </c>
      <c r="AQ506" s="1">
        <f ca="1">IFERROR(__xludf.UNSUPPORTED("""COMPUTED_VALUE"""),0.0216118988455976)</f>
        <v>2.16118988455976E-2</v>
      </c>
      <c r="AR506" s="1">
        <f ca="1">IFERROR(__xludf.UNSUPPORTED("""COMPUTED_VALUE"""),21.9508376809159)</f>
        <v>21.9508376809159</v>
      </c>
      <c r="AS506" s="1">
        <f ca="1">IFERROR(__xludf.UNSUPPORTED("""COMPUTED_VALUE"""),0.389250561822525)</f>
        <v>0.38925056182252499</v>
      </c>
      <c r="AT506" s="1">
        <f ca="1">IFERROR(__xludf.UNSUPPORTED("""COMPUTED_VALUE"""),0.269742052751836)</f>
        <v>0.26974205275183599</v>
      </c>
      <c r="AU506" s="1">
        <f ca="1">IFERROR(__xludf.UNSUPPORTED("""COMPUTED_VALUE"""),-10.978415296751)</f>
        <v>-10.978415296751001</v>
      </c>
      <c r="AV506" s="1">
        <f ca="1">IFERROR(__xludf.UNSUPPORTED("""COMPUTED_VALUE"""),9355000000)</f>
        <v>9355000000</v>
      </c>
      <c r="AW506" s="1">
        <f ca="1">IFERROR(__xludf.UNSUPPORTED("""COMPUTED_VALUE"""),63090000000)</f>
        <v>63090000000</v>
      </c>
      <c r="AX506" s="1">
        <f ca="1">IFERROR(__xludf.UNSUPPORTED("""COMPUTED_VALUE"""),-153076000000)</f>
        <v>-153076000000</v>
      </c>
      <c r="AY506" s="1">
        <f ca="1">IFERROR(__xludf.UNSUPPORTED("""COMPUTED_VALUE"""),58882000000)</f>
        <v>58882000000</v>
      </c>
      <c r="AZ506" s="1">
        <f ca="1">IFERROR(__xludf.UNSUPPORTED("""COMPUTED_VALUE"""),44475500000)</f>
        <v>44475500000</v>
      </c>
      <c r="BA506" s="1">
        <f ca="1">IFERROR(__xludf.UNSUPPORTED("""COMPUTED_VALUE"""),48529500000)</f>
        <v>48529500000</v>
      </c>
      <c r="BB506" s="1">
        <f ca="1">IFERROR(__xludf.UNSUPPORTED("""COMPUTED_VALUE"""),5320500000)</f>
        <v>5320500000</v>
      </c>
      <c r="BC506" s="1">
        <f ca="1">IFERROR(__xludf.UNSUPPORTED("""COMPUTED_VALUE"""),51.3909687083979)</f>
        <v>51.390968708397899</v>
      </c>
      <c r="BD506" s="1">
        <f ca="1">IFERROR(__xludf.UNSUPPORTED("""COMPUTED_VALUE"""),93.8510712223156)</f>
        <v>93.851071222315596</v>
      </c>
      <c r="BE506" s="1">
        <f ca="1">IFERROR(__xludf.UNSUPPORTED("""COMPUTED_VALUE"""),11.2765927477098)</f>
        <v>11.276592747709801</v>
      </c>
      <c r="BF506" s="1">
        <f ca="1">IFERROR(__xludf.UNSUPPORTED("""COMPUTED_VALUE"""),7.10241525259193)</f>
        <v>7.1024152525919302</v>
      </c>
      <c r="BG506" s="1">
        <f ca="1">IFERROR(__xludf.UNSUPPORTED("""COMPUTED_VALUE"""),3.88914047806)</f>
        <v>3.8891404780599999</v>
      </c>
      <c r="BH506" s="1">
        <f ca="1">IFERROR(__xludf.UNSUPPORTED("""COMPUTED_VALUE"""),32.367933130699)</f>
        <v>32.367933130699001</v>
      </c>
      <c r="BI506" s="1">
        <f ca="1">IFERROR(__xludf.UNSUPPORTED("""COMPUTED_VALUE"""),1.50071326676176)</f>
        <v>1.50071326676176</v>
      </c>
      <c r="BJ506" s="1">
        <f ca="1">IFERROR(__xludf.UNSUPPORTED("""COMPUTED_VALUE"""),0.663721900942634)</f>
        <v>0.66372190094263395</v>
      </c>
    </row>
    <row r="507" spans="1:62" ht="13">
      <c r="A507" s="1" t="e">
        <f t="shared" ca="1" si="2"/>
        <v>#VALUE!</v>
      </c>
      <c r="B507" s="5" t="str">
        <f ca="1">IFERROR(__xludf.UNSUPPORTED("""COMPUTED_VALUE"""),"AAPL")</f>
        <v>AAPL</v>
      </c>
      <c r="C507" s="5">
        <f ca="1">IFERROR(__xludf.UNSUPPORTED("""COMPUTED_VALUE"""),44100)</f>
        <v>44100</v>
      </c>
      <c r="D507" s="1">
        <f ca="1">IFERROR(__xludf.UNSUPPORTED("""COMPUTED_VALUE"""),2020)</f>
        <v>2020</v>
      </c>
      <c r="E507" s="1" t="str">
        <f ca="1">IFERROR(__xludf.UNSUPPORTED("""COMPUTED_VALUE"""),"FY")</f>
        <v>FY</v>
      </c>
      <c r="F507" s="1">
        <f ca="1">IFERROR(__xludf.UNSUPPORTED("""COMPUTED_VALUE"""),15.820258033039)</f>
        <v>15.820258033039</v>
      </c>
      <c r="G507" s="1">
        <f ca="1">IFERROR(__xludf.UNSUPPORTED("""COMPUTED_VALUE"""),3.30858726821778)</f>
        <v>3.3085872682177802</v>
      </c>
      <c r="H507" s="1">
        <f ca="1">IFERROR(__xludf.UNSUPPORTED("""COMPUTED_VALUE"""),4.64923044845416)</f>
        <v>4.6492304484541602</v>
      </c>
      <c r="I507" s="1">
        <f ca="1">IFERROR(__xludf.UNSUPPORTED("""COMPUTED_VALUE"""),4.2280138811865)</f>
        <v>4.2280138811864996</v>
      </c>
      <c r="J507" s="1">
        <f ca="1">IFERROR(__xludf.UNSUPPORTED("""COMPUTED_VALUE"""),5.2410313691371)</f>
        <v>5.2410313691371</v>
      </c>
      <c r="K507" s="1">
        <f ca="1">IFERROR(__xludf.UNSUPPORTED("""COMPUTED_VALUE"""),3.76547671209493)</f>
        <v>3.7654767120949302</v>
      </c>
      <c r="L507" s="1">
        <f ca="1">IFERROR(__xludf.UNSUPPORTED("""COMPUTED_VALUE"""),3.76547671209493)</f>
        <v>3.7654767120949302</v>
      </c>
      <c r="M507" s="1">
        <f ca="1">IFERROR(__xludf.UNSUPPORTED("""COMPUTED_VALUE"""),3.76547671209493)</f>
        <v>3.7654767120949302</v>
      </c>
      <c r="N507" s="1">
        <f ca="1">IFERROR(__xludf.UNSUPPORTED("""COMPUTED_VALUE"""),7.21243324806612)</f>
        <v>7.2124332480661204</v>
      </c>
      <c r="O507" s="1">
        <f ca="1">IFERROR(__xludf.UNSUPPORTED("""COMPUTED_VALUE"""),1948295921320)</f>
        <v>1948295921320</v>
      </c>
      <c r="P507" s="1">
        <f ca="1">IFERROR(__xludf.UNSUPPORTED("""COMPUTED_VALUE"""),2032557921320)</f>
        <v>2032557921320</v>
      </c>
      <c r="Q507" s="1">
        <f ca="1">IFERROR(__xludf.UNSUPPORTED("""COMPUTED_VALUE"""),33.9359342516242)</f>
        <v>33.935934251624197</v>
      </c>
      <c r="R507" s="1">
        <f ca="1">IFERROR(__xludf.UNSUPPORTED("""COMPUTED_VALUE"""),7.09722937296686)</f>
        <v>7.0972293729668596</v>
      </c>
      <c r="S507" s="1">
        <f ca="1">IFERROR(__xludf.UNSUPPORTED("""COMPUTED_VALUE"""),24.1502333009395)</f>
        <v>24.150233300939501</v>
      </c>
      <c r="T507" s="1">
        <f ca="1">IFERROR(__xludf.UNSUPPORTED("""COMPUTED_VALUE"""),26.5562042025488)</f>
        <v>26.556204202548798</v>
      </c>
      <c r="U507" s="1">
        <f ca="1">IFERROR(__xludf.UNSUPPORTED("""COMPUTED_VALUE"""),29.8182696600805)</f>
        <v>29.8182696600805</v>
      </c>
      <c r="V507" s="1">
        <f ca="1">IFERROR(__xludf.UNSUPPORTED("""COMPUTED_VALUE"""),29.8182696600805)</f>
        <v>29.8182696600805</v>
      </c>
      <c r="W507" s="1">
        <f ca="1">IFERROR(__xludf.UNSUPPORTED("""COMPUTED_VALUE"""),7.40417799143944)</f>
        <v>7.4041779914394397</v>
      </c>
      <c r="X507" s="1">
        <f ca="1">IFERROR(__xludf.UNSUPPORTED("""COMPUTED_VALUE"""),25.0871133216489)</f>
        <v>25.0871133216489</v>
      </c>
      <c r="Y507" s="1">
        <f ca="1">IFERROR(__xludf.UNSUPPORTED("""COMPUTED_VALUE"""),25.1947085965738)</f>
        <v>25.1947085965738</v>
      </c>
      <c r="Z507" s="1">
        <f ca="1">IFERROR(__xludf.UNSUPPORTED("""COMPUTED_VALUE"""),27.7047355185715)</f>
        <v>27.7047355185715</v>
      </c>
      <c r="AA507" s="1">
        <f ca="1">IFERROR(__xludf.UNSUPPORTED("""COMPUTED_VALUE"""),0.0294672895281242)</f>
        <v>2.9467289528124201E-2</v>
      </c>
      <c r="AB507" s="1">
        <f ca="1">IFERROR(__xludf.UNSUPPORTED("""COMPUTED_VALUE"""),0.0376559839792171)</f>
        <v>3.76559839792171E-2</v>
      </c>
      <c r="AC507" s="1">
        <f ca="1">IFERROR(__xludf.UNSUPPORTED("""COMPUTED_VALUE"""),1.87143972206492)</f>
        <v>1.8714397220649199</v>
      </c>
      <c r="AD507" s="1">
        <f ca="1">IFERROR(__xludf.UNSUPPORTED("""COMPUTED_VALUE"""),0.377531739366694)</f>
        <v>0.37753173936669399</v>
      </c>
      <c r="AE507" s="1">
        <f ca="1">IFERROR(__xludf.UNSUPPORTED("""COMPUTED_VALUE"""),1.04001481115773)</f>
        <v>1.0400148111577301</v>
      </c>
      <c r="AF507" s="1">
        <f ca="1">IFERROR(__xludf.UNSUPPORTED("""COMPUTED_VALUE"""),1.36360444815545)</f>
        <v>1.3636044481554499</v>
      </c>
      <c r="AG507" s="1">
        <f ca="1">IFERROR(__xludf.UNSUPPORTED("""COMPUTED_VALUE"""),23.0727462582666)</f>
        <v>23.072746258266601</v>
      </c>
      <c r="AH507" s="1">
        <f ca="1">IFERROR(__xludf.UNSUPPORTED("""COMPUTED_VALUE"""),1.40520109386702)</f>
        <v>1.4052010938670201</v>
      </c>
      <c r="AI507" s="1">
        <f ca="1">IFERROR(__xludf.UNSUPPORTED("""COMPUTED_VALUE"""),0.00722734151722696)</f>
        <v>7.22734151722696E-3</v>
      </c>
      <c r="AJ507" s="1">
        <f ca="1">IFERROR(__xludf.UNSUPPORTED("""COMPUTED_VALUE"""),0.245266586542648)</f>
        <v>0.24526658654264799</v>
      </c>
      <c r="AK507" s="1">
        <f ca="1">IFERROR(__xludf.UNSUPPORTED("""COMPUTED_VALUE"""),0)</f>
        <v>0</v>
      </c>
      <c r="AL507" s="1">
        <f ca="1">IFERROR(__xludf.UNSUPPORTED("""COMPUTED_VALUE"""),0.068309564140393)</f>
        <v>6.8309564140393006E-2</v>
      </c>
      <c r="AM507" s="1">
        <f ca="1">IFERROR(__xludf.UNSUPPORTED("""COMPUTED_VALUE"""),0)</f>
        <v>0</v>
      </c>
      <c r="AN507" s="1">
        <f ca="1">IFERROR(__xludf.UNSUPPORTED("""COMPUTED_VALUE"""),0.0905992017254629)</f>
        <v>9.0599201725462902E-2</v>
      </c>
      <c r="AO507" s="1">
        <f ca="1">IFERROR(__xludf.UNSUPPORTED("""COMPUTED_VALUE"""),0.0266251388812997)</f>
        <v>2.6625138881299699E-2</v>
      </c>
      <c r="AP507" s="1">
        <f ca="1">IFERROR(__xludf.UNSUPPORTED("""COMPUTED_VALUE"""),0.661089001447178)</f>
        <v>0.66108900144717797</v>
      </c>
      <c r="AQ507" s="1">
        <f ca="1">IFERROR(__xludf.UNSUPPORTED("""COMPUTED_VALUE"""),0.024876600550061)</f>
        <v>2.4876600550060999E-2</v>
      </c>
      <c r="AR507" s="1">
        <f ca="1">IFERROR(__xludf.UNSUPPORTED("""COMPUTED_VALUE"""),16.7425860290212)</f>
        <v>16.742586029021201</v>
      </c>
      <c r="AS507" s="1">
        <f ca="1">IFERROR(__xludf.UNSUPPORTED("""COMPUTED_VALUE"""),0.242694868596828)</f>
        <v>0.24269486859682801</v>
      </c>
      <c r="AT507" s="1">
        <f ca="1">IFERROR(__xludf.UNSUPPORTED("""COMPUTED_VALUE"""),0.177255718025984)</f>
        <v>0.177255718025984</v>
      </c>
      <c r="AU507" s="1">
        <f ca="1">IFERROR(__xludf.UNSUPPORTED("""COMPUTED_VALUE"""),-7.92362880867748)</f>
        <v>-7.9236288086774804</v>
      </c>
      <c r="AV507" s="1">
        <f ca="1">IFERROR(__xludf.UNSUPPORTED("""COMPUTED_VALUE"""),38321000000)</f>
        <v>38321000000</v>
      </c>
      <c r="AW507" s="1">
        <f ca="1">IFERROR(__xludf.UNSUPPORTED("""COMPUTED_VALUE"""),65339000000)</f>
        <v>65339000000</v>
      </c>
      <c r="AX507" s="1">
        <f ca="1">IFERROR(__xludf.UNSUPPORTED("""COMPUTED_VALUE"""),-114836000000)</f>
        <v>-114836000000</v>
      </c>
      <c r="AY507" s="1">
        <f ca="1">IFERROR(__xludf.UNSUPPORTED("""COMPUTED_VALUE"""),83657000000)</f>
        <v>83657000000</v>
      </c>
      <c r="AZ507" s="1">
        <f ca="1">IFERROR(__xludf.UNSUPPORTED("""COMPUTED_VALUE"""),41624500000)</f>
        <v>41624500000</v>
      </c>
      <c r="BA507" s="1">
        <f ca="1">IFERROR(__xludf.UNSUPPORTED("""COMPUTED_VALUE"""),44266000000)</f>
        <v>44266000000</v>
      </c>
      <c r="BB507" s="1">
        <f ca="1">IFERROR(__xludf.UNSUPPORTED("""COMPUTED_VALUE"""),4083500000)</f>
        <v>4083500000</v>
      </c>
      <c r="BC507" s="1">
        <f ca="1">IFERROR(__xludf.UNSUPPORTED("""COMPUTED_VALUE"""),49.7875343788135)</f>
        <v>49.787534378813497</v>
      </c>
      <c r="BD507" s="1">
        <f ca="1">IFERROR(__xludf.UNSUPPORTED("""COMPUTED_VALUE"""),91.0481897156741)</f>
        <v>91.048189715674098</v>
      </c>
      <c r="BE507" s="1">
        <f ca="1">IFERROR(__xludf.UNSUPPORTED("""COMPUTED_VALUE"""),8.74188335623588)</f>
        <v>8.7418833562358795</v>
      </c>
      <c r="BF507" s="1">
        <f ca="1">IFERROR(__xludf.UNSUPPORTED("""COMPUTED_VALUE"""),7.33115235678995)</f>
        <v>7.3311523567899499</v>
      </c>
      <c r="BG507" s="1">
        <f ca="1">IFERROR(__xludf.UNSUPPORTED("""COMPUTED_VALUE"""),4.00886608662757)</f>
        <v>4.0088660866275703</v>
      </c>
      <c r="BH507" s="1">
        <f ca="1">IFERROR(__xludf.UNSUPPORTED("""COMPUTED_VALUE"""),41.7530164983994)</f>
        <v>41.753016498399397</v>
      </c>
      <c r="BI507" s="1">
        <f ca="1">IFERROR(__xludf.UNSUPPORTED("""COMPUTED_VALUE"""),0.878663585301274)</f>
        <v>0.87866358530127397</v>
      </c>
      <c r="BJ507" s="1">
        <f ca="1">IFERROR(__xludf.UNSUPPORTED("""COMPUTED_VALUE"""),0.421216567267663)</f>
        <v>0.42121656726766299</v>
      </c>
    </row>
    <row r="508" spans="1:62" ht="13">
      <c r="A508" s="1" t="e">
        <f t="shared" si="2"/>
        <v>#VALUE!</v>
      </c>
      <c r="B508" s="5"/>
      <c r="C508" s="5"/>
    </row>
    <row r="509" spans="1:62" ht="13">
      <c r="A509" s="1" t="e">
        <f t="shared" si="2"/>
        <v>#VALUE!</v>
      </c>
      <c r="B509" s="5"/>
      <c r="C509" s="5"/>
    </row>
    <row r="510" spans="1:62" ht="13">
      <c r="A510" s="1" t="e">
        <f t="shared" si="2"/>
        <v>#VALUE!</v>
      </c>
      <c r="B510" s="5"/>
      <c r="C510" s="5"/>
    </row>
    <row r="511" spans="1:62" ht="13">
      <c r="A511" s="1" t="e">
        <f t="shared" si="2"/>
        <v>#VALUE!</v>
      </c>
      <c r="B511" s="5"/>
      <c r="C511" s="5"/>
    </row>
    <row r="512" spans="1:62" ht="13">
      <c r="A512" s="1" t="e">
        <f t="shared" si="2"/>
        <v>#VALUE!</v>
      </c>
      <c r="B512" s="5"/>
      <c r="C512" s="5"/>
    </row>
    <row r="513" spans="1:3" ht="13">
      <c r="A513" s="1" t="e">
        <f t="shared" si="2"/>
        <v>#VALUE!</v>
      </c>
      <c r="B513" s="5"/>
      <c r="C513" s="5"/>
    </row>
    <row r="514" spans="1:3" ht="13">
      <c r="A514" s="1" t="e">
        <f t="shared" si="2"/>
        <v>#VALUE!</v>
      </c>
      <c r="B514" s="5"/>
      <c r="C514" s="5"/>
    </row>
    <row r="515" spans="1:3" ht="13">
      <c r="A515" s="1" t="e">
        <f t="shared" si="2"/>
        <v>#VALUE!</v>
      </c>
      <c r="B515" s="5"/>
      <c r="C515" s="5"/>
    </row>
    <row r="516" spans="1:3" ht="13">
      <c r="A516" s="1" t="e">
        <f t="shared" si="2"/>
        <v>#VALUE!</v>
      </c>
      <c r="B516" s="5"/>
      <c r="C516" s="5"/>
    </row>
    <row r="517" spans="1:3" ht="13">
      <c r="A517" s="1" t="e">
        <f t="shared" si="2"/>
        <v>#VALUE!</v>
      </c>
      <c r="B517" s="5"/>
      <c r="C517" s="5"/>
    </row>
    <row r="518" spans="1:3" ht="13">
      <c r="A518" s="1" t="e">
        <f t="shared" si="2"/>
        <v>#VALUE!</v>
      </c>
      <c r="B518" s="5"/>
      <c r="C518" s="5"/>
    </row>
    <row r="519" spans="1:3" ht="13">
      <c r="A519" s="1" t="e">
        <f t="shared" si="2"/>
        <v>#VALUE!</v>
      </c>
      <c r="B519" s="5"/>
      <c r="C519" s="5"/>
    </row>
    <row r="520" spans="1:3" ht="13">
      <c r="A520" s="1" t="e">
        <f t="shared" si="2"/>
        <v>#VALUE!</v>
      </c>
      <c r="B520" s="5"/>
      <c r="C520" s="5"/>
    </row>
    <row r="521" spans="1:3" ht="13">
      <c r="A521" s="1" t="e">
        <f t="shared" si="2"/>
        <v>#VALUE!</v>
      </c>
      <c r="B521" s="5"/>
      <c r="C521" s="5"/>
    </row>
    <row r="522" spans="1:3" ht="13">
      <c r="A522" s="1" t="e">
        <f t="shared" si="2"/>
        <v>#VALUE!</v>
      </c>
      <c r="B522" s="5"/>
      <c r="C522" s="5"/>
    </row>
    <row r="523" spans="1:3" ht="13">
      <c r="A523" s="1" t="e">
        <f t="shared" si="2"/>
        <v>#VALUE!</v>
      </c>
      <c r="B523" s="5"/>
      <c r="C523" s="5"/>
    </row>
    <row r="524" spans="1:3" ht="13">
      <c r="A524" s="1" t="e">
        <f t="shared" si="2"/>
        <v>#VALUE!</v>
      </c>
      <c r="B524" s="5"/>
      <c r="C524" s="5"/>
    </row>
    <row r="525" spans="1:3" ht="13">
      <c r="A525" s="1" t="e">
        <f t="shared" si="2"/>
        <v>#VALUE!</v>
      </c>
      <c r="B525" s="5"/>
      <c r="C525" s="5"/>
    </row>
    <row r="526" spans="1:3" ht="13">
      <c r="A526" s="1" t="e">
        <f t="shared" si="2"/>
        <v>#VALUE!</v>
      </c>
      <c r="B526" s="5"/>
      <c r="C526" s="5"/>
    </row>
    <row r="527" spans="1:3" ht="13">
      <c r="A527" s="1" t="e">
        <f t="shared" si="2"/>
        <v>#VALUE!</v>
      </c>
      <c r="B527" s="5"/>
      <c r="C527" s="5"/>
    </row>
    <row r="528" spans="1:3" ht="13">
      <c r="A528" s="1" t="e">
        <f t="shared" si="2"/>
        <v>#VALUE!</v>
      </c>
      <c r="B528" s="5"/>
      <c r="C528" s="5"/>
    </row>
    <row r="529" spans="1:3" ht="13">
      <c r="A529" s="1" t="e">
        <f t="shared" si="2"/>
        <v>#VALUE!</v>
      </c>
      <c r="B529" s="5"/>
      <c r="C529" s="5"/>
    </row>
    <row r="530" spans="1:3" ht="13">
      <c r="A530" s="1" t="e">
        <f t="shared" si="2"/>
        <v>#VALUE!</v>
      </c>
      <c r="B530" s="5"/>
      <c r="C530" s="5"/>
    </row>
    <row r="531" spans="1:3" ht="13">
      <c r="A531" s="1" t="e">
        <f t="shared" si="2"/>
        <v>#VALUE!</v>
      </c>
      <c r="B531" s="5"/>
      <c r="C531" s="5"/>
    </row>
    <row r="532" spans="1:3" ht="13">
      <c r="A532" s="1" t="e">
        <f t="shared" si="2"/>
        <v>#VALUE!</v>
      </c>
      <c r="B532" s="5"/>
      <c r="C532" s="5"/>
    </row>
    <row r="533" spans="1:3" ht="13">
      <c r="B533" s="5"/>
      <c r="C533" s="5"/>
    </row>
    <row r="534" spans="1:3" ht="13">
      <c r="B534" s="5"/>
      <c r="C534" s="5"/>
    </row>
    <row r="535" spans="1:3" ht="13">
      <c r="B535" s="5"/>
      <c r="C535" s="5"/>
    </row>
    <row r="536" spans="1:3" ht="13">
      <c r="B536" s="5"/>
      <c r="C536" s="5"/>
    </row>
    <row r="537" spans="1:3" ht="13">
      <c r="B537" s="5"/>
      <c r="C537" s="5"/>
    </row>
    <row r="538" spans="1:3" ht="13">
      <c r="B538" s="5"/>
      <c r="C538" s="5"/>
    </row>
    <row r="1001" spans="1:152" ht="13">
      <c r="A1001" s="1" t="s">
        <v>235</v>
      </c>
      <c r="AK1001" s="1">
        <f>AK440</f>
        <v>0</v>
      </c>
    </row>
    <row r="1002" spans="1:152" ht="13">
      <c r="B1002" s="2"/>
      <c r="C1002" s="2" t="s">
        <v>236</v>
      </c>
      <c r="D1002" s="6">
        <f t="shared" ref="D1002:AN1002" ca="1" si="3">D5/(D211-D208)</f>
        <v>2.0829452181130685</v>
      </c>
      <c r="E1002" s="6">
        <f t="shared" ca="1" si="3"/>
        <v>2.0482677613494631</v>
      </c>
      <c r="F1002" s="6">
        <f t="shared" ca="1" si="3"/>
        <v>2.2932069340566379</v>
      </c>
      <c r="G1002" s="6">
        <f t="shared" ca="1" si="3"/>
        <v>1.8341053642145686</v>
      </c>
      <c r="H1002" s="6">
        <f t="shared" ca="1" si="3"/>
        <v>0.98765385628787594</v>
      </c>
      <c r="I1002" s="6" t="e">
        <f t="shared" si="3"/>
        <v>#DIV/0!</v>
      </c>
      <c r="J1002" s="6" t="e">
        <f t="shared" si="3"/>
        <v>#DIV/0!</v>
      </c>
      <c r="K1002" s="6" t="e">
        <f t="shared" si="3"/>
        <v>#DIV/0!</v>
      </c>
      <c r="L1002" s="6" t="e">
        <f t="shared" si="3"/>
        <v>#DIV/0!</v>
      </c>
      <c r="M1002" s="6" t="e">
        <f t="shared" si="3"/>
        <v>#DIV/0!</v>
      </c>
      <c r="N1002" s="6" t="e">
        <f t="shared" si="3"/>
        <v>#DIV/0!</v>
      </c>
      <c r="O1002" s="6" t="e">
        <f t="shared" si="3"/>
        <v>#DIV/0!</v>
      </c>
      <c r="P1002" s="6" t="e">
        <f t="shared" si="3"/>
        <v>#DIV/0!</v>
      </c>
      <c r="Q1002" s="6" t="e">
        <f t="shared" si="3"/>
        <v>#DIV/0!</v>
      </c>
      <c r="R1002" s="6" t="e">
        <f t="shared" si="3"/>
        <v>#DIV/0!</v>
      </c>
      <c r="S1002" s="6" t="e">
        <f t="shared" si="3"/>
        <v>#DIV/0!</v>
      </c>
      <c r="T1002" s="6" t="e">
        <f t="shared" si="3"/>
        <v>#DIV/0!</v>
      </c>
      <c r="U1002" s="6" t="e">
        <f t="shared" si="3"/>
        <v>#DIV/0!</v>
      </c>
      <c r="V1002" s="6" t="e">
        <f t="shared" si="3"/>
        <v>#DIV/0!</v>
      </c>
      <c r="W1002" s="6" t="e">
        <f t="shared" si="3"/>
        <v>#DIV/0!</v>
      </c>
      <c r="X1002" s="6" t="e">
        <f t="shared" si="3"/>
        <v>#DIV/0!</v>
      </c>
      <c r="Y1002" s="6" t="e">
        <f t="shared" si="3"/>
        <v>#DIV/0!</v>
      </c>
      <c r="Z1002" s="6" t="e">
        <f t="shared" si="3"/>
        <v>#DIV/0!</v>
      </c>
      <c r="AA1002" s="6" t="e">
        <f t="shared" si="3"/>
        <v>#DIV/0!</v>
      </c>
      <c r="AB1002" s="6" t="e">
        <f t="shared" si="3"/>
        <v>#DIV/0!</v>
      </c>
      <c r="AC1002" s="6" t="e">
        <f t="shared" si="3"/>
        <v>#DIV/0!</v>
      </c>
      <c r="AD1002" s="6" t="e">
        <f t="shared" si="3"/>
        <v>#DIV/0!</v>
      </c>
      <c r="AE1002" s="6" t="e">
        <f t="shared" si="3"/>
        <v>#DIV/0!</v>
      </c>
      <c r="AF1002" s="6" t="e">
        <f t="shared" si="3"/>
        <v>#DIV/0!</v>
      </c>
      <c r="AG1002" s="6" t="e">
        <f t="shared" si="3"/>
        <v>#DIV/0!</v>
      </c>
      <c r="AH1002" s="6" t="e">
        <f t="shared" si="3"/>
        <v>#DIV/0!</v>
      </c>
      <c r="AI1002" s="6" t="e">
        <f t="shared" si="3"/>
        <v>#DIV/0!</v>
      </c>
      <c r="AJ1002" s="6" t="e">
        <f t="shared" si="3"/>
        <v>#DIV/0!</v>
      </c>
      <c r="AK1002" s="6" t="e">
        <f t="shared" si="3"/>
        <v>#DIV/0!</v>
      </c>
      <c r="AL1002" s="6" t="e">
        <f t="shared" si="3"/>
        <v>#DIV/0!</v>
      </c>
      <c r="AM1002" s="6" t="e">
        <f t="shared" si="3"/>
        <v>#DIV/0!</v>
      </c>
      <c r="AN1002" s="6" t="e">
        <f t="shared" si="3"/>
        <v>#DIV/0!</v>
      </c>
      <c r="AO1002" s="6"/>
    </row>
    <row r="1003" spans="1:152" ht="13">
      <c r="B1003" s="2"/>
      <c r="C1003" s="1" t="s">
        <v>237</v>
      </c>
      <c r="D1003" s="6">
        <f t="shared" ref="D1003:AI1003" ca="1" si="4">(((D440+D15+D28))-(D18))/(D211-D208)</f>
        <v>1.574264502443973</v>
      </c>
      <c r="E1003" s="6">
        <f t="shared" ca="1" si="4"/>
        <v>1.4494617405940833</v>
      </c>
      <c r="F1003" s="6">
        <f t="shared" ca="1" si="4"/>
        <v>1.7896150282652774</v>
      </c>
      <c r="G1003" s="6">
        <f t="shared" ca="1" si="4"/>
        <v>1.3191647665906636</v>
      </c>
      <c r="H1003" s="6">
        <f t="shared" ca="1" si="4"/>
        <v>0.77324312116535554</v>
      </c>
      <c r="I1003" s="6" t="e">
        <f t="shared" si="4"/>
        <v>#DIV/0!</v>
      </c>
      <c r="J1003" s="6" t="e">
        <f t="shared" si="4"/>
        <v>#DIV/0!</v>
      </c>
      <c r="K1003" s="6" t="e">
        <f t="shared" si="4"/>
        <v>#DIV/0!</v>
      </c>
      <c r="L1003" s="6" t="e">
        <f t="shared" si="4"/>
        <v>#DIV/0!</v>
      </c>
      <c r="M1003" s="6" t="e">
        <f t="shared" si="4"/>
        <v>#DIV/0!</v>
      </c>
      <c r="N1003" s="6" t="e">
        <f t="shared" si="4"/>
        <v>#DIV/0!</v>
      </c>
      <c r="O1003" s="6" t="e">
        <f t="shared" si="4"/>
        <v>#DIV/0!</v>
      </c>
      <c r="P1003" s="6" t="e">
        <f t="shared" si="4"/>
        <v>#DIV/0!</v>
      </c>
      <c r="Q1003" s="6" t="e">
        <f t="shared" si="4"/>
        <v>#DIV/0!</v>
      </c>
      <c r="R1003" s="6" t="e">
        <f t="shared" si="4"/>
        <v>#DIV/0!</v>
      </c>
      <c r="S1003" s="6" t="e">
        <f t="shared" si="4"/>
        <v>#DIV/0!</v>
      </c>
      <c r="T1003" s="6" t="e">
        <f t="shared" si="4"/>
        <v>#DIV/0!</v>
      </c>
      <c r="U1003" s="6" t="e">
        <f t="shared" si="4"/>
        <v>#DIV/0!</v>
      </c>
      <c r="V1003" s="6" t="e">
        <f t="shared" si="4"/>
        <v>#DIV/0!</v>
      </c>
      <c r="W1003" s="6" t="e">
        <f t="shared" si="4"/>
        <v>#DIV/0!</v>
      </c>
      <c r="X1003" s="6" t="e">
        <f t="shared" si="4"/>
        <v>#DIV/0!</v>
      </c>
      <c r="Y1003" s="6" t="e">
        <f t="shared" si="4"/>
        <v>#DIV/0!</v>
      </c>
      <c r="Z1003" s="6" t="e">
        <f t="shared" si="4"/>
        <v>#DIV/0!</v>
      </c>
      <c r="AA1003" s="6" t="e">
        <f t="shared" si="4"/>
        <v>#DIV/0!</v>
      </c>
      <c r="AB1003" s="6" t="e">
        <f t="shared" si="4"/>
        <v>#DIV/0!</v>
      </c>
      <c r="AC1003" s="6" t="e">
        <f t="shared" si="4"/>
        <v>#DIV/0!</v>
      </c>
      <c r="AD1003" s="6" t="e">
        <f t="shared" si="4"/>
        <v>#DIV/0!</v>
      </c>
      <c r="AE1003" s="6" t="e">
        <f t="shared" si="4"/>
        <v>#DIV/0!</v>
      </c>
      <c r="AF1003" s="6" t="e">
        <f t="shared" si="4"/>
        <v>#DIV/0!</v>
      </c>
      <c r="AG1003" s="6" t="e">
        <f t="shared" si="4"/>
        <v>#DIV/0!</v>
      </c>
      <c r="AH1003" s="6" t="e">
        <f t="shared" si="4"/>
        <v>#DIV/0!</v>
      </c>
      <c r="AI1003" s="6" t="e">
        <f t="shared" si="4"/>
        <v>#DIV/0!</v>
      </c>
      <c r="AJ1003" s="6" t="e">
        <f t="shared" ref="AJ1003:AN1003" si="5">IF(ISBLANK(AJ440),"",((AJ440+AJ15+AJ28))-(AJ18))/(AJ211-AJ208)</f>
        <v>#VALUE!</v>
      </c>
      <c r="AK1003" s="6" t="e">
        <f t="shared" si="5"/>
        <v>#VALUE!</v>
      </c>
      <c r="AL1003" s="6" t="e">
        <f t="shared" si="5"/>
        <v>#VALUE!</v>
      </c>
      <c r="AM1003" s="6" t="e">
        <f t="shared" si="5"/>
        <v>#VALUE!</v>
      </c>
      <c r="AN1003" s="6" t="e">
        <f t="shared" si="5"/>
        <v>#VALUE!</v>
      </c>
      <c r="AO1003" s="6"/>
    </row>
    <row r="1004" spans="1:152" ht="15.75" customHeight="1">
      <c r="B1004" s="2"/>
      <c r="C1004" s="1" t="s">
        <v>238</v>
      </c>
      <c r="D1004" s="3">
        <f t="shared" ref="D1004:AN1004" ca="1" si="6">DATEVALUE(LEFT(D2,10))</f>
        <v>45563</v>
      </c>
      <c r="E1004" s="3">
        <f t="shared" ca="1" si="6"/>
        <v>45199</v>
      </c>
      <c r="F1004" s="3">
        <f t="shared" ca="1" si="6"/>
        <v>44828</v>
      </c>
      <c r="G1004" s="3">
        <f t="shared" ca="1" si="6"/>
        <v>44464</v>
      </c>
      <c r="H1004" s="3">
        <f t="shared" ca="1" si="6"/>
        <v>44100</v>
      </c>
      <c r="I1004" s="3" t="e">
        <f t="shared" si="6"/>
        <v>#VALUE!</v>
      </c>
      <c r="J1004" s="3" t="e">
        <f t="shared" si="6"/>
        <v>#VALUE!</v>
      </c>
      <c r="K1004" s="3" t="e">
        <f t="shared" si="6"/>
        <v>#VALUE!</v>
      </c>
      <c r="L1004" s="3" t="e">
        <f t="shared" si="6"/>
        <v>#VALUE!</v>
      </c>
      <c r="M1004" s="3" t="e">
        <f t="shared" si="6"/>
        <v>#VALUE!</v>
      </c>
      <c r="N1004" s="3" t="e">
        <f t="shared" si="6"/>
        <v>#VALUE!</v>
      </c>
      <c r="O1004" s="3" t="e">
        <f t="shared" si="6"/>
        <v>#VALUE!</v>
      </c>
      <c r="P1004" s="3" t="e">
        <f t="shared" si="6"/>
        <v>#VALUE!</v>
      </c>
      <c r="Q1004" s="3" t="e">
        <f t="shared" si="6"/>
        <v>#VALUE!</v>
      </c>
      <c r="R1004" s="3" t="e">
        <f t="shared" si="6"/>
        <v>#VALUE!</v>
      </c>
      <c r="S1004" s="3" t="e">
        <f t="shared" si="6"/>
        <v>#VALUE!</v>
      </c>
      <c r="T1004" s="3" t="e">
        <f t="shared" si="6"/>
        <v>#VALUE!</v>
      </c>
      <c r="U1004" s="3" t="e">
        <f t="shared" si="6"/>
        <v>#VALUE!</v>
      </c>
      <c r="V1004" s="3" t="e">
        <f t="shared" si="6"/>
        <v>#VALUE!</v>
      </c>
      <c r="W1004" s="3" t="e">
        <f t="shared" si="6"/>
        <v>#VALUE!</v>
      </c>
      <c r="X1004" s="3" t="e">
        <f t="shared" si="6"/>
        <v>#VALUE!</v>
      </c>
      <c r="Y1004" s="3" t="e">
        <f t="shared" si="6"/>
        <v>#VALUE!</v>
      </c>
      <c r="Z1004" s="3" t="e">
        <f t="shared" si="6"/>
        <v>#VALUE!</v>
      </c>
      <c r="AA1004" s="3" t="e">
        <f t="shared" si="6"/>
        <v>#VALUE!</v>
      </c>
      <c r="AB1004" s="3" t="e">
        <f t="shared" si="6"/>
        <v>#VALUE!</v>
      </c>
      <c r="AC1004" s="3" t="e">
        <f t="shared" si="6"/>
        <v>#VALUE!</v>
      </c>
      <c r="AD1004" s="3" t="e">
        <f t="shared" si="6"/>
        <v>#VALUE!</v>
      </c>
      <c r="AE1004" s="3" t="e">
        <f t="shared" si="6"/>
        <v>#VALUE!</v>
      </c>
      <c r="AF1004" s="3" t="e">
        <f t="shared" si="6"/>
        <v>#VALUE!</v>
      </c>
      <c r="AG1004" s="3" t="e">
        <f t="shared" si="6"/>
        <v>#VALUE!</v>
      </c>
      <c r="AH1004" s="3" t="e">
        <f t="shared" si="6"/>
        <v>#VALUE!</v>
      </c>
      <c r="AI1004" s="3" t="e">
        <f t="shared" si="6"/>
        <v>#VALUE!</v>
      </c>
      <c r="AJ1004" s="3" t="e">
        <f t="shared" si="6"/>
        <v>#VALUE!</v>
      </c>
      <c r="AK1004" s="3" t="e">
        <f t="shared" si="6"/>
        <v>#VALUE!</v>
      </c>
      <c r="AL1004" s="3" t="e">
        <f t="shared" si="6"/>
        <v>#VALUE!</v>
      </c>
      <c r="AM1004" s="3" t="e">
        <f t="shared" si="6"/>
        <v>#VALUE!</v>
      </c>
      <c r="AN1004" s="3" t="e">
        <f t="shared" si="6"/>
        <v>#VALUE!</v>
      </c>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row>
    <row r="1005" spans="1:152" ht="15.75" customHeight="1">
      <c r="B1005" s="2"/>
      <c r="C1005" s="1" t="s">
        <v>239</v>
      </c>
      <c r="D1005" s="3">
        <f t="shared" ref="D1005:AN1005" ca="1" si="7">D440-D441</f>
        <v>127701000000</v>
      </c>
      <c r="E1005" s="3">
        <f t="shared" ca="1" si="7"/>
        <v>121502000000</v>
      </c>
      <c r="F1005" s="3">
        <f t="shared" ca="1" si="7"/>
        <v>132859000000</v>
      </c>
      <c r="G1005" s="3">
        <f t="shared" ca="1" si="7"/>
        <v>115123000000</v>
      </c>
      <c r="H1005" s="3">
        <f t="shared" ca="1" si="7"/>
        <v>87983000000</v>
      </c>
      <c r="I1005" s="3">
        <f t="shared" si="7"/>
        <v>0</v>
      </c>
      <c r="J1005" s="3">
        <f t="shared" si="7"/>
        <v>0</v>
      </c>
      <c r="K1005" s="3">
        <f t="shared" si="7"/>
        <v>0</v>
      </c>
      <c r="L1005" s="3">
        <f t="shared" si="7"/>
        <v>0</v>
      </c>
      <c r="M1005" s="3">
        <f t="shared" si="7"/>
        <v>0</v>
      </c>
      <c r="N1005" s="3">
        <f t="shared" si="7"/>
        <v>0</v>
      </c>
      <c r="O1005" s="3">
        <f t="shared" si="7"/>
        <v>0</v>
      </c>
      <c r="P1005" s="3">
        <f t="shared" si="7"/>
        <v>0</v>
      </c>
      <c r="Q1005" s="3">
        <f t="shared" si="7"/>
        <v>0</v>
      </c>
      <c r="R1005" s="3">
        <f t="shared" si="7"/>
        <v>0</v>
      </c>
      <c r="S1005" s="3">
        <f t="shared" si="7"/>
        <v>0</v>
      </c>
      <c r="T1005" s="3">
        <f t="shared" si="7"/>
        <v>0</v>
      </c>
      <c r="U1005" s="3">
        <f t="shared" si="7"/>
        <v>0</v>
      </c>
      <c r="V1005" s="3">
        <f t="shared" si="7"/>
        <v>0</v>
      </c>
      <c r="W1005" s="3">
        <f t="shared" si="7"/>
        <v>0</v>
      </c>
      <c r="X1005" s="3">
        <f t="shared" si="7"/>
        <v>0</v>
      </c>
      <c r="Y1005" s="3">
        <f t="shared" si="7"/>
        <v>0</v>
      </c>
      <c r="Z1005" s="3">
        <f t="shared" si="7"/>
        <v>0</v>
      </c>
      <c r="AA1005" s="3">
        <f t="shared" si="7"/>
        <v>0</v>
      </c>
      <c r="AB1005" s="3">
        <f t="shared" si="7"/>
        <v>0</v>
      </c>
      <c r="AC1005" s="3">
        <f t="shared" si="7"/>
        <v>0</v>
      </c>
      <c r="AD1005" s="3">
        <f t="shared" si="7"/>
        <v>0</v>
      </c>
      <c r="AE1005" s="3">
        <f t="shared" si="7"/>
        <v>0</v>
      </c>
      <c r="AF1005" s="3">
        <f t="shared" si="7"/>
        <v>0</v>
      </c>
      <c r="AG1005" s="3">
        <f t="shared" si="7"/>
        <v>0</v>
      </c>
      <c r="AH1005" s="3">
        <f t="shared" si="7"/>
        <v>0</v>
      </c>
      <c r="AI1005" s="3">
        <f t="shared" si="7"/>
        <v>0</v>
      </c>
      <c r="AJ1005" s="3">
        <f t="shared" si="7"/>
        <v>0</v>
      </c>
      <c r="AK1005" s="3">
        <f t="shared" si="7"/>
        <v>0</v>
      </c>
      <c r="AL1005" s="3">
        <f t="shared" si="7"/>
        <v>0</v>
      </c>
      <c r="AM1005" s="3">
        <f t="shared" si="7"/>
        <v>0</v>
      </c>
      <c r="AN1005" s="3">
        <f t="shared" si="7"/>
        <v>0</v>
      </c>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row>
    <row r="1006" spans="1:152" ht="15.75" customHeight="1">
      <c r="B1006" s="2"/>
      <c r="C1006" s="1" t="s">
        <v>12</v>
      </c>
      <c r="D1006" s="3">
        <f t="shared" ref="D1006:AN1006" ca="1" si="8">D1005/(D221+D207+D208)</f>
        <v>0.3718648717119919</v>
      </c>
      <c r="E1006" s="3">
        <f t="shared" ca="1" si="8"/>
        <v>0.36645885926100186</v>
      </c>
      <c r="F1006" s="3">
        <f t="shared" ca="1" si="8"/>
        <v>0.40681168206842916</v>
      </c>
      <c r="G1006" s="3">
        <f t="shared" ca="1" si="8"/>
        <v>0.34852911347184928</v>
      </c>
      <c r="H1006" s="3">
        <f t="shared" ca="1" si="8"/>
        <v>0.28513788108101101</v>
      </c>
      <c r="I1006" s="3" t="e">
        <f t="shared" si="8"/>
        <v>#DIV/0!</v>
      </c>
      <c r="J1006" s="3" t="e">
        <f t="shared" si="8"/>
        <v>#DIV/0!</v>
      </c>
      <c r="K1006" s="3" t="e">
        <f t="shared" si="8"/>
        <v>#DIV/0!</v>
      </c>
      <c r="L1006" s="3" t="e">
        <f t="shared" si="8"/>
        <v>#DIV/0!</v>
      </c>
      <c r="M1006" s="3" t="e">
        <f t="shared" si="8"/>
        <v>#DIV/0!</v>
      </c>
      <c r="N1006" s="3" t="e">
        <f t="shared" si="8"/>
        <v>#DIV/0!</v>
      </c>
      <c r="O1006" s="3" t="e">
        <f t="shared" si="8"/>
        <v>#DIV/0!</v>
      </c>
      <c r="P1006" s="3" t="e">
        <f t="shared" si="8"/>
        <v>#DIV/0!</v>
      </c>
      <c r="Q1006" s="3" t="e">
        <f t="shared" si="8"/>
        <v>#DIV/0!</v>
      </c>
      <c r="R1006" s="3" t="e">
        <f t="shared" si="8"/>
        <v>#DIV/0!</v>
      </c>
      <c r="S1006" s="3" t="e">
        <f t="shared" si="8"/>
        <v>#DIV/0!</v>
      </c>
      <c r="T1006" s="3" t="e">
        <f t="shared" si="8"/>
        <v>#DIV/0!</v>
      </c>
      <c r="U1006" s="3" t="e">
        <f t="shared" si="8"/>
        <v>#DIV/0!</v>
      </c>
      <c r="V1006" s="3" t="e">
        <f t="shared" si="8"/>
        <v>#DIV/0!</v>
      </c>
      <c r="W1006" s="3" t="e">
        <f t="shared" si="8"/>
        <v>#DIV/0!</v>
      </c>
      <c r="X1006" s="3" t="e">
        <f t="shared" si="8"/>
        <v>#DIV/0!</v>
      </c>
      <c r="Y1006" s="3" t="e">
        <f t="shared" si="8"/>
        <v>#DIV/0!</v>
      </c>
      <c r="Z1006" s="3" t="e">
        <f t="shared" si="8"/>
        <v>#DIV/0!</v>
      </c>
      <c r="AA1006" s="3" t="e">
        <f t="shared" si="8"/>
        <v>#DIV/0!</v>
      </c>
      <c r="AB1006" s="3" t="e">
        <f t="shared" si="8"/>
        <v>#DIV/0!</v>
      </c>
      <c r="AC1006" s="3" t="e">
        <f t="shared" si="8"/>
        <v>#DIV/0!</v>
      </c>
      <c r="AD1006" s="3" t="e">
        <f t="shared" si="8"/>
        <v>#DIV/0!</v>
      </c>
      <c r="AE1006" s="3" t="e">
        <f t="shared" si="8"/>
        <v>#DIV/0!</v>
      </c>
      <c r="AF1006" s="3" t="e">
        <f t="shared" si="8"/>
        <v>#DIV/0!</v>
      </c>
      <c r="AG1006" s="3" t="e">
        <f t="shared" si="8"/>
        <v>#DIV/0!</v>
      </c>
      <c r="AH1006" s="3" t="e">
        <f t="shared" si="8"/>
        <v>#DIV/0!</v>
      </c>
      <c r="AI1006" s="3" t="e">
        <f t="shared" si="8"/>
        <v>#DIV/0!</v>
      </c>
      <c r="AJ1006" s="3" t="e">
        <f t="shared" si="8"/>
        <v>#DIV/0!</v>
      </c>
      <c r="AK1006" s="3" t="e">
        <f t="shared" si="8"/>
        <v>#DIV/0!</v>
      </c>
      <c r="AL1006" s="3" t="e">
        <f t="shared" si="8"/>
        <v>#DIV/0!</v>
      </c>
      <c r="AM1006" s="3" t="e">
        <f t="shared" si="8"/>
        <v>#DIV/0!</v>
      </c>
      <c r="AN1006" s="3" t="e">
        <f t="shared" si="8"/>
        <v>#DIV/0!</v>
      </c>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row>
    <row r="1007" spans="1:152" ht="15.75" customHeight="1">
      <c r="B1007" s="2"/>
      <c r="C1007" s="3" t="s">
        <v>240</v>
      </c>
      <c r="D1007" s="3">
        <f t="shared" ref="D1007:AN1007" ca="1" si="9">D431+D423+D515</f>
        <v>-119048000000</v>
      </c>
      <c r="E1007" s="3">
        <f t="shared" ca="1" si="9"/>
        <v>-104783000000</v>
      </c>
      <c r="F1007" s="3">
        <f t="shared" ca="1" si="9"/>
        <v>-133103000000</v>
      </c>
      <c r="G1007" s="3">
        <f t="shared" ca="1" si="9"/>
        <v>-107898000000</v>
      </c>
      <c r="H1007" s="3">
        <f t="shared" ca="1" si="9"/>
        <v>-91109000000</v>
      </c>
      <c r="I1007" s="3">
        <f t="shared" si="9"/>
        <v>0</v>
      </c>
      <c r="J1007" s="3">
        <f t="shared" si="9"/>
        <v>0</v>
      </c>
      <c r="K1007" s="3">
        <f t="shared" si="9"/>
        <v>0</v>
      </c>
      <c r="L1007" s="3">
        <f t="shared" si="9"/>
        <v>0</v>
      </c>
      <c r="M1007" s="3">
        <f t="shared" si="9"/>
        <v>0</v>
      </c>
      <c r="N1007" s="3">
        <f t="shared" si="9"/>
        <v>0</v>
      </c>
      <c r="O1007" s="3">
        <f t="shared" si="9"/>
        <v>0</v>
      </c>
      <c r="P1007" s="3">
        <f t="shared" si="9"/>
        <v>0</v>
      </c>
      <c r="Q1007" s="3">
        <f t="shared" si="9"/>
        <v>0</v>
      </c>
      <c r="R1007" s="3">
        <f t="shared" si="9"/>
        <v>0</v>
      </c>
      <c r="S1007" s="3">
        <f t="shared" si="9"/>
        <v>0</v>
      </c>
      <c r="T1007" s="3">
        <f t="shared" si="9"/>
        <v>0</v>
      </c>
      <c r="U1007" s="3">
        <f t="shared" si="9"/>
        <v>0</v>
      </c>
      <c r="V1007" s="3">
        <f t="shared" si="9"/>
        <v>0</v>
      </c>
      <c r="W1007" s="3">
        <f t="shared" si="9"/>
        <v>0</v>
      </c>
      <c r="X1007" s="3">
        <f t="shared" si="9"/>
        <v>0</v>
      </c>
      <c r="Y1007" s="3">
        <f t="shared" si="9"/>
        <v>0</v>
      </c>
      <c r="Z1007" s="3">
        <f t="shared" si="9"/>
        <v>0</v>
      </c>
      <c r="AA1007" s="3">
        <f t="shared" si="9"/>
        <v>0</v>
      </c>
      <c r="AB1007" s="3">
        <f t="shared" si="9"/>
        <v>0</v>
      </c>
      <c r="AC1007" s="3">
        <f t="shared" si="9"/>
        <v>0</v>
      </c>
      <c r="AD1007" s="3">
        <f t="shared" si="9"/>
        <v>0</v>
      </c>
      <c r="AE1007" s="3">
        <f t="shared" si="9"/>
        <v>0</v>
      </c>
      <c r="AF1007" s="3">
        <f t="shared" si="9"/>
        <v>0</v>
      </c>
      <c r="AG1007" s="3">
        <f t="shared" si="9"/>
        <v>0</v>
      </c>
      <c r="AH1007" s="3">
        <f t="shared" si="9"/>
        <v>0</v>
      </c>
      <c r="AI1007" s="3">
        <f t="shared" si="9"/>
        <v>0</v>
      </c>
      <c r="AJ1007" s="3">
        <f t="shared" si="9"/>
        <v>0</v>
      </c>
      <c r="AK1007" s="3">
        <f t="shared" si="9"/>
        <v>0</v>
      </c>
      <c r="AL1007" s="3">
        <f t="shared" si="9"/>
        <v>0</v>
      </c>
      <c r="AM1007" s="3">
        <f t="shared" si="9"/>
        <v>0</v>
      </c>
      <c r="AN1007" s="3">
        <f t="shared" si="9"/>
        <v>0</v>
      </c>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Data1</vt:lpstr>
      <vt:lpstr>Funda</vt:lpstr>
      <vt:lpstr>Annual_test</vt:lpstr>
      <vt:lpstr>Annual</vt:lpstr>
      <vt:lpstr>Revenue Step</vt:lpstr>
      <vt:lpstr>Quarterly</vt:lpstr>
      <vt:lpstr>Ticker</vt:lpstr>
      <vt:lpstr>Quarterly Rev Step</vt:lpstr>
      <vt:lpstr>DCF</vt:lpstr>
      <vt:lpstr>WACC</vt:lpstr>
      <vt:lpstr>Portfolio</vt:lpstr>
      <vt:lpstr>Stocks</vt:lpstr>
      <vt:lpstr>VAR_inputs</vt:lpstr>
      <vt:lpstr>Port_Optimization</vt:lpstr>
      <vt:lpstr>Five_Factors</vt:lpstr>
      <vt:lpstr>MC_Stock_returns</vt:lpstr>
      <vt:lpstr>New_Opt</vt:lpstr>
      <vt:lpstr>MarketSnapshot</vt:lpstr>
      <vt:lpstr>Opt_strat</vt:lpstr>
      <vt:lpstr>Option_tws</vt:lpstr>
      <vt:lpstr>BSM</vt:lpstr>
      <vt:lpstr>BSM data</vt:lpstr>
      <vt:lpstr>Placing_Option</vt:lpstr>
      <vt:lpstr>Placing_Stock</vt:lpstr>
      <vt:lpstr>Annual1</vt:lpstr>
      <vt:lpstr>tgr</vt:lpstr>
      <vt:lpstr>wacc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RICHARD ADEDOYIN AGBAJE</cp:lastModifiedBy>
  <cp:revision/>
  <dcterms:created xsi:type="dcterms:W3CDTF">2025-05-31T10:40:11Z</dcterms:created>
  <dcterms:modified xsi:type="dcterms:W3CDTF">2025-07-28T17:49:20Z</dcterms:modified>
  <cp:category/>
  <cp:contentStatus/>
</cp:coreProperties>
</file>