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drawings/drawing3.xml" ContentType="application/vnd.openxmlformats-officedocument.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codeName="ThisWorkbook"/>
  <mc:AlternateContent xmlns:mc="http://schemas.openxmlformats.org/markup-compatibility/2006">
    <mc:Choice Requires="x15">
      <x15ac:absPath xmlns:x15ac="http://schemas.microsoft.com/office/spreadsheetml/2010/11/ac" url="/Users/richa/Downloads/"/>
    </mc:Choice>
  </mc:AlternateContent>
  <xr:revisionPtr revIDLastSave="0" documentId="8_{7F7FD494-578D-C64C-8903-250B77F31653}" xr6:coauthVersionLast="47" xr6:coauthVersionMax="47" xr10:uidLastSave="{00000000-0000-0000-0000-000000000000}"/>
  <bookViews>
    <workbookView xWindow="0" yWindow="720" windowWidth="29400" windowHeight="18400" activeTab="1" xr2:uid="{00000000-000D-0000-FFFF-FFFF00000000}"/>
  </bookViews>
  <sheets>
    <sheet name="Data1" sheetId="9" state="hidden" r:id="rId1"/>
    <sheet name="Funda" sheetId="2" r:id="rId2"/>
    <sheet name="Annual_test" sheetId="26" state="hidden" r:id="rId3"/>
    <sheet name="Annual" sheetId="6" r:id="rId4"/>
    <sheet name="Quarterly" sheetId="11" r:id="rId5"/>
    <sheet name="Ticker" sheetId="12" r:id="rId6"/>
    <sheet name="DCF" sheetId="14" r:id="rId7"/>
    <sheet name="WACC" sheetId="15" r:id="rId8"/>
    <sheet name="Revenue Step" sheetId="16" r:id="rId9"/>
    <sheet name="Portfolio" sheetId="20" r:id="rId10"/>
    <sheet name="Stocks" sheetId="21" r:id="rId11"/>
    <sheet name="VAR_inputs" sheetId="22" r:id="rId12"/>
    <sheet name="MC_Stock_returns" sheetId="27" r:id="rId13"/>
    <sheet name="BSM" sheetId="18" r:id="rId14"/>
    <sheet name="BSM data" sheetId="19" state="hidden" r:id="rId15"/>
    <sheet name="Placing_Option" sheetId="24" r:id="rId16"/>
    <sheet name="Placing_Stock" sheetId="25" r:id="rId17"/>
    <sheet name="Annual1" sheetId="5" state="hidden" r:id="rId18"/>
  </sheets>
  <definedNames>
    <definedName name="tgr">DCF!$E$21</definedName>
    <definedName name="wacc">DCF!$E$20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5" i="2" l="1"/>
  <c r="B2" i="2" a="1"/>
  <c r="B2" i="2" s="1"/>
  <c r="B6" i="2" a="1"/>
  <c r="B6" i="2" s="1"/>
  <c r="B22" i="2" s="1"/>
  <c r="I2" i="2"/>
  <c r="H3" i="24"/>
  <c r="B4" i="27"/>
  <c r="B2" i="19"/>
  <c r="B16" i="18"/>
  <c r="B17" i="18"/>
  <c r="B15" i="18"/>
  <c r="K10" i="18" s="1"/>
  <c r="H13" i="18"/>
  <c r="H12" i="18"/>
  <c r="H11" i="18"/>
  <c r="H10" i="18"/>
  <c r="H9" i="18"/>
  <c r="K11" i="18" s="1"/>
  <c r="B5" i="19"/>
  <c r="B4" i="19"/>
  <c r="B3" i="19"/>
  <c r="B19" i="25"/>
  <c r="B8" i="22"/>
  <c r="B6" i="22" s="1"/>
  <c r="G33" i="21"/>
  <c r="G34" i="21"/>
  <c r="G35" i="21"/>
  <c r="G36" i="21"/>
  <c r="G37" i="21"/>
  <c r="G38" i="21"/>
  <c r="G39" i="21"/>
  <c r="G40" i="21"/>
  <c r="G41" i="21"/>
  <c r="G42" i="21"/>
  <c r="G43" i="21"/>
  <c r="G44" i="21"/>
  <c r="G45" i="21"/>
  <c r="G46" i="21"/>
  <c r="G47" i="21"/>
  <c r="G48" i="21"/>
  <c r="G49" i="21"/>
  <c r="G50" i="21"/>
  <c r="G51" i="21"/>
  <c r="G52" i="21"/>
  <c r="G53" i="21"/>
  <c r="G54" i="21"/>
  <c r="G55" i="21"/>
  <c r="G56" i="21"/>
  <c r="G57" i="21"/>
  <c r="G58" i="21"/>
  <c r="G59" i="21"/>
  <c r="G60" i="21"/>
  <c r="G61" i="21"/>
  <c r="G62" i="21"/>
  <c r="G63" i="21"/>
  <c r="G64" i="21"/>
  <c r="G65" i="21"/>
  <c r="G66" i="21"/>
  <c r="G67" i="21"/>
  <c r="G68" i="21"/>
  <c r="G69" i="21"/>
  <c r="G70" i="21"/>
  <c r="G71" i="21"/>
  <c r="G72" i="21"/>
  <c r="G73" i="21"/>
  <c r="G74" i="21"/>
  <c r="G75" i="21"/>
  <c r="G76" i="21"/>
  <c r="G77" i="21"/>
  <c r="G78" i="21"/>
  <c r="G79" i="21"/>
  <c r="G80" i="21"/>
  <c r="G81" i="21"/>
  <c r="G82" i="21"/>
  <c r="G83" i="21"/>
  <c r="G84" i="21"/>
  <c r="G85" i="21"/>
  <c r="G86" i="21"/>
  <c r="G87" i="21"/>
  <c r="G88" i="21"/>
  <c r="G89" i="21"/>
  <c r="G90" i="21"/>
  <c r="G91" i="21"/>
  <c r="G92" i="21"/>
  <c r="G93" i="21"/>
  <c r="G94" i="21"/>
  <c r="G95" i="21"/>
  <c r="G96" i="21"/>
  <c r="G97" i="21"/>
  <c r="G98" i="21"/>
  <c r="G99" i="21"/>
  <c r="G100" i="21"/>
  <c r="G101" i="21"/>
  <c r="G102" i="21"/>
  <c r="G103" i="21"/>
  <c r="G104" i="21"/>
  <c r="G105" i="21"/>
  <c r="G106" i="21"/>
  <c r="G107" i="21"/>
  <c r="G108" i="21"/>
  <c r="G109" i="21"/>
  <c r="G110" i="21"/>
  <c r="G111" i="21"/>
  <c r="G112" i="21"/>
  <c r="G113" i="21"/>
  <c r="G114" i="21"/>
  <c r="G115" i="21"/>
  <c r="G116" i="21"/>
  <c r="G117" i="21"/>
  <c r="G118" i="21"/>
  <c r="G119" i="21"/>
  <c r="G120" i="21"/>
  <c r="G23" i="21"/>
  <c r="G24" i="21"/>
  <c r="G25" i="21"/>
  <c r="G26" i="21"/>
  <c r="G27" i="21"/>
  <c r="G28" i="21"/>
  <c r="G29" i="21"/>
  <c r="G30" i="21"/>
  <c r="G31" i="21"/>
  <c r="G32" i="21"/>
  <c r="C23" i="21" a="1"/>
  <c r="C23" i="21" s="1"/>
  <c r="L103" i="20"/>
  <c r="L102" i="20"/>
  <c r="L101" i="20"/>
  <c r="L100" i="20"/>
  <c r="L99" i="20"/>
  <c r="L98" i="20"/>
  <c r="L97" i="20"/>
  <c r="L96" i="20"/>
  <c r="L95" i="20"/>
  <c r="L94" i="20"/>
  <c r="L93" i="20"/>
  <c r="L92" i="20"/>
  <c r="L91" i="20"/>
  <c r="L90" i="20"/>
  <c r="L89" i="20"/>
  <c r="L88" i="20"/>
  <c r="L87" i="20"/>
  <c r="K120" i="21" a="1"/>
  <c r="K120" i="21" s="1"/>
  <c r="F120" i="21" a="1"/>
  <c r="F120" i="21" s="1"/>
  <c r="K119" i="21" a="1"/>
  <c r="K119" i="21" s="1"/>
  <c r="F119" i="21" a="1"/>
  <c r="F119" i="21" s="1"/>
  <c r="K118" i="21" a="1"/>
  <c r="K118" i="21" s="1"/>
  <c r="F118" i="21" a="1"/>
  <c r="F118" i="21" s="1"/>
  <c r="K117" i="21" a="1"/>
  <c r="K117" i="21" s="1"/>
  <c r="F117" i="21" a="1"/>
  <c r="F117" i="21" s="1"/>
  <c r="K116" i="21" a="1"/>
  <c r="K116" i="21" s="1"/>
  <c r="F116" i="21" a="1"/>
  <c r="F116" i="21" s="1"/>
  <c r="K115" i="21" a="1"/>
  <c r="K115" i="21" s="1"/>
  <c r="F115" i="21" a="1"/>
  <c r="F115" i="21" s="1"/>
  <c r="K114" i="21" a="1"/>
  <c r="K114" i="21" s="1"/>
  <c r="F114" i="21" a="1"/>
  <c r="F114" i="21" s="1"/>
  <c r="K113" i="21" a="1"/>
  <c r="K113" i="21" s="1"/>
  <c r="F113" i="21" a="1"/>
  <c r="F113" i="21" s="1"/>
  <c r="K112" i="21" a="1"/>
  <c r="K112" i="21" s="1"/>
  <c r="F112" i="21" a="1"/>
  <c r="F112" i="21" s="1"/>
  <c r="K111" i="21" a="1"/>
  <c r="K111" i="21" s="1"/>
  <c r="F111" i="21" a="1"/>
  <c r="F111" i="21" s="1"/>
  <c r="K110" i="21" a="1"/>
  <c r="K110" i="21" s="1"/>
  <c r="F110" i="21" a="1"/>
  <c r="F110" i="21" s="1"/>
  <c r="K109" i="21" a="1"/>
  <c r="K109" i="21" s="1"/>
  <c r="F109" i="21" a="1"/>
  <c r="F109" i="21" s="1"/>
  <c r="K108" i="21" a="1"/>
  <c r="K108" i="21" s="1"/>
  <c r="F108" i="21" a="1"/>
  <c r="F108" i="21" s="1"/>
  <c r="K107" i="21" a="1"/>
  <c r="K107" i="21" s="1"/>
  <c r="F107" i="21" a="1"/>
  <c r="F107" i="21" s="1"/>
  <c r="K106" i="21" a="1"/>
  <c r="K106" i="21" s="1"/>
  <c r="F106" i="21" a="1"/>
  <c r="F106" i="21" s="1"/>
  <c r="K105" i="21" a="1"/>
  <c r="K105" i="21" s="1"/>
  <c r="F105" i="21" a="1"/>
  <c r="F105" i="21" s="1"/>
  <c r="K104" i="21" a="1"/>
  <c r="K104" i="21" s="1"/>
  <c r="F104" i="21" a="1"/>
  <c r="F104" i="21" s="1"/>
  <c r="C104" i="21" a="1"/>
  <c r="C104" i="21" s="1"/>
  <c r="K103" i="21" a="1"/>
  <c r="K103" i="21" s="1"/>
  <c r="F103" i="21" a="1"/>
  <c r="F103" i="21" s="1"/>
  <c r="C103" i="21" a="1"/>
  <c r="C103" i="21" s="1"/>
  <c r="K102" i="21" a="1"/>
  <c r="K102" i="21" s="1"/>
  <c r="F102" i="21" a="1"/>
  <c r="F102" i="21" s="1"/>
  <c r="C102" i="21" a="1"/>
  <c r="C102" i="21" s="1"/>
  <c r="K101" i="21" a="1"/>
  <c r="K101" i="21" s="1"/>
  <c r="F101" i="21" a="1"/>
  <c r="F101" i="21" s="1"/>
  <c r="C101" i="21" a="1"/>
  <c r="C101" i="21" s="1"/>
  <c r="K100" i="21" a="1"/>
  <c r="K100" i="21" s="1"/>
  <c r="F100" i="21" a="1"/>
  <c r="F100" i="21" s="1"/>
  <c r="C100" i="21" a="1"/>
  <c r="C100" i="21" s="1"/>
  <c r="K99" i="21" a="1"/>
  <c r="K99" i="21" s="1"/>
  <c r="F99" i="21" a="1"/>
  <c r="F99" i="21" s="1"/>
  <c r="C99" i="21" a="1"/>
  <c r="C99" i="21" s="1"/>
  <c r="K98" i="21" a="1"/>
  <c r="K98" i="21" s="1"/>
  <c r="F98" i="21" a="1"/>
  <c r="F98" i="21" s="1"/>
  <c r="C98" i="21" a="1"/>
  <c r="C98" i="21" s="1"/>
  <c r="K97" i="21" a="1"/>
  <c r="K97" i="21" s="1"/>
  <c r="F97" i="21" a="1"/>
  <c r="F97" i="21" s="1"/>
  <c r="C97" i="21" a="1"/>
  <c r="C97" i="21" s="1"/>
  <c r="K96" i="21" a="1"/>
  <c r="K96" i="21" s="1"/>
  <c r="F96" i="21" a="1"/>
  <c r="F96" i="21" s="1"/>
  <c r="C96" i="21" a="1"/>
  <c r="C96" i="21" s="1"/>
  <c r="K95" i="21" a="1"/>
  <c r="K95" i="21" s="1"/>
  <c r="F95" i="21" a="1"/>
  <c r="F95" i="21" s="1"/>
  <c r="C95" i="21" a="1"/>
  <c r="C95" i="21" s="1"/>
  <c r="K94" i="21" a="1"/>
  <c r="K94" i="21" s="1"/>
  <c r="F94" i="21" a="1"/>
  <c r="F94" i="21" s="1"/>
  <c r="C94" i="21" a="1"/>
  <c r="C94" i="21" s="1"/>
  <c r="K93" i="21" a="1"/>
  <c r="K93" i="21" s="1"/>
  <c r="F93" i="21" a="1"/>
  <c r="F93" i="21" s="1"/>
  <c r="C93" i="21" a="1"/>
  <c r="C93" i="21" s="1"/>
  <c r="K92" i="21" a="1"/>
  <c r="K92" i="21" s="1"/>
  <c r="F92" i="21" a="1"/>
  <c r="F92" i="21" s="1"/>
  <c r="C92" i="21" a="1"/>
  <c r="C92" i="21" s="1"/>
  <c r="K91" i="21" a="1"/>
  <c r="K91" i="21" s="1"/>
  <c r="F91" i="21" a="1"/>
  <c r="F91" i="21" s="1"/>
  <c r="C91" i="21" a="1"/>
  <c r="C91" i="21" s="1"/>
  <c r="K90" i="21" a="1"/>
  <c r="K90" i="21" s="1"/>
  <c r="F90" i="21" a="1"/>
  <c r="F90" i="21" s="1"/>
  <c r="C90" i="21" a="1"/>
  <c r="C90" i="21" s="1"/>
  <c r="K89" i="21" a="1"/>
  <c r="K89" i="21" s="1"/>
  <c r="F89" i="21" a="1"/>
  <c r="F89" i="21" s="1"/>
  <c r="C89" i="21" a="1"/>
  <c r="C89" i="21" s="1"/>
  <c r="K88" i="21" a="1"/>
  <c r="K88" i="21" s="1"/>
  <c r="F88" i="21" a="1"/>
  <c r="F88" i="21" s="1"/>
  <c r="C88" i="21" a="1"/>
  <c r="C88" i="21" s="1"/>
  <c r="K87" i="21" a="1"/>
  <c r="K87" i="21" s="1"/>
  <c r="F87" i="21" a="1"/>
  <c r="F87" i="21" s="1"/>
  <c r="C87" i="21" a="1"/>
  <c r="C87" i="21" s="1"/>
  <c r="K86" i="21" a="1"/>
  <c r="K86" i="21" s="1"/>
  <c r="F86" i="21" a="1"/>
  <c r="F86" i="21" s="1"/>
  <c r="C86" i="21" a="1"/>
  <c r="C86" i="21" s="1"/>
  <c r="K85" i="21" a="1"/>
  <c r="K85" i="21" s="1"/>
  <c r="F85" i="21" a="1"/>
  <c r="F85" i="21" s="1"/>
  <c r="C85" i="21" a="1"/>
  <c r="C85" i="21" s="1"/>
  <c r="K84" i="21" a="1"/>
  <c r="K84" i="21" s="1"/>
  <c r="F84" i="21" a="1"/>
  <c r="F84" i="21" s="1"/>
  <c r="C84" i="21" a="1"/>
  <c r="C84" i="21" s="1"/>
  <c r="K83" i="21" a="1"/>
  <c r="K83" i="21" s="1"/>
  <c r="F83" i="21" a="1"/>
  <c r="F83" i="21" s="1"/>
  <c r="C83" i="21" a="1"/>
  <c r="C83" i="21" s="1"/>
  <c r="K82" i="21" a="1"/>
  <c r="K82" i="21" s="1"/>
  <c r="F82" i="21" a="1"/>
  <c r="F82" i="21" s="1"/>
  <c r="C82" i="21" a="1"/>
  <c r="C82" i="21" s="1"/>
  <c r="K81" i="21" a="1"/>
  <c r="K81" i="21" s="1"/>
  <c r="F81" i="21" a="1"/>
  <c r="F81" i="21" s="1"/>
  <c r="C81" i="21" a="1"/>
  <c r="C81" i="21" s="1"/>
  <c r="K80" i="21" a="1"/>
  <c r="K80" i="21" s="1"/>
  <c r="F80" i="21" a="1"/>
  <c r="F80" i="21" s="1"/>
  <c r="C80" i="21" a="1"/>
  <c r="C80" i="21" s="1"/>
  <c r="K79" i="21" a="1"/>
  <c r="K79" i="21" s="1"/>
  <c r="F79" i="21" a="1"/>
  <c r="F79" i="21" s="1"/>
  <c r="C79" i="21" a="1"/>
  <c r="C79" i="21" s="1"/>
  <c r="K78" i="21" a="1"/>
  <c r="K78" i="21" s="1"/>
  <c r="F78" i="21" a="1"/>
  <c r="F78" i="21" s="1"/>
  <c r="C78" i="21" a="1"/>
  <c r="C78" i="21" s="1"/>
  <c r="K77" i="21" a="1"/>
  <c r="K77" i="21" s="1"/>
  <c r="F77" i="21" a="1"/>
  <c r="F77" i="21" s="1"/>
  <c r="C77" i="21" a="1"/>
  <c r="C77" i="21" s="1"/>
  <c r="K76" i="21" a="1"/>
  <c r="K76" i="21" s="1"/>
  <c r="F76" i="21" a="1"/>
  <c r="F76" i="21" s="1"/>
  <c r="C76" i="21" a="1"/>
  <c r="C76" i="21" s="1"/>
  <c r="K75" i="21" a="1"/>
  <c r="K75" i="21" s="1"/>
  <c r="F75" i="21" a="1"/>
  <c r="F75" i="21" s="1"/>
  <c r="C75" i="21" a="1"/>
  <c r="C75" i="21" s="1"/>
  <c r="K74" i="21" a="1"/>
  <c r="K74" i="21" s="1"/>
  <c r="F74" i="21" a="1"/>
  <c r="F74" i="21" s="1"/>
  <c r="C74" i="21" a="1"/>
  <c r="C74" i="21" s="1"/>
  <c r="K73" i="21" a="1"/>
  <c r="K73" i="21" s="1"/>
  <c r="F73" i="21" a="1"/>
  <c r="F73" i="21" s="1"/>
  <c r="C73" i="21" a="1"/>
  <c r="C73" i="21" s="1"/>
  <c r="K72" i="21" a="1"/>
  <c r="K72" i="21" s="1"/>
  <c r="F72" i="21" a="1"/>
  <c r="F72" i="21" s="1"/>
  <c r="C72" i="21" a="1"/>
  <c r="C72" i="21" s="1"/>
  <c r="K71" i="21" a="1"/>
  <c r="K71" i="21" s="1"/>
  <c r="F71" i="21" a="1"/>
  <c r="F71" i="21" s="1"/>
  <c r="C71" i="21" a="1"/>
  <c r="C71" i="21" s="1"/>
  <c r="K70" i="21" a="1"/>
  <c r="K70" i="21" s="1"/>
  <c r="F70" i="21" a="1"/>
  <c r="F70" i="21" s="1"/>
  <c r="C70" i="21" a="1"/>
  <c r="C70" i="21" s="1"/>
  <c r="K69" i="21" a="1"/>
  <c r="K69" i="21" s="1"/>
  <c r="F69" i="21" a="1"/>
  <c r="F69" i="21" s="1"/>
  <c r="C69" i="21" a="1"/>
  <c r="C69" i="21" s="1"/>
  <c r="K68" i="21" a="1"/>
  <c r="K68" i="21" s="1"/>
  <c r="F68" i="21" a="1"/>
  <c r="F68" i="21" s="1"/>
  <c r="C68" i="21" a="1"/>
  <c r="C68" i="21" s="1"/>
  <c r="K67" i="21"/>
  <c r="K67" i="21" a="1"/>
  <c r="J67" i="21"/>
  <c r="F67" i="21"/>
  <c r="H67" i="21" s="1"/>
  <c r="F67" i="21" a="1"/>
  <c r="C67" i="21"/>
  <c r="C67" i="21" a="1"/>
  <c r="K66" i="21" a="1"/>
  <c r="K66" i="21" s="1"/>
  <c r="F66" i="21" a="1"/>
  <c r="F66" i="21" s="1"/>
  <c r="C66" i="21" a="1"/>
  <c r="C66" i="21" s="1"/>
  <c r="K65" i="21"/>
  <c r="K65" i="21" a="1"/>
  <c r="F65" i="21" a="1"/>
  <c r="F65" i="21" s="1"/>
  <c r="C65" i="21"/>
  <c r="C65" i="21" a="1"/>
  <c r="K64" i="21" a="1"/>
  <c r="K64" i="21" s="1"/>
  <c r="F64" i="21" a="1"/>
  <c r="F64" i="21" s="1"/>
  <c r="C64" i="21" a="1"/>
  <c r="C64" i="21" s="1"/>
  <c r="K63" i="21" a="1"/>
  <c r="K63" i="21" s="1"/>
  <c r="F63" i="21" a="1"/>
  <c r="F63" i="21" s="1"/>
  <c r="C63" i="21"/>
  <c r="C63" i="21" a="1"/>
  <c r="K62" i="21" a="1"/>
  <c r="K62" i="21" s="1"/>
  <c r="F62" i="21" a="1"/>
  <c r="F62" i="21" s="1"/>
  <c r="C62" i="21" a="1"/>
  <c r="C62" i="21" s="1"/>
  <c r="K61" i="21" a="1"/>
  <c r="K61" i="21" s="1"/>
  <c r="F61" i="21" a="1"/>
  <c r="F61" i="21" s="1"/>
  <c r="C61" i="21"/>
  <c r="C61" i="21" a="1"/>
  <c r="K60" i="21" a="1"/>
  <c r="K60" i="21" s="1"/>
  <c r="F60" i="21" a="1"/>
  <c r="F60" i="21" s="1"/>
  <c r="C60" i="21" a="1"/>
  <c r="C60" i="21" s="1"/>
  <c r="K59" i="21" a="1"/>
  <c r="K59" i="21" s="1"/>
  <c r="F59" i="21" a="1"/>
  <c r="F59" i="21" s="1"/>
  <c r="C59" i="21" a="1"/>
  <c r="C59" i="21" s="1"/>
  <c r="K58" i="21" a="1"/>
  <c r="K58" i="21" s="1"/>
  <c r="F58" i="21" a="1"/>
  <c r="F58" i="21" s="1"/>
  <c r="C58" i="21" a="1"/>
  <c r="C58" i="21" s="1"/>
  <c r="K57" i="21" a="1"/>
  <c r="K57" i="21" s="1"/>
  <c r="F57" i="21"/>
  <c r="J57" i="21" s="1"/>
  <c r="F57" i="21" a="1"/>
  <c r="C57" i="21" a="1"/>
  <c r="C57" i="21" s="1"/>
  <c r="K56" i="21" a="1"/>
  <c r="K56" i="21" s="1"/>
  <c r="F56" i="21" a="1"/>
  <c r="F56" i="21" s="1"/>
  <c r="C56" i="21" a="1"/>
  <c r="C56" i="21" s="1"/>
  <c r="K55" i="21"/>
  <c r="K55" i="21" a="1"/>
  <c r="F55" i="21" a="1"/>
  <c r="F55" i="21" s="1"/>
  <c r="C55" i="21" a="1"/>
  <c r="C55" i="21" s="1"/>
  <c r="K54" i="21" a="1"/>
  <c r="K54" i="21" s="1"/>
  <c r="F54" i="21" a="1"/>
  <c r="F54" i="21" s="1"/>
  <c r="C54" i="21" a="1"/>
  <c r="C54" i="21" s="1"/>
  <c r="K53" i="21" a="1"/>
  <c r="K53" i="21" s="1"/>
  <c r="F53" i="21" a="1"/>
  <c r="F53" i="21" s="1"/>
  <c r="C53" i="21"/>
  <c r="C53" i="21" a="1"/>
  <c r="K52" i="21" a="1"/>
  <c r="K52" i="21" s="1"/>
  <c r="F52" i="21" a="1"/>
  <c r="F52" i="21" s="1"/>
  <c r="C52" i="21" a="1"/>
  <c r="C52" i="21" s="1"/>
  <c r="K51" i="21"/>
  <c r="K51" i="21" a="1"/>
  <c r="F51" i="21" a="1"/>
  <c r="F51" i="21" s="1"/>
  <c r="C51" i="21" a="1"/>
  <c r="C51" i="21" s="1"/>
  <c r="K50" i="21" a="1"/>
  <c r="K50" i="21" s="1"/>
  <c r="F50" i="21" a="1"/>
  <c r="F50" i="21" s="1"/>
  <c r="H50" i="21" s="1"/>
  <c r="C50" i="21" a="1"/>
  <c r="C50" i="21" s="1"/>
  <c r="K49" i="21"/>
  <c r="K49" i="21" a="1"/>
  <c r="F49" i="21" a="1"/>
  <c r="F49" i="21" s="1"/>
  <c r="C49" i="21"/>
  <c r="C49" i="21" a="1"/>
  <c r="K48" i="21" a="1"/>
  <c r="K48" i="21" s="1"/>
  <c r="F48" i="21" a="1"/>
  <c r="F48" i="21" s="1"/>
  <c r="J48" i="21" s="1"/>
  <c r="C48" i="21" a="1"/>
  <c r="C48" i="21" s="1"/>
  <c r="K47" i="21" a="1"/>
  <c r="K47" i="21" s="1"/>
  <c r="F47" i="21"/>
  <c r="J47" i="21" s="1"/>
  <c r="F47" i="21" a="1"/>
  <c r="C47" i="21" a="1"/>
  <c r="C47" i="21" s="1"/>
  <c r="K46" i="21" a="1"/>
  <c r="K46" i="21" s="1"/>
  <c r="F46" i="21"/>
  <c r="J46" i="21" s="1"/>
  <c r="F46" i="21" a="1"/>
  <c r="C46" i="21" a="1"/>
  <c r="C46" i="21" s="1"/>
  <c r="K45" i="21" a="1"/>
  <c r="K45" i="21" s="1"/>
  <c r="F45" i="21" a="1"/>
  <c r="F45" i="21" s="1"/>
  <c r="C45" i="21" a="1"/>
  <c r="C45" i="21" s="1"/>
  <c r="K44" i="21" a="1"/>
  <c r="K44" i="21" s="1"/>
  <c r="F44" i="21" a="1"/>
  <c r="F44" i="21" s="1"/>
  <c r="C44" i="21"/>
  <c r="C44" i="21" a="1"/>
  <c r="K43" i="21" a="1"/>
  <c r="K43" i="21" s="1"/>
  <c r="F43" i="21" a="1"/>
  <c r="F43" i="21" s="1"/>
  <c r="J43" i="21" s="1"/>
  <c r="C43" i="21" a="1"/>
  <c r="C43" i="21" s="1"/>
  <c r="K42" i="21" a="1"/>
  <c r="K42" i="21" s="1"/>
  <c r="F42" i="21"/>
  <c r="H42" i="21" s="1"/>
  <c r="I42" i="21" s="1"/>
  <c r="F42" i="21" a="1"/>
  <c r="C42" i="21" a="1"/>
  <c r="C42" i="21" s="1"/>
  <c r="K41" i="21" a="1"/>
  <c r="K41" i="21" s="1"/>
  <c r="F41" i="21" a="1"/>
  <c r="F41" i="21" s="1"/>
  <c r="C41" i="21" a="1"/>
  <c r="C41" i="21" s="1"/>
  <c r="K40" i="21"/>
  <c r="K40" i="21" a="1"/>
  <c r="F40" i="21" a="1"/>
  <c r="F40" i="21" s="1"/>
  <c r="J40" i="21" s="1"/>
  <c r="C40" i="21" a="1"/>
  <c r="C40" i="21" s="1"/>
  <c r="K39" i="21" a="1"/>
  <c r="K39" i="21" s="1"/>
  <c r="F39" i="21" a="1"/>
  <c r="F39" i="21" s="1"/>
  <c r="C39" i="21" a="1"/>
  <c r="C39" i="21" s="1"/>
  <c r="K38" i="21" a="1"/>
  <c r="K38" i="21" s="1"/>
  <c r="F38" i="21" a="1"/>
  <c r="F38" i="21" s="1"/>
  <c r="C38" i="21"/>
  <c r="C38" i="21" a="1"/>
  <c r="K37" i="21" a="1"/>
  <c r="K37" i="21" s="1"/>
  <c r="F37" i="21" a="1"/>
  <c r="F37" i="21" s="1"/>
  <c r="C37" i="21" a="1"/>
  <c r="C37" i="21" s="1"/>
  <c r="K36" i="21" a="1"/>
  <c r="K36" i="21" s="1"/>
  <c r="F36" i="21" a="1"/>
  <c r="F36" i="21" s="1"/>
  <c r="C36" i="21" a="1"/>
  <c r="C36" i="21" s="1"/>
  <c r="K35" i="21" a="1"/>
  <c r="K35" i="21" s="1"/>
  <c r="F35" i="21" a="1"/>
  <c r="F35" i="21" s="1"/>
  <c r="C35" i="21" a="1"/>
  <c r="C35" i="21" s="1"/>
  <c r="K34" i="21" a="1"/>
  <c r="K34" i="21" s="1"/>
  <c r="F34" i="21" a="1"/>
  <c r="F34" i="21" s="1"/>
  <c r="J34" i="21" s="1"/>
  <c r="C34" i="21" a="1"/>
  <c r="C34" i="21" s="1"/>
  <c r="K33" i="21" a="1"/>
  <c r="K33" i="21" s="1"/>
  <c r="F33" i="21" a="1"/>
  <c r="F33" i="21" s="1"/>
  <c r="C33" i="21" a="1"/>
  <c r="C33" i="21" s="1"/>
  <c r="K32" i="21" a="1"/>
  <c r="K32" i="21" s="1"/>
  <c r="F32" i="21" a="1"/>
  <c r="F32" i="21" s="1"/>
  <c r="C32" i="21" a="1"/>
  <c r="C32" i="21" s="1"/>
  <c r="K31" i="21" a="1"/>
  <c r="K31" i="21" s="1"/>
  <c r="F31" i="21" a="1"/>
  <c r="F31" i="21" s="1"/>
  <c r="C31" i="21" a="1"/>
  <c r="C31" i="21" s="1"/>
  <c r="K30" i="21" a="1"/>
  <c r="K30" i="21" s="1"/>
  <c r="F30" i="21" a="1"/>
  <c r="F30" i="21" s="1"/>
  <c r="C30" i="21" a="1"/>
  <c r="C30" i="21" s="1"/>
  <c r="K29" i="21" a="1"/>
  <c r="K29" i="21" s="1"/>
  <c r="F29" i="21" a="1"/>
  <c r="F29" i="21" s="1"/>
  <c r="C29" i="21" a="1"/>
  <c r="C29" i="21" s="1"/>
  <c r="K28" i="21" a="1"/>
  <c r="K28" i="21" s="1"/>
  <c r="F28" i="21" a="1"/>
  <c r="F28" i="21" s="1"/>
  <c r="J28" i="21" s="1"/>
  <c r="C28" i="21" a="1"/>
  <c r="C28" i="21" s="1"/>
  <c r="K27" i="21" a="1"/>
  <c r="K27" i="21" s="1"/>
  <c r="F27" i="21" a="1"/>
  <c r="F27" i="21" s="1"/>
  <c r="H27" i="21" s="1"/>
  <c r="C27" i="21" a="1"/>
  <c r="C27" i="21" s="1"/>
  <c r="K26" i="21" a="1"/>
  <c r="K26" i="21" s="1"/>
  <c r="F26" i="21" a="1"/>
  <c r="F26" i="21" s="1"/>
  <c r="J26" i="21" s="1"/>
  <c r="C26" i="21" a="1"/>
  <c r="C26" i="21" s="1"/>
  <c r="K25" i="21" a="1"/>
  <c r="K25" i="21" s="1"/>
  <c r="F25" i="21" a="1"/>
  <c r="F25" i="21" s="1"/>
  <c r="C25" i="21" a="1"/>
  <c r="C25" i="21" s="1"/>
  <c r="K24" i="21" a="1"/>
  <c r="K24" i="21" s="1"/>
  <c r="F24" i="21" a="1"/>
  <c r="F24" i="21" s="1"/>
  <c r="J24" i="21" s="1"/>
  <c r="C24" i="21" a="1"/>
  <c r="C24" i="21" s="1"/>
  <c r="K23" i="21" a="1"/>
  <c r="K23" i="21" s="1"/>
  <c r="F23" i="21" a="1"/>
  <c r="F23" i="21" s="1"/>
  <c r="E17" i="15"/>
  <c r="Y103" i="14" s="1"/>
  <c r="R36" i="2"/>
  <c r="R52" i="14"/>
  <c r="E37" i="14"/>
  <c r="E52" i="14" s="1"/>
  <c r="M37" i="14"/>
  <c r="M52" i="14" s="1"/>
  <c r="N37" i="14"/>
  <c r="N52" i="14" s="1"/>
  <c r="R37" i="14"/>
  <c r="S37" i="14"/>
  <c r="S52" i="14" s="1"/>
  <c r="U37" i="14"/>
  <c r="U52" i="14" s="1"/>
  <c r="L23" i="14"/>
  <c r="K23" i="14" s="1"/>
  <c r="J23" i="14" s="1"/>
  <c r="I23" i="14" s="1"/>
  <c r="H23" i="14" s="1"/>
  <c r="G23" i="14" s="1"/>
  <c r="F23" i="14" s="1"/>
  <c r="E23" i="14" s="1"/>
  <c r="M23" i="14"/>
  <c r="O23" i="14"/>
  <c r="P23" i="14" s="1"/>
  <c r="Q23" i="14" s="1"/>
  <c r="R23" i="14" s="1"/>
  <c r="S23" i="14" s="1"/>
  <c r="T23" i="14" s="1"/>
  <c r="U23" i="14" s="1"/>
  <c r="V23" i="14" s="1"/>
  <c r="W23" i="14" s="1"/>
  <c r="X23" i="14" s="1"/>
  <c r="Y23" i="14" s="1"/>
  <c r="Y37" i="14" s="1"/>
  <c r="Y52" i="14" s="1"/>
  <c r="R5" i="2"/>
  <c r="K5" i="2"/>
  <c r="C4" i="14"/>
  <c r="O92" i="14"/>
  <c r="P92" i="14" s="1"/>
  <c r="Q92" i="14" s="1"/>
  <c r="R92" i="14" s="1"/>
  <c r="S92" i="14" s="1"/>
  <c r="T92" i="14" s="1"/>
  <c r="U92" i="14" s="1"/>
  <c r="V92" i="14" s="1"/>
  <c r="W92" i="14" s="1"/>
  <c r="X92" i="14" s="1"/>
  <c r="Y92" i="14" s="1"/>
  <c r="O91" i="14"/>
  <c r="P91" i="14" s="1"/>
  <c r="P90" i="14"/>
  <c r="Q90" i="14" s="1"/>
  <c r="R90" i="14" s="1"/>
  <c r="S90" i="14" s="1"/>
  <c r="T90" i="14" s="1"/>
  <c r="U90" i="14" s="1"/>
  <c r="V90" i="14" s="1"/>
  <c r="W90" i="14" s="1"/>
  <c r="X90" i="14" s="1"/>
  <c r="Y90" i="14" s="1"/>
  <c r="O90" i="14"/>
  <c r="O84" i="14"/>
  <c r="P84" i="14" s="1"/>
  <c r="Q84" i="14" s="1"/>
  <c r="R84" i="14" s="1"/>
  <c r="S84" i="14" s="1"/>
  <c r="T84" i="14" s="1"/>
  <c r="U84" i="14" s="1"/>
  <c r="V84" i="14" s="1"/>
  <c r="W84" i="14" s="1"/>
  <c r="X84" i="14" s="1"/>
  <c r="Y84" i="14" s="1"/>
  <c r="O83" i="14"/>
  <c r="P83" i="14" s="1"/>
  <c r="P81" i="14" s="1"/>
  <c r="O82" i="14"/>
  <c r="P82" i="14" s="1"/>
  <c r="Q82" i="14" s="1"/>
  <c r="R82" i="14" s="1"/>
  <c r="S82" i="14" s="1"/>
  <c r="T82" i="14" s="1"/>
  <c r="U82" i="14" s="1"/>
  <c r="V82" i="14" s="1"/>
  <c r="W82" i="14" s="1"/>
  <c r="X82" i="14" s="1"/>
  <c r="Y82" i="14" s="1"/>
  <c r="O77" i="14"/>
  <c r="P77" i="14" s="1"/>
  <c r="Q77" i="14" s="1"/>
  <c r="R77" i="14" s="1"/>
  <c r="S77" i="14" s="1"/>
  <c r="T77" i="14" s="1"/>
  <c r="U77" i="14" s="1"/>
  <c r="V77" i="14" s="1"/>
  <c r="W77" i="14" s="1"/>
  <c r="X77" i="14" s="1"/>
  <c r="Y77" i="14" s="1"/>
  <c r="P76" i="14"/>
  <c r="P74" i="14" s="1"/>
  <c r="O76" i="14"/>
  <c r="O74" i="14" s="1"/>
  <c r="O75" i="14"/>
  <c r="P75" i="14" s="1"/>
  <c r="Q75" i="14" s="1"/>
  <c r="R75" i="14" s="1"/>
  <c r="S75" i="14" s="1"/>
  <c r="T75" i="14" s="1"/>
  <c r="U75" i="14" s="1"/>
  <c r="V75" i="14" s="1"/>
  <c r="W75" i="14" s="1"/>
  <c r="X75" i="14" s="1"/>
  <c r="Y75" i="14" s="1"/>
  <c r="O69" i="14"/>
  <c r="P69" i="14" s="1"/>
  <c r="Q69" i="14" s="1"/>
  <c r="R69" i="14" s="1"/>
  <c r="S69" i="14" s="1"/>
  <c r="T69" i="14" s="1"/>
  <c r="U69" i="14" s="1"/>
  <c r="V69" i="14" s="1"/>
  <c r="W69" i="14" s="1"/>
  <c r="X69" i="14" s="1"/>
  <c r="Y69" i="14" s="1"/>
  <c r="O68" i="14"/>
  <c r="O66" i="14" s="1"/>
  <c r="O67" i="14"/>
  <c r="P67" i="14" s="1"/>
  <c r="Q67" i="14" s="1"/>
  <c r="R67" i="14" s="1"/>
  <c r="S67" i="14" s="1"/>
  <c r="T67" i="14" s="1"/>
  <c r="U67" i="14" s="1"/>
  <c r="V67" i="14" s="1"/>
  <c r="W67" i="14" s="1"/>
  <c r="X67" i="14" s="1"/>
  <c r="Y67" i="14" s="1"/>
  <c r="O63" i="14"/>
  <c r="P63" i="14" s="1"/>
  <c r="Q63" i="14" s="1"/>
  <c r="R63" i="14" s="1"/>
  <c r="S63" i="14" s="1"/>
  <c r="T63" i="14" s="1"/>
  <c r="U63" i="14" s="1"/>
  <c r="V63" i="14" s="1"/>
  <c r="W63" i="14" s="1"/>
  <c r="X63" i="14" s="1"/>
  <c r="Y63" i="14" s="1"/>
  <c r="O62" i="14"/>
  <c r="O60" i="14" s="1"/>
  <c r="O61" i="14"/>
  <c r="P61" i="14" s="1"/>
  <c r="Q61" i="14" s="1"/>
  <c r="R61" i="14" s="1"/>
  <c r="S61" i="14" s="1"/>
  <c r="T61" i="14" s="1"/>
  <c r="U61" i="14" s="1"/>
  <c r="V61" i="14" s="1"/>
  <c r="W61" i="14" s="1"/>
  <c r="X61" i="14" s="1"/>
  <c r="Y61" i="14" s="1"/>
  <c r="Y57" i="14"/>
  <c r="O57" i="14"/>
  <c r="Y56" i="14"/>
  <c r="Y54" i="14" s="1"/>
  <c r="O56" i="14"/>
  <c r="O54" i="14" s="1"/>
  <c r="Y55" i="14"/>
  <c r="O55" i="14"/>
  <c r="O22" i="14"/>
  <c r="P22" i="14" s="1"/>
  <c r="Q22" i="14" s="1"/>
  <c r="R22" i="14" s="1"/>
  <c r="S22" i="14" s="1"/>
  <c r="T22" i="14" s="1"/>
  <c r="U22" i="14" s="1"/>
  <c r="V22" i="14" s="1"/>
  <c r="W22" i="14" s="1"/>
  <c r="X22" i="14" s="1"/>
  <c r="Y22" i="14" s="1"/>
  <c r="B9" i="2" a="1"/>
  <c r="B9" i="2" s="1"/>
  <c r="Q22" i="2"/>
  <c r="Q59" i="2" s="1"/>
  <c r="B7" i="2" a="1"/>
  <c r="B7" i="2" s="1"/>
  <c r="B8" i="2" s="1"/>
  <c r="B16" i="2" s="1"/>
  <c r="B14" i="2" a="1"/>
  <c r="B14" i="2" s="1"/>
  <c r="B13" i="2" a="1"/>
  <c r="B13" i="2" s="1"/>
  <c r="E12" i="15" s="1"/>
  <c r="E15" i="15" s="1"/>
  <c r="B10" i="2" a="1"/>
  <c r="B10" i="2" s="1"/>
  <c r="Q11" i="2"/>
  <c r="R28" i="2"/>
  <c r="Q28" i="2"/>
  <c r="P28" i="2"/>
  <c r="O28" i="2"/>
  <c r="N28" i="2"/>
  <c r="M28" i="2"/>
  <c r="M29" i="2"/>
  <c r="M30" i="2"/>
  <c r="M27" i="2"/>
  <c r="L28" i="2"/>
  <c r="K28" i="2"/>
  <c r="J28" i="2"/>
  <c r="I28" i="2"/>
  <c r="H28" i="2"/>
  <c r="G28" i="2"/>
  <c r="F28" i="2"/>
  <c r="F6" i="2"/>
  <c r="G6" i="2"/>
  <c r="H6" i="2"/>
  <c r="I6" i="2"/>
  <c r="I59" i="2" s="1"/>
  <c r="J6" i="2"/>
  <c r="K6" i="2"/>
  <c r="L6" i="2"/>
  <c r="M6" i="2"/>
  <c r="N6" i="2"/>
  <c r="O6" i="2"/>
  <c r="P6" i="2"/>
  <c r="Q6" i="2"/>
  <c r="R6" i="2"/>
  <c r="Y105" i="14" s="1"/>
  <c r="F26" i="2"/>
  <c r="F27" i="2"/>
  <c r="F29" i="2"/>
  <c r="F30" i="2"/>
  <c r="F31" i="2"/>
  <c r="F32" i="2"/>
  <c r="F33" i="2"/>
  <c r="F25" i="2"/>
  <c r="G26" i="2"/>
  <c r="G27" i="2"/>
  <c r="G29" i="2"/>
  <c r="G30" i="2"/>
  <c r="G31" i="2"/>
  <c r="G32" i="2"/>
  <c r="G33" i="2"/>
  <c r="G25" i="2"/>
  <c r="H26" i="2"/>
  <c r="H27" i="2"/>
  <c r="H29" i="2"/>
  <c r="H30" i="2"/>
  <c r="H31" i="2"/>
  <c r="H32" i="2"/>
  <c r="H33" i="2"/>
  <c r="H25" i="2"/>
  <c r="F23" i="2"/>
  <c r="F35" i="2"/>
  <c r="F36" i="2"/>
  <c r="F37" i="2"/>
  <c r="F38" i="2"/>
  <c r="F39" i="2"/>
  <c r="F40" i="2"/>
  <c r="F41" i="2"/>
  <c r="F22" i="2"/>
  <c r="G23" i="2"/>
  <c r="G35" i="2"/>
  <c r="G36" i="2"/>
  <c r="G37" i="2"/>
  <c r="G38" i="2"/>
  <c r="G39" i="2"/>
  <c r="G40" i="2"/>
  <c r="G22" i="2"/>
  <c r="H23" i="2"/>
  <c r="H35" i="2"/>
  <c r="H36" i="2"/>
  <c r="H37" i="2"/>
  <c r="H38" i="2"/>
  <c r="H39" i="2"/>
  <c r="H40" i="2"/>
  <c r="H22" i="2"/>
  <c r="I22" i="2"/>
  <c r="H20" i="2"/>
  <c r="G9" i="2"/>
  <c r="G10" i="2"/>
  <c r="G11" i="2"/>
  <c r="G12" i="2"/>
  <c r="G13" i="2"/>
  <c r="G14" i="2"/>
  <c r="G15" i="2"/>
  <c r="G16" i="2"/>
  <c r="G20" i="2"/>
  <c r="G8" i="2"/>
  <c r="F9" i="2"/>
  <c r="F10" i="2"/>
  <c r="F11" i="2"/>
  <c r="F12" i="2"/>
  <c r="F13" i="2"/>
  <c r="F14" i="2"/>
  <c r="F15" i="2"/>
  <c r="F16" i="2"/>
  <c r="F20" i="2"/>
  <c r="F8" i="2"/>
  <c r="H9" i="2"/>
  <c r="H10" i="2"/>
  <c r="H11" i="2"/>
  <c r="H12" i="2"/>
  <c r="H13" i="2"/>
  <c r="H14" i="2"/>
  <c r="H15" i="2"/>
  <c r="H16" i="2"/>
  <c r="D31" i="14" s="1"/>
  <c r="H8" i="2"/>
  <c r="I8" i="2"/>
  <c r="E24" i="14" s="1"/>
  <c r="J13" i="2"/>
  <c r="F7" i="2"/>
  <c r="R39" i="2"/>
  <c r="I38" i="2"/>
  <c r="J36" i="2"/>
  <c r="J37" i="2"/>
  <c r="F43" i="14" s="1"/>
  <c r="F80" i="14" s="1"/>
  <c r="J38" i="2"/>
  <c r="J39" i="2"/>
  <c r="J40" i="2"/>
  <c r="J35" i="2"/>
  <c r="K36" i="2"/>
  <c r="K37" i="2"/>
  <c r="G43" i="14" s="1"/>
  <c r="K38" i="2"/>
  <c r="K39" i="2"/>
  <c r="K40" i="2"/>
  <c r="K35" i="2"/>
  <c r="L36" i="2"/>
  <c r="L37" i="2"/>
  <c r="H43" i="14" s="1"/>
  <c r="H80" i="14" s="1"/>
  <c r="L38" i="2"/>
  <c r="L39" i="2"/>
  <c r="L40" i="2"/>
  <c r="L35" i="2"/>
  <c r="M36" i="2"/>
  <c r="M37" i="2"/>
  <c r="I43" i="14" s="1"/>
  <c r="M38" i="2"/>
  <c r="M39" i="2"/>
  <c r="M40" i="2"/>
  <c r="M35" i="2"/>
  <c r="N36" i="2"/>
  <c r="N37" i="2"/>
  <c r="J43" i="14" s="1"/>
  <c r="J80" i="14" s="1"/>
  <c r="N38" i="2"/>
  <c r="N39" i="2"/>
  <c r="N40" i="2"/>
  <c r="N35" i="2"/>
  <c r="O36" i="2"/>
  <c r="O37" i="2"/>
  <c r="K43" i="14" s="1"/>
  <c r="K80" i="14" s="1"/>
  <c r="O38" i="2"/>
  <c r="O39" i="2"/>
  <c r="O40" i="2"/>
  <c r="O35" i="2"/>
  <c r="P36" i="2"/>
  <c r="P37" i="2"/>
  <c r="L43" i="14" s="1"/>
  <c r="L80" i="14" s="1"/>
  <c r="P38" i="2"/>
  <c r="P39" i="2"/>
  <c r="P40" i="2"/>
  <c r="P41" i="2"/>
  <c r="P35" i="2"/>
  <c r="Q36" i="2"/>
  <c r="Q37" i="2"/>
  <c r="M43" i="14" s="1"/>
  <c r="Q38" i="2"/>
  <c r="Q39" i="2"/>
  <c r="Q40" i="2"/>
  <c r="Q35" i="2"/>
  <c r="R37" i="2"/>
  <c r="N43" i="14" s="1"/>
  <c r="N80" i="14" s="1"/>
  <c r="R38" i="2"/>
  <c r="R40" i="2"/>
  <c r="R41" i="2"/>
  <c r="R35" i="2"/>
  <c r="I36" i="2"/>
  <c r="I37" i="2"/>
  <c r="E43" i="14" s="1"/>
  <c r="I39" i="2"/>
  <c r="I40" i="2"/>
  <c r="I41" i="2"/>
  <c r="I35" i="2"/>
  <c r="R26" i="2"/>
  <c r="R27" i="2"/>
  <c r="R29" i="2"/>
  <c r="R30" i="2"/>
  <c r="R53" i="2" s="1"/>
  <c r="R31" i="2"/>
  <c r="R32" i="2"/>
  <c r="R33" i="2"/>
  <c r="Q26" i="2"/>
  <c r="Q27" i="2"/>
  <c r="Q29" i="2"/>
  <c r="Q30" i="2"/>
  <c r="Q53" i="2" s="1"/>
  <c r="Q31" i="2"/>
  <c r="Q32" i="2"/>
  <c r="Q33" i="2"/>
  <c r="P26" i="2"/>
  <c r="P27" i="2"/>
  <c r="P29" i="2"/>
  <c r="P30" i="2"/>
  <c r="P53" i="2" s="1"/>
  <c r="P31" i="2"/>
  <c r="P32" i="2"/>
  <c r="P33" i="2"/>
  <c r="O26" i="2"/>
  <c r="O27" i="2"/>
  <c r="O29" i="2"/>
  <c r="O30" i="2"/>
  <c r="O31" i="2"/>
  <c r="O32" i="2"/>
  <c r="O33" i="2"/>
  <c r="N26" i="2"/>
  <c r="N27" i="2"/>
  <c r="N29" i="2"/>
  <c r="N30" i="2"/>
  <c r="N31" i="2"/>
  <c r="N32" i="2"/>
  <c r="N33" i="2"/>
  <c r="M25" i="2"/>
  <c r="M26" i="2"/>
  <c r="M31" i="2"/>
  <c r="M32" i="2"/>
  <c r="M33" i="2"/>
  <c r="L26" i="2"/>
  <c r="L27" i="2"/>
  <c r="L29" i="2"/>
  <c r="L30" i="2"/>
  <c r="L31" i="2"/>
  <c r="L32" i="2"/>
  <c r="L33" i="2"/>
  <c r="K26" i="2"/>
  <c r="K27" i="2"/>
  <c r="K29" i="2"/>
  <c r="K30" i="2"/>
  <c r="K31" i="2"/>
  <c r="K32" i="2"/>
  <c r="K33" i="2"/>
  <c r="J26" i="2"/>
  <c r="J27" i="2"/>
  <c r="J29" i="2"/>
  <c r="J30" i="2"/>
  <c r="J31" i="2"/>
  <c r="J32" i="2"/>
  <c r="J33" i="2"/>
  <c r="I27" i="2"/>
  <c r="I29" i="2"/>
  <c r="I30" i="2"/>
  <c r="I31" i="2"/>
  <c r="I32" i="2"/>
  <c r="I34" i="2" s="1"/>
  <c r="I33" i="2"/>
  <c r="I26" i="2"/>
  <c r="L25" i="2"/>
  <c r="I25" i="2"/>
  <c r="J25" i="2"/>
  <c r="K25" i="2"/>
  <c r="N25" i="2"/>
  <c r="O25" i="2"/>
  <c r="P25" i="2"/>
  <c r="Q25" i="2"/>
  <c r="Q23" i="2"/>
  <c r="R25" i="2"/>
  <c r="Y102" i="14" s="1"/>
  <c r="I23" i="2"/>
  <c r="J23" i="2"/>
  <c r="K23" i="2"/>
  <c r="L23" i="2"/>
  <c r="M23" i="2"/>
  <c r="N23" i="2"/>
  <c r="O23" i="2"/>
  <c r="P23" i="2"/>
  <c r="R23" i="2"/>
  <c r="J22" i="2"/>
  <c r="K22" i="2"/>
  <c r="L22" i="2"/>
  <c r="M22" i="2"/>
  <c r="N22" i="2"/>
  <c r="O22" i="2"/>
  <c r="P22" i="2"/>
  <c r="R22" i="2"/>
  <c r="J10" i="2"/>
  <c r="R11" i="2"/>
  <c r="R13" i="2"/>
  <c r="R8" i="2"/>
  <c r="N24" i="14" s="1"/>
  <c r="J5" i="2"/>
  <c r="L5" i="2"/>
  <c r="M5" i="2"/>
  <c r="N5" i="2"/>
  <c r="O5" i="2"/>
  <c r="P5" i="2"/>
  <c r="Q5" i="2"/>
  <c r="P21" i="2"/>
  <c r="O21" i="2"/>
  <c r="O41" i="2"/>
  <c r="O42" i="2"/>
  <c r="O43" i="2"/>
  <c r="N21" i="2"/>
  <c r="N41" i="2"/>
  <c r="M21" i="2"/>
  <c r="M41" i="2"/>
  <c r="L21" i="2"/>
  <c r="L41" i="2"/>
  <c r="K21" i="2"/>
  <c r="J20" i="2"/>
  <c r="F35" i="14" s="1"/>
  <c r="J21" i="2"/>
  <c r="Q20" i="2"/>
  <c r="M35" i="14" s="1"/>
  <c r="Q14" i="2"/>
  <c r="M38" i="14" s="1"/>
  <c r="M73" i="14" s="1"/>
  <c r="Q8" i="2"/>
  <c r="M24" i="14" s="1"/>
  <c r="Q9" i="2"/>
  <c r="Q10" i="2"/>
  <c r="Q12" i="2"/>
  <c r="Q13" i="2"/>
  <c r="Q52" i="2" s="1"/>
  <c r="Q15" i="2"/>
  <c r="Q16" i="2"/>
  <c r="M31" i="14" s="1"/>
  <c r="Q21" i="2"/>
  <c r="R21" i="2"/>
  <c r="R42" i="2"/>
  <c r="R43" i="2"/>
  <c r="R49" i="2"/>
  <c r="R56" i="2"/>
  <c r="R57" i="2"/>
  <c r="R63" i="2"/>
  <c r="R67" i="2"/>
  <c r="R68" i="2"/>
  <c r="R69" i="2"/>
  <c r="R70" i="2"/>
  <c r="I20" i="2"/>
  <c r="E35" i="14" s="1"/>
  <c r="I21" i="2"/>
  <c r="I12" i="2"/>
  <c r="I14" i="2"/>
  <c r="E38" i="14" s="1"/>
  <c r="M10" i="2"/>
  <c r="M8" i="2"/>
  <c r="I24" i="14" s="1"/>
  <c r="M9" i="2"/>
  <c r="M11" i="2"/>
  <c r="M12" i="2"/>
  <c r="M13" i="2"/>
  <c r="M14" i="2"/>
  <c r="I38" i="14" s="1"/>
  <c r="M15" i="2"/>
  <c r="M16" i="2"/>
  <c r="I31" i="14" s="1"/>
  <c r="I9" i="2"/>
  <c r="I10" i="2"/>
  <c r="I11" i="2"/>
  <c r="I13" i="2"/>
  <c r="I15" i="2"/>
  <c r="I16" i="2"/>
  <c r="E31" i="14" s="1"/>
  <c r="J9" i="2"/>
  <c r="J11" i="2"/>
  <c r="J12" i="2"/>
  <c r="J14" i="2"/>
  <c r="F38" i="14" s="1"/>
  <c r="F73" i="14" s="1"/>
  <c r="J15" i="2"/>
  <c r="J16" i="2"/>
  <c r="F31" i="14" s="1"/>
  <c r="J8" i="2"/>
  <c r="F24" i="14" s="1"/>
  <c r="K9" i="2"/>
  <c r="K10" i="2"/>
  <c r="K11" i="2"/>
  <c r="K12" i="2"/>
  <c r="K13" i="2"/>
  <c r="K14" i="2"/>
  <c r="G38" i="14" s="1"/>
  <c r="K15" i="2"/>
  <c r="K16" i="2"/>
  <c r="G31" i="14" s="1"/>
  <c r="G65" i="14" s="1"/>
  <c r="K20" i="2"/>
  <c r="G35" i="14" s="1"/>
  <c r="K8" i="2"/>
  <c r="G24" i="14" s="1"/>
  <c r="L20" i="2"/>
  <c r="H35" i="14" s="1"/>
  <c r="L9" i="2"/>
  <c r="L10" i="2"/>
  <c r="L11" i="2"/>
  <c r="L12" i="2"/>
  <c r="L13" i="2"/>
  <c r="L14" i="2"/>
  <c r="H38" i="14" s="1"/>
  <c r="L15" i="2"/>
  <c r="L16" i="2"/>
  <c r="H31" i="14" s="1"/>
  <c r="H65" i="14" s="1"/>
  <c r="L8" i="2"/>
  <c r="H24" i="14" s="1"/>
  <c r="M20" i="2"/>
  <c r="I35" i="14" s="1"/>
  <c r="N11" i="2"/>
  <c r="N12" i="2"/>
  <c r="N13" i="2"/>
  <c r="N14" i="2"/>
  <c r="J38" i="14" s="1"/>
  <c r="J73" i="14" s="1"/>
  <c r="N15" i="2"/>
  <c r="N16" i="2"/>
  <c r="J31" i="14" s="1"/>
  <c r="J65" i="14" s="1"/>
  <c r="N20" i="2"/>
  <c r="J35" i="14" s="1"/>
  <c r="N9" i="2"/>
  <c r="N10" i="2"/>
  <c r="N8" i="2"/>
  <c r="J24" i="14" s="1"/>
  <c r="O8" i="2"/>
  <c r="K24" i="14" s="1"/>
  <c r="O9" i="2"/>
  <c r="O10" i="2"/>
  <c r="O11" i="2"/>
  <c r="O12" i="2"/>
  <c r="O13" i="2"/>
  <c r="O14" i="2"/>
  <c r="K38" i="14" s="1"/>
  <c r="K73" i="14" s="1"/>
  <c r="O15" i="2"/>
  <c r="O16" i="2"/>
  <c r="O20" i="2"/>
  <c r="K35" i="14" s="1"/>
  <c r="P9" i="2"/>
  <c r="P10" i="2"/>
  <c r="P11" i="2"/>
  <c r="P12" i="2"/>
  <c r="P13" i="2"/>
  <c r="P14" i="2"/>
  <c r="L38" i="14" s="1"/>
  <c r="P15" i="2"/>
  <c r="P16" i="2"/>
  <c r="L31" i="14" s="1"/>
  <c r="L65" i="14" s="1"/>
  <c r="P20" i="2"/>
  <c r="L35" i="14" s="1"/>
  <c r="P8" i="2"/>
  <c r="L24" i="14" s="1"/>
  <c r="R10" i="2"/>
  <c r="R16" i="2"/>
  <c r="N31" i="14" s="1"/>
  <c r="R20" i="2"/>
  <c r="N35" i="14" s="1"/>
  <c r="R71" i="2"/>
  <c r="R72" i="2"/>
  <c r="R73" i="2"/>
  <c r="R74" i="2"/>
  <c r="R75" i="2"/>
  <c r="R76" i="2"/>
  <c r="R9" i="2"/>
  <c r="R12" i="2"/>
  <c r="R14" i="2"/>
  <c r="N38" i="14" s="1"/>
  <c r="R15" i="2"/>
  <c r="B52" i="5"/>
  <c r="B502" i="5"/>
  <c r="B2" i="5"/>
  <c r="B402" i="5"/>
  <c r="B202" i="5"/>
  <c r="AN1007" i="5"/>
  <c r="AM1007" i="5"/>
  <c r="AL1007" i="5"/>
  <c r="AK1007" i="5"/>
  <c r="AJ1007" i="5"/>
  <c r="AI1007" i="5"/>
  <c r="AH1007" i="5"/>
  <c r="AG1007" i="5"/>
  <c r="AF1007" i="5"/>
  <c r="AE1007" i="5"/>
  <c r="AD1007" i="5"/>
  <c r="AC1007" i="5"/>
  <c r="AB1007" i="5"/>
  <c r="AA1007" i="5"/>
  <c r="Z1007" i="5"/>
  <c r="Y1007" i="5"/>
  <c r="X1007" i="5"/>
  <c r="W1007" i="5"/>
  <c r="V1007" i="5"/>
  <c r="U1007" i="5"/>
  <c r="T1007" i="5"/>
  <c r="S1007" i="5"/>
  <c r="R1007" i="5"/>
  <c r="Q1007" i="5"/>
  <c r="P1007" i="5"/>
  <c r="O1007" i="5"/>
  <c r="N1007" i="5"/>
  <c r="M1007" i="5"/>
  <c r="L1007" i="5"/>
  <c r="K1007" i="5"/>
  <c r="J1007" i="5"/>
  <c r="I1007" i="5"/>
  <c r="AN1005" i="5"/>
  <c r="AN1006" i="5" s="1"/>
  <c r="AM1005" i="5"/>
  <c r="AM1006" i="5" s="1"/>
  <c r="AL1005" i="5"/>
  <c r="AL1006" i="5" s="1"/>
  <c r="AK1005" i="5"/>
  <c r="AK1006" i="5" s="1"/>
  <c r="AJ1005" i="5"/>
  <c r="AJ1006" i="5" s="1"/>
  <c r="AI1005" i="5"/>
  <c r="AI1006" i="5" s="1"/>
  <c r="AH1005" i="5"/>
  <c r="AH1006" i="5" s="1"/>
  <c r="AG1005" i="5"/>
  <c r="AG1006" i="5" s="1"/>
  <c r="AF1005" i="5"/>
  <c r="AF1006" i="5" s="1"/>
  <c r="AE1005" i="5"/>
  <c r="AE1006" i="5" s="1"/>
  <c r="AD1005" i="5"/>
  <c r="AD1006" i="5" s="1"/>
  <c r="AC1005" i="5"/>
  <c r="AC1006" i="5" s="1"/>
  <c r="AB1005" i="5"/>
  <c r="AB1006" i="5" s="1"/>
  <c r="AA1005" i="5"/>
  <c r="AA1006" i="5" s="1"/>
  <c r="Z1005" i="5"/>
  <c r="Z1006" i="5" s="1"/>
  <c r="Y1005" i="5"/>
  <c r="Y1006" i="5" s="1"/>
  <c r="X1005" i="5"/>
  <c r="X1006" i="5" s="1"/>
  <c r="W1005" i="5"/>
  <c r="W1006" i="5" s="1"/>
  <c r="V1005" i="5"/>
  <c r="V1006" i="5" s="1"/>
  <c r="U1005" i="5"/>
  <c r="U1006" i="5" s="1"/>
  <c r="T1005" i="5"/>
  <c r="T1006" i="5" s="1"/>
  <c r="S1005" i="5"/>
  <c r="S1006" i="5" s="1"/>
  <c r="R1005" i="5"/>
  <c r="R1006" i="5" s="1"/>
  <c r="Q1005" i="5"/>
  <c r="Q1006" i="5" s="1"/>
  <c r="P1005" i="5"/>
  <c r="P1006" i="5" s="1"/>
  <c r="O1005" i="5"/>
  <c r="O1006" i="5" s="1"/>
  <c r="N1005" i="5"/>
  <c r="N1006" i="5" s="1"/>
  <c r="M1005" i="5"/>
  <c r="M1006" i="5" s="1"/>
  <c r="L1005" i="5"/>
  <c r="L1006" i="5" s="1"/>
  <c r="K1005" i="5"/>
  <c r="K1006" i="5" s="1"/>
  <c r="J1005" i="5"/>
  <c r="J1006" i="5" s="1"/>
  <c r="I1005" i="5"/>
  <c r="I1006" i="5" s="1"/>
  <c r="AN1004" i="5"/>
  <c r="AM1004" i="5"/>
  <c r="AL1004" i="5"/>
  <c r="AK1004" i="5"/>
  <c r="AJ1004" i="5"/>
  <c r="AI1004" i="5"/>
  <c r="AH1004" i="5"/>
  <c r="AG1004" i="5"/>
  <c r="AF1004" i="5"/>
  <c r="AE1004" i="5"/>
  <c r="AD1004" i="5"/>
  <c r="AC1004" i="5"/>
  <c r="AB1004" i="5"/>
  <c r="AA1004" i="5"/>
  <c r="Z1004" i="5"/>
  <c r="Y1004" i="5"/>
  <c r="X1004" i="5"/>
  <c r="W1004" i="5"/>
  <c r="V1004" i="5"/>
  <c r="U1004" i="5"/>
  <c r="T1004" i="5"/>
  <c r="S1004" i="5"/>
  <c r="R1004" i="5"/>
  <c r="Q1004" i="5"/>
  <c r="P1004" i="5"/>
  <c r="O1004" i="5"/>
  <c r="N1004" i="5"/>
  <c r="M1004" i="5"/>
  <c r="L1004" i="5"/>
  <c r="K1004" i="5"/>
  <c r="J1004" i="5"/>
  <c r="I1004" i="5"/>
  <c r="AN1003" i="5"/>
  <c r="AM1003" i="5"/>
  <c r="AL1003" i="5"/>
  <c r="AK1003" i="5"/>
  <c r="AJ1003" i="5"/>
  <c r="AI1003" i="5"/>
  <c r="AH1003" i="5"/>
  <c r="AG1003" i="5"/>
  <c r="AF1003" i="5"/>
  <c r="AE1003" i="5"/>
  <c r="AD1003" i="5"/>
  <c r="AC1003" i="5"/>
  <c r="AB1003" i="5"/>
  <c r="AA1003" i="5"/>
  <c r="Z1003" i="5"/>
  <c r="Y1003" i="5"/>
  <c r="X1003" i="5"/>
  <c r="W1003" i="5"/>
  <c r="V1003" i="5"/>
  <c r="U1003" i="5"/>
  <c r="T1003" i="5"/>
  <c r="S1003" i="5"/>
  <c r="R1003" i="5"/>
  <c r="Q1003" i="5"/>
  <c r="P1003" i="5"/>
  <c r="O1003" i="5"/>
  <c r="N1003" i="5"/>
  <c r="M1003" i="5"/>
  <c r="L1003" i="5"/>
  <c r="K1003" i="5"/>
  <c r="J1003" i="5"/>
  <c r="I1003" i="5"/>
  <c r="AN1002" i="5"/>
  <c r="AM1002" i="5"/>
  <c r="AL1002" i="5"/>
  <c r="AK1002" i="5"/>
  <c r="AJ1002" i="5"/>
  <c r="AI1002" i="5"/>
  <c r="AH1002" i="5"/>
  <c r="AG1002" i="5"/>
  <c r="AF1002" i="5"/>
  <c r="AE1002" i="5"/>
  <c r="AD1002" i="5"/>
  <c r="AC1002" i="5"/>
  <c r="AB1002" i="5"/>
  <c r="AA1002" i="5"/>
  <c r="Z1002" i="5"/>
  <c r="Y1002" i="5"/>
  <c r="X1002" i="5"/>
  <c r="W1002" i="5"/>
  <c r="V1002" i="5"/>
  <c r="U1002" i="5"/>
  <c r="T1002" i="5"/>
  <c r="S1002" i="5"/>
  <c r="R1002" i="5"/>
  <c r="Q1002" i="5"/>
  <c r="P1002" i="5"/>
  <c r="O1002" i="5"/>
  <c r="N1002" i="5"/>
  <c r="M1002" i="5"/>
  <c r="L1002" i="5"/>
  <c r="K1002" i="5"/>
  <c r="J1002" i="5"/>
  <c r="I1002" i="5"/>
  <c r="AK1001" i="5"/>
  <c r="A532" i="5"/>
  <c r="A531" i="5"/>
  <c r="A530" i="5"/>
  <c r="A529" i="5"/>
  <c r="A528" i="5"/>
  <c r="A527" i="5"/>
  <c r="A526" i="5"/>
  <c r="A525" i="5"/>
  <c r="A524" i="5"/>
  <c r="A523" i="5"/>
  <c r="A522" i="5"/>
  <c r="A521" i="5"/>
  <c r="A520" i="5"/>
  <c r="A519" i="5"/>
  <c r="A518" i="5"/>
  <c r="A517" i="5"/>
  <c r="A516" i="5"/>
  <c r="A515" i="5"/>
  <c r="A514" i="5"/>
  <c r="A513" i="5"/>
  <c r="A512" i="5"/>
  <c r="A511" i="5"/>
  <c r="A510" i="5"/>
  <c r="A509" i="5"/>
  <c r="A508" i="5"/>
  <c r="BJ507" i="5"/>
  <c r="BI507" i="5"/>
  <c r="BH507" i="5"/>
  <c r="BG507" i="5"/>
  <c r="BF507" i="5"/>
  <c r="BE507" i="5"/>
  <c r="BD507" i="5"/>
  <c r="BC507" i="5"/>
  <c r="BB507" i="5"/>
  <c r="BA507" i="5"/>
  <c r="AZ507" i="5"/>
  <c r="AY507" i="5"/>
  <c r="AX507" i="5"/>
  <c r="AW507" i="5"/>
  <c r="AV507" i="5"/>
  <c r="AU507" i="5"/>
  <c r="AT507" i="5"/>
  <c r="AS507" i="5"/>
  <c r="AR507" i="5"/>
  <c r="AQ507" i="5"/>
  <c r="AP507" i="5"/>
  <c r="AO507" i="5"/>
  <c r="AN507" i="5"/>
  <c r="AM507" i="5"/>
  <c r="AL507" i="5"/>
  <c r="AK507" i="5"/>
  <c r="AJ507" i="5"/>
  <c r="AI507" i="5"/>
  <c r="AH507" i="5"/>
  <c r="AG507" i="5"/>
  <c r="AF507" i="5"/>
  <c r="AE507" i="5"/>
  <c r="AD507" i="5"/>
  <c r="AC507" i="5"/>
  <c r="AB507" i="5"/>
  <c r="AA507" i="5"/>
  <c r="Z507" i="5"/>
  <c r="Y507" i="5"/>
  <c r="X507" i="5"/>
  <c r="W507" i="5"/>
  <c r="V507" i="5"/>
  <c r="U507" i="5"/>
  <c r="T507" i="5"/>
  <c r="S507" i="5"/>
  <c r="R507" i="5"/>
  <c r="Q507" i="5"/>
  <c r="P507" i="5"/>
  <c r="O507" i="5"/>
  <c r="N507" i="5"/>
  <c r="M507" i="5"/>
  <c r="L507" i="5"/>
  <c r="K507" i="5"/>
  <c r="J507" i="5"/>
  <c r="I507" i="5"/>
  <c r="H507" i="5"/>
  <c r="G507" i="5"/>
  <c r="F507" i="5"/>
  <c r="E507" i="5"/>
  <c r="D507" i="5"/>
  <c r="C507" i="5"/>
  <c r="B507" i="5"/>
  <c r="BJ506" i="5"/>
  <c r="BI506" i="5"/>
  <c r="BH506" i="5"/>
  <c r="BG506" i="5"/>
  <c r="BF506" i="5"/>
  <c r="BE506" i="5"/>
  <c r="BD506" i="5"/>
  <c r="BC506" i="5"/>
  <c r="BB506" i="5"/>
  <c r="BA506" i="5"/>
  <c r="AZ506" i="5"/>
  <c r="AY506" i="5"/>
  <c r="AX506" i="5"/>
  <c r="AW506" i="5"/>
  <c r="AV506" i="5"/>
  <c r="AU506" i="5"/>
  <c r="AT506" i="5"/>
  <c r="AS506" i="5"/>
  <c r="AR506" i="5"/>
  <c r="AQ506" i="5"/>
  <c r="AP506" i="5"/>
  <c r="AO506" i="5"/>
  <c r="AN506" i="5"/>
  <c r="AM506" i="5"/>
  <c r="AL506" i="5"/>
  <c r="AK506" i="5"/>
  <c r="AJ506" i="5"/>
  <c r="AI506" i="5"/>
  <c r="AH506" i="5"/>
  <c r="AG506" i="5"/>
  <c r="AF506" i="5"/>
  <c r="AE506" i="5"/>
  <c r="AD506" i="5"/>
  <c r="AC506" i="5"/>
  <c r="AB506" i="5"/>
  <c r="AA506" i="5"/>
  <c r="Z506" i="5"/>
  <c r="Y506" i="5"/>
  <c r="X506" i="5"/>
  <c r="W506" i="5"/>
  <c r="V506" i="5"/>
  <c r="U506" i="5"/>
  <c r="T506" i="5"/>
  <c r="S506" i="5"/>
  <c r="R506" i="5"/>
  <c r="Q506" i="5"/>
  <c r="P506" i="5"/>
  <c r="O506" i="5"/>
  <c r="N506" i="5"/>
  <c r="M506" i="5"/>
  <c r="L506" i="5"/>
  <c r="K506" i="5"/>
  <c r="J506" i="5"/>
  <c r="I506" i="5"/>
  <c r="H506" i="5"/>
  <c r="G506" i="5"/>
  <c r="F506" i="5"/>
  <c r="E506" i="5"/>
  <c r="D506" i="5"/>
  <c r="C506" i="5"/>
  <c r="B506" i="5"/>
  <c r="BJ505" i="5"/>
  <c r="BI505" i="5"/>
  <c r="BH505" i="5"/>
  <c r="BG505" i="5"/>
  <c r="BF505" i="5"/>
  <c r="BE505" i="5"/>
  <c r="BD505" i="5"/>
  <c r="BC505" i="5"/>
  <c r="BB505" i="5"/>
  <c r="BA505" i="5"/>
  <c r="AZ505" i="5"/>
  <c r="AY505" i="5"/>
  <c r="AX505" i="5"/>
  <c r="AW505" i="5"/>
  <c r="AV505" i="5"/>
  <c r="AU505" i="5"/>
  <c r="AT505" i="5"/>
  <c r="AS505" i="5"/>
  <c r="AR505" i="5"/>
  <c r="AQ505" i="5"/>
  <c r="AP505" i="5"/>
  <c r="AO505" i="5"/>
  <c r="AN505" i="5"/>
  <c r="AM505" i="5"/>
  <c r="AL505" i="5"/>
  <c r="AK505" i="5"/>
  <c r="AJ505" i="5"/>
  <c r="AI505" i="5"/>
  <c r="AH505" i="5"/>
  <c r="AG505" i="5"/>
  <c r="AF505" i="5"/>
  <c r="AE505" i="5"/>
  <c r="AD505" i="5"/>
  <c r="AC505" i="5"/>
  <c r="AB505" i="5"/>
  <c r="AA505" i="5"/>
  <c r="Z505" i="5"/>
  <c r="Y505" i="5"/>
  <c r="X505" i="5"/>
  <c r="W505" i="5"/>
  <c r="V505" i="5"/>
  <c r="U505" i="5"/>
  <c r="T505" i="5"/>
  <c r="S505" i="5"/>
  <c r="R505" i="5"/>
  <c r="Q505" i="5"/>
  <c r="P505" i="5"/>
  <c r="O505" i="5"/>
  <c r="N505" i="5"/>
  <c r="M505" i="5"/>
  <c r="L505" i="5"/>
  <c r="K505" i="5"/>
  <c r="J505" i="5"/>
  <c r="I505" i="5"/>
  <c r="H505" i="5"/>
  <c r="G505" i="5"/>
  <c r="F505" i="5"/>
  <c r="E505" i="5"/>
  <c r="D505" i="5"/>
  <c r="C505" i="5"/>
  <c r="B505" i="5"/>
  <c r="BJ504" i="5"/>
  <c r="BI504" i="5"/>
  <c r="BH504" i="5"/>
  <c r="BG504" i="5"/>
  <c r="BF504" i="5"/>
  <c r="BE504" i="5"/>
  <c r="BD504" i="5"/>
  <c r="BC504" i="5"/>
  <c r="BB504" i="5"/>
  <c r="BA504" i="5"/>
  <c r="AZ504" i="5"/>
  <c r="AY504" i="5"/>
  <c r="AX504" i="5"/>
  <c r="AW504" i="5"/>
  <c r="AV504" i="5"/>
  <c r="AU504" i="5"/>
  <c r="AT504" i="5"/>
  <c r="AS504" i="5"/>
  <c r="AR504" i="5"/>
  <c r="AQ504" i="5"/>
  <c r="AP504" i="5"/>
  <c r="AO504" i="5"/>
  <c r="AN504" i="5"/>
  <c r="AM504" i="5"/>
  <c r="AL504" i="5"/>
  <c r="AK504" i="5"/>
  <c r="AJ504" i="5"/>
  <c r="AI504" i="5"/>
  <c r="AH504" i="5"/>
  <c r="AG504" i="5"/>
  <c r="AF504" i="5"/>
  <c r="AE504" i="5"/>
  <c r="AD504" i="5"/>
  <c r="AC504" i="5"/>
  <c r="AB504" i="5"/>
  <c r="AA504" i="5"/>
  <c r="Z504" i="5"/>
  <c r="Y504" i="5"/>
  <c r="X504" i="5"/>
  <c r="W504" i="5"/>
  <c r="V504" i="5"/>
  <c r="U504" i="5"/>
  <c r="T504" i="5"/>
  <c r="S504" i="5"/>
  <c r="R504" i="5"/>
  <c r="Q504" i="5"/>
  <c r="P504" i="5"/>
  <c r="O504" i="5"/>
  <c r="N504" i="5"/>
  <c r="M504" i="5"/>
  <c r="L504" i="5"/>
  <c r="K504" i="5"/>
  <c r="J504" i="5"/>
  <c r="I504" i="5"/>
  <c r="H504" i="5"/>
  <c r="G504" i="5"/>
  <c r="F504" i="5"/>
  <c r="E504" i="5"/>
  <c r="D504" i="5"/>
  <c r="C504" i="5"/>
  <c r="B504" i="5"/>
  <c r="BJ503" i="5"/>
  <c r="BI503" i="5"/>
  <c r="BH503" i="5"/>
  <c r="BG503" i="5"/>
  <c r="BF503" i="5"/>
  <c r="BE503" i="5"/>
  <c r="BD503" i="5"/>
  <c r="BC503" i="5"/>
  <c r="BB503" i="5"/>
  <c r="BA503" i="5"/>
  <c r="AZ503" i="5"/>
  <c r="AY503" i="5"/>
  <c r="AX503" i="5"/>
  <c r="AW503" i="5"/>
  <c r="AV503" i="5"/>
  <c r="AU503" i="5"/>
  <c r="AT503" i="5"/>
  <c r="AS503" i="5"/>
  <c r="AR503" i="5"/>
  <c r="AQ503" i="5"/>
  <c r="AP503" i="5"/>
  <c r="AO503" i="5"/>
  <c r="AN503" i="5"/>
  <c r="AM503" i="5"/>
  <c r="AL503" i="5"/>
  <c r="AK503" i="5"/>
  <c r="AJ503" i="5"/>
  <c r="AI503" i="5"/>
  <c r="AH503" i="5"/>
  <c r="AG503" i="5"/>
  <c r="AF503" i="5"/>
  <c r="AE503" i="5"/>
  <c r="AD503" i="5"/>
  <c r="AC503" i="5"/>
  <c r="AB503" i="5"/>
  <c r="AA503" i="5"/>
  <c r="Z503" i="5"/>
  <c r="Y503" i="5"/>
  <c r="X503" i="5"/>
  <c r="W503" i="5"/>
  <c r="V503" i="5"/>
  <c r="U503" i="5"/>
  <c r="T503" i="5"/>
  <c r="S503" i="5"/>
  <c r="R503" i="5"/>
  <c r="Q503" i="5"/>
  <c r="P503" i="5"/>
  <c r="O503" i="5"/>
  <c r="N503" i="5"/>
  <c r="M503" i="5"/>
  <c r="L503" i="5"/>
  <c r="K503" i="5"/>
  <c r="J503" i="5"/>
  <c r="I503" i="5"/>
  <c r="H503" i="5"/>
  <c r="G503" i="5"/>
  <c r="F503" i="5"/>
  <c r="E503" i="5"/>
  <c r="D503" i="5"/>
  <c r="C503" i="5"/>
  <c r="B503" i="5"/>
  <c r="BJ502" i="5"/>
  <c r="BI502" i="5"/>
  <c r="BH502" i="5"/>
  <c r="BG502" i="5"/>
  <c r="BF502" i="5"/>
  <c r="BE502" i="5"/>
  <c r="BD502" i="5"/>
  <c r="BC502" i="5"/>
  <c r="BB502" i="5"/>
  <c r="BA502" i="5"/>
  <c r="AZ502" i="5"/>
  <c r="AY502" i="5"/>
  <c r="AX502" i="5"/>
  <c r="AW502" i="5"/>
  <c r="AV502" i="5"/>
  <c r="AU502" i="5"/>
  <c r="AT502" i="5"/>
  <c r="AS502" i="5"/>
  <c r="AR502" i="5"/>
  <c r="AQ502" i="5"/>
  <c r="AP502" i="5"/>
  <c r="AO502" i="5"/>
  <c r="AN502" i="5"/>
  <c r="AM502" i="5"/>
  <c r="AL502" i="5"/>
  <c r="AK502" i="5"/>
  <c r="AJ502" i="5"/>
  <c r="AI502" i="5"/>
  <c r="AH502" i="5"/>
  <c r="AG502" i="5"/>
  <c r="AF502" i="5"/>
  <c r="AE502" i="5"/>
  <c r="AD502" i="5"/>
  <c r="AC502" i="5"/>
  <c r="AB502" i="5"/>
  <c r="AA502" i="5"/>
  <c r="Z502" i="5"/>
  <c r="Y502" i="5"/>
  <c r="X502" i="5"/>
  <c r="W502" i="5"/>
  <c r="V502" i="5"/>
  <c r="U502" i="5"/>
  <c r="T502" i="5"/>
  <c r="S502" i="5"/>
  <c r="R502" i="5"/>
  <c r="Q502" i="5"/>
  <c r="P502" i="5"/>
  <c r="O502" i="5"/>
  <c r="N502" i="5"/>
  <c r="M502" i="5"/>
  <c r="L502" i="5"/>
  <c r="K502" i="5"/>
  <c r="J502" i="5"/>
  <c r="I502" i="5"/>
  <c r="H502" i="5"/>
  <c r="G502" i="5"/>
  <c r="F502" i="5"/>
  <c r="E502" i="5"/>
  <c r="D502" i="5"/>
  <c r="C502" i="5"/>
  <c r="H442" i="5"/>
  <c r="G442" i="5"/>
  <c r="F442" i="5"/>
  <c r="E442" i="5"/>
  <c r="D442" i="5"/>
  <c r="C442" i="5"/>
  <c r="H441" i="5"/>
  <c r="G441" i="5"/>
  <c r="F441" i="5"/>
  <c r="E441" i="5"/>
  <c r="D441" i="5"/>
  <c r="C441" i="5"/>
  <c r="H440" i="5"/>
  <c r="G440" i="5"/>
  <c r="F440" i="5"/>
  <c r="E440" i="5"/>
  <c r="D440" i="5"/>
  <c r="C440" i="5"/>
  <c r="H439" i="5"/>
  <c r="G439" i="5"/>
  <c r="F439" i="5"/>
  <c r="E439" i="5"/>
  <c r="D439" i="5"/>
  <c r="C439" i="5"/>
  <c r="H438" i="5"/>
  <c r="G438" i="5"/>
  <c r="F438" i="5"/>
  <c r="E438" i="5"/>
  <c r="D438" i="5"/>
  <c r="C438" i="5"/>
  <c r="H437" i="5"/>
  <c r="G437" i="5"/>
  <c r="F437" i="5"/>
  <c r="E437" i="5"/>
  <c r="D437" i="5"/>
  <c r="C437" i="5"/>
  <c r="B436" i="5"/>
  <c r="H434" i="5"/>
  <c r="G434" i="5"/>
  <c r="F434" i="5"/>
  <c r="E434" i="5"/>
  <c r="D434" i="5"/>
  <c r="C434" i="5"/>
  <c r="B433" i="5"/>
  <c r="H431" i="5"/>
  <c r="G431" i="5"/>
  <c r="F431" i="5"/>
  <c r="E431" i="5"/>
  <c r="D431" i="5"/>
  <c r="C431" i="5"/>
  <c r="H430" i="5"/>
  <c r="G430" i="5"/>
  <c r="F430" i="5"/>
  <c r="E430" i="5"/>
  <c r="D430" i="5"/>
  <c r="C430" i="5"/>
  <c r="H429" i="5"/>
  <c r="G429" i="5"/>
  <c r="F429" i="5"/>
  <c r="E429" i="5"/>
  <c r="D429" i="5"/>
  <c r="C429" i="5"/>
  <c r="H428" i="5"/>
  <c r="G428" i="5"/>
  <c r="F428" i="5"/>
  <c r="E428" i="5"/>
  <c r="D428" i="5"/>
  <c r="C428" i="5"/>
  <c r="H427" i="5"/>
  <c r="G427" i="5"/>
  <c r="F427" i="5"/>
  <c r="E427" i="5"/>
  <c r="D427" i="5"/>
  <c r="C427" i="5"/>
  <c r="E426" i="5"/>
  <c r="C426" i="5"/>
  <c r="B425" i="5"/>
  <c r="H423" i="5"/>
  <c r="G423" i="5"/>
  <c r="F423" i="5"/>
  <c r="E423" i="5"/>
  <c r="D423" i="5"/>
  <c r="C423" i="5"/>
  <c r="H422" i="5"/>
  <c r="G422" i="5"/>
  <c r="F422" i="5"/>
  <c r="E422" i="5"/>
  <c r="D422" i="5"/>
  <c r="C422" i="5"/>
  <c r="H421" i="5"/>
  <c r="G421" i="5"/>
  <c r="F421" i="5"/>
  <c r="E421" i="5"/>
  <c r="D421" i="5"/>
  <c r="C421" i="5"/>
  <c r="H420" i="5"/>
  <c r="G420" i="5"/>
  <c r="F420" i="5"/>
  <c r="E420" i="5"/>
  <c r="D420" i="5"/>
  <c r="C420" i="5"/>
  <c r="H419" i="5"/>
  <c r="G419" i="5"/>
  <c r="F419" i="5"/>
  <c r="E419" i="5"/>
  <c r="D419" i="5"/>
  <c r="C419" i="5"/>
  <c r="H418" i="5"/>
  <c r="G418" i="5"/>
  <c r="F418" i="5"/>
  <c r="E418" i="5"/>
  <c r="D418" i="5"/>
  <c r="C418" i="5"/>
  <c r="B417" i="5"/>
  <c r="H415" i="5"/>
  <c r="G415" i="5"/>
  <c r="F415" i="5"/>
  <c r="E415" i="5"/>
  <c r="D415" i="5"/>
  <c r="C415" i="5"/>
  <c r="H414" i="5"/>
  <c r="G414" i="5"/>
  <c r="F414" i="5"/>
  <c r="E414" i="5"/>
  <c r="D414" i="5"/>
  <c r="C414" i="5"/>
  <c r="H413" i="5"/>
  <c r="G413" i="5"/>
  <c r="F413" i="5"/>
  <c r="E413" i="5"/>
  <c r="D413" i="5"/>
  <c r="C413" i="5"/>
  <c r="H412" i="5"/>
  <c r="G412" i="5"/>
  <c r="F412" i="5"/>
  <c r="E412" i="5"/>
  <c r="D412" i="5"/>
  <c r="C412" i="5"/>
  <c r="H411" i="5"/>
  <c r="G411" i="5"/>
  <c r="F411" i="5"/>
  <c r="E411" i="5"/>
  <c r="D411" i="5"/>
  <c r="C411" i="5"/>
  <c r="H410" i="5"/>
  <c r="G410" i="5"/>
  <c r="F410" i="5"/>
  <c r="E410" i="5"/>
  <c r="D410" i="5"/>
  <c r="C410" i="5"/>
  <c r="H409" i="5"/>
  <c r="G409" i="5"/>
  <c r="F409" i="5"/>
  <c r="E409" i="5"/>
  <c r="D409" i="5"/>
  <c r="C409" i="5"/>
  <c r="H408" i="5"/>
  <c r="G408" i="5"/>
  <c r="F408" i="5"/>
  <c r="E408" i="5"/>
  <c r="D408" i="5"/>
  <c r="C408" i="5"/>
  <c r="H407" i="5"/>
  <c r="G407" i="5"/>
  <c r="F407" i="5"/>
  <c r="E407" i="5"/>
  <c r="D407" i="5"/>
  <c r="C407" i="5"/>
  <c r="H406" i="5"/>
  <c r="G406" i="5"/>
  <c r="F406" i="5"/>
  <c r="E406" i="5"/>
  <c r="D406" i="5"/>
  <c r="C406" i="5"/>
  <c r="H405" i="5"/>
  <c r="G405" i="5"/>
  <c r="F405" i="5"/>
  <c r="E405" i="5"/>
  <c r="D405" i="5"/>
  <c r="C405" i="5"/>
  <c r="B404" i="5"/>
  <c r="H402" i="5"/>
  <c r="G402" i="5"/>
  <c r="F402" i="5"/>
  <c r="E402" i="5"/>
  <c r="D402" i="5"/>
  <c r="H259" i="5"/>
  <c r="G259" i="5"/>
  <c r="F259" i="5"/>
  <c r="E259" i="5"/>
  <c r="D259" i="5"/>
  <c r="C259" i="5"/>
  <c r="H258" i="5"/>
  <c r="G258" i="5"/>
  <c r="F258" i="5"/>
  <c r="E258" i="5"/>
  <c r="D258" i="5"/>
  <c r="C258" i="5"/>
  <c r="H257" i="5"/>
  <c r="G257" i="5"/>
  <c r="F257" i="5"/>
  <c r="E257" i="5"/>
  <c r="D257" i="5"/>
  <c r="C257" i="5"/>
  <c r="C256" i="5"/>
  <c r="B256" i="5"/>
  <c r="H254" i="5"/>
  <c r="G254" i="5"/>
  <c r="F254" i="5"/>
  <c r="E254" i="5"/>
  <c r="D254" i="5"/>
  <c r="C254" i="5"/>
  <c r="C253" i="5"/>
  <c r="B253" i="5"/>
  <c r="H251" i="5"/>
  <c r="G251" i="5"/>
  <c r="F251" i="5"/>
  <c r="E251" i="5"/>
  <c r="D251" i="5"/>
  <c r="C251" i="5"/>
  <c r="H250" i="5"/>
  <c r="G250" i="5"/>
  <c r="F250" i="5"/>
  <c r="E250" i="5"/>
  <c r="D250" i="5"/>
  <c r="C250" i="5"/>
  <c r="H249" i="5"/>
  <c r="G249" i="5"/>
  <c r="F249" i="5"/>
  <c r="E249" i="5"/>
  <c r="D249" i="5"/>
  <c r="C249" i="5"/>
  <c r="H248" i="5"/>
  <c r="G248" i="5"/>
  <c r="F248" i="5"/>
  <c r="E248" i="5"/>
  <c r="D248" i="5"/>
  <c r="C248" i="5"/>
  <c r="H247" i="5"/>
  <c r="G247" i="5"/>
  <c r="F247" i="5"/>
  <c r="E247" i="5"/>
  <c r="D247" i="5"/>
  <c r="C247" i="5"/>
  <c r="C246" i="5"/>
  <c r="B246" i="5"/>
  <c r="H244" i="5"/>
  <c r="G244" i="5"/>
  <c r="F244" i="5"/>
  <c r="E244" i="5"/>
  <c r="D244" i="5"/>
  <c r="C244" i="5"/>
  <c r="H243" i="5"/>
  <c r="G243" i="5"/>
  <c r="F243" i="5"/>
  <c r="E243" i="5"/>
  <c r="D243" i="5"/>
  <c r="C243" i="5"/>
  <c r="C242" i="5"/>
  <c r="H240" i="5"/>
  <c r="G240" i="5"/>
  <c r="F240" i="5"/>
  <c r="E240" i="5"/>
  <c r="D240" i="5"/>
  <c r="C240" i="5"/>
  <c r="H239" i="5"/>
  <c r="G239" i="5"/>
  <c r="F239" i="5"/>
  <c r="E239" i="5"/>
  <c r="D239" i="5"/>
  <c r="C239" i="5"/>
  <c r="H238" i="5"/>
  <c r="G238" i="5"/>
  <c r="F238" i="5"/>
  <c r="E238" i="5"/>
  <c r="D238" i="5"/>
  <c r="C238" i="5"/>
  <c r="H237" i="5"/>
  <c r="G237" i="5"/>
  <c r="F237" i="5"/>
  <c r="E237" i="5"/>
  <c r="D237" i="5"/>
  <c r="C237" i="5"/>
  <c r="H236" i="5"/>
  <c r="G236" i="5"/>
  <c r="F236" i="5"/>
  <c r="E236" i="5"/>
  <c r="D236" i="5"/>
  <c r="C236" i="5"/>
  <c r="C235" i="5"/>
  <c r="H233" i="5"/>
  <c r="G233" i="5"/>
  <c r="F233" i="5"/>
  <c r="E233" i="5"/>
  <c r="D233" i="5"/>
  <c r="C233" i="5"/>
  <c r="H232" i="5"/>
  <c r="G232" i="5"/>
  <c r="F232" i="5"/>
  <c r="E232" i="5"/>
  <c r="D232" i="5"/>
  <c r="C232" i="5"/>
  <c r="H231" i="5"/>
  <c r="G231" i="5"/>
  <c r="F231" i="5"/>
  <c r="E231" i="5"/>
  <c r="D231" i="5"/>
  <c r="C231" i="5"/>
  <c r="H230" i="5"/>
  <c r="G230" i="5"/>
  <c r="F230" i="5"/>
  <c r="E230" i="5"/>
  <c r="D230" i="5"/>
  <c r="C230" i="5"/>
  <c r="H229" i="5"/>
  <c r="G229" i="5"/>
  <c r="F229" i="5"/>
  <c r="E229" i="5"/>
  <c r="D229" i="5"/>
  <c r="C229" i="5"/>
  <c r="H228" i="5"/>
  <c r="G228" i="5"/>
  <c r="F228" i="5"/>
  <c r="E228" i="5"/>
  <c r="D228" i="5"/>
  <c r="C228" i="5"/>
  <c r="C227" i="5"/>
  <c r="B227" i="5"/>
  <c r="H225" i="5"/>
  <c r="G225" i="5"/>
  <c r="F225" i="5"/>
  <c r="E225" i="5"/>
  <c r="D225" i="5"/>
  <c r="C225" i="5"/>
  <c r="H224" i="5"/>
  <c r="G224" i="5"/>
  <c r="F224" i="5"/>
  <c r="E224" i="5"/>
  <c r="D224" i="5"/>
  <c r="C224" i="5"/>
  <c r="C223" i="5"/>
  <c r="H221" i="5"/>
  <c r="G221" i="5"/>
  <c r="F221" i="5"/>
  <c r="E221" i="5"/>
  <c r="D221" i="5"/>
  <c r="C221" i="5"/>
  <c r="H220" i="5"/>
  <c r="G220" i="5"/>
  <c r="F220" i="5"/>
  <c r="E220" i="5"/>
  <c r="D220" i="5"/>
  <c r="C220" i="5"/>
  <c r="H219" i="5"/>
  <c r="G219" i="5"/>
  <c r="F219" i="5"/>
  <c r="E219" i="5"/>
  <c r="D219" i="5"/>
  <c r="C219" i="5"/>
  <c r="H218" i="5"/>
  <c r="G218" i="5"/>
  <c r="F218" i="5"/>
  <c r="E218" i="5"/>
  <c r="D218" i="5"/>
  <c r="C218" i="5"/>
  <c r="H217" i="5"/>
  <c r="G217" i="5"/>
  <c r="F217" i="5"/>
  <c r="E217" i="5"/>
  <c r="D217" i="5"/>
  <c r="C217" i="5"/>
  <c r="H216" i="5"/>
  <c r="G216" i="5"/>
  <c r="F216" i="5"/>
  <c r="E216" i="5"/>
  <c r="D216" i="5"/>
  <c r="C216" i="5"/>
  <c r="H215" i="5"/>
  <c r="G215" i="5"/>
  <c r="F215" i="5"/>
  <c r="E215" i="5"/>
  <c r="D215" i="5"/>
  <c r="C215" i="5"/>
  <c r="H214" i="5"/>
  <c r="G214" i="5"/>
  <c r="F214" i="5"/>
  <c r="E214" i="5"/>
  <c r="D214" i="5"/>
  <c r="C214" i="5"/>
  <c r="C213" i="5"/>
  <c r="H211" i="5"/>
  <c r="G211" i="5"/>
  <c r="F211" i="5"/>
  <c r="E211" i="5"/>
  <c r="D211" i="5"/>
  <c r="C211" i="5"/>
  <c r="H210" i="5"/>
  <c r="G210" i="5"/>
  <c r="F210" i="5"/>
  <c r="E210" i="5"/>
  <c r="D210" i="5"/>
  <c r="C210" i="5"/>
  <c r="H209" i="5"/>
  <c r="G209" i="5"/>
  <c r="F209" i="5"/>
  <c r="E209" i="5"/>
  <c r="D209" i="5"/>
  <c r="C209" i="5"/>
  <c r="H208" i="5"/>
  <c r="G208" i="5"/>
  <c r="F208" i="5"/>
  <c r="E208" i="5"/>
  <c r="D208" i="5"/>
  <c r="C208" i="5"/>
  <c r="H207" i="5"/>
  <c r="G207" i="5"/>
  <c r="F207" i="5"/>
  <c r="E207" i="5"/>
  <c r="D207" i="5"/>
  <c r="C207" i="5"/>
  <c r="H206" i="5"/>
  <c r="G206" i="5"/>
  <c r="F206" i="5"/>
  <c r="E206" i="5"/>
  <c r="D206" i="5"/>
  <c r="C206" i="5"/>
  <c r="H205" i="5"/>
  <c r="G205" i="5"/>
  <c r="F205" i="5"/>
  <c r="E205" i="5"/>
  <c r="D205" i="5"/>
  <c r="C205" i="5"/>
  <c r="C204" i="5"/>
  <c r="B204" i="5"/>
  <c r="H202" i="5"/>
  <c r="G202" i="5"/>
  <c r="F202" i="5"/>
  <c r="E202" i="5"/>
  <c r="D202" i="5"/>
  <c r="BG57" i="5"/>
  <c r="BF57" i="5"/>
  <c r="BE57" i="5"/>
  <c r="BD57" i="5"/>
  <c r="BC57" i="5"/>
  <c r="BB57" i="5"/>
  <c r="BA57" i="5"/>
  <c r="AZ57" i="5"/>
  <c r="AY57" i="5"/>
  <c r="AX57" i="5"/>
  <c r="AW57" i="5"/>
  <c r="AV57" i="5"/>
  <c r="AU57" i="5"/>
  <c r="AT57" i="5"/>
  <c r="AS57" i="5"/>
  <c r="AR57" i="5"/>
  <c r="AQ57" i="5"/>
  <c r="AP57" i="5"/>
  <c r="AO57" i="5"/>
  <c r="AN57" i="5"/>
  <c r="AM57" i="5"/>
  <c r="AL57" i="5"/>
  <c r="AK57" i="5"/>
  <c r="AJ57" i="5"/>
  <c r="AI57" i="5"/>
  <c r="AH57" i="5"/>
  <c r="AG57" i="5"/>
  <c r="AF57" i="5"/>
  <c r="AE57" i="5"/>
  <c r="AD57" i="5"/>
  <c r="AC57" i="5"/>
  <c r="AB57" i="5"/>
  <c r="AA57" i="5"/>
  <c r="Z57" i="5"/>
  <c r="Y57" i="5"/>
  <c r="X57" i="5"/>
  <c r="W57" i="5"/>
  <c r="V57" i="5"/>
  <c r="U57" i="5"/>
  <c r="T57" i="5"/>
  <c r="S57" i="5"/>
  <c r="R57" i="5"/>
  <c r="Q57" i="5"/>
  <c r="P57" i="5"/>
  <c r="O57" i="5"/>
  <c r="N57" i="5"/>
  <c r="M57" i="5"/>
  <c r="L57" i="5"/>
  <c r="K57" i="5"/>
  <c r="J57" i="5"/>
  <c r="I57" i="5"/>
  <c r="H57" i="5"/>
  <c r="G57" i="5"/>
  <c r="F57" i="5"/>
  <c r="E57" i="5"/>
  <c r="D57" i="5"/>
  <c r="C57" i="5"/>
  <c r="B57" i="5"/>
  <c r="BG56" i="5"/>
  <c r="BF56" i="5"/>
  <c r="BE56" i="5"/>
  <c r="BD56" i="5"/>
  <c r="BC56" i="5"/>
  <c r="BB56" i="5"/>
  <c r="BA56" i="5"/>
  <c r="AZ56" i="5"/>
  <c r="AY56" i="5"/>
  <c r="AX56" i="5"/>
  <c r="AW56" i="5"/>
  <c r="AV56" i="5"/>
  <c r="AU56" i="5"/>
  <c r="AT56" i="5"/>
  <c r="AS56" i="5"/>
  <c r="AR56" i="5"/>
  <c r="AQ56" i="5"/>
  <c r="AP56" i="5"/>
  <c r="AO56" i="5"/>
  <c r="AN56" i="5"/>
  <c r="AM56" i="5"/>
  <c r="AL56" i="5"/>
  <c r="AK56" i="5"/>
  <c r="AJ56" i="5"/>
  <c r="AI56" i="5"/>
  <c r="AH56" i="5"/>
  <c r="AG56" i="5"/>
  <c r="AF56" i="5"/>
  <c r="AE56" i="5"/>
  <c r="AD56" i="5"/>
  <c r="AC56" i="5"/>
  <c r="AB56" i="5"/>
  <c r="AA56" i="5"/>
  <c r="Z56" i="5"/>
  <c r="Y56" i="5"/>
  <c r="X56" i="5"/>
  <c r="W56" i="5"/>
  <c r="V56" i="5"/>
  <c r="U56" i="5"/>
  <c r="T56" i="5"/>
  <c r="S56" i="5"/>
  <c r="R56" i="5"/>
  <c r="Q56" i="5"/>
  <c r="P56" i="5"/>
  <c r="O56" i="5"/>
  <c r="N56" i="5"/>
  <c r="M56" i="5"/>
  <c r="L56" i="5"/>
  <c r="K56" i="5"/>
  <c r="J56" i="5"/>
  <c r="I56" i="5"/>
  <c r="H56" i="5"/>
  <c r="G56" i="5"/>
  <c r="F56" i="5"/>
  <c r="E56" i="5"/>
  <c r="D56" i="5"/>
  <c r="C56" i="5"/>
  <c r="B56" i="5"/>
  <c r="BG55" i="5"/>
  <c r="BF55" i="5"/>
  <c r="BE55" i="5"/>
  <c r="BD55" i="5"/>
  <c r="BC55" i="5"/>
  <c r="BB55" i="5"/>
  <c r="BA55" i="5"/>
  <c r="AZ55" i="5"/>
  <c r="AY55" i="5"/>
  <c r="AX55" i="5"/>
  <c r="AW55" i="5"/>
  <c r="AV55" i="5"/>
  <c r="AU55" i="5"/>
  <c r="AT55" i="5"/>
  <c r="AS55" i="5"/>
  <c r="AR55" i="5"/>
  <c r="AQ55" i="5"/>
  <c r="AP55" i="5"/>
  <c r="AO55" i="5"/>
  <c r="AN55" i="5"/>
  <c r="AM55" i="5"/>
  <c r="AL55" i="5"/>
  <c r="AK55" i="5"/>
  <c r="AJ55" i="5"/>
  <c r="AI55" i="5"/>
  <c r="AH55" i="5"/>
  <c r="AG55" i="5"/>
  <c r="AF55" i="5"/>
  <c r="AE55" i="5"/>
  <c r="AD55" i="5"/>
  <c r="AC55" i="5"/>
  <c r="AB55" i="5"/>
  <c r="AA55" i="5"/>
  <c r="Z55" i="5"/>
  <c r="Y55" i="5"/>
  <c r="X55" i="5"/>
  <c r="W55" i="5"/>
  <c r="V55" i="5"/>
  <c r="U55" i="5"/>
  <c r="T55" i="5"/>
  <c r="S55" i="5"/>
  <c r="R55" i="5"/>
  <c r="Q55" i="5"/>
  <c r="P55" i="5"/>
  <c r="O55" i="5"/>
  <c r="N55" i="5"/>
  <c r="M55" i="5"/>
  <c r="L55" i="5"/>
  <c r="K55" i="5"/>
  <c r="J55" i="5"/>
  <c r="I55" i="5"/>
  <c r="H55" i="5"/>
  <c r="G55" i="5"/>
  <c r="F55" i="5"/>
  <c r="E55" i="5"/>
  <c r="D55" i="5"/>
  <c r="C55" i="5"/>
  <c r="B55" i="5"/>
  <c r="BG54" i="5"/>
  <c r="BF54" i="5"/>
  <c r="BE54" i="5"/>
  <c r="BD54" i="5"/>
  <c r="BC54" i="5"/>
  <c r="BB54" i="5"/>
  <c r="BA54" i="5"/>
  <c r="AZ54" i="5"/>
  <c r="AY54" i="5"/>
  <c r="AX54" i="5"/>
  <c r="AW54" i="5"/>
  <c r="AV54" i="5"/>
  <c r="AU54" i="5"/>
  <c r="AT54" i="5"/>
  <c r="AS54" i="5"/>
  <c r="AR54" i="5"/>
  <c r="AQ54" i="5"/>
  <c r="AP54" i="5"/>
  <c r="AO54" i="5"/>
  <c r="AN54" i="5"/>
  <c r="AM54" i="5"/>
  <c r="AL54" i="5"/>
  <c r="AK54" i="5"/>
  <c r="AJ54" i="5"/>
  <c r="AI54" i="5"/>
  <c r="AH54" i="5"/>
  <c r="AG54" i="5"/>
  <c r="AF54" i="5"/>
  <c r="AE54" i="5"/>
  <c r="AD54" i="5"/>
  <c r="AC54" i="5"/>
  <c r="AB54" i="5"/>
  <c r="AA54" i="5"/>
  <c r="Z54" i="5"/>
  <c r="Y54" i="5"/>
  <c r="X54" i="5"/>
  <c r="W54" i="5"/>
  <c r="V54" i="5"/>
  <c r="U54" i="5"/>
  <c r="T54" i="5"/>
  <c r="S54" i="5"/>
  <c r="R54" i="5"/>
  <c r="Q54" i="5"/>
  <c r="P54" i="5"/>
  <c r="O54" i="5"/>
  <c r="N54" i="5"/>
  <c r="M54" i="5"/>
  <c r="L54" i="5"/>
  <c r="K54" i="5"/>
  <c r="J54" i="5"/>
  <c r="I54" i="5"/>
  <c r="H54" i="5"/>
  <c r="G54" i="5"/>
  <c r="F54" i="5"/>
  <c r="E54" i="5"/>
  <c r="D54" i="5"/>
  <c r="C54" i="5"/>
  <c r="B54" i="5"/>
  <c r="A54" i="5"/>
  <c r="A55" i="5" s="1"/>
  <c r="A56" i="5" s="1"/>
  <c r="A57" i="5" s="1"/>
  <c r="A58" i="5" s="1"/>
  <c r="A59" i="5" s="1"/>
  <c r="A60" i="5" s="1"/>
  <c r="A61" i="5" s="1"/>
  <c r="A62" i="5" s="1"/>
  <c r="A63" i="5" s="1"/>
  <c r="A64" i="5" s="1"/>
  <c r="A65" i="5" s="1"/>
  <c r="A66" i="5" s="1"/>
  <c r="A67" i="5" s="1"/>
  <c r="A68" i="5" s="1"/>
  <c r="A69" i="5" s="1"/>
  <c r="A70" i="5" s="1"/>
  <c r="A71" i="5" s="1"/>
  <c r="A72" i="5" s="1"/>
  <c r="A73" i="5" s="1"/>
  <c r="A74" i="5" s="1"/>
  <c r="A75" i="5" s="1"/>
  <c r="A76" i="5" s="1"/>
  <c r="A77" i="5" s="1"/>
  <c r="A78" i="5" s="1"/>
  <c r="A79" i="5" s="1"/>
  <c r="A80" i="5" s="1"/>
  <c r="A81" i="5" s="1"/>
  <c r="A82" i="5" s="1"/>
  <c r="A83" i="5" s="1"/>
  <c r="A84" i="5" s="1"/>
  <c r="A85" i="5" s="1"/>
  <c r="A86" i="5" s="1"/>
  <c r="A87" i="5" s="1"/>
  <c r="A88" i="5" s="1"/>
  <c r="A89" i="5" s="1"/>
  <c r="A90" i="5" s="1"/>
  <c r="A91" i="5" s="1"/>
  <c r="A92" i="5" s="1"/>
  <c r="A93" i="5" s="1"/>
  <c r="A94" i="5" s="1"/>
  <c r="A95" i="5" s="1"/>
  <c r="A96" i="5" s="1"/>
  <c r="A97" i="5" s="1"/>
  <c r="A98" i="5" s="1"/>
  <c r="A99" i="5" s="1"/>
  <c r="A100" i="5" s="1"/>
  <c r="BG53" i="5"/>
  <c r="BF53" i="5"/>
  <c r="BE53" i="5"/>
  <c r="BD53" i="5"/>
  <c r="BC53" i="5"/>
  <c r="BB53" i="5"/>
  <c r="BA53" i="5"/>
  <c r="AZ53" i="5"/>
  <c r="AY53" i="5"/>
  <c r="AX53" i="5"/>
  <c r="AW53" i="5"/>
  <c r="AV53" i="5"/>
  <c r="AU53" i="5"/>
  <c r="AT53" i="5"/>
  <c r="AS53" i="5"/>
  <c r="AR53" i="5"/>
  <c r="AQ53" i="5"/>
  <c r="AP53" i="5"/>
  <c r="AO53" i="5"/>
  <c r="AN53" i="5"/>
  <c r="AM53" i="5"/>
  <c r="AL53" i="5"/>
  <c r="AK53" i="5"/>
  <c r="AJ53" i="5"/>
  <c r="AI53" i="5"/>
  <c r="AH53" i="5"/>
  <c r="AG53" i="5"/>
  <c r="AF53" i="5"/>
  <c r="AE53" i="5"/>
  <c r="AD53" i="5"/>
  <c r="AC53" i="5"/>
  <c r="AB53" i="5"/>
  <c r="AA53" i="5"/>
  <c r="Z53" i="5"/>
  <c r="Y53" i="5"/>
  <c r="X53" i="5"/>
  <c r="W53" i="5"/>
  <c r="V53" i="5"/>
  <c r="U53" i="5"/>
  <c r="T53" i="5"/>
  <c r="S53" i="5"/>
  <c r="R53" i="5"/>
  <c r="Q53" i="5"/>
  <c r="P53" i="5"/>
  <c r="O53" i="5"/>
  <c r="N53" i="5"/>
  <c r="M53" i="5"/>
  <c r="L53" i="5"/>
  <c r="K53" i="5"/>
  <c r="J53" i="5"/>
  <c r="I53" i="5"/>
  <c r="H53" i="5"/>
  <c r="G53" i="5"/>
  <c r="F53" i="5"/>
  <c r="E53" i="5"/>
  <c r="D53" i="5"/>
  <c r="C53" i="5"/>
  <c r="B53" i="5"/>
  <c r="BG52" i="5"/>
  <c r="BF52" i="5"/>
  <c r="BE52" i="5"/>
  <c r="BD52" i="5"/>
  <c r="BC52" i="5"/>
  <c r="BB52" i="5"/>
  <c r="BA52" i="5"/>
  <c r="AZ52" i="5"/>
  <c r="AY52" i="5"/>
  <c r="AX52" i="5"/>
  <c r="AW52" i="5"/>
  <c r="AV52" i="5"/>
  <c r="AU52" i="5"/>
  <c r="AT52" i="5"/>
  <c r="AS52" i="5"/>
  <c r="AR52" i="5"/>
  <c r="AQ52" i="5"/>
  <c r="AP52" i="5"/>
  <c r="AO52" i="5"/>
  <c r="AN52" i="5"/>
  <c r="AM52" i="5"/>
  <c r="AL52" i="5"/>
  <c r="AK52" i="5"/>
  <c r="AJ52" i="5"/>
  <c r="AI52" i="5"/>
  <c r="AH52" i="5"/>
  <c r="AG52" i="5"/>
  <c r="AF52" i="5"/>
  <c r="AE52" i="5"/>
  <c r="AD52" i="5"/>
  <c r="AC52" i="5"/>
  <c r="AB52" i="5"/>
  <c r="AA52" i="5"/>
  <c r="Z52" i="5"/>
  <c r="Y52" i="5"/>
  <c r="X52" i="5"/>
  <c r="W52" i="5"/>
  <c r="V52" i="5"/>
  <c r="U52" i="5"/>
  <c r="T52" i="5"/>
  <c r="S52" i="5"/>
  <c r="R52" i="5"/>
  <c r="Q52" i="5"/>
  <c r="P52" i="5"/>
  <c r="O52" i="5"/>
  <c r="N52" i="5"/>
  <c r="M52" i="5"/>
  <c r="L52" i="5"/>
  <c r="K52" i="5"/>
  <c r="J52" i="5"/>
  <c r="I52" i="5"/>
  <c r="H52" i="5"/>
  <c r="G52" i="5"/>
  <c r="F52" i="5"/>
  <c r="E52" i="5"/>
  <c r="D52" i="5"/>
  <c r="C52" i="5"/>
  <c r="H36" i="5"/>
  <c r="G36" i="5"/>
  <c r="F36" i="5"/>
  <c r="E36" i="5"/>
  <c r="D36" i="5"/>
  <c r="C36" i="5"/>
  <c r="H35" i="5"/>
  <c r="G35" i="5"/>
  <c r="F35" i="5"/>
  <c r="E35" i="5"/>
  <c r="D35" i="5"/>
  <c r="C35" i="5"/>
  <c r="H34" i="5"/>
  <c r="G34" i="5"/>
  <c r="F34" i="5"/>
  <c r="E34" i="5"/>
  <c r="D34" i="5"/>
  <c r="C34" i="5"/>
  <c r="H33" i="5"/>
  <c r="G33" i="5"/>
  <c r="F33" i="5"/>
  <c r="E33" i="5"/>
  <c r="D33" i="5"/>
  <c r="C33" i="5"/>
  <c r="B32" i="5"/>
  <c r="H30" i="5"/>
  <c r="G30" i="5"/>
  <c r="F30" i="5"/>
  <c r="E30" i="5"/>
  <c r="D30" i="5"/>
  <c r="C30" i="5"/>
  <c r="H29" i="5"/>
  <c r="G29" i="5"/>
  <c r="F29" i="5"/>
  <c r="E29" i="5"/>
  <c r="D29" i="5"/>
  <c r="C29" i="5"/>
  <c r="H28" i="5"/>
  <c r="G28" i="5"/>
  <c r="F28" i="5"/>
  <c r="E28" i="5"/>
  <c r="D28" i="5"/>
  <c r="C28" i="5"/>
  <c r="H27" i="5"/>
  <c r="G27" i="5"/>
  <c r="F27" i="5"/>
  <c r="E27" i="5"/>
  <c r="D27" i="5"/>
  <c r="C27" i="5"/>
  <c r="H26" i="5"/>
  <c r="G26" i="5"/>
  <c r="F26" i="5"/>
  <c r="E26" i="5"/>
  <c r="D26" i="5"/>
  <c r="C26" i="5"/>
  <c r="H25" i="5"/>
  <c r="G25" i="5"/>
  <c r="F25" i="5"/>
  <c r="E25" i="5"/>
  <c r="D25" i="5"/>
  <c r="C25" i="5"/>
  <c r="H24" i="5"/>
  <c r="G24" i="5"/>
  <c r="F24" i="5"/>
  <c r="E24" i="5"/>
  <c r="D24" i="5"/>
  <c r="C24" i="5"/>
  <c r="H23" i="5"/>
  <c r="G23" i="5"/>
  <c r="F23" i="5"/>
  <c r="E23" i="5"/>
  <c r="D23" i="5"/>
  <c r="C23" i="5"/>
  <c r="B22" i="5"/>
  <c r="H20" i="5"/>
  <c r="G20" i="5"/>
  <c r="F20" i="5"/>
  <c r="E20" i="5"/>
  <c r="D20" i="5"/>
  <c r="C20" i="5"/>
  <c r="H19" i="5"/>
  <c r="G19" i="5"/>
  <c r="F19" i="5"/>
  <c r="E19" i="5"/>
  <c r="D19" i="5"/>
  <c r="C19" i="5"/>
  <c r="H18" i="5"/>
  <c r="G18" i="5"/>
  <c r="F18" i="5"/>
  <c r="E18" i="5"/>
  <c r="D18" i="5"/>
  <c r="C18" i="5"/>
  <c r="B17" i="5"/>
  <c r="H15" i="5"/>
  <c r="G15" i="5"/>
  <c r="F15" i="5"/>
  <c r="E15" i="5"/>
  <c r="D15" i="5"/>
  <c r="C15" i="5"/>
  <c r="H14" i="5"/>
  <c r="G14" i="5"/>
  <c r="F14" i="5"/>
  <c r="E14" i="5"/>
  <c r="D14" i="5"/>
  <c r="C14" i="5"/>
  <c r="H13" i="5"/>
  <c r="G13" i="5"/>
  <c r="F13" i="5"/>
  <c r="E13" i="5"/>
  <c r="D13" i="5"/>
  <c r="C13" i="5"/>
  <c r="H12" i="5"/>
  <c r="G12" i="5"/>
  <c r="F12" i="5"/>
  <c r="E12" i="5"/>
  <c r="D12" i="5"/>
  <c r="C12" i="5"/>
  <c r="H11" i="5"/>
  <c r="G11" i="5"/>
  <c r="F11" i="5"/>
  <c r="E11" i="5"/>
  <c r="D11" i="5"/>
  <c r="C11" i="5"/>
  <c r="H10" i="5"/>
  <c r="G10" i="5"/>
  <c r="F10" i="5"/>
  <c r="E10" i="5"/>
  <c r="D10" i="5"/>
  <c r="C10" i="5"/>
  <c r="H9" i="5"/>
  <c r="G9" i="5"/>
  <c r="F9" i="5"/>
  <c r="E9" i="5"/>
  <c r="D9" i="5"/>
  <c r="C9" i="5"/>
  <c r="B8" i="5"/>
  <c r="H6" i="5"/>
  <c r="G6" i="5"/>
  <c r="F6" i="5"/>
  <c r="E6" i="5"/>
  <c r="D6" i="5"/>
  <c r="C6" i="5"/>
  <c r="H5" i="5"/>
  <c r="G5" i="5"/>
  <c r="F5" i="5"/>
  <c r="E5" i="5"/>
  <c r="D5" i="5"/>
  <c r="C5" i="5"/>
  <c r="H4" i="5"/>
  <c r="G4" i="5"/>
  <c r="F4" i="5"/>
  <c r="E4" i="5"/>
  <c r="D4" i="5"/>
  <c r="C4" i="5"/>
  <c r="H3" i="5"/>
  <c r="G3" i="5"/>
  <c r="F3" i="5"/>
  <c r="E3" i="5"/>
  <c r="D3" i="5"/>
  <c r="C3" i="5"/>
  <c r="H2" i="5"/>
  <c r="G2" i="5"/>
  <c r="F2" i="5"/>
  <c r="F1004" i="5" s="1"/>
  <c r="E2" i="5"/>
  <c r="E1004" i="5" s="1"/>
  <c r="D2" i="5"/>
  <c r="AN1" i="5"/>
  <c r="AM1" i="5"/>
  <c r="AL1" i="5"/>
  <c r="AK1" i="5"/>
  <c r="AJ1" i="5"/>
  <c r="AI1" i="5"/>
  <c r="AH1" i="5"/>
  <c r="AG1" i="5"/>
  <c r="AF1" i="5"/>
  <c r="AE1" i="5"/>
  <c r="AD1" i="5"/>
  <c r="AC1" i="5"/>
  <c r="AB1" i="5"/>
  <c r="AA1" i="5"/>
  <c r="Z1" i="5"/>
  <c r="Y1" i="5"/>
  <c r="X1" i="5"/>
  <c r="W1" i="5"/>
  <c r="V1" i="5"/>
  <c r="U1" i="5"/>
  <c r="T1" i="5"/>
  <c r="S1" i="5"/>
  <c r="R1" i="5"/>
  <c r="Q1" i="5"/>
  <c r="P1" i="5"/>
  <c r="O1" i="5"/>
  <c r="N1" i="5"/>
  <c r="M1" i="5"/>
  <c r="L1" i="5"/>
  <c r="K1" i="5"/>
  <c r="J1" i="5"/>
  <c r="I1" i="5"/>
  <c r="N59" i="2" l="1"/>
  <c r="M59" i="2"/>
  <c r="L59" i="2"/>
  <c r="K59" i="2"/>
  <c r="J59" i="2"/>
  <c r="P59" i="2"/>
  <c r="O59" i="2"/>
  <c r="R59" i="2"/>
  <c r="Q55" i="2"/>
  <c r="K47" i="2"/>
  <c r="K13" i="18"/>
  <c r="E9" i="18"/>
  <c r="E10" i="18" s="1"/>
  <c r="E13" i="18" s="1"/>
  <c r="I50" i="21"/>
  <c r="J36" i="21"/>
  <c r="H36" i="21"/>
  <c r="H45" i="21"/>
  <c r="J45" i="21"/>
  <c r="J59" i="21"/>
  <c r="H59" i="21"/>
  <c r="J61" i="21"/>
  <c r="H61" i="21"/>
  <c r="G25" i="20" a="1"/>
  <c r="G25" i="20" s="1"/>
  <c r="J63" i="21"/>
  <c r="H63" i="21"/>
  <c r="J55" i="21"/>
  <c r="H55" i="21"/>
  <c r="J65" i="21"/>
  <c r="H65" i="21"/>
  <c r="J53" i="21"/>
  <c r="H53" i="21"/>
  <c r="H51" i="21"/>
  <c r="J51" i="21"/>
  <c r="H46" i="21"/>
  <c r="H57" i="21"/>
  <c r="H34" i="21"/>
  <c r="I34" i="21" s="1"/>
  <c r="F25" i="20" a="1"/>
  <c r="F25" i="20" s="1"/>
  <c r="B2" i="22" s="1" a="1"/>
  <c r="B2" i="22" s="1"/>
  <c r="J25" i="21"/>
  <c r="H25" i="21"/>
  <c r="H49" i="21"/>
  <c r="J49" i="21"/>
  <c r="H30" i="21"/>
  <c r="J30" i="21"/>
  <c r="J32" i="21"/>
  <c r="H32" i="21"/>
  <c r="H35" i="21"/>
  <c r="J35" i="21"/>
  <c r="H38" i="21"/>
  <c r="J38" i="21"/>
  <c r="J41" i="21"/>
  <c r="H41" i="21"/>
  <c r="I27" i="21"/>
  <c r="J37" i="21"/>
  <c r="H37" i="21"/>
  <c r="J44" i="21"/>
  <c r="H44" i="21"/>
  <c r="I51" i="21"/>
  <c r="J23" i="21"/>
  <c r="H23" i="21"/>
  <c r="J29" i="21"/>
  <c r="H29" i="21"/>
  <c r="J31" i="21"/>
  <c r="H31" i="21"/>
  <c r="J33" i="21"/>
  <c r="H33" i="21"/>
  <c r="J39" i="21"/>
  <c r="H39" i="21"/>
  <c r="J54" i="21"/>
  <c r="H54" i="21"/>
  <c r="I67" i="21"/>
  <c r="J27" i="21"/>
  <c r="J52" i="21"/>
  <c r="H52" i="21"/>
  <c r="J58" i="21"/>
  <c r="H58" i="21"/>
  <c r="I63" i="21"/>
  <c r="J69" i="21"/>
  <c r="H69" i="21"/>
  <c r="I69" i="21" s="1"/>
  <c r="J77" i="21"/>
  <c r="H77" i="21"/>
  <c r="I77" i="21" s="1"/>
  <c r="J85" i="21"/>
  <c r="H85" i="21"/>
  <c r="I85" i="21" s="1"/>
  <c r="J93" i="21"/>
  <c r="H93" i="21"/>
  <c r="I93" i="21" s="1"/>
  <c r="J105" i="21"/>
  <c r="H105" i="21"/>
  <c r="I105" i="21" s="1"/>
  <c r="J113" i="21"/>
  <c r="H113" i="21"/>
  <c r="I113" i="21" s="1"/>
  <c r="H28" i="21"/>
  <c r="H56" i="21"/>
  <c r="J56" i="21"/>
  <c r="I61" i="21"/>
  <c r="H74" i="21"/>
  <c r="I74" i="21" s="1"/>
  <c r="J74" i="21"/>
  <c r="H82" i="21"/>
  <c r="I82" i="21" s="1"/>
  <c r="J82" i="21"/>
  <c r="H90" i="21"/>
  <c r="I90" i="21" s="1"/>
  <c r="J90" i="21"/>
  <c r="H98" i="21"/>
  <c r="I98" i="21" s="1"/>
  <c r="J98" i="21"/>
  <c r="J103" i="21"/>
  <c r="H103" i="21"/>
  <c r="I103" i="21" s="1"/>
  <c r="J108" i="21"/>
  <c r="H108" i="21"/>
  <c r="I108" i="21" s="1"/>
  <c r="J116" i="21"/>
  <c r="H116" i="21"/>
  <c r="I116" i="21" s="1"/>
  <c r="I36" i="21"/>
  <c r="I45" i="21"/>
  <c r="J50" i="21"/>
  <c r="I59" i="21"/>
  <c r="J71" i="21"/>
  <c r="H71" i="21"/>
  <c r="I71" i="21" s="1"/>
  <c r="J79" i="21"/>
  <c r="H79" i="21"/>
  <c r="I79" i="21" s="1"/>
  <c r="J87" i="21"/>
  <c r="H87" i="21"/>
  <c r="I87" i="21" s="1"/>
  <c r="J95" i="21"/>
  <c r="H95" i="21"/>
  <c r="I95" i="21" s="1"/>
  <c r="J111" i="21"/>
  <c r="H111" i="21"/>
  <c r="I111" i="21" s="1"/>
  <c r="J119" i="21"/>
  <c r="H119" i="21"/>
  <c r="I119" i="21" s="1"/>
  <c r="H26" i="21"/>
  <c r="I57" i="21"/>
  <c r="J68" i="21"/>
  <c r="H68" i="21"/>
  <c r="I68" i="21" s="1"/>
  <c r="J76" i="21"/>
  <c r="H76" i="21"/>
  <c r="I76" i="21" s="1"/>
  <c r="J84" i="21"/>
  <c r="H84" i="21"/>
  <c r="I84" i="21" s="1"/>
  <c r="J92" i="21"/>
  <c r="H92" i="21"/>
  <c r="I92" i="21" s="1"/>
  <c r="J100" i="21"/>
  <c r="H100" i="21"/>
  <c r="I100" i="21" s="1"/>
  <c r="J106" i="21"/>
  <c r="H106" i="21"/>
  <c r="I106" i="21" s="1"/>
  <c r="J114" i="21"/>
  <c r="H114" i="21"/>
  <c r="I114" i="21" s="1"/>
  <c r="J42" i="21"/>
  <c r="I46" i="21"/>
  <c r="I53" i="21"/>
  <c r="I55" i="21"/>
  <c r="J66" i="21"/>
  <c r="H66" i="21"/>
  <c r="J73" i="21"/>
  <c r="H73" i="21"/>
  <c r="I73" i="21" s="1"/>
  <c r="J81" i="21"/>
  <c r="H81" i="21"/>
  <c r="I81" i="21" s="1"/>
  <c r="J89" i="21"/>
  <c r="H89" i="21"/>
  <c r="I89" i="21" s="1"/>
  <c r="J97" i="21"/>
  <c r="H97" i="21"/>
  <c r="I97" i="21" s="1"/>
  <c r="H102" i="21"/>
  <c r="I102" i="21" s="1"/>
  <c r="J102" i="21"/>
  <c r="J109" i="21"/>
  <c r="H109" i="21"/>
  <c r="I109" i="21" s="1"/>
  <c r="J117" i="21"/>
  <c r="H117" i="21"/>
  <c r="I117" i="21" s="1"/>
  <c r="H24" i="21"/>
  <c r="H40" i="21"/>
  <c r="H43" i="21"/>
  <c r="H47" i="21"/>
  <c r="H48" i="21"/>
  <c r="H64" i="21"/>
  <c r="J64" i="21"/>
  <c r="H70" i="21"/>
  <c r="I70" i="21" s="1"/>
  <c r="J70" i="21"/>
  <c r="H78" i="21"/>
  <c r="I78" i="21" s="1"/>
  <c r="J78" i="21"/>
  <c r="H86" i="21"/>
  <c r="I86" i="21" s="1"/>
  <c r="J86" i="21"/>
  <c r="H94" i="21"/>
  <c r="I94" i="21" s="1"/>
  <c r="J94" i="21"/>
  <c r="J104" i="21"/>
  <c r="H104" i="21"/>
  <c r="I104" i="21" s="1"/>
  <c r="J112" i="21"/>
  <c r="H112" i="21"/>
  <c r="I112" i="21" s="1"/>
  <c r="J120" i="21"/>
  <c r="H120" i="21"/>
  <c r="I120" i="21" s="1"/>
  <c r="J62" i="21"/>
  <c r="H62" i="21"/>
  <c r="J75" i="21"/>
  <c r="H75" i="21"/>
  <c r="I75" i="21" s="1"/>
  <c r="J83" i="21"/>
  <c r="H83" i="21"/>
  <c r="I83" i="21" s="1"/>
  <c r="J91" i="21"/>
  <c r="H91" i="21"/>
  <c r="I91" i="21" s="1"/>
  <c r="J99" i="21"/>
  <c r="H99" i="21"/>
  <c r="I99" i="21" s="1"/>
  <c r="J107" i="21"/>
  <c r="H107" i="21"/>
  <c r="I107" i="21" s="1"/>
  <c r="J115" i="21"/>
  <c r="H115" i="21"/>
  <c r="I115" i="21" s="1"/>
  <c r="J60" i="21"/>
  <c r="H60" i="21"/>
  <c r="I65" i="21"/>
  <c r="J72" i="21"/>
  <c r="H72" i="21"/>
  <c r="I72" i="21" s="1"/>
  <c r="J80" i="21"/>
  <c r="H80" i="21"/>
  <c r="I80" i="21" s="1"/>
  <c r="J88" i="21"/>
  <c r="H88" i="21"/>
  <c r="I88" i="21" s="1"/>
  <c r="J96" i="21"/>
  <c r="H96" i="21"/>
  <c r="I96" i="21" s="1"/>
  <c r="J101" i="21"/>
  <c r="H101" i="21"/>
  <c r="I101" i="21" s="1"/>
  <c r="J110" i="21"/>
  <c r="H110" i="21"/>
  <c r="I110" i="21" s="1"/>
  <c r="J118" i="21"/>
  <c r="H118" i="21"/>
  <c r="I118" i="21" s="1"/>
  <c r="E40" i="14"/>
  <c r="F44" i="14"/>
  <c r="J47" i="14"/>
  <c r="J88" i="14" s="1"/>
  <c r="E47" i="14"/>
  <c r="D27" i="14"/>
  <c r="N44" i="14"/>
  <c r="M80" i="14"/>
  <c r="I80" i="14"/>
  <c r="I44" i="14"/>
  <c r="K47" i="14"/>
  <c r="J44" i="14"/>
  <c r="M36" i="14"/>
  <c r="K36" i="14"/>
  <c r="H36" i="14"/>
  <c r="G47" i="14"/>
  <c r="G88" i="14" s="1"/>
  <c r="M47" i="14"/>
  <c r="M49" i="14" s="1"/>
  <c r="E45" i="14"/>
  <c r="I47" i="14"/>
  <c r="M54" i="2"/>
  <c r="H47" i="14"/>
  <c r="H88" i="14" s="1"/>
  <c r="N47" i="14"/>
  <c r="N88" i="14" s="1"/>
  <c r="F27" i="14"/>
  <c r="M27" i="14"/>
  <c r="M28" i="14" s="1"/>
  <c r="D47" i="14"/>
  <c r="J25" i="14"/>
  <c r="F47" i="14"/>
  <c r="F88" i="14" s="1"/>
  <c r="L47" i="14"/>
  <c r="L88" i="14" s="1"/>
  <c r="N27" i="14"/>
  <c r="N28" i="14" s="1"/>
  <c r="K27" i="14"/>
  <c r="K28" i="14" s="1"/>
  <c r="J27" i="14"/>
  <c r="J28" i="14" s="1"/>
  <c r="L25" i="14"/>
  <c r="E27" i="14"/>
  <c r="E33" i="14" s="1"/>
  <c r="L27" i="14"/>
  <c r="L28" i="14" s="1"/>
  <c r="I27" i="14"/>
  <c r="G27" i="14"/>
  <c r="G59" i="14" s="1"/>
  <c r="G71" i="14" s="1"/>
  <c r="O18" i="2"/>
  <c r="H27" i="14"/>
  <c r="H33" i="14" s="1"/>
  <c r="I65" i="14"/>
  <c r="N25" i="14"/>
  <c r="N45" i="14"/>
  <c r="N53" i="14"/>
  <c r="O53" i="14" s="1"/>
  <c r="O59" i="14" s="1"/>
  <c r="H73" i="14"/>
  <c r="H40" i="14"/>
  <c r="H39" i="14"/>
  <c r="F53" i="14"/>
  <c r="N73" i="14"/>
  <c r="O73" i="14" s="1"/>
  <c r="P73" i="14" s="1"/>
  <c r="N40" i="14"/>
  <c r="L73" i="14"/>
  <c r="L39" i="14"/>
  <c r="F65" i="14"/>
  <c r="F32" i="14"/>
  <c r="G53" i="14"/>
  <c r="G25" i="14"/>
  <c r="G36" i="14"/>
  <c r="K45" i="14"/>
  <c r="K53" i="14"/>
  <c r="N36" i="14"/>
  <c r="G40" i="14"/>
  <c r="G73" i="14"/>
  <c r="G39" i="14"/>
  <c r="E32" i="14"/>
  <c r="I73" i="14"/>
  <c r="I39" i="14"/>
  <c r="F36" i="14"/>
  <c r="N65" i="14"/>
  <c r="N32" i="14"/>
  <c r="L36" i="14"/>
  <c r="M32" i="14"/>
  <c r="M65" i="14"/>
  <c r="H53" i="14"/>
  <c r="H25" i="14"/>
  <c r="I25" i="14"/>
  <c r="I45" i="14"/>
  <c r="M53" i="14"/>
  <c r="M25" i="14"/>
  <c r="K31" i="14"/>
  <c r="H45" i="14"/>
  <c r="G45" i="14"/>
  <c r="E10" i="15"/>
  <c r="Q91" i="14"/>
  <c r="P89" i="14"/>
  <c r="K49" i="14"/>
  <c r="W37" i="14"/>
  <c r="W52" i="14" s="1"/>
  <c r="O37" i="14"/>
  <c r="O52" i="14" s="1"/>
  <c r="G37" i="14"/>
  <c r="G52" i="14" s="1"/>
  <c r="F25" i="14"/>
  <c r="J32" i="14"/>
  <c r="L40" i="14"/>
  <c r="O89" i="14"/>
  <c r="V37" i="14"/>
  <c r="V52" i="14" s="1"/>
  <c r="F37" i="14"/>
  <c r="F52" i="14" s="1"/>
  <c r="G44" i="14"/>
  <c r="T37" i="14"/>
  <c r="T52" i="14" s="1"/>
  <c r="L37" i="14"/>
  <c r="L52" i="14" s="1"/>
  <c r="K37" i="14"/>
  <c r="K52" i="14" s="1"/>
  <c r="J37" i="14"/>
  <c r="J52" i="14" s="1"/>
  <c r="K25" i="14"/>
  <c r="I36" i="14"/>
  <c r="F40" i="14"/>
  <c r="K44" i="14"/>
  <c r="L53" i="14"/>
  <c r="Q37" i="14"/>
  <c r="Q52" i="14" s="1"/>
  <c r="I37" i="14"/>
  <c r="I52" i="14" s="1"/>
  <c r="L44" i="14"/>
  <c r="O81" i="14"/>
  <c r="O80" i="14" s="1"/>
  <c r="P80" i="14" s="1"/>
  <c r="X37" i="14"/>
  <c r="X52" i="14" s="1"/>
  <c r="P37" i="14"/>
  <c r="P52" i="14" s="1"/>
  <c r="H37" i="14"/>
  <c r="H52" i="14" s="1"/>
  <c r="K40" i="14"/>
  <c r="G80" i="14"/>
  <c r="L45" i="14"/>
  <c r="E44" i="14"/>
  <c r="M44" i="14"/>
  <c r="M45" i="14"/>
  <c r="J45" i="14"/>
  <c r="H44" i="14"/>
  <c r="E39" i="14"/>
  <c r="M39" i="14"/>
  <c r="M40" i="14"/>
  <c r="F39" i="14"/>
  <c r="N39" i="14"/>
  <c r="J39" i="14"/>
  <c r="K39" i="14"/>
  <c r="G32" i="14"/>
  <c r="H32" i="14"/>
  <c r="I32" i="14"/>
  <c r="I40" i="14"/>
  <c r="I53" i="14"/>
  <c r="J40" i="14"/>
  <c r="F45" i="14"/>
  <c r="J53" i="14"/>
  <c r="J36" i="14"/>
  <c r="G3" i="14"/>
  <c r="Q89" i="14"/>
  <c r="R91" i="14"/>
  <c r="N54" i="14"/>
  <c r="P56" i="14"/>
  <c r="P55" i="14" s="1"/>
  <c r="P62" i="14"/>
  <c r="P68" i="14"/>
  <c r="Q76" i="14"/>
  <c r="Q83" i="14"/>
  <c r="L58" i="2"/>
  <c r="J58" i="2"/>
  <c r="I18" i="2"/>
  <c r="T39" i="2"/>
  <c r="U39" i="2" s="1"/>
  <c r="P54" i="2"/>
  <c r="N58" i="2"/>
  <c r="T13" i="2"/>
  <c r="U13" i="2" s="1"/>
  <c r="T14" i="2"/>
  <c r="U14" i="2" s="1"/>
  <c r="T26" i="2"/>
  <c r="U26" i="2" s="1"/>
  <c r="T37" i="2"/>
  <c r="U37" i="2" s="1"/>
  <c r="T35" i="2"/>
  <c r="U35" i="2" s="1"/>
  <c r="T12" i="2"/>
  <c r="U12" i="2" s="1"/>
  <c r="T33" i="2"/>
  <c r="U33" i="2" s="1"/>
  <c r="T15" i="2"/>
  <c r="U15" i="2" s="1"/>
  <c r="T32" i="2"/>
  <c r="U32" i="2" s="1"/>
  <c r="T63" i="2"/>
  <c r="U63" i="2" s="1"/>
  <c r="T31" i="2"/>
  <c r="U31" i="2" s="1"/>
  <c r="T11" i="2"/>
  <c r="U11" i="2" s="1"/>
  <c r="T57" i="2"/>
  <c r="U57" i="2" s="1"/>
  <c r="T30" i="2"/>
  <c r="U30" i="2" s="1"/>
  <c r="T22" i="2"/>
  <c r="U22" i="2" s="1"/>
  <c r="T6" i="2"/>
  <c r="U6" i="2" s="1"/>
  <c r="T10" i="2"/>
  <c r="U10" i="2" s="1"/>
  <c r="T56" i="2"/>
  <c r="U56" i="2" s="1"/>
  <c r="T23" i="2"/>
  <c r="U23" i="2" s="1"/>
  <c r="T29" i="2"/>
  <c r="U29" i="2" s="1"/>
  <c r="I58" i="2"/>
  <c r="T9" i="2"/>
  <c r="U9" i="2" s="1"/>
  <c r="T25" i="2"/>
  <c r="U25" i="2" s="1"/>
  <c r="T27" i="2"/>
  <c r="U27" i="2" s="1"/>
  <c r="T40" i="2"/>
  <c r="U40" i="2" s="1"/>
  <c r="T28" i="2"/>
  <c r="U28" i="2" s="1"/>
  <c r="T8" i="2"/>
  <c r="U8" i="2" s="1"/>
  <c r="O62" i="2"/>
  <c r="O65" i="2"/>
  <c r="O64" i="2"/>
  <c r="K65" i="2"/>
  <c r="K64" i="2"/>
  <c r="K62" i="2"/>
  <c r="T16" i="2"/>
  <c r="U16" i="2" s="1"/>
  <c r="O58" i="2"/>
  <c r="J65" i="2"/>
  <c r="J64" i="2"/>
  <c r="J62" i="2"/>
  <c r="R58" i="2"/>
  <c r="I65" i="2"/>
  <c r="I64" i="2"/>
  <c r="I62" i="2"/>
  <c r="R65" i="2"/>
  <c r="R64" i="2"/>
  <c r="R62" i="2"/>
  <c r="M65" i="2"/>
  <c r="M64" i="2"/>
  <c r="M62" i="2"/>
  <c r="T20" i="2"/>
  <c r="U20" i="2" s="1"/>
  <c r="N62" i="2"/>
  <c r="N65" i="2"/>
  <c r="N64" i="2"/>
  <c r="M58" i="2"/>
  <c r="Q48" i="2"/>
  <c r="Q58" i="2"/>
  <c r="P58" i="2"/>
  <c r="L65" i="2"/>
  <c r="L64" i="2"/>
  <c r="L62" i="2"/>
  <c r="P64" i="2"/>
  <c r="P62" i="2"/>
  <c r="P65" i="2"/>
  <c r="K58" i="2"/>
  <c r="Q64" i="2"/>
  <c r="Q62" i="2"/>
  <c r="Q65" i="2"/>
  <c r="P51" i="2"/>
  <c r="B23" i="2"/>
  <c r="Q51" i="2"/>
  <c r="K51" i="2"/>
  <c r="J54" i="2"/>
  <c r="R48" i="2"/>
  <c r="Q18" i="2"/>
  <c r="O54" i="2"/>
  <c r="N51" i="2"/>
  <c r="J51" i="2"/>
  <c r="I17" i="2"/>
  <c r="L51" i="2"/>
  <c r="O51" i="2"/>
  <c r="R45" i="2"/>
  <c r="N54" i="2"/>
  <c r="I51" i="2"/>
  <c r="L54" i="2"/>
  <c r="M48" i="2"/>
  <c r="Q17" i="2"/>
  <c r="R44" i="2"/>
  <c r="R18" i="2"/>
  <c r="O48" i="2"/>
  <c r="M18" i="2"/>
  <c r="P18" i="2"/>
  <c r="P17" i="2"/>
  <c r="O17" i="2"/>
  <c r="N18" i="2"/>
  <c r="N17" i="2"/>
  <c r="L18" i="2"/>
  <c r="L17" i="2"/>
  <c r="K18" i="2"/>
  <c r="K17" i="2"/>
  <c r="J18" i="2"/>
  <c r="M17" i="2"/>
  <c r="R17" i="2"/>
  <c r="J34" i="2"/>
  <c r="K34" i="2"/>
  <c r="L34" i="2"/>
  <c r="M34" i="2"/>
  <c r="N34" i="2"/>
  <c r="O34" i="2"/>
  <c r="P34" i="2"/>
  <c r="Q34" i="2"/>
  <c r="R34" i="2"/>
  <c r="J17" i="2"/>
  <c r="H18" i="2"/>
  <c r="H17" i="2"/>
  <c r="F18" i="2"/>
  <c r="F17" i="2"/>
  <c r="G18" i="2"/>
  <c r="G17" i="2"/>
  <c r="F64" i="2"/>
  <c r="R46" i="2"/>
  <c r="O46" i="2"/>
  <c r="M46" i="2"/>
  <c r="I61" i="2"/>
  <c r="J61" i="2"/>
  <c r="K61" i="2"/>
  <c r="L61" i="2"/>
  <c r="N61" i="2"/>
  <c r="O61" i="2"/>
  <c r="P61" i="2"/>
  <c r="Q61" i="2"/>
  <c r="R61" i="2"/>
  <c r="H60" i="2"/>
  <c r="H61" i="2"/>
  <c r="G60" i="2"/>
  <c r="G61" i="2"/>
  <c r="F60" i="2"/>
  <c r="F61" i="2"/>
  <c r="M61" i="2"/>
  <c r="I60" i="2"/>
  <c r="J60" i="2"/>
  <c r="K60" i="2"/>
  <c r="L60" i="2"/>
  <c r="M60" i="2"/>
  <c r="N60" i="2"/>
  <c r="O60" i="2"/>
  <c r="P60" i="2"/>
  <c r="Q60" i="2"/>
  <c r="R60" i="2"/>
  <c r="R47" i="2"/>
  <c r="M51" i="2"/>
  <c r="P44" i="2"/>
  <c r="N44" i="2"/>
  <c r="L44" i="2"/>
  <c r="K44" i="2"/>
  <c r="J44" i="2"/>
  <c r="I44" i="2"/>
  <c r="R55" i="2"/>
  <c r="P55" i="2"/>
  <c r="O55" i="2"/>
  <c r="N55" i="2"/>
  <c r="M55" i="2"/>
  <c r="L55" i="2"/>
  <c r="K55" i="2"/>
  <c r="J55" i="2"/>
  <c r="I55" i="2"/>
  <c r="R54" i="2"/>
  <c r="Q54" i="2"/>
  <c r="K53" i="2"/>
  <c r="K54" i="2"/>
  <c r="I53" i="2"/>
  <c r="I54" i="2"/>
  <c r="P46" i="2"/>
  <c r="P52" i="2"/>
  <c r="P45" i="2"/>
  <c r="P48" i="2"/>
  <c r="O52" i="2"/>
  <c r="O45" i="2"/>
  <c r="O44" i="2"/>
  <c r="N46" i="2"/>
  <c r="N52" i="2"/>
  <c r="N45" i="2"/>
  <c r="N48" i="2"/>
  <c r="L52" i="2"/>
  <c r="L45" i="2"/>
  <c r="L48" i="2"/>
  <c r="L46" i="2"/>
  <c r="K46" i="2"/>
  <c r="K52" i="2"/>
  <c r="K45" i="2"/>
  <c r="K48" i="2"/>
  <c r="J52" i="2"/>
  <c r="J45" i="2"/>
  <c r="J48" i="2"/>
  <c r="I52" i="2"/>
  <c r="I45" i="2"/>
  <c r="I48" i="2"/>
  <c r="M52" i="2"/>
  <c r="M45" i="2"/>
  <c r="M44" i="2"/>
  <c r="I46" i="2"/>
  <c r="Q45" i="2"/>
  <c r="Q44" i="2"/>
  <c r="Q46" i="2"/>
  <c r="J46" i="2"/>
  <c r="O53" i="2"/>
  <c r="N53" i="2"/>
  <c r="M53" i="2"/>
  <c r="L53" i="2"/>
  <c r="J53" i="2"/>
  <c r="Q47" i="2"/>
  <c r="P47" i="2"/>
  <c r="O47" i="2"/>
  <c r="N47" i="2"/>
  <c r="M47" i="2"/>
  <c r="L47" i="2"/>
  <c r="J47" i="2"/>
  <c r="I47" i="2"/>
  <c r="R52" i="2"/>
  <c r="R51" i="2"/>
  <c r="A505" i="5"/>
  <c r="A507" i="5"/>
  <c r="A506" i="5"/>
  <c r="A503" i="5"/>
  <c r="H1004" i="5"/>
  <c r="H1" i="5"/>
  <c r="F1002" i="5"/>
  <c r="F1" i="5"/>
  <c r="A504" i="5"/>
  <c r="H1002" i="5"/>
  <c r="E1002" i="5"/>
  <c r="E1" i="5"/>
  <c r="D1004" i="5"/>
  <c r="D1" i="5"/>
  <c r="G1004" i="5"/>
  <c r="G1" i="5"/>
  <c r="D1002" i="5"/>
  <c r="G1002" i="5"/>
  <c r="D1007" i="5"/>
  <c r="E1007" i="5"/>
  <c r="F1007" i="5"/>
  <c r="G1007" i="5"/>
  <c r="H1007" i="5"/>
  <c r="D1005" i="5"/>
  <c r="D1006" i="5" s="1"/>
  <c r="D1003" i="5"/>
  <c r="E1005" i="5"/>
  <c r="E1006" i="5" s="1"/>
  <c r="E1003" i="5"/>
  <c r="F1005" i="5"/>
  <c r="F1006" i="5" s="1"/>
  <c r="F1003" i="5"/>
  <c r="G1005" i="5"/>
  <c r="G1006" i="5" s="1"/>
  <c r="G1003" i="5"/>
  <c r="H1005" i="5"/>
  <c r="H1006" i="5" s="1"/>
  <c r="H1003" i="5"/>
  <c r="J49" i="14" l="1"/>
  <c r="J48" i="14"/>
  <c r="L49" i="14"/>
  <c r="E14" i="18"/>
  <c r="E15" i="18"/>
  <c r="E12" i="18"/>
  <c r="L54" i="20"/>
  <c r="L63" i="20"/>
  <c r="L45" i="20"/>
  <c r="L66" i="20"/>
  <c r="L46" i="20"/>
  <c r="L61" i="20"/>
  <c r="C8" i="20"/>
  <c r="L53" i="20"/>
  <c r="L58" i="20"/>
  <c r="L55" i="20"/>
  <c r="C7" i="20"/>
  <c r="L23" i="21" s="1"/>
  <c r="L47" i="20"/>
  <c r="L50" i="20"/>
  <c r="L62" i="20"/>
  <c r="L42" i="20"/>
  <c r="L71" i="20"/>
  <c r="L70" i="20"/>
  <c r="L69" i="20"/>
  <c r="L79" i="20"/>
  <c r="L73" i="20"/>
  <c r="L57" i="20"/>
  <c r="L41" i="20"/>
  <c r="L72" i="20"/>
  <c r="L56" i="20"/>
  <c r="L40" i="20"/>
  <c r="L25" i="20"/>
  <c r="L84" i="20"/>
  <c r="L68" i="20"/>
  <c r="L52" i="20"/>
  <c r="L36" i="20"/>
  <c r="L83" i="20"/>
  <c r="L67" i="20"/>
  <c r="L51" i="20"/>
  <c r="L35" i="20"/>
  <c r="L81" i="20"/>
  <c r="L65" i="20"/>
  <c r="L49" i="20"/>
  <c r="L33" i="20"/>
  <c r="L80" i="20"/>
  <c r="L64" i="20"/>
  <c r="L48" i="20"/>
  <c r="L32" i="20"/>
  <c r="L76" i="20"/>
  <c r="L60" i="20"/>
  <c r="L44" i="20"/>
  <c r="L28" i="20"/>
  <c r="L75" i="20"/>
  <c r="L59" i="20"/>
  <c r="L43" i="20"/>
  <c r="L27" i="20"/>
  <c r="L39" i="20"/>
  <c r="L38" i="20"/>
  <c r="L37" i="20"/>
  <c r="L34" i="20"/>
  <c r="L31" i="20"/>
  <c r="L30" i="20"/>
  <c r="L29" i="20"/>
  <c r="L26" i="20"/>
  <c r="L86" i="20"/>
  <c r="L85" i="20"/>
  <c r="L82" i="20"/>
  <c r="L78" i="20"/>
  <c r="L77" i="20"/>
  <c r="L74" i="20"/>
  <c r="I64" i="21"/>
  <c r="I52" i="21"/>
  <c r="I39" i="21"/>
  <c r="I23" i="21"/>
  <c r="I32" i="21"/>
  <c r="I60" i="21"/>
  <c r="I48" i="21"/>
  <c r="I47" i="21"/>
  <c r="I33" i="21"/>
  <c r="I41" i="21"/>
  <c r="I43" i="21"/>
  <c r="I26" i="21"/>
  <c r="I30" i="21"/>
  <c r="I40" i="21"/>
  <c r="I66" i="21"/>
  <c r="I31" i="21"/>
  <c r="I44" i="21"/>
  <c r="I24" i="21"/>
  <c r="I38" i="21"/>
  <c r="I49" i="21"/>
  <c r="I56" i="21"/>
  <c r="I58" i="21"/>
  <c r="I54" i="21"/>
  <c r="I29" i="21"/>
  <c r="I37" i="21"/>
  <c r="I25" i="21"/>
  <c r="I62" i="21"/>
  <c r="I28" i="21"/>
  <c r="I35" i="21"/>
  <c r="C3" i="14"/>
  <c r="M88" i="14"/>
  <c r="G49" i="14"/>
  <c r="I48" i="14"/>
  <c r="K48" i="14"/>
  <c r="H59" i="14"/>
  <c r="H71" i="14" s="1"/>
  <c r="H95" i="14" s="1"/>
  <c r="M33" i="14"/>
  <c r="E48" i="14"/>
  <c r="K88" i="14"/>
  <c r="G54" i="14"/>
  <c r="M29" i="14"/>
  <c r="L33" i="14"/>
  <c r="N29" i="14"/>
  <c r="F49" i="14"/>
  <c r="H28" i="14"/>
  <c r="M48" i="14"/>
  <c r="L48" i="14"/>
  <c r="I49" i="14"/>
  <c r="F48" i="14"/>
  <c r="H48" i="14"/>
  <c r="N48" i="14"/>
  <c r="N33" i="14"/>
  <c r="N59" i="14"/>
  <c r="N71" i="14" s="1"/>
  <c r="N95" i="14" s="1"/>
  <c r="I88" i="14"/>
  <c r="O19" i="2"/>
  <c r="O66" i="2" s="1"/>
  <c r="G48" i="14"/>
  <c r="H49" i="14"/>
  <c r="F29" i="14"/>
  <c r="M59" i="14"/>
  <c r="M71" i="14" s="1"/>
  <c r="F28" i="14"/>
  <c r="F33" i="14"/>
  <c r="F59" i="14"/>
  <c r="F71" i="14" s="1"/>
  <c r="F95" i="14" s="1"/>
  <c r="J33" i="14"/>
  <c r="K29" i="14"/>
  <c r="N49" i="14"/>
  <c r="K59" i="14"/>
  <c r="I29" i="14"/>
  <c r="E28" i="14"/>
  <c r="E29" i="14"/>
  <c r="J59" i="14"/>
  <c r="J71" i="14" s="1"/>
  <c r="J95" i="14" s="1"/>
  <c r="H54" i="14"/>
  <c r="G29" i="14"/>
  <c r="G28" i="14"/>
  <c r="G33" i="14"/>
  <c r="H29" i="14"/>
  <c r="L29" i="14"/>
  <c r="I28" i="14"/>
  <c r="I59" i="14"/>
  <c r="I71" i="14" s="1"/>
  <c r="J29" i="14"/>
  <c r="I33" i="14"/>
  <c r="I54" i="14"/>
  <c r="L59" i="14"/>
  <c r="L71" i="14" s="1"/>
  <c r="L95" i="14" s="1"/>
  <c r="K33" i="14"/>
  <c r="K32" i="14"/>
  <c r="K65" i="14"/>
  <c r="L54" i="14"/>
  <c r="G95" i="14"/>
  <c r="L32" i="14"/>
  <c r="E22" i="15"/>
  <c r="E18" i="15" s="1"/>
  <c r="O88" i="14"/>
  <c r="P88" i="14" s="1"/>
  <c r="Q88" i="14" s="1"/>
  <c r="M54" i="14"/>
  <c r="J54" i="14"/>
  <c r="K54" i="14"/>
  <c r="P66" i="14"/>
  <c r="Q68" i="14"/>
  <c r="P60" i="14"/>
  <c r="Q62" i="14"/>
  <c r="Q81" i="14"/>
  <c r="Q80" i="14" s="1"/>
  <c r="R83" i="14"/>
  <c r="O65" i="14"/>
  <c r="Q74" i="14"/>
  <c r="Q73" i="14" s="1"/>
  <c r="R76" i="14"/>
  <c r="S91" i="14"/>
  <c r="R89" i="14"/>
  <c r="P54" i="14"/>
  <c r="P53" i="14" s="1"/>
  <c r="Q56" i="14"/>
  <c r="Q55" i="14" s="1"/>
  <c r="P57" i="14"/>
  <c r="A28" i="2"/>
  <c r="B2" i="12"/>
  <c r="A27" i="2"/>
  <c r="A26" i="2"/>
  <c r="A25" i="2"/>
  <c r="T18" i="2"/>
  <c r="U18" i="2" s="1"/>
  <c r="T58" i="2"/>
  <c r="U58" i="2" s="1"/>
  <c r="Q19" i="2"/>
  <c r="Q66" i="2" s="1"/>
  <c r="T45" i="2"/>
  <c r="U45" i="2" s="1"/>
  <c r="T54" i="2"/>
  <c r="U54" i="2" s="1"/>
  <c r="T44" i="2"/>
  <c r="U44" i="2" s="1"/>
  <c r="T52" i="2"/>
  <c r="U52" i="2" s="1"/>
  <c r="T60" i="2"/>
  <c r="U60" i="2" s="1"/>
  <c r="T61" i="2"/>
  <c r="U61" i="2" s="1"/>
  <c r="T46" i="2"/>
  <c r="U46" i="2" s="1"/>
  <c r="T59" i="2"/>
  <c r="U59" i="2" s="1"/>
  <c r="I19" i="2"/>
  <c r="I66" i="2" s="1"/>
  <c r="T17" i="2"/>
  <c r="U17" i="2" s="1"/>
  <c r="T62" i="2"/>
  <c r="U62" i="2" s="1"/>
  <c r="T55" i="2"/>
  <c r="U55" i="2" s="1"/>
  <c r="T64" i="2"/>
  <c r="U64" i="2" s="1"/>
  <c r="T48" i="2"/>
  <c r="U48" i="2" s="1"/>
  <c r="T65" i="2"/>
  <c r="U65" i="2" s="1"/>
  <c r="T34" i="2"/>
  <c r="U34" i="2" s="1"/>
  <c r="T47" i="2"/>
  <c r="U47" i="2" s="1"/>
  <c r="T51" i="2"/>
  <c r="U51" i="2" s="1"/>
  <c r="T53" i="2"/>
  <c r="U53" i="2" s="1"/>
  <c r="P19" i="2"/>
  <c r="P66" i="2" s="1"/>
  <c r="R19" i="2"/>
  <c r="R66" i="2" s="1"/>
  <c r="F19" i="2"/>
  <c r="N19" i="2"/>
  <c r="N66" i="2" s="1"/>
  <c r="G19" i="2"/>
  <c r="L19" i="2"/>
  <c r="L66" i="2" s="1"/>
  <c r="K19" i="2"/>
  <c r="K66" i="2" s="1"/>
  <c r="J19" i="2"/>
  <c r="J66" i="2" s="1"/>
  <c r="M19" i="2"/>
  <c r="M66" i="2" s="1"/>
  <c r="H19" i="2"/>
  <c r="M95" i="14" l="1"/>
  <c r="L29" i="21"/>
  <c r="L25" i="21"/>
  <c r="L28" i="21"/>
  <c r="L31" i="21"/>
  <c r="L24" i="21"/>
  <c r="L30" i="21"/>
  <c r="L40" i="21"/>
  <c r="L48" i="21"/>
  <c r="L56" i="21"/>
  <c r="L64" i="21"/>
  <c r="L72" i="21"/>
  <c r="L80" i="21"/>
  <c r="L88" i="21"/>
  <c r="L96" i="21"/>
  <c r="L104" i="21"/>
  <c r="L112" i="21"/>
  <c r="L120" i="21"/>
  <c r="L33" i="21"/>
  <c r="L41" i="21"/>
  <c r="L49" i="21"/>
  <c r="L57" i="21"/>
  <c r="L65" i="21"/>
  <c r="L73" i="21"/>
  <c r="L81" i="21"/>
  <c r="L89" i="21"/>
  <c r="L97" i="21"/>
  <c r="L105" i="21"/>
  <c r="L113" i="21"/>
  <c r="L34" i="21"/>
  <c r="L42" i="21"/>
  <c r="L50" i="21"/>
  <c r="L58" i="21"/>
  <c r="L66" i="21"/>
  <c r="L74" i="21"/>
  <c r="L82" i="21"/>
  <c r="L90" i="21"/>
  <c r="L98" i="21"/>
  <c r="L106" i="21"/>
  <c r="L114" i="21"/>
  <c r="L35" i="21"/>
  <c r="L43" i="21"/>
  <c r="L51" i="21"/>
  <c r="L59" i="21"/>
  <c r="L67" i="21"/>
  <c r="L75" i="21"/>
  <c r="L83" i="21"/>
  <c r="L91" i="21"/>
  <c r="L99" i="21"/>
  <c r="L107" i="21"/>
  <c r="L115" i="21"/>
  <c r="L36" i="21"/>
  <c r="L44" i="21"/>
  <c r="L52" i="21"/>
  <c r="L60" i="21"/>
  <c r="L68" i="21"/>
  <c r="L76" i="21"/>
  <c r="L84" i="21"/>
  <c r="L92" i="21"/>
  <c r="L100" i="21"/>
  <c r="L108" i="21"/>
  <c r="L116" i="21"/>
  <c r="L37" i="21"/>
  <c r="L45" i="21"/>
  <c r="L53" i="21"/>
  <c r="L61" i="21"/>
  <c r="L69" i="21"/>
  <c r="L77" i="21"/>
  <c r="L85" i="21"/>
  <c r="L93" i="21"/>
  <c r="L101" i="21"/>
  <c r="L109" i="21"/>
  <c r="L117" i="21"/>
  <c r="L38" i="21"/>
  <c r="L46" i="21"/>
  <c r="L54" i="21"/>
  <c r="L62" i="21"/>
  <c r="L70" i="21"/>
  <c r="L78" i="21"/>
  <c r="L86" i="21"/>
  <c r="L94" i="21"/>
  <c r="L102" i="21"/>
  <c r="L110" i="21"/>
  <c r="L118" i="21"/>
  <c r="L39" i="21"/>
  <c r="L47" i="21"/>
  <c r="L55" i="21"/>
  <c r="L63" i="21"/>
  <c r="L71" i="21"/>
  <c r="L79" i="21"/>
  <c r="L87" i="21"/>
  <c r="L95" i="21"/>
  <c r="L103" i="21"/>
  <c r="L111" i="21"/>
  <c r="L119" i="21"/>
  <c r="L27" i="21"/>
  <c r="L32" i="21"/>
  <c r="L26" i="21"/>
  <c r="I5" i="20"/>
  <c r="B10" i="22"/>
  <c r="C9" i="20"/>
  <c r="I7" i="20"/>
  <c r="I95" i="14"/>
  <c r="K71" i="14"/>
  <c r="K95" i="14" s="1"/>
  <c r="E11" i="15"/>
  <c r="E30" i="15" s="1"/>
  <c r="R88" i="14"/>
  <c r="O71" i="14"/>
  <c r="O95" i="14" s="1"/>
  <c r="O96" i="14" s="1"/>
  <c r="Q57" i="14"/>
  <c r="S83" i="14"/>
  <c r="R81" i="14"/>
  <c r="R80" i="14" s="1"/>
  <c r="S89" i="14"/>
  <c r="T91" i="14"/>
  <c r="Q60" i="14"/>
  <c r="R62" i="14"/>
  <c r="S76" i="14"/>
  <c r="R74" i="14"/>
  <c r="R73" i="14" s="1"/>
  <c r="P59" i="14"/>
  <c r="Q66" i="14"/>
  <c r="R68" i="14"/>
  <c r="Q54" i="14"/>
  <c r="Q53" i="14" s="1"/>
  <c r="R56" i="14"/>
  <c r="T66" i="2"/>
  <c r="U66" i="2" s="1"/>
  <c r="T19" i="2"/>
  <c r="U19" i="2" s="1"/>
  <c r="C10" i="20" l="1"/>
  <c r="I6" i="20"/>
  <c r="B12" i="22" a="1"/>
  <c r="B12" i="22" s="1"/>
  <c r="S88" i="14"/>
  <c r="P65" i="14"/>
  <c r="P71" i="14" s="1"/>
  <c r="P95" i="14" s="1"/>
  <c r="P96" i="14" s="1"/>
  <c r="R54" i="14"/>
  <c r="R53" i="14" s="1"/>
  <c r="S56" i="14"/>
  <c r="R60" i="14"/>
  <c r="S62" i="14"/>
  <c r="S74" i="14"/>
  <c r="S73" i="14" s="1"/>
  <c r="T76" i="14"/>
  <c r="S81" i="14"/>
  <c r="S80" i="14" s="1"/>
  <c r="T83" i="14"/>
  <c r="Q59" i="14"/>
  <c r="R57" i="14"/>
  <c r="S57" i="14" s="1"/>
  <c r="R55" i="14"/>
  <c r="R66" i="14"/>
  <c r="S68" i="14"/>
  <c r="T89" i="14"/>
  <c r="U91" i="14"/>
  <c r="T88" i="14" l="1"/>
  <c r="R59" i="14"/>
  <c r="R65" i="14" s="1"/>
  <c r="R71" i="14" s="1"/>
  <c r="R95" i="14" s="1"/>
  <c r="R96" i="14" s="1"/>
  <c r="Q65" i="14"/>
  <c r="Q71" i="14" s="1"/>
  <c r="Q95" i="14" s="1"/>
  <c r="Q96" i="14" s="1"/>
  <c r="T81" i="14"/>
  <c r="T80" i="14" s="1"/>
  <c r="U83" i="14"/>
  <c r="U89" i="14"/>
  <c r="V91" i="14"/>
  <c r="S54" i="14"/>
  <c r="S53" i="14" s="1"/>
  <c r="T56" i="14"/>
  <c r="S66" i="14"/>
  <c r="T68" i="14"/>
  <c r="T74" i="14"/>
  <c r="T73" i="14" s="1"/>
  <c r="U76" i="14"/>
  <c r="S55" i="14"/>
  <c r="T55" i="14" s="1"/>
  <c r="S60" i="14"/>
  <c r="T62" i="14"/>
  <c r="U88" i="14" l="1"/>
  <c r="T60" i="14"/>
  <c r="U62" i="14"/>
  <c r="T54" i="14"/>
  <c r="T53" i="14" s="1"/>
  <c r="U56" i="14"/>
  <c r="V89" i="14"/>
  <c r="W91" i="14"/>
  <c r="U74" i="14"/>
  <c r="U73" i="14" s="1"/>
  <c r="V76" i="14"/>
  <c r="T57" i="14"/>
  <c r="T66" i="14"/>
  <c r="U68" i="14"/>
  <c r="S59" i="14"/>
  <c r="U55" i="14"/>
  <c r="U81" i="14"/>
  <c r="U80" i="14" s="1"/>
  <c r="V83" i="14"/>
  <c r="V88" i="14" l="1"/>
  <c r="U57" i="14"/>
  <c r="U66" i="14"/>
  <c r="V68" i="14"/>
  <c r="V81" i="14"/>
  <c r="V80" i="14" s="1"/>
  <c r="W83" i="14"/>
  <c r="W89" i="14"/>
  <c r="X91" i="14"/>
  <c r="T59" i="14"/>
  <c r="U60" i="14"/>
  <c r="V62" i="14"/>
  <c r="V74" i="14"/>
  <c r="V73" i="14" s="1"/>
  <c r="W76" i="14"/>
  <c r="S65" i="14"/>
  <c r="S71" i="14" s="1"/>
  <c r="S95" i="14" s="1"/>
  <c r="S96" i="14" s="1"/>
  <c r="U54" i="14"/>
  <c r="U53" i="14" s="1"/>
  <c r="V56" i="14"/>
  <c r="V57" i="14" s="1"/>
  <c r="W88" i="14" l="1"/>
  <c r="W56" i="14"/>
  <c r="V54" i="14"/>
  <c r="V53" i="14" s="1"/>
  <c r="W62" i="14"/>
  <c r="V60" i="14"/>
  <c r="U59" i="14"/>
  <c r="W68" i="14"/>
  <c r="V66" i="14"/>
  <c r="T65" i="14"/>
  <c r="T71" i="14" s="1"/>
  <c r="T95" i="14" s="1"/>
  <c r="T96" i="14" s="1"/>
  <c r="X89" i="14"/>
  <c r="Y91" i="14"/>
  <c r="Y89" i="14" s="1"/>
  <c r="V55" i="14"/>
  <c r="W74" i="14"/>
  <c r="W73" i="14" s="1"/>
  <c r="X76" i="14"/>
  <c r="W81" i="14"/>
  <c r="W80" i="14" s="1"/>
  <c r="X83" i="14"/>
  <c r="X88" i="14" l="1"/>
  <c r="Y88" i="14" s="1"/>
  <c r="X81" i="14"/>
  <c r="X80" i="14" s="1"/>
  <c r="Y83" i="14"/>
  <c r="Y81" i="14" s="1"/>
  <c r="W54" i="14"/>
  <c r="W53" i="14" s="1"/>
  <c r="X56" i="14"/>
  <c r="X54" i="14" s="1"/>
  <c r="X74" i="14"/>
  <c r="X73" i="14" s="1"/>
  <c r="Y76" i="14"/>
  <c r="Y74" i="14" s="1"/>
  <c r="W66" i="14"/>
  <c r="X68" i="14"/>
  <c r="W60" i="14"/>
  <c r="X62" i="14"/>
  <c r="W55" i="14"/>
  <c r="U65" i="14"/>
  <c r="U71" i="14" s="1"/>
  <c r="U95" i="14" s="1"/>
  <c r="U96" i="14" s="1"/>
  <c r="W57" i="14"/>
  <c r="V59" i="14"/>
  <c r="X55" i="14" l="1"/>
  <c r="Y73" i="14"/>
  <c r="X53" i="14"/>
  <c r="Y53" i="14" s="1"/>
  <c r="Y80" i="14"/>
  <c r="X66" i="14"/>
  <c r="Y68" i="14"/>
  <c r="Y66" i="14" s="1"/>
  <c r="X60" i="14"/>
  <c r="Y62" i="14"/>
  <c r="Y60" i="14" s="1"/>
  <c r="W59" i="14"/>
  <c r="X57" i="14"/>
  <c r="V65" i="14"/>
  <c r="V71" i="14" s="1"/>
  <c r="V95" i="14" s="1"/>
  <c r="V96" i="14" s="1"/>
  <c r="X59" i="14" l="1"/>
  <c r="X65" i="14" s="1"/>
  <c r="X71" i="14" s="1"/>
  <c r="X95" i="14" s="1"/>
  <c r="X98" i="14" s="1"/>
  <c r="Y59" i="14"/>
  <c r="Y65" i="14" s="1"/>
  <c r="Y71" i="14" s="1"/>
  <c r="Y95" i="14" s="1"/>
  <c r="Y98" i="14" s="1"/>
  <c r="W65" i="14"/>
  <c r="W71" i="14" s="1"/>
  <c r="W95" i="14" s="1"/>
  <c r="W96" i="14" s="1"/>
  <c r="X96" i="14" l="1"/>
  <c r="X99" i="14"/>
  <c r="Y96" i="14"/>
  <c r="Y99" i="14"/>
  <c r="Y101" i="14" l="1"/>
  <c r="Y104" i="14" s="1"/>
  <c r="Y106" i="14" s="1"/>
  <c r="G4" i="14" s="1"/>
  <c r="X101" i="14"/>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3">
    <bk>
      <extLst>
        <ext uri="{3e2802c4-a4d2-4d8b-9148-e3be6c30e623}">
          <xlrd:rvb i="2"/>
        </ext>
      </extLst>
    </bk>
    <bk>
      <extLst>
        <ext uri="{3e2802c4-a4d2-4d8b-9148-e3be6c30e623}">
          <xlrd:rvb i="5"/>
        </ext>
      </extLst>
    </bk>
    <bk>
      <extLst>
        <ext uri="{3e2802c4-a4d2-4d8b-9148-e3be6c30e623}">
          <xlrd:rvb i="8"/>
        </ext>
      </extLst>
    </bk>
    <bk>
      <extLst>
        <ext uri="{3e2802c4-a4d2-4d8b-9148-e3be6c30e623}">
          <xlrd:rvb i="11"/>
        </ext>
      </extLst>
    </bk>
    <bk>
      <extLst>
        <ext uri="{3e2802c4-a4d2-4d8b-9148-e3be6c30e623}">
          <xlrd:rvb i="18"/>
        </ext>
      </extLst>
    </bk>
    <bk>
      <extLst>
        <ext uri="{3e2802c4-a4d2-4d8b-9148-e3be6c30e623}">
          <xlrd:rvb i="21"/>
        </ext>
      </extLst>
    </bk>
    <bk>
      <extLst>
        <ext uri="{3e2802c4-a4d2-4d8b-9148-e3be6c30e623}">
          <xlrd:rvb i="24"/>
        </ext>
      </extLst>
    </bk>
    <bk>
      <extLst>
        <ext uri="{3e2802c4-a4d2-4d8b-9148-e3be6c30e623}">
          <xlrd:rvb i="27"/>
        </ext>
      </extLst>
    </bk>
    <bk>
      <extLst>
        <ext uri="{3e2802c4-a4d2-4d8b-9148-e3be6c30e623}">
          <xlrd:rvb i="30"/>
        </ext>
      </extLst>
    </bk>
    <bk>
      <extLst>
        <ext uri="{3e2802c4-a4d2-4d8b-9148-e3be6c30e623}">
          <xlrd:rvb i="33"/>
        </ext>
      </extLst>
    </bk>
    <bk>
      <extLst>
        <ext uri="{3e2802c4-a4d2-4d8b-9148-e3be6c30e623}">
          <xlrd:rvb i="36"/>
        </ext>
      </extLst>
    </bk>
    <bk>
      <extLst>
        <ext uri="{3e2802c4-a4d2-4d8b-9148-e3be6c30e623}">
          <xlrd:rvb i="39"/>
        </ext>
      </extLst>
    </bk>
    <bk>
      <extLst>
        <ext uri="{3e2802c4-a4d2-4d8b-9148-e3be6c30e623}">
          <xlrd:rvb i="42"/>
        </ext>
      </extLst>
    </bk>
  </futureMetadata>
  <cellMetadata count="1">
    <bk>
      <rc t="1" v="0"/>
    </bk>
  </cellMetadata>
  <valueMetadata count="13">
    <bk>
      <rc t="2" v="0"/>
    </bk>
    <bk>
      <rc t="2" v="1"/>
    </bk>
    <bk>
      <rc t="2" v="2"/>
    </bk>
    <bk>
      <rc t="2" v="3"/>
    </bk>
    <bk>
      <rc t="2" v="4"/>
    </bk>
    <bk>
      <rc t="2" v="5"/>
    </bk>
    <bk>
      <rc t="2" v="6"/>
    </bk>
    <bk>
      <rc t="2" v="7"/>
    </bk>
    <bk>
      <rc t="2" v="8"/>
    </bk>
    <bk>
      <rc t="2" v="9"/>
    </bk>
    <bk>
      <rc t="2" v="10"/>
    </bk>
    <bk>
      <rc t="2" v="11"/>
    </bk>
    <bk>
      <rc t="2" v="12"/>
    </bk>
  </valueMetadata>
</metadata>
</file>

<file path=xl/sharedStrings.xml><?xml version="1.0" encoding="utf-8"?>
<sst xmlns="http://schemas.openxmlformats.org/spreadsheetml/2006/main" count="6545" uniqueCount="545">
  <si>
    <t>Annual</t>
  </si>
  <si>
    <t xml:space="preserve"> </t>
  </si>
  <si>
    <t>EV</t>
  </si>
  <si>
    <t>EBIT Margin</t>
  </si>
  <si>
    <t>%52wL</t>
  </si>
  <si>
    <t>%52wH</t>
  </si>
  <si>
    <t>Beta</t>
  </si>
  <si>
    <t>EBIT</t>
  </si>
  <si>
    <t>Dividends</t>
  </si>
  <si>
    <t>Net Income</t>
  </si>
  <si>
    <t>CFO</t>
  </si>
  <si>
    <t>Balance Sheet</t>
  </si>
  <si>
    <t>Common EPS</t>
  </si>
  <si>
    <t>Enterprise Value</t>
  </si>
  <si>
    <t>ROIC</t>
  </si>
  <si>
    <t>CROSIC</t>
  </si>
  <si>
    <t>Income Statement — Annual</t>
  </si>
  <si>
    <t>fiscalDateEnding</t>
  </si>
  <si>
    <t>reportedCurrency</t>
  </si>
  <si>
    <t>grossProfit</t>
  </si>
  <si>
    <t>totalRevenue</t>
  </si>
  <si>
    <t>costOfRevenue</t>
  </si>
  <si>
    <t>costofGoodsAndServicesSold</t>
  </si>
  <si>
    <t>operatingIncome</t>
  </si>
  <si>
    <t>sellingGeneralAndAdministrative</t>
  </si>
  <si>
    <t>researchAndDevelopment</t>
  </si>
  <si>
    <t>operatingExpenses</t>
  </si>
  <si>
    <t>investmentIncomeNet</t>
  </si>
  <si>
    <t>netInterestIncome</t>
  </si>
  <si>
    <t>interestIncome</t>
  </si>
  <si>
    <t>interestExpense</t>
  </si>
  <si>
    <t>nonInterestIncome</t>
  </si>
  <si>
    <t>otherNonOperatingIncome</t>
  </si>
  <si>
    <t>depreciation</t>
  </si>
  <si>
    <t>depreciationAndAmortization</t>
  </si>
  <si>
    <t>incomeBeforeTax</t>
  </si>
  <si>
    <t>incomeTaxExpense</t>
  </si>
  <si>
    <t>interestAndDebtExpense</t>
  </si>
  <si>
    <t>netIncomeFromContinuingOperations</t>
  </si>
  <si>
    <t>comprehensiveIncomeNetOfTax</t>
  </si>
  <si>
    <t>ebit</t>
  </si>
  <si>
    <t>ebitda</t>
  </si>
  <si>
    <t>netIncome</t>
  </si>
  <si>
    <t>No data returned</t>
  </si>
  <si>
    <t>31/12/2024</t>
  </si>
  <si>
    <t>USD</t>
  </si>
  <si>
    <t>None</t>
  </si>
  <si>
    <t>31/12/2023</t>
  </si>
  <si>
    <t>Income Statement — Quarterly</t>
  </si>
  <si>
    <t>31/12/2022</t>
  </si>
  <si>
    <t>31/12/2021</t>
  </si>
  <si>
    <t>31/12/2020</t>
  </si>
  <si>
    <t>Balance Sheet — Annual</t>
  </si>
  <si>
    <t>31/12/2019</t>
  </si>
  <si>
    <t>31/12/2018</t>
  </si>
  <si>
    <t>31/12/2017</t>
  </si>
  <si>
    <t>Balance Sheet — Quarterly</t>
  </si>
  <si>
    <t>31/12/2016</t>
  </si>
  <si>
    <t>31/12/2015</t>
  </si>
  <si>
    <t>31/12/2014</t>
  </si>
  <si>
    <t>Cash Flow — Annual</t>
  </si>
  <si>
    <t>31/12/2013</t>
  </si>
  <si>
    <t>31/12/2012</t>
  </si>
  <si>
    <t>31/12/2011</t>
  </si>
  <si>
    <t>Cash Flow — Quarterly</t>
  </si>
  <si>
    <t>31/12/2010</t>
  </si>
  <si>
    <t>31/12/2009</t>
  </si>
  <si>
    <t>31/12/2008</t>
  </si>
  <si>
    <t>##########</t>
  </si>
  <si>
    <t>30/09/2006</t>
  </si>
  <si>
    <t>30/09/2005</t>
  </si>
  <si>
    <t>31/03/2025</t>
  </si>
  <si>
    <t>deferredRevenue</t>
  </si>
  <si>
    <t>currentDebt</t>
  </si>
  <si>
    <t>shortTermDebt</t>
  </si>
  <si>
    <t>totalNonCurrentLiabilities</t>
  </si>
  <si>
    <t>capitalLeaseObligations</t>
  </si>
  <si>
    <t>longTermDebt</t>
  </si>
  <si>
    <t>currentLongTermDebt</t>
  </si>
  <si>
    <t>longTermDebtNoncurrent</t>
  </si>
  <si>
    <t>shortLongTermDebtTotal</t>
  </si>
  <si>
    <t>otherCurrentLiabilities</t>
  </si>
  <si>
    <t>otherNonCurrentLiabilities</t>
  </si>
  <si>
    <t>totalShareholderEquity</t>
  </si>
  <si>
    <t>treasuryStock</t>
  </si>
  <si>
    <t>retainedEarnings</t>
  </si>
  <si>
    <t>commonStock</t>
  </si>
  <si>
    <t>commonStockSharesOutstanding</t>
  </si>
  <si>
    <t>30/09/2024</t>
  </si>
  <si>
    <t>30/06/2024</t>
  </si>
  <si>
    <t>31/03/2024</t>
  </si>
  <si>
    <t>30/09/2023</t>
  </si>
  <si>
    <t>30/06/2023</t>
  </si>
  <si>
    <t>31/03/2023</t>
  </si>
  <si>
    <t>30/09/2022</t>
  </si>
  <si>
    <t>30/06/2022</t>
  </si>
  <si>
    <t>31/03/2022</t>
  </si>
  <si>
    <t>30/09/2021</t>
  </si>
  <si>
    <t>30/06/2021</t>
  </si>
  <si>
    <t>31/03/2021</t>
  </si>
  <si>
    <t>30/09/2020</t>
  </si>
  <si>
    <t>30/06/2020</t>
  </si>
  <si>
    <t>31/03/2020</t>
  </si>
  <si>
    <t>proceedsFromIssuanceOfLongTermDebtAndCapitalSecuritiesNet</t>
  </si>
  <si>
    <t>proceedsFromIssuanceOfPreferredStock</t>
  </si>
  <si>
    <t>proceedsFromRepurchaseOfEquity</t>
  </si>
  <si>
    <t>proceedsFromSaleOfTreasuryStock</t>
  </si>
  <si>
    <t>changeInCashAndCashEquivalents</t>
  </si>
  <si>
    <t>changeInExchangeRate</t>
  </si>
  <si>
    <t>30/09/2019</t>
  </si>
  <si>
    <t>30/06/2019</t>
  </si>
  <si>
    <t>31/03/2019</t>
  </si>
  <si>
    <t>30/09/2018</t>
  </si>
  <si>
    <t>30/06/2018</t>
  </si>
  <si>
    <t>31/03/2018</t>
  </si>
  <si>
    <t>30/09/2017</t>
  </si>
  <si>
    <t>30/06/2017</t>
  </si>
  <si>
    <t>31/03/2017</t>
  </si>
  <si>
    <t>30/09/2016</t>
  </si>
  <si>
    <t>30/06/2016</t>
  </si>
  <si>
    <t>31/03/2016</t>
  </si>
  <si>
    <t>30/09/2015</t>
  </si>
  <si>
    <t>30/06/2015</t>
  </si>
  <si>
    <t>31/03/2015</t>
  </si>
  <si>
    <t>30/09/2014</t>
  </si>
  <si>
    <t>30/06/2014</t>
  </si>
  <si>
    <t>31/03/2014</t>
  </si>
  <si>
    <t>30/09/2013</t>
  </si>
  <si>
    <t>30/06/2013</t>
  </si>
  <si>
    <t>31/03/2013</t>
  </si>
  <si>
    <t>30/09/2012</t>
  </si>
  <si>
    <t>30/06/2012</t>
  </si>
  <si>
    <t>31/03/2012</t>
  </si>
  <si>
    <t>30/09/2011</t>
  </si>
  <si>
    <t>30/06/2011</t>
  </si>
  <si>
    <t>31/03/2011</t>
  </si>
  <si>
    <t>30/09/2010</t>
  </si>
  <si>
    <t>30/06/2010</t>
  </si>
  <si>
    <t>31/03/2010</t>
  </si>
  <si>
    <t>30/09/2009</t>
  </si>
  <si>
    <t>30/06/2009</t>
  </si>
  <si>
    <t>31/03/2009</t>
  </si>
  <si>
    <t>30/09/2008</t>
  </si>
  <si>
    <t>30/06/2008</t>
  </si>
  <si>
    <t>31/03/2008</t>
  </si>
  <si>
    <t>30/06/2007</t>
  </si>
  <si>
    <t>totalAssets</t>
  </si>
  <si>
    <t>totalCurrentAssets</t>
  </si>
  <si>
    <t>cashAndCashEquivalentsAtCarryingValue</t>
  </si>
  <si>
    <t>cashAndShortTermInvestments</t>
  </si>
  <si>
    <t>inventory</t>
  </si>
  <si>
    <t>currentNetReceivables</t>
  </si>
  <si>
    <t>totalNonCurrentAssets</t>
  </si>
  <si>
    <t>propertyPlantEquipment</t>
  </si>
  <si>
    <t>accumulatedDepreciationAmortizationPPE</t>
  </si>
  <si>
    <t>intangibleAssets</t>
  </si>
  <si>
    <t>intangibleAssetsExcludingGoodwill</t>
  </si>
  <si>
    <t>goodwill</t>
  </si>
  <si>
    <t>investments</t>
  </si>
  <si>
    <t>longTermInvestments</t>
  </si>
  <si>
    <t>shortTermInvestments</t>
  </si>
  <si>
    <t>otherCurrentAssets</t>
  </si>
  <si>
    <t>otherNonCurrentAssets</t>
  </si>
  <si>
    <t>totalLiabilities</t>
  </si>
  <si>
    <t>totalCurrentLiabilities</t>
  </si>
  <si>
    <t>currentAccountsPayable</t>
  </si>
  <si>
    <t>operatingCashflow</t>
  </si>
  <si>
    <t>paymentsForOperatingActivities</t>
  </si>
  <si>
    <t>proceedsFromOperatingActivities</t>
  </si>
  <si>
    <t>changeInOperatingLiabilities</t>
  </si>
  <si>
    <t>changeInOperatingAssets</t>
  </si>
  <si>
    <t>depreciationDepletionAndAmortization</t>
  </si>
  <si>
    <t>capitalExpenditures</t>
  </si>
  <si>
    <t>changeInReceivables</t>
  </si>
  <si>
    <t>changeInInventory</t>
  </si>
  <si>
    <t>profitLoss</t>
  </si>
  <si>
    <t>cashflowFromInvestment</t>
  </si>
  <si>
    <t>cashflowFromFinancing</t>
  </si>
  <si>
    <t>proceedsFromRepaymentsOfShortTermDebt</t>
  </si>
  <si>
    <t>paymentsForRepurchaseOfCommonStock</t>
  </si>
  <si>
    <t>paymentsForRepurchaseOfEquity</t>
  </si>
  <si>
    <t>paymentsForRepurchaseOfPreferredStock</t>
  </si>
  <si>
    <t>dividendPayout</t>
  </si>
  <si>
    <t>dividendPayoutCommonStock</t>
  </si>
  <si>
    <t>dividendPayoutPreferredStock</t>
  </si>
  <si>
    <t>proceedsFromIssuanceOfCommonStock</t>
  </si>
  <si>
    <t>Ticker</t>
  </si>
  <si>
    <t>Real</t>
  </si>
  <si>
    <t>present</t>
  </si>
  <si>
    <t xml:space="preserve">Pirce </t>
  </si>
  <si>
    <t>MC</t>
  </si>
  <si>
    <t>SG&amp;A</t>
  </si>
  <si>
    <t>R&amp;D</t>
  </si>
  <si>
    <t>P/e</t>
  </si>
  <si>
    <t>PVGO</t>
  </si>
  <si>
    <t>EV / ebita</t>
  </si>
  <si>
    <t>excetive tax</t>
  </si>
  <si>
    <t>WACC</t>
  </si>
  <si>
    <t>nopat</t>
  </si>
  <si>
    <t>Rev/p</t>
  </si>
  <si>
    <t>CFO/P</t>
  </si>
  <si>
    <t>Current assets</t>
  </si>
  <si>
    <t>Goodwil</t>
  </si>
  <si>
    <t>PPE</t>
  </si>
  <si>
    <t>LT Debt</t>
  </si>
  <si>
    <t>invest cap</t>
  </si>
  <si>
    <t>Workin Cap</t>
  </si>
  <si>
    <t>Capex</t>
  </si>
  <si>
    <t>CFI</t>
  </si>
  <si>
    <t>CFF</t>
  </si>
  <si>
    <t>FCFE</t>
  </si>
  <si>
    <t>gross margin</t>
  </si>
  <si>
    <t>Ebitda mar</t>
  </si>
  <si>
    <t>ni margin</t>
  </si>
  <si>
    <t>Cfo margin</t>
  </si>
  <si>
    <t>SGA mar</t>
  </si>
  <si>
    <t>Current ratio</t>
  </si>
  <si>
    <t>Int coverage</t>
  </si>
  <si>
    <t>TA / TD</t>
  </si>
  <si>
    <t>Leverage</t>
  </si>
  <si>
    <t>payout ratio</t>
  </si>
  <si>
    <t>P/E</t>
  </si>
  <si>
    <t>rev /share</t>
  </si>
  <si>
    <t>div /share</t>
  </si>
  <si>
    <t>Bv/share</t>
  </si>
  <si>
    <t>t by/share</t>
  </si>
  <si>
    <t>Dupont ROE</t>
  </si>
  <si>
    <t>ROE</t>
  </si>
  <si>
    <t>ROA</t>
  </si>
  <si>
    <t>roic</t>
  </si>
  <si>
    <t>Income Statement – Annual</t>
  </si>
  <si>
    <t>Balance Sheet – Annual</t>
  </si>
  <si>
    <t>Cash Flow – Annual</t>
  </si>
  <si>
    <t>Income Statement – Quarterly</t>
  </si>
  <si>
    <t>Balance Sheet – Quarterly</t>
  </si>
  <si>
    <t>Cash Flow – Quarterly</t>
  </si>
  <si>
    <t>Income Statement</t>
  </si>
  <si>
    <t>Financial Ratios</t>
  </si>
  <si>
    <t>Cash Flows</t>
  </si>
  <si>
    <t>Key Metrics</t>
  </si>
  <si>
    <t>Helper formulas</t>
  </si>
  <si>
    <t>grossIncome/TOA</t>
  </si>
  <si>
    <t>cfEBIT adi / TOA</t>
  </si>
  <si>
    <t>Date Value</t>
  </si>
  <si>
    <t>simpleFreeCashFlow</t>
  </si>
  <si>
    <t>netCashFlow</t>
  </si>
  <si>
    <t>Date</t>
  </si>
  <si>
    <t>Description</t>
  </si>
  <si>
    <t>Shares</t>
  </si>
  <si>
    <t>Revenue</t>
  </si>
  <si>
    <t>COGS</t>
  </si>
  <si>
    <t>Opertating Icome</t>
  </si>
  <si>
    <t xml:space="preserve">EBITDA   </t>
  </si>
  <si>
    <t>D&amp;A</t>
  </si>
  <si>
    <t>Interest exp</t>
  </si>
  <si>
    <t>Taxes</t>
  </si>
  <si>
    <t>EBITA</t>
  </si>
  <si>
    <t>Effective tax rate</t>
  </si>
  <si>
    <t>NOPAT</t>
  </si>
  <si>
    <t>T. Equity</t>
  </si>
  <si>
    <t>Cash and mt sec</t>
  </si>
  <si>
    <t>T. Assets</t>
  </si>
  <si>
    <t xml:space="preserve">Intangible Assets </t>
  </si>
  <si>
    <t xml:space="preserve"> Current Liabilities</t>
  </si>
  <si>
    <t>LT Liabilities</t>
  </si>
  <si>
    <t>Investments</t>
  </si>
  <si>
    <t>NI margin</t>
  </si>
  <si>
    <t>CFO margin</t>
  </si>
  <si>
    <t>EBITDA margin</t>
  </si>
  <si>
    <t>Rev /share</t>
  </si>
  <si>
    <t>Div /share</t>
  </si>
  <si>
    <t>Tang BV / share</t>
  </si>
  <si>
    <t>average</t>
  </si>
  <si>
    <t>std</t>
  </si>
  <si>
    <t>Stock DCF</t>
  </si>
  <si>
    <t>Current price</t>
  </si>
  <si>
    <t>Estimate price</t>
  </si>
  <si>
    <t xml:space="preserve"> x</t>
  </si>
  <si>
    <t>Assumptions</t>
  </si>
  <si>
    <t>Switches</t>
  </si>
  <si>
    <t>Conservative Case</t>
  </si>
  <si>
    <t>Base Case</t>
  </si>
  <si>
    <t>Optimistic Case</t>
  </si>
  <si>
    <t>Revenue 2022</t>
  </si>
  <si>
    <t>Revenue Growth</t>
  </si>
  <si>
    <t>Revenue 2032</t>
  </si>
  <si>
    <t>taxes</t>
  </si>
  <si>
    <t>TGR</t>
  </si>
  <si>
    <t>CapEx</t>
  </si>
  <si>
    <t>NMC</t>
  </si>
  <si>
    <t>Valuation Assumptions</t>
  </si>
  <si>
    <t>% growth</t>
  </si>
  <si>
    <t>% of sales</t>
  </si>
  <si>
    <t>Growth %</t>
  </si>
  <si>
    <t>YOY</t>
  </si>
  <si>
    <t>% of EBIT</t>
  </si>
  <si>
    <t>Cash Flow Items</t>
  </si>
  <si>
    <t>Change in NWC</t>
  </si>
  <si>
    <t>% of change in sales</t>
  </si>
  <si>
    <t>DCF</t>
  </si>
  <si>
    <t>Net income</t>
  </si>
  <si>
    <t>(+)</t>
  </si>
  <si>
    <t>(-)</t>
  </si>
  <si>
    <t>Unlevered FCF</t>
  </si>
  <si>
    <t>Present Value of FCF</t>
  </si>
  <si>
    <t>Terminal Value</t>
  </si>
  <si>
    <t>Present Value</t>
  </si>
  <si>
    <t>(+) Cash</t>
  </si>
  <si>
    <t>(-) Debt</t>
  </si>
  <si>
    <t>Equity Value</t>
  </si>
  <si>
    <t xml:space="preserve">Share Outstanding </t>
  </si>
  <si>
    <t>Share Price</t>
  </si>
  <si>
    <t>NWC</t>
  </si>
  <si>
    <t>WWACC= % of equity x cost of equity + % of debt x cost of debt x (1- Tax Rate)</t>
  </si>
  <si>
    <t>Cost of equity = Risk free rate +Beta x Market Risk Premiun</t>
  </si>
  <si>
    <t>Market Cap</t>
  </si>
  <si>
    <t>% of equity</t>
  </si>
  <si>
    <t>Cost of equity</t>
  </si>
  <si>
    <t>Risk Free Rate</t>
  </si>
  <si>
    <t>Market Risk Premium</t>
  </si>
  <si>
    <t>Debt</t>
  </si>
  <si>
    <t>% of Debt</t>
  </si>
  <si>
    <t>Cost of Debt</t>
  </si>
  <si>
    <t>Tax Rate</t>
  </si>
  <si>
    <t>Total Capital</t>
  </si>
  <si>
    <t>input =</t>
  </si>
  <si>
    <t xml:space="preserve">mgmt risk </t>
  </si>
  <si>
    <t xml:space="preserve">regulation risk  </t>
  </si>
  <si>
    <t>Other</t>
  </si>
  <si>
    <t>Risk Premiums</t>
  </si>
  <si>
    <t>roughwork to forecast Revenue</t>
  </si>
  <si>
    <t>N(d1)</t>
  </si>
  <si>
    <t>N(d2)</t>
  </si>
  <si>
    <t>N(-d1)</t>
  </si>
  <si>
    <t>N(-d2)</t>
  </si>
  <si>
    <t xml:space="preserve">Inputs </t>
  </si>
  <si>
    <t>IV</t>
  </si>
  <si>
    <t>RF</t>
  </si>
  <si>
    <t>D1</t>
  </si>
  <si>
    <t>D2</t>
  </si>
  <si>
    <t>Option Price</t>
  </si>
  <si>
    <t>Delta</t>
  </si>
  <si>
    <t xml:space="preserve">Ticker </t>
  </si>
  <si>
    <t>Price</t>
  </si>
  <si>
    <t>Expire_date</t>
  </si>
  <si>
    <t>Strike</t>
  </si>
  <si>
    <t>C or P</t>
  </si>
  <si>
    <t>C</t>
  </si>
  <si>
    <t>AAPL</t>
  </si>
  <si>
    <t>PV of Div</t>
  </si>
  <si>
    <t>Gamma</t>
  </si>
  <si>
    <t>Vega</t>
  </si>
  <si>
    <t>Theta</t>
  </si>
  <si>
    <t>Underlying</t>
  </si>
  <si>
    <t>Greeks</t>
  </si>
  <si>
    <t>Portfolio</t>
  </si>
  <si>
    <t>Cash</t>
  </si>
  <si>
    <t>IBKR Cash</t>
  </si>
  <si>
    <t>Portfolio Value:</t>
  </si>
  <si>
    <t>Stock Breakdown</t>
  </si>
  <si>
    <t>Portfolio Growth:</t>
  </si>
  <si>
    <t>Stocks Market Value</t>
  </si>
  <si>
    <t>Portfolio Gain:</t>
  </si>
  <si>
    <t>Growth</t>
  </si>
  <si>
    <t>Notes</t>
  </si>
  <si>
    <t xml:space="preserve"> Gain</t>
  </si>
  <si>
    <t>Watchlist</t>
  </si>
  <si>
    <t>Targets</t>
  </si>
  <si>
    <t>Target</t>
  </si>
  <si>
    <t>Stop loss</t>
  </si>
  <si>
    <t>Distance from Target</t>
  </si>
  <si>
    <t>Stock Tracker</t>
  </si>
  <si>
    <t>Stock</t>
  </si>
  <si>
    <t>Symbol</t>
  </si>
  <si>
    <t>Purchase</t>
  </si>
  <si>
    <t>Cost</t>
  </si>
  <si>
    <t>Market Value</t>
  </si>
  <si>
    <t xml:space="preserve">Weight </t>
  </si>
  <si>
    <t>Tickers</t>
  </si>
  <si>
    <t>startdate</t>
  </si>
  <si>
    <t>enddate</t>
  </si>
  <si>
    <t>Port Value</t>
  </si>
  <si>
    <t>weights</t>
  </si>
  <si>
    <t>days</t>
  </si>
  <si>
    <t>simulation</t>
  </si>
  <si>
    <t>Confidence Interval</t>
  </si>
  <si>
    <t>VAR</t>
  </si>
  <si>
    <t>Must adjust Cost vs Market Value</t>
  </si>
  <si>
    <t xml:space="preserve">contract.symbol </t>
  </si>
  <si>
    <t xml:space="preserve">contract.secType </t>
  </si>
  <si>
    <t xml:space="preserve">contract.exchange </t>
  </si>
  <si>
    <t>contract.currency</t>
  </si>
  <si>
    <t>STK</t>
  </si>
  <si>
    <t>SMART</t>
  </si>
  <si>
    <t>NASDAQ</t>
  </si>
  <si>
    <t>Technology</t>
  </si>
  <si>
    <t>Exchange</t>
  </si>
  <si>
    <t>Trading Class</t>
  </si>
  <si>
    <t>MKT</t>
  </si>
  <si>
    <t>SELL</t>
  </si>
  <si>
    <t>BUY</t>
  </si>
  <si>
    <t>AMEX</t>
  </si>
  <si>
    <t>Right</t>
  </si>
  <si>
    <t>Action</t>
  </si>
  <si>
    <t>Order Type</t>
  </si>
  <si>
    <t>Quanty</t>
  </si>
  <si>
    <t xml:space="preserve"> contract.symbol</t>
  </si>
  <si>
    <t xml:space="preserve"> contract.secType</t>
  </si>
  <si>
    <t>contract.exchange</t>
  </si>
  <si>
    <t xml:space="preserve"> contract.currency</t>
  </si>
  <si>
    <t>Order action</t>
  </si>
  <si>
    <t>order.orderType</t>
  </si>
  <si>
    <t>order.totalQuantity</t>
  </si>
  <si>
    <t>order.LMTprice</t>
  </si>
  <si>
    <t>stop_order.action</t>
  </si>
  <si>
    <t>stop_order.orderType</t>
  </si>
  <si>
    <t>stop_order.totalQuantity</t>
  </si>
  <si>
    <t xml:space="preserve">stop_order.auxPrice </t>
  </si>
  <si>
    <t>LMT</t>
  </si>
  <si>
    <t>STP</t>
  </si>
  <si>
    <t>Report Date</t>
  </si>
  <si>
    <t>SimFinId</t>
  </si>
  <si>
    <t>Currency</t>
  </si>
  <si>
    <t>Fiscal Year</t>
  </si>
  <si>
    <t>Fiscal Period</t>
  </si>
  <si>
    <t>Publish Date</t>
  </si>
  <si>
    <t>Restated Date</t>
  </si>
  <si>
    <t>Shares (Basic)</t>
  </si>
  <si>
    <t>Shares (Diluted)</t>
  </si>
  <si>
    <t>Cost of Revenue</t>
  </si>
  <si>
    <t>Gross Profit</t>
  </si>
  <si>
    <t>Operating Expenses</t>
  </si>
  <si>
    <t>Selling, General &amp; Administrative</t>
  </si>
  <si>
    <t>Research &amp; Development</t>
  </si>
  <si>
    <t>Depreciation &amp; Amortization</t>
  </si>
  <si>
    <t>Operating Income (Loss)</t>
  </si>
  <si>
    <t>Non-Operating Income (Loss)</t>
  </si>
  <si>
    <t>Interest Expense, Net</t>
  </si>
  <si>
    <t>Pretax Income (Loss), Adj.</t>
  </si>
  <si>
    <t>Abnormal Gains (Losses)</t>
  </si>
  <si>
    <t>Pretax Income (Loss)</t>
  </si>
  <si>
    <t>Income Tax (Expense) Benefit, Net</t>
  </si>
  <si>
    <t>Income (Loss) from Continuing Operations</t>
  </si>
  <si>
    <t>Net Extraordinary Gains (Losses)</t>
  </si>
  <si>
    <t>Net Income (Common)</t>
  </si>
  <si>
    <t>FY</t>
  </si>
  <si>
    <t>Cash, Cash Equivalents &amp; Short Term Investments</t>
  </si>
  <si>
    <t>Accounts &amp; Notes Receivable</t>
  </si>
  <si>
    <t>Inventories</t>
  </si>
  <si>
    <t>Total Current Assets</t>
  </si>
  <si>
    <t>Property, Plant &amp; Equipment, Net</t>
  </si>
  <si>
    <t>Long Term Investments &amp; Receivables</t>
  </si>
  <si>
    <t>Other Long Term Assets</t>
  </si>
  <si>
    <t>Total Noncurrent Assets</t>
  </si>
  <si>
    <t>Total Assets</t>
  </si>
  <si>
    <t>Payables &amp; Accruals</t>
  </si>
  <si>
    <t>Short Term Debt</t>
  </si>
  <si>
    <t>Total Current Liabilities</t>
  </si>
  <si>
    <t>Long Term Debt</t>
  </si>
  <si>
    <t>Total Noncurrent Liabilities</t>
  </si>
  <si>
    <t>Total Liabilities</t>
  </si>
  <si>
    <t>Share Capital &amp; Additional Paid-In Capital</t>
  </si>
  <si>
    <t>Treasury Stock</t>
  </si>
  <si>
    <t>Retained Earnings</t>
  </si>
  <si>
    <t>Total Equity</t>
  </si>
  <si>
    <t>Total Liabilities &amp; Equity</t>
  </si>
  <si>
    <t>Q4</t>
  </si>
  <si>
    <t>Cash Flow Statement</t>
  </si>
  <si>
    <t>Net Income/Starting Line</t>
  </si>
  <si>
    <t>Non-Cash Items</t>
  </si>
  <si>
    <t>Change in Working Capital</t>
  </si>
  <si>
    <t>Change in Accounts Receivable</t>
  </si>
  <si>
    <t>Change in Inventories</t>
  </si>
  <si>
    <t>Change in Accounts Payable</t>
  </si>
  <si>
    <t>Change in Other</t>
  </si>
  <si>
    <t>Net Cash from Operating Activities</t>
  </si>
  <si>
    <t>Change in Fixed Assets &amp; Intangibles</t>
  </si>
  <si>
    <t>Net Change in Long Term Investment</t>
  </si>
  <si>
    <t>Net Cash from Acquisitions &amp; Divestitures</t>
  </si>
  <si>
    <t>Net Cash from Investing Activities</t>
  </si>
  <si>
    <t>Dividends Paid</t>
  </si>
  <si>
    <t>Cash from (Repayment of) Debt</t>
  </si>
  <si>
    <t>Cash from (Repurchase of) Equity</t>
  </si>
  <si>
    <t>Net Cash from Financing Activities</t>
  </si>
  <si>
    <t>Net Change in Cash</t>
  </si>
  <si>
    <t>Strike Price</t>
  </si>
  <si>
    <t>Time to expire</t>
  </si>
  <si>
    <t>Expire date</t>
  </si>
  <si>
    <t>Output</t>
  </si>
  <si>
    <t>BSM</t>
  </si>
  <si>
    <t>underlying</t>
  </si>
  <si>
    <t>option price</t>
  </si>
  <si>
    <t>delta</t>
  </si>
  <si>
    <t>=</t>
  </si>
  <si>
    <t>inputs</t>
  </si>
  <si>
    <t>startdate by default is set to 10 years (</t>
  </si>
  <si>
    <t>There is a 95% confidence that the portfolio will not lose more than $23,370.50 over 30.0 days.</t>
  </si>
  <si>
    <t>Inputs</t>
  </si>
  <si>
    <t>Start Date</t>
  </si>
  <si>
    <t>End Date</t>
  </si>
  <si>
    <t>Number of Trading Days</t>
  </si>
  <si>
    <t>Annualised Mean Return</t>
  </si>
  <si>
    <t>Annualised Volatility</t>
  </si>
  <si>
    <t>Histogram Bin Lower Edge</t>
  </si>
  <si>
    <t>Frequency</t>
  </si>
  <si>
    <t>Number of Simulations</t>
  </si>
  <si>
    <t>threshold</t>
  </si>
  <si>
    <t>MSFT</t>
  </si>
  <si>
    <t>Meta</t>
  </si>
  <si>
    <t>Probability above $900.0</t>
  </si>
  <si>
    <t>Probability below $900.0</t>
  </si>
  <si>
    <t>Order Info</t>
  </si>
  <si>
    <t xml:space="preserve">Stop Loss Order </t>
  </si>
  <si>
    <t>MKT/LMT Order</t>
  </si>
  <si>
    <t>contract.symbol</t>
  </si>
  <si>
    <t>contract.conId</t>
  </si>
  <si>
    <t>contract.primaryExchange</t>
  </si>
  <si>
    <t>contractDetails.longName</t>
  </si>
  <si>
    <t>contractDetails.industry</t>
  </si>
  <si>
    <t>Stock Details</t>
  </si>
  <si>
    <t>Option Details</t>
  </si>
  <si>
    <t>NASDAQOM Expirations</t>
  </si>
  <si>
    <t>NASDAQOM Strikes</t>
  </si>
  <si>
    <t>AMEX Expirations</t>
  </si>
  <si>
    <t>AMEX Strikes</t>
  </si>
  <si>
    <t>SMART Expirations</t>
  </si>
  <si>
    <t>SMART Strikes</t>
  </si>
  <si>
    <t>SAPPHIRE Expirations</t>
  </si>
  <si>
    <t>SAPPHIRE Strikes</t>
  </si>
  <si>
    <t>CBOE2 Strikes</t>
  </si>
  <si>
    <t>GEMINI Expirations</t>
  </si>
  <si>
    <t>GEMINI Strikes</t>
  </si>
  <si>
    <t>PEARL Expirations</t>
  </si>
  <si>
    <t>PEARL Strikes</t>
  </si>
  <si>
    <t>MERCURY Expirations</t>
  </si>
  <si>
    <t>MERCURY Strikes</t>
  </si>
  <si>
    <t>NASDAQBX Expirations</t>
  </si>
  <si>
    <t>NASDAQBX Strikes</t>
  </si>
  <si>
    <t>IBUSOPT Expirations</t>
  </si>
  <si>
    <t>IBUSOPT Strikes</t>
  </si>
  <si>
    <t>Placing Trade</t>
  </si>
  <si>
    <t>Mutliple</t>
  </si>
  <si>
    <t>MICROSOFT CORP</t>
  </si>
  <si>
    <t>No description available</t>
  </si>
  <si>
    <t>Investment Capital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</si>
</sst>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8">
    <numFmt numFmtId="164" formatCode="[&lt;999950]0.0,,&quot;M&quot;;[&lt;999950000]0.0,,&quot;M&quot;;0.0,,,&quot;B&quot;"/>
    <numFmt numFmtId="165" formatCode="[&lt;999950]0,,&quot;M&quot;;[&lt;999950000]0,,&quot;M&quot;;0,,,&quot;B&quot;"/>
    <numFmt numFmtId="166" formatCode="0.0%"/>
    <numFmt numFmtId="167" formatCode="[&gt;=1000000000]\ #,##0.0,,,&quot;B&quot;;[&gt;=1000000]\ #,##0.0,,&quot;M&quot;;0"/>
    <numFmt numFmtId="168" formatCode="_([$$-409]* #,##0.00_);_([$$-409]* \(#,##0.00\);_([$$-409]* &quot;-&quot;??_);_(@_)"/>
    <numFmt numFmtId="169" formatCode="_([$$-409]* #,##0_);_([$$-409]* \(#,##0\);_([$$-409]* &quot;-&quot;_);_(@_)"/>
    <numFmt numFmtId="170" formatCode="dd/mm/yyyy;@"/>
    <numFmt numFmtId="171" formatCode="0.000"/>
    <numFmt numFmtId="172" formatCode="0.000000%"/>
    <numFmt numFmtId="173" formatCode="[&gt;=1000000000]0.0,,,&quot;B&quot;;[&gt;=1000000]0.0,,&quot;M&quot;;\-0.0,,&quot;M&quot;"/>
    <numFmt numFmtId="174" formatCode="0.0,,,&quot;B&quot;;\-0.0,,,&quot;B&quot;"/>
    <numFmt numFmtId="175" formatCode="#,##0.0000"/>
    <numFmt numFmtId="176" formatCode="&quot;$&quot;#,##0"/>
    <numFmt numFmtId="177" formatCode="&quot;£&quot;#,##0.00"/>
    <numFmt numFmtId="178" formatCode="&quot;$&quot;#,##0.00"/>
    <numFmt numFmtId="179" formatCode="0.00;;&quot;&quot;"/>
    <numFmt numFmtId="180" formatCode="0.0000"/>
    <numFmt numFmtId="182" formatCode="[&gt;=1000000000]\ #,##0.000,,,&quot;B&quot;;[&gt;=1000000]\ #,##0.000,,&quot;M&quot;;0.00"/>
  </numFmts>
  <fonts count="54">
    <font>
      <sz val="10"/>
      <color rgb="FF000000"/>
      <name val="Arial"/>
      <scheme val="minor"/>
    </font>
    <font>
      <sz val="10"/>
      <color theme="1"/>
      <name val="Arial"/>
      <family val="2"/>
      <scheme val="minor"/>
    </font>
    <font>
      <sz val="10"/>
      <color rgb="FF000000"/>
      <name val="Arial"/>
      <family val="2"/>
      <scheme val="minor"/>
    </font>
    <font>
      <sz val="10"/>
      <color theme="1"/>
      <name val="Arial"/>
      <family val="2"/>
    </font>
    <font>
      <sz val="11"/>
      <color rgb="FF000000"/>
      <name val="Inconsolata"/>
    </font>
    <font>
      <b/>
      <sz val="10"/>
      <color rgb="FF000000"/>
      <name val="Arial"/>
      <family val="2"/>
    </font>
    <font>
      <b/>
      <sz val="10"/>
      <color theme="1"/>
      <name val="Arial"/>
      <family val="2"/>
      <scheme val="minor"/>
    </font>
    <font>
      <b/>
      <sz val="14"/>
      <color theme="1"/>
      <name val="Arial"/>
      <family val="2"/>
      <scheme val="minor"/>
    </font>
    <font>
      <sz val="12"/>
      <color rgb="FF000000"/>
      <name val="Aptos Narrow"/>
      <family val="2"/>
    </font>
    <font>
      <sz val="11"/>
      <color rgb="FF242424"/>
      <name val="Aptos Narrow"/>
    </font>
    <font>
      <u/>
      <sz val="10"/>
      <color theme="10"/>
      <name val="Arial"/>
      <family val="2"/>
      <scheme val="minor"/>
    </font>
    <font>
      <sz val="12"/>
      <color rgb="FF000000"/>
      <name val="Aptos Narrow"/>
    </font>
    <font>
      <b/>
      <sz val="13.5"/>
      <color rgb="FF000000"/>
      <name val="Arial"/>
      <family val="2"/>
      <scheme val="minor"/>
    </font>
    <font>
      <b/>
      <sz val="10"/>
      <color rgb="FF000000"/>
      <name val="Arial"/>
      <family val="2"/>
      <scheme val="minor"/>
    </font>
    <font>
      <i/>
      <sz val="10"/>
      <color rgb="FF000000"/>
      <name val="Arial"/>
      <family val="2"/>
      <scheme val="minor"/>
    </font>
    <font>
      <sz val="10"/>
      <color rgb="FF000000"/>
      <name val="Arial"/>
      <family val="2"/>
    </font>
    <font>
      <sz val="10"/>
      <color rgb="FF000000"/>
      <name val="Arial"/>
      <family val="2"/>
      <scheme val="minor"/>
    </font>
    <font>
      <sz val="10"/>
      <color rgb="FF000000"/>
      <name val="Arial Unicode MS"/>
      <family val="2"/>
    </font>
    <font>
      <b/>
      <sz val="12"/>
      <color rgb="FF000000"/>
      <name val="Aptos Narrow"/>
    </font>
    <font>
      <b/>
      <sz val="14"/>
      <color rgb="FF242424"/>
      <name val="Aptos Narrow"/>
    </font>
    <font>
      <b/>
      <sz val="14"/>
      <color rgb="FF000000"/>
      <name val="Arial"/>
      <family val="2"/>
      <scheme val="minor"/>
    </font>
    <font>
      <b/>
      <sz val="12"/>
      <color rgb="FF000000"/>
      <name val="Arial"/>
      <family val="2"/>
      <scheme val="minor"/>
    </font>
    <font>
      <sz val="14"/>
      <color rgb="FF000000"/>
      <name val="Arial"/>
      <family val="2"/>
      <scheme val="minor"/>
    </font>
    <font>
      <b/>
      <sz val="24"/>
      <color rgb="FF242424"/>
      <name val="Aptos Narrow"/>
    </font>
    <font>
      <b/>
      <sz val="12"/>
      <color theme="1"/>
      <name val="Arial"/>
      <family val="2"/>
      <scheme val="minor"/>
    </font>
    <font>
      <i/>
      <sz val="11"/>
      <color theme="1"/>
      <name val="Arial"/>
      <family val="2"/>
      <scheme val="minor"/>
    </font>
    <font>
      <sz val="11"/>
      <name val="Arial"/>
      <family val="2"/>
      <scheme val="minor"/>
    </font>
    <font>
      <sz val="11"/>
      <color theme="9" tint="-0.249977111117893"/>
      <name val="Arial"/>
      <family val="2"/>
      <scheme val="minor"/>
    </font>
    <font>
      <i/>
      <sz val="11"/>
      <name val="Arial"/>
      <family val="2"/>
      <scheme val="minor"/>
    </font>
    <font>
      <b/>
      <sz val="11"/>
      <name val="Arial"/>
      <family val="2"/>
      <scheme val="minor"/>
    </font>
    <font>
      <b/>
      <sz val="11"/>
      <color theme="0"/>
      <name val="Arial"/>
      <family val="2"/>
      <scheme val="minor"/>
    </font>
    <font>
      <sz val="11"/>
      <color rgb="FF7030A0"/>
      <name val="Arial"/>
      <family val="2"/>
      <scheme val="minor"/>
    </font>
    <font>
      <sz val="11"/>
      <color rgb="FF00B050"/>
      <name val="Arial"/>
      <family val="2"/>
      <scheme val="minor"/>
    </font>
    <font>
      <sz val="11"/>
      <color rgb="FFFF0000"/>
      <name val="Arial"/>
      <family val="2"/>
      <scheme val="minor"/>
    </font>
    <font>
      <i/>
      <sz val="11"/>
      <color rgb="FF00B050"/>
      <name val="Arial"/>
      <family val="2"/>
      <scheme val="minor"/>
    </font>
    <font>
      <i/>
      <sz val="11"/>
      <color rgb="FFFF0000"/>
      <name val="Arial"/>
      <family val="2"/>
      <scheme val="minor"/>
    </font>
    <font>
      <u/>
      <sz val="11"/>
      <color theme="1"/>
      <name val="Arial"/>
      <family val="2"/>
      <scheme val="minor"/>
    </font>
    <font>
      <b/>
      <sz val="20"/>
      <color theme="1"/>
      <name val="Arial"/>
      <family val="2"/>
      <scheme val="minor"/>
    </font>
    <font>
      <b/>
      <sz val="36"/>
      <color theme="1"/>
      <name val="Arial"/>
      <family val="2"/>
      <scheme val="minor"/>
    </font>
    <font>
      <sz val="10"/>
      <name val="Arial"/>
      <family val="2"/>
    </font>
    <font>
      <b/>
      <sz val="11"/>
      <color theme="1"/>
      <name val="Arial"/>
      <family val="2"/>
      <scheme val="minor"/>
    </font>
    <font>
      <b/>
      <sz val="17"/>
      <color theme="1"/>
      <name val="Arial"/>
      <family val="2"/>
      <scheme val="minor"/>
    </font>
    <font>
      <b/>
      <sz val="11"/>
      <color rgb="FF000000"/>
      <name val="Arial"/>
      <family val="2"/>
      <scheme val="minor"/>
    </font>
    <font>
      <sz val="11"/>
      <color rgb="FF000000"/>
      <name val="Arial"/>
      <family val="2"/>
      <scheme val="minor"/>
    </font>
    <font>
      <b/>
      <sz val="16"/>
      <color theme="1"/>
      <name val="Arial"/>
      <family val="2"/>
      <scheme val="minor"/>
    </font>
    <font>
      <sz val="24"/>
      <color theme="1"/>
      <name val="Arial"/>
      <family val="2"/>
      <scheme val="minor"/>
    </font>
    <font>
      <b/>
      <sz val="10"/>
      <color theme="1"/>
      <name val="Arial"/>
      <family val="2"/>
    </font>
    <font>
      <sz val="11"/>
      <color rgb="FF1F1F1F"/>
      <name val="&quot;Google Sans&quot;"/>
    </font>
    <font>
      <sz val="8"/>
      <color theme="1"/>
      <name val="Arial"/>
      <family val="2"/>
    </font>
    <font>
      <sz val="12"/>
      <color theme="1"/>
      <name val="Aptos Narrow"/>
    </font>
    <font>
      <sz val="15"/>
      <color rgb="FFBFC7D5"/>
      <name val="Menlo"/>
      <family val="2"/>
    </font>
    <font>
      <b/>
      <sz val="20"/>
      <color rgb="FF000000"/>
      <name val="Arial"/>
      <family val="2"/>
      <scheme val="minor"/>
    </font>
    <font>
      <b/>
      <sz val="12"/>
      <color theme="1"/>
      <name val="Aptos Narrow"/>
    </font>
    <font>
      <sz val="12"/>
      <color rgb="FF000000"/>
      <name val="Arial"/>
      <family val="2"/>
      <scheme val="minor"/>
    </font>
  </fonts>
  <fills count="40">
    <fill>
      <patternFill patternType="none"/>
    </fill>
    <fill>
      <patternFill patternType="gray125"/>
    </fill>
    <fill>
      <patternFill patternType="solid">
        <fgColor rgb="FFFFFFFF"/>
        <bgColor rgb="FFFFFFFF"/>
      </patternFill>
    </fill>
    <fill>
      <patternFill patternType="solid">
        <fgColor rgb="FFFFFF00"/>
        <bgColor indexed="64"/>
      </patternFill>
    </fill>
    <fill>
      <patternFill patternType="solid">
        <fgColor theme="2" tint="-0.249977111117893"/>
        <bgColor indexed="64"/>
      </patternFill>
    </fill>
    <fill>
      <patternFill patternType="solid">
        <fgColor theme="2" tint="-0.34998626667073579"/>
        <bgColor indexed="64"/>
      </patternFill>
    </fill>
    <fill>
      <patternFill patternType="solid">
        <fgColor theme="0" tint="-0.14999847407452621"/>
        <bgColor indexed="64"/>
      </patternFill>
    </fill>
    <fill>
      <patternFill patternType="solid">
        <fgColor theme="7" tint="0.79998168889431442"/>
        <bgColor indexed="64"/>
      </patternFill>
    </fill>
    <fill>
      <patternFill patternType="solid">
        <fgColor theme="4" tint="0.39997558519241921"/>
        <bgColor indexed="64"/>
      </patternFill>
    </fill>
    <fill>
      <patternFill patternType="solid">
        <fgColor theme="0"/>
        <bgColor indexed="64"/>
      </patternFill>
    </fill>
    <fill>
      <patternFill patternType="solid">
        <fgColor theme="3"/>
        <bgColor indexed="64"/>
      </patternFill>
    </fill>
    <fill>
      <patternFill patternType="solid">
        <fgColor rgb="FFFFC000"/>
        <bgColor indexed="64"/>
      </patternFill>
    </fill>
    <fill>
      <patternFill patternType="solid">
        <fgColor rgb="FF00B0F0"/>
        <bgColor indexed="64"/>
      </patternFill>
    </fill>
    <fill>
      <patternFill patternType="solid">
        <fgColor rgb="FF00B050"/>
        <bgColor indexed="64"/>
      </patternFill>
    </fill>
    <fill>
      <patternFill patternType="solid">
        <fgColor theme="6" tint="0.79998168889431442"/>
        <bgColor indexed="64"/>
      </patternFill>
    </fill>
    <fill>
      <patternFill patternType="solid">
        <fgColor theme="6" tint="0.79998168889431442"/>
        <bgColor rgb="FF000000"/>
      </patternFill>
    </fill>
    <fill>
      <patternFill patternType="solid">
        <fgColor rgb="FFF3F3F3"/>
        <bgColor rgb="FFF3F3F3"/>
      </patternFill>
    </fill>
    <fill>
      <patternFill patternType="solid">
        <fgColor rgb="FFB6D7A8"/>
        <bgColor rgb="FFB6D7A8"/>
      </patternFill>
    </fill>
    <fill>
      <patternFill patternType="solid">
        <fgColor theme="0"/>
        <bgColor rgb="FFC9DAF8"/>
      </patternFill>
    </fill>
    <fill>
      <patternFill patternType="solid">
        <fgColor theme="0"/>
        <bgColor rgb="FFB6D7A8"/>
      </patternFill>
    </fill>
    <fill>
      <patternFill patternType="solid">
        <fgColor rgb="FFEAD1DC"/>
        <bgColor rgb="FFEAD1DC"/>
      </patternFill>
    </fill>
    <fill>
      <patternFill patternType="solid">
        <fgColor rgb="FFA4C2F4"/>
        <bgColor rgb="FFA4C2F4"/>
      </patternFill>
    </fill>
    <fill>
      <patternFill patternType="solid">
        <fgColor theme="4" tint="0.79998168889431442"/>
        <bgColor rgb="FFEAD1DC"/>
      </patternFill>
    </fill>
    <fill>
      <patternFill patternType="solid">
        <fgColor theme="4" tint="0.79998168889431442"/>
        <bgColor indexed="64"/>
      </patternFill>
    </fill>
    <fill>
      <patternFill patternType="solid">
        <fgColor rgb="FFF5F2F1"/>
        <bgColor rgb="FFF5F2F1"/>
      </patternFill>
    </fill>
    <fill>
      <patternFill patternType="solid">
        <fgColor theme="4" tint="0.79998168889431442"/>
        <bgColor rgb="FFC9DAF8"/>
      </patternFill>
    </fill>
    <fill>
      <patternFill patternType="solid">
        <fgColor rgb="FFFFE599"/>
        <bgColor rgb="FFFFE599"/>
      </patternFill>
    </fill>
    <fill>
      <patternFill patternType="solid">
        <fgColor theme="0"/>
        <bgColor rgb="FFB4A7D6"/>
      </patternFill>
    </fill>
    <fill>
      <patternFill patternType="solid">
        <fgColor theme="0"/>
        <bgColor rgb="FFD9D2E9"/>
      </patternFill>
    </fill>
    <fill>
      <patternFill patternType="solid">
        <fgColor theme="0"/>
        <bgColor rgb="FFF9CB9C"/>
      </patternFill>
    </fill>
    <fill>
      <patternFill patternType="solid">
        <fgColor theme="0"/>
        <bgColor rgb="FFFCE5CD"/>
      </patternFill>
    </fill>
    <fill>
      <patternFill patternType="solid">
        <fgColor rgb="FFFCE5CD"/>
        <bgColor rgb="FFFCE5CD"/>
      </patternFill>
    </fill>
    <fill>
      <patternFill patternType="solid">
        <fgColor theme="0"/>
        <bgColor theme="0"/>
      </patternFill>
    </fill>
    <fill>
      <patternFill patternType="solid">
        <fgColor rgb="FFEFEFEF"/>
        <bgColor rgb="FFEFEFEF"/>
      </patternFill>
    </fill>
    <fill>
      <patternFill patternType="solid">
        <fgColor theme="2" tint="-4.9989318521683403E-2"/>
        <bgColor indexed="64"/>
      </patternFill>
    </fill>
    <fill>
      <patternFill patternType="solid">
        <fgColor rgb="FFFFF2CC"/>
        <bgColor rgb="FFFFF2CC"/>
      </patternFill>
    </fill>
    <fill>
      <patternFill patternType="solid">
        <fgColor theme="2" tint="-4.9989318521683403E-2"/>
        <bgColor rgb="FFFFF2CC"/>
      </patternFill>
    </fill>
    <fill>
      <patternFill patternType="solid">
        <fgColor theme="2" tint="-4.9989318521683403E-2"/>
        <bgColor rgb="FFFFFFFF"/>
      </patternFill>
    </fill>
    <fill>
      <patternFill patternType="solid">
        <fgColor theme="6" tint="0.79998168889431442"/>
        <bgColor rgb="FFFFF2CC"/>
      </patternFill>
    </fill>
    <fill>
      <patternFill patternType="solid">
        <fgColor theme="2" tint="-0.14999847407452621"/>
        <bgColor indexed="64"/>
      </patternFill>
    </fill>
  </fills>
  <borders count="39">
    <border>
      <left/>
      <right/>
      <top/>
      <bottom/>
      <diagonal/>
    </border>
    <border>
      <left style="thin">
        <color rgb="FF000000"/>
      </left>
      <right style="thin">
        <color rgb="FF000000"/>
      </right>
      <top style="thin">
        <color rgb="FF000000"/>
      </top>
      <bottom style="thin">
        <color rgb="FFCCCCCC"/>
      </bottom>
      <diagonal/>
    </border>
    <border>
      <left style="thin">
        <color rgb="FF000000"/>
      </left>
      <right style="thin">
        <color rgb="FF000000"/>
      </right>
      <top style="thin">
        <color rgb="FFCCCCCC"/>
      </top>
      <bottom style="thin">
        <color rgb="FF000000"/>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hair">
        <color indexed="64"/>
      </left>
      <right style="hair">
        <color indexed="64"/>
      </right>
      <top style="hair">
        <color indexed="64"/>
      </top>
      <bottom style="hair">
        <color indexed="64"/>
      </bottom>
      <diagonal/>
    </border>
    <border>
      <left style="dotted">
        <color indexed="64"/>
      </left>
      <right style="dotted">
        <color indexed="64"/>
      </right>
      <top style="dotted">
        <color indexed="64"/>
      </top>
      <bottom style="dotted">
        <color indexed="64"/>
      </bottom>
      <diagonal/>
    </border>
    <border>
      <left style="hair">
        <color indexed="64"/>
      </left>
      <right style="hair">
        <color indexed="64"/>
      </right>
      <top/>
      <bottom style="hair">
        <color indexed="64"/>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bottom/>
      <diagonal/>
    </border>
  </borders>
  <cellStyleXfs count="3">
    <xf numFmtId="0" fontId="0" fillId="0" borderId="0"/>
    <xf numFmtId="0" fontId="10" fillId="0" borderId="0" applyNumberFormat="0" applyFill="0" applyBorder="0" applyAlignment="0" applyProtection="0"/>
    <xf numFmtId="9" fontId="16" fillId="0" borderId="0" applyFont="0" applyFill="0" applyBorder="0" applyAlignment="0" applyProtection="0"/>
  </cellStyleXfs>
  <cellXfs count="343">
    <xf numFmtId="0" fontId="0" fillId="0" borderId="0" xfId="0"/>
    <xf numFmtId="0" fontId="1" fillId="0" borderId="0" xfId="0" applyFont="1"/>
    <xf numFmtId="0" fontId="3" fillId="0" borderId="0" xfId="0" applyFont="1"/>
    <xf numFmtId="0" fontId="4" fillId="2" borderId="0" xfId="0" applyFont="1" applyFill="1"/>
    <xf numFmtId="0" fontId="7" fillId="0" borderId="0" xfId="0" applyFont="1"/>
    <xf numFmtId="14" fontId="1" fillId="0" borderId="0" xfId="0" applyNumberFormat="1" applyFont="1"/>
    <xf numFmtId="0" fontId="3" fillId="0" borderId="0" xfId="0" applyFont="1" applyAlignment="1">
      <alignment horizontal="right"/>
    </xf>
    <xf numFmtId="0" fontId="6" fillId="0" borderId="0" xfId="0" applyFont="1"/>
    <xf numFmtId="0" fontId="8" fillId="0" borderId="0" xfId="0" applyFont="1"/>
    <xf numFmtId="11" fontId="8" fillId="0" borderId="0" xfId="0" applyNumberFormat="1" applyFont="1"/>
    <xf numFmtId="0" fontId="8" fillId="0" borderId="0" xfId="0" applyFont="1" applyAlignment="1">
      <alignment wrapText="1"/>
    </xf>
    <xf numFmtId="11" fontId="8" fillId="0" borderId="0" xfId="0" applyNumberFormat="1" applyFont="1" applyAlignment="1">
      <alignment wrapText="1"/>
    </xf>
    <xf numFmtId="0" fontId="0" fillId="0" borderId="0" xfId="0" applyAlignment="1">
      <alignment wrapText="1"/>
    </xf>
    <xf numFmtId="0" fontId="9" fillId="0" borderId="0" xfId="0" applyFont="1"/>
    <xf numFmtId="0" fontId="11" fillId="0" borderId="0" xfId="0" applyFont="1"/>
    <xf numFmtId="0" fontId="12" fillId="0" borderId="0" xfId="0" applyFont="1" applyAlignment="1">
      <alignment wrapText="1"/>
    </xf>
    <xf numFmtId="0" fontId="13" fillId="0" borderId="0" xfId="0" applyFont="1" applyAlignment="1">
      <alignment wrapText="1"/>
    </xf>
    <xf numFmtId="0" fontId="14" fillId="0" borderId="0" xfId="0" applyFont="1" applyAlignment="1">
      <alignment wrapText="1"/>
    </xf>
    <xf numFmtId="0" fontId="15" fillId="0" borderId="1" xfId="0" applyFont="1" applyBorder="1" applyAlignment="1">
      <alignment readingOrder="1"/>
    </xf>
    <xf numFmtId="0" fontId="15" fillId="0" borderId="2" xfId="0" applyFont="1" applyBorder="1" applyAlignment="1">
      <alignment readingOrder="1"/>
    </xf>
    <xf numFmtId="0" fontId="10" fillId="0" borderId="0" xfId="1"/>
    <xf numFmtId="0" fontId="0" fillId="3" borderId="0" xfId="0" applyFill="1"/>
    <xf numFmtId="0" fontId="15" fillId="0" borderId="0" xfId="0" applyFont="1" applyAlignment="1">
      <alignment readingOrder="1"/>
    </xf>
    <xf numFmtId="0" fontId="2" fillId="0" borderId="0" xfId="0" applyFont="1"/>
    <xf numFmtId="14" fontId="0" fillId="0" borderId="0" xfId="0" applyNumberFormat="1"/>
    <xf numFmtId="1" fontId="0" fillId="0" borderId="0" xfId="0" applyNumberFormat="1" applyAlignment="1">
      <alignment horizontal="center" vertical="top"/>
    </xf>
    <xf numFmtId="1" fontId="0" fillId="0" borderId="0" xfId="0" applyNumberFormat="1"/>
    <xf numFmtId="1" fontId="9" fillId="0" borderId="0" xfId="0" applyNumberFormat="1" applyFont="1" applyAlignment="1">
      <alignment horizontal="center" vertical="top"/>
    </xf>
    <xf numFmtId="1" fontId="0" fillId="0" borderId="0" xfId="0" applyNumberFormat="1" applyAlignment="1">
      <alignment horizontal="center" vertical="top" wrapText="1"/>
    </xf>
    <xf numFmtId="0" fontId="5" fillId="0" borderId="0" xfId="0" applyFont="1"/>
    <xf numFmtId="167" fontId="0" fillId="0" borderId="0" xfId="0" applyNumberFormat="1"/>
    <xf numFmtId="0" fontId="2" fillId="3" borderId="0" xfId="0" applyFont="1" applyFill="1"/>
    <xf numFmtId="168" fontId="0" fillId="0" borderId="0" xfId="0" applyNumberFormat="1"/>
    <xf numFmtId="4" fontId="0" fillId="0" borderId="0" xfId="0" applyNumberFormat="1"/>
    <xf numFmtId="169" fontId="2" fillId="0" borderId="0" xfId="0" applyNumberFormat="1" applyFont="1"/>
    <xf numFmtId="169" fontId="17" fillId="0" borderId="0" xfId="0" applyNumberFormat="1" applyFont="1"/>
    <xf numFmtId="0" fontId="0" fillId="0" borderId="5" xfId="0" applyBorder="1"/>
    <xf numFmtId="0" fontId="0" fillId="0" borderId="6" xfId="0" applyBorder="1" applyAlignment="1">
      <alignment wrapText="1"/>
    </xf>
    <xf numFmtId="0" fontId="0" fillId="0" borderId="6" xfId="0" applyBorder="1"/>
    <xf numFmtId="1" fontId="0" fillId="0" borderId="7" xfId="0" applyNumberFormat="1" applyBorder="1" applyAlignment="1">
      <alignment horizontal="center" vertical="top"/>
    </xf>
    <xf numFmtId="0" fontId="0" fillId="0" borderId="8" xfId="0" applyBorder="1"/>
    <xf numFmtId="1" fontId="0" fillId="0" borderId="9" xfId="0" applyNumberFormat="1" applyBorder="1" applyAlignment="1">
      <alignment horizontal="center" vertical="top"/>
    </xf>
    <xf numFmtId="0" fontId="0" fillId="0" borderId="10" xfId="0" applyBorder="1"/>
    <xf numFmtId="0" fontId="0" fillId="0" borderId="11" xfId="0" applyBorder="1" applyAlignment="1">
      <alignment wrapText="1"/>
    </xf>
    <xf numFmtId="0" fontId="13" fillId="0" borderId="11" xfId="0" applyFont="1" applyBorder="1" applyAlignment="1">
      <alignment wrapText="1"/>
    </xf>
    <xf numFmtId="0" fontId="0" fillId="0" borderId="11" xfId="0" applyBorder="1"/>
    <xf numFmtId="1" fontId="0" fillId="0" borderId="12" xfId="0" applyNumberFormat="1" applyBorder="1" applyAlignment="1">
      <alignment horizontal="center" vertical="top"/>
    </xf>
    <xf numFmtId="167" fontId="0" fillId="0" borderId="6" xfId="0" applyNumberFormat="1" applyBorder="1" applyAlignment="1">
      <alignment horizontal="center" vertical="top" wrapText="1"/>
    </xf>
    <xf numFmtId="1" fontId="13" fillId="0" borderId="0" xfId="0" applyNumberFormat="1" applyFont="1" applyAlignment="1">
      <alignment horizontal="center" vertical="top" wrapText="1"/>
    </xf>
    <xf numFmtId="1" fontId="13" fillId="0" borderId="0" xfId="0" applyNumberFormat="1" applyFont="1" applyAlignment="1">
      <alignment horizontal="center" vertical="top"/>
    </xf>
    <xf numFmtId="1" fontId="13" fillId="0" borderId="9" xfId="0" applyNumberFormat="1" applyFont="1" applyBorder="1" applyAlignment="1">
      <alignment horizontal="center" vertical="top" wrapText="1"/>
    </xf>
    <xf numFmtId="167" fontId="0" fillId="6" borderId="0" xfId="0" applyNumberFormat="1" applyFill="1" applyAlignment="1">
      <alignment horizontal="center" vertical="top" wrapText="1"/>
    </xf>
    <xf numFmtId="167" fontId="0" fillId="0" borderId="0" xfId="0" applyNumberFormat="1" applyAlignment="1">
      <alignment horizontal="center" vertical="top" wrapText="1"/>
    </xf>
    <xf numFmtId="167" fontId="13" fillId="0" borderId="0" xfId="0" applyNumberFormat="1" applyFont="1" applyAlignment="1">
      <alignment horizontal="center" vertical="top" wrapText="1"/>
    </xf>
    <xf numFmtId="167" fontId="13" fillId="0" borderId="9" xfId="0" applyNumberFormat="1" applyFont="1" applyBorder="1" applyAlignment="1">
      <alignment horizontal="center" vertical="top" wrapText="1"/>
    </xf>
    <xf numFmtId="10" fontId="0" fillId="6" borderId="0" xfId="0" applyNumberFormat="1" applyFill="1" applyAlignment="1">
      <alignment horizontal="center" vertical="top" wrapText="1"/>
    </xf>
    <xf numFmtId="167" fontId="13" fillId="6" borderId="0" xfId="0" applyNumberFormat="1" applyFont="1" applyFill="1" applyAlignment="1">
      <alignment wrapText="1"/>
    </xf>
    <xf numFmtId="167" fontId="0" fillId="0" borderId="0" xfId="0" applyNumberFormat="1" applyAlignment="1">
      <alignment wrapText="1"/>
    </xf>
    <xf numFmtId="167" fontId="13" fillId="0" borderId="0" xfId="0" applyNumberFormat="1" applyFont="1" applyAlignment="1">
      <alignment wrapText="1"/>
    </xf>
    <xf numFmtId="167" fontId="13" fillId="0" borderId="0" xfId="0" applyNumberFormat="1" applyFont="1" applyAlignment="1">
      <alignment horizontal="center" vertical="top"/>
    </xf>
    <xf numFmtId="0" fontId="0" fillId="6" borderId="0" xfId="0" applyFill="1" applyAlignment="1">
      <alignment wrapText="1"/>
    </xf>
    <xf numFmtId="0" fontId="13" fillId="6" borderId="0" xfId="0" applyFont="1" applyFill="1" applyAlignment="1">
      <alignment wrapText="1"/>
    </xf>
    <xf numFmtId="0" fontId="0" fillId="6" borderId="0" xfId="0" applyFill="1"/>
    <xf numFmtId="0" fontId="14" fillId="6" borderId="0" xfId="0" applyFont="1" applyFill="1" applyAlignment="1">
      <alignment wrapText="1"/>
    </xf>
    <xf numFmtId="1" fontId="13" fillId="6" borderId="0" xfId="0" applyNumberFormat="1" applyFont="1" applyFill="1" applyAlignment="1">
      <alignment horizontal="center" vertical="top" wrapText="1"/>
    </xf>
    <xf numFmtId="1" fontId="0" fillId="6" borderId="0" xfId="0" applyNumberFormat="1" applyFill="1" applyAlignment="1">
      <alignment horizontal="center" vertical="top" wrapText="1"/>
    </xf>
    <xf numFmtId="10" fontId="0" fillId="0" borderId="0" xfId="0" applyNumberFormat="1" applyAlignment="1">
      <alignment horizontal="center" vertical="top" wrapText="1"/>
    </xf>
    <xf numFmtId="0" fontId="12" fillId="6" borderId="11" xfId="0" applyFont="1" applyFill="1" applyBorder="1" applyAlignment="1">
      <alignment wrapText="1"/>
    </xf>
    <xf numFmtId="0" fontId="0" fillId="6" borderId="11" xfId="0" applyFill="1" applyBorder="1" applyAlignment="1">
      <alignment wrapText="1"/>
    </xf>
    <xf numFmtId="0" fontId="0" fillId="6" borderId="11" xfId="0" applyFill="1" applyBorder="1"/>
    <xf numFmtId="0" fontId="18" fillId="0" borderId="13" xfId="0" applyFont="1" applyBorder="1"/>
    <xf numFmtId="0" fontId="18" fillId="0" borderId="14" xfId="0" applyFont="1" applyBorder="1"/>
    <xf numFmtId="0" fontId="13" fillId="6" borderId="14" xfId="0" applyFont="1" applyFill="1" applyBorder="1" applyAlignment="1">
      <alignment wrapText="1"/>
    </xf>
    <xf numFmtId="0" fontId="13" fillId="0" borderId="14" xfId="0" applyFont="1" applyBorder="1" applyAlignment="1">
      <alignment wrapText="1"/>
    </xf>
    <xf numFmtId="0" fontId="13" fillId="0" borderId="14" xfId="0" applyFont="1" applyBorder="1"/>
    <xf numFmtId="0" fontId="5" fillId="0" borderId="14" xfId="0" applyFont="1" applyBorder="1"/>
    <xf numFmtId="0" fontId="13" fillId="6" borderId="15" xfId="0" applyFont="1" applyFill="1" applyBorder="1" applyAlignment="1">
      <alignment wrapText="1"/>
    </xf>
    <xf numFmtId="0" fontId="19" fillId="5" borderId="3" xfId="0" applyFont="1" applyFill="1" applyBorder="1"/>
    <xf numFmtId="0" fontId="20" fillId="5" borderId="4" xfId="0" applyFont="1" applyFill="1" applyBorder="1"/>
    <xf numFmtId="170" fontId="21" fillId="5" borderId="6" xfId="0" applyNumberFormat="1" applyFont="1" applyFill="1" applyBorder="1" applyAlignment="1">
      <alignment horizontal="center" vertical="top" wrapText="1"/>
    </xf>
    <xf numFmtId="167" fontId="13" fillId="6" borderId="16" xfId="0" applyNumberFormat="1" applyFont="1" applyFill="1" applyBorder="1" applyAlignment="1">
      <alignment horizontal="center" vertical="top" wrapText="1"/>
    </xf>
    <xf numFmtId="170" fontId="21" fillId="5" borderId="7" xfId="0" applyNumberFormat="1" applyFont="1" applyFill="1" applyBorder="1" applyAlignment="1">
      <alignment horizontal="center" vertical="top" wrapText="1"/>
    </xf>
    <xf numFmtId="171" fontId="0" fillId="0" borderId="0" xfId="0" applyNumberFormat="1"/>
    <xf numFmtId="2" fontId="0" fillId="0" borderId="0" xfId="0" applyNumberFormat="1"/>
    <xf numFmtId="2" fontId="2" fillId="0" borderId="0" xfId="0" applyNumberFormat="1" applyFont="1"/>
    <xf numFmtId="166" fontId="13" fillId="6" borderId="16" xfId="2" applyNumberFormat="1" applyFont="1" applyFill="1" applyBorder="1" applyAlignment="1">
      <alignment horizontal="center" vertical="top" wrapText="1"/>
    </xf>
    <xf numFmtId="2" fontId="13" fillId="6" borderId="16" xfId="2" applyNumberFormat="1" applyFont="1" applyFill="1" applyBorder="1" applyAlignment="1">
      <alignment horizontal="center" vertical="top" wrapText="1"/>
    </xf>
    <xf numFmtId="10" fontId="13" fillId="6" borderId="16" xfId="2" applyNumberFormat="1" applyFont="1" applyFill="1" applyBorder="1" applyAlignment="1">
      <alignment horizontal="center" vertical="top" wrapText="1"/>
    </xf>
    <xf numFmtId="0" fontId="23" fillId="4" borderId="0" xfId="0" applyFont="1" applyFill="1"/>
    <xf numFmtId="0" fontId="0" fillId="0" borderId="0" xfId="0" applyAlignment="1">
      <alignment horizontal="center"/>
    </xf>
    <xf numFmtId="0" fontId="0" fillId="0" borderId="17" xfId="0" applyBorder="1" applyAlignment="1">
      <alignment horizontal="center"/>
    </xf>
    <xf numFmtId="0" fontId="0" fillId="0" borderId="17" xfId="0" applyBorder="1"/>
    <xf numFmtId="0" fontId="0" fillId="7" borderId="16" xfId="0" applyFill="1" applyBorder="1"/>
    <xf numFmtId="14" fontId="0" fillId="7" borderId="16" xfId="0" applyNumberFormat="1" applyFill="1" applyBorder="1"/>
    <xf numFmtId="0" fontId="0" fillId="8" borderId="0" xfId="0" applyFill="1" applyAlignment="1">
      <alignment horizontal="center" vertical="center"/>
    </xf>
    <xf numFmtId="0" fontId="0" fillId="8" borderId="0" xfId="0" applyFill="1"/>
    <xf numFmtId="10" fontId="0" fillId="7" borderId="16" xfId="0" applyNumberFormat="1" applyFill="1" applyBorder="1"/>
    <xf numFmtId="166" fontId="0" fillId="7" borderId="16" xfId="0" applyNumberFormat="1" applyFill="1" applyBorder="1"/>
    <xf numFmtId="9" fontId="0" fillId="7" borderId="16" xfId="2" applyFont="1" applyFill="1" applyBorder="1"/>
    <xf numFmtId="9" fontId="0" fillId="7" borderId="16" xfId="0" applyNumberFormat="1" applyFill="1" applyBorder="1"/>
    <xf numFmtId="0" fontId="0" fillId="9" borderId="0" xfId="0" applyFill="1"/>
    <xf numFmtId="9" fontId="25" fillId="7" borderId="16" xfId="0" applyNumberFormat="1" applyFont="1" applyFill="1" applyBorder="1" applyAlignment="1">
      <alignment horizontal="right"/>
    </xf>
    <xf numFmtId="9" fontId="25" fillId="7" borderId="16" xfId="2" applyFont="1" applyFill="1" applyBorder="1" applyAlignment="1">
      <alignment horizontal="right"/>
    </xf>
    <xf numFmtId="0" fontId="24" fillId="0" borderId="0" xfId="0" applyFont="1"/>
    <xf numFmtId="3" fontId="27" fillId="0" borderId="0" xfId="0" applyNumberFormat="1" applyFont="1"/>
    <xf numFmtId="0" fontId="28" fillId="9" borderId="0" xfId="0" applyFont="1" applyFill="1"/>
    <xf numFmtId="9" fontId="0" fillId="0" borderId="0" xfId="2" applyFont="1"/>
    <xf numFmtId="9" fontId="25" fillId="0" borderId="0" xfId="2" applyFont="1"/>
    <xf numFmtId="0" fontId="29" fillId="9" borderId="0" xfId="0" applyFont="1" applyFill="1"/>
    <xf numFmtId="0" fontId="26" fillId="9" borderId="0" xfId="0" applyFont="1" applyFill="1"/>
    <xf numFmtId="9" fontId="27" fillId="0" borderId="0" xfId="2" applyFont="1"/>
    <xf numFmtId="3" fontId="0" fillId="0" borderId="0" xfId="0" applyNumberFormat="1"/>
    <xf numFmtId="0" fontId="30" fillId="10" borderId="0" xfId="0" applyFont="1" applyFill="1"/>
    <xf numFmtId="0" fontId="0" fillId="10" borderId="0" xfId="0" applyFill="1"/>
    <xf numFmtId="0" fontId="25" fillId="0" borderId="0" xfId="0" applyFont="1"/>
    <xf numFmtId="0" fontId="0" fillId="11" borderId="0" xfId="0" applyFill="1"/>
    <xf numFmtId="172" fontId="0" fillId="0" borderId="0" xfId="2" applyNumberFormat="1" applyFont="1"/>
    <xf numFmtId="0" fontId="26" fillId="11" borderId="0" xfId="0" applyFont="1" applyFill="1"/>
    <xf numFmtId="0" fontId="0" fillId="12" borderId="0" xfId="0" applyFill="1"/>
    <xf numFmtId="0" fontId="36" fillId="0" borderId="17" xfId="0" applyFont="1" applyBorder="1"/>
    <xf numFmtId="0" fontId="0" fillId="13" borderId="0" xfId="0" applyFill="1"/>
    <xf numFmtId="2" fontId="0" fillId="7" borderId="16" xfId="0" applyNumberFormat="1" applyFill="1" applyBorder="1"/>
    <xf numFmtId="165" fontId="0" fillId="0" borderId="0" xfId="0" applyNumberFormat="1"/>
    <xf numFmtId="165" fontId="27" fillId="0" borderId="0" xfId="0" applyNumberFormat="1" applyFont="1"/>
    <xf numFmtId="165" fontId="25" fillId="0" borderId="0" xfId="2" applyNumberFormat="1" applyFont="1"/>
    <xf numFmtId="164" fontId="0" fillId="0" borderId="0" xfId="0" applyNumberFormat="1"/>
    <xf numFmtId="164" fontId="0" fillId="0" borderId="0" xfId="2" applyNumberFormat="1" applyFont="1"/>
    <xf numFmtId="164" fontId="25" fillId="0" borderId="0" xfId="2" applyNumberFormat="1" applyFont="1"/>
    <xf numFmtId="164" fontId="25" fillId="0" borderId="0" xfId="0" applyNumberFormat="1" applyFont="1"/>
    <xf numFmtId="164" fontId="31" fillId="0" borderId="0" xfId="0" applyNumberFormat="1" applyFont="1"/>
    <xf numFmtId="164" fontId="32" fillId="0" borderId="0" xfId="0" applyNumberFormat="1" applyFont="1"/>
    <xf numFmtId="164" fontId="33" fillId="0" borderId="0" xfId="0" applyNumberFormat="1" applyFont="1"/>
    <xf numFmtId="164" fontId="25" fillId="0" borderId="0" xfId="0" applyNumberFormat="1" applyFont="1" applyAlignment="1">
      <alignment horizontal="right"/>
    </xf>
    <xf numFmtId="164" fontId="34" fillId="0" borderId="17" xfId="0" applyNumberFormat="1" applyFont="1" applyBorder="1" applyAlignment="1">
      <alignment horizontal="right"/>
    </xf>
    <xf numFmtId="164" fontId="35" fillId="0" borderId="17" xfId="0" applyNumberFormat="1" applyFont="1" applyBorder="1" applyAlignment="1">
      <alignment horizontal="right"/>
    </xf>
    <xf numFmtId="9" fontId="28" fillId="7" borderId="18" xfId="2" applyFont="1" applyFill="1" applyBorder="1" applyAlignment="1">
      <alignment horizontal="right"/>
    </xf>
    <xf numFmtId="9" fontId="25" fillId="7" borderId="19" xfId="2" applyFont="1" applyFill="1" applyBorder="1" applyAlignment="1">
      <alignment horizontal="right"/>
    </xf>
    <xf numFmtId="9" fontId="25" fillId="0" borderId="0" xfId="2" applyFont="1" applyAlignment="1">
      <alignment horizontal="right"/>
    </xf>
    <xf numFmtId="9" fontId="28" fillId="7" borderId="20" xfId="2" applyFont="1" applyFill="1" applyBorder="1" applyAlignment="1">
      <alignment horizontal="right"/>
    </xf>
    <xf numFmtId="164" fontId="36" fillId="0" borderId="17" xfId="0" applyNumberFormat="1" applyFont="1" applyBorder="1"/>
    <xf numFmtId="164" fontId="0" fillId="0" borderId="17" xfId="0" applyNumberFormat="1" applyBorder="1"/>
    <xf numFmtId="173" fontId="0" fillId="0" borderId="0" xfId="0" applyNumberFormat="1"/>
    <xf numFmtId="174" fontId="0" fillId="0" borderId="0" xfId="0" applyNumberFormat="1"/>
    <xf numFmtId="174" fontId="32" fillId="0" borderId="0" xfId="0" applyNumberFormat="1" applyFont="1"/>
    <xf numFmtId="174" fontId="0" fillId="0" borderId="0" xfId="0" applyNumberFormat="1" applyAlignment="1">
      <alignment horizontal="center" vertical="top" wrapText="1"/>
    </xf>
    <xf numFmtId="174" fontId="0" fillId="6" borderId="0" xfId="0" applyNumberFormat="1" applyFill="1" applyAlignment="1">
      <alignment horizontal="center" vertical="top" wrapText="1"/>
    </xf>
    <xf numFmtId="174" fontId="0" fillId="6" borderId="0" xfId="0" applyNumberFormat="1" applyFill="1"/>
    <xf numFmtId="0" fontId="37" fillId="0" borderId="0" xfId="0" applyFont="1"/>
    <xf numFmtId="166" fontId="0" fillId="0" borderId="0" xfId="0" applyNumberFormat="1"/>
    <xf numFmtId="175" fontId="0" fillId="0" borderId="0" xfId="0" applyNumberFormat="1"/>
    <xf numFmtId="9" fontId="0" fillId="14" borderId="16" xfId="2" applyFont="1" applyFill="1" applyBorder="1"/>
    <xf numFmtId="10" fontId="0" fillId="14" borderId="16" xfId="0" applyNumberFormat="1" applyFill="1" applyBorder="1"/>
    <xf numFmtId="10" fontId="2" fillId="15" borderId="16" xfId="0" applyNumberFormat="1" applyFont="1" applyFill="1" applyBorder="1"/>
    <xf numFmtId="172" fontId="0" fillId="9" borderId="0" xfId="0" applyNumberFormat="1" applyFill="1"/>
    <xf numFmtId="10" fontId="0" fillId="9" borderId="0" xfId="0" applyNumberFormat="1" applyFill="1"/>
    <xf numFmtId="9" fontId="0" fillId="9" borderId="0" xfId="2" applyFont="1" applyFill="1" applyBorder="1"/>
    <xf numFmtId="9" fontId="0" fillId="9" borderId="0" xfId="0" applyNumberFormat="1" applyFill="1"/>
    <xf numFmtId="0" fontId="13" fillId="0" borderId="0" xfId="0" applyFont="1"/>
    <xf numFmtId="0" fontId="26" fillId="14" borderId="0" xfId="0" applyFont="1" applyFill="1"/>
    <xf numFmtId="0" fontId="0" fillId="14" borderId="0" xfId="0" applyFill="1"/>
    <xf numFmtId="9" fontId="2" fillId="0" borderId="0" xfId="2" applyFont="1"/>
    <xf numFmtId="0" fontId="1" fillId="0" borderId="0" xfId="0" applyFont="1" applyAlignment="1">
      <alignment horizontal="center"/>
    </xf>
    <xf numFmtId="0" fontId="39" fillId="9" borderId="0" xfId="0" applyFont="1" applyFill="1"/>
    <xf numFmtId="0" fontId="5" fillId="2" borderId="0" xfId="0" applyFont="1" applyFill="1" applyAlignment="1">
      <alignment horizontal="left"/>
    </xf>
    <xf numFmtId="0" fontId="1" fillId="18" borderId="0" xfId="0" applyFont="1" applyFill="1" applyAlignment="1">
      <alignment horizontal="center"/>
    </xf>
    <xf numFmtId="0" fontId="5" fillId="24" borderId="0" xfId="0" applyFont="1" applyFill="1" applyAlignment="1">
      <alignment horizontal="left"/>
    </xf>
    <xf numFmtId="0" fontId="1" fillId="0" borderId="24" xfId="0" applyFont="1" applyBorder="1" applyAlignment="1">
      <alignment horizontal="center"/>
    </xf>
    <xf numFmtId="178" fontId="1" fillId="0" borderId="0" xfId="0" applyNumberFormat="1" applyFont="1" applyAlignment="1">
      <alignment horizontal="center"/>
    </xf>
    <xf numFmtId="0" fontId="43" fillId="2" borderId="0" xfId="0" applyFont="1" applyFill="1" applyAlignment="1">
      <alignment horizontal="center"/>
    </xf>
    <xf numFmtId="0" fontId="6" fillId="30" borderId="0" xfId="0" applyFont="1" applyFill="1" applyAlignment="1">
      <alignment horizontal="center"/>
    </xf>
    <xf numFmtId="0" fontId="42" fillId="30" borderId="0" xfId="0" applyFont="1" applyFill="1" applyAlignment="1">
      <alignment horizontal="center"/>
    </xf>
    <xf numFmtId="0" fontId="6" fillId="0" borderId="0" xfId="0" applyFont="1" applyAlignment="1">
      <alignment horizontal="center"/>
    </xf>
    <xf numFmtId="0" fontId="24" fillId="0" borderId="0" xfId="0" applyFont="1" applyAlignment="1">
      <alignment horizontal="center"/>
    </xf>
    <xf numFmtId="2" fontId="1" fillId="0" borderId="16" xfId="0" applyNumberFormat="1" applyFont="1" applyBorder="1" applyAlignment="1">
      <alignment horizontal="center"/>
    </xf>
    <xf numFmtId="0" fontId="1" fillId="0" borderId="16" xfId="0" applyFont="1" applyBorder="1" applyAlignment="1">
      <alignment horizontal="center"/>
    </xf>
    <xf numFmtId="166" fontId="1" fillId="0" borderId="16" xfId="2" applyNumberFormat="1" applyFont="1" applyBorder="1" applyAlignment="1">
      <alignment horizontal="center"/>
    </xf>
    <xf numFmtId="166" fontId="1" fillId="0" borderId="0" xfId="2" applyNumberFormat="1" applyFont="1" applyAlignment="1">
      <alignment horizontal="center"/>
    </xf>
    <xf numFmtId="2" fontId="1" fillId="0" borderId="0" xfId="0" applyNumberFormat="1" applyFont="1" applyAlignment="1">
      <alignment horizontal="center"/>
    </xf>
    <xf numFmtId="9" fontId="1" fillId="0" borderId="0" xfId="2" applyFont="1" applyAlignment="1">
      <alignment horizontal="center"/>
    </xf>
    <xf numFmtId="0" fontId="46" fillId="32" borderId="0" xfId="0" applyFont="1" applyFill="1" applyAlignment="1">
      <alignment horizontal="center"/>
    </xf>
    <xf numFmtId="2" fontId="46" fillId="32" borderId="0" xfId="0" applyNumberFormat="1" applyFont="1" applyFill="1" applyAlignment="1">
      <alignment horizontal="center"/>
    </xf>
    <xf numFmtId="9" fontId="46" fillId="32" borderId="0" xfId="2" applyFont="1" applyFill="1" applyAlignment="1">
      <alignment horizontal="center"/>
    </xf>
    <xf numFmtId="2" fontId="3" fillId="0" borderId="0" xfId="0" applyNumberFormat="1" applyFont="1" applyAlignment="1">
      <alignment horizontal="center"/>
    </xf>
    <xf numFmtId="0" fontId="46" fillId="33" borderId="0" xfId="0" applyFont="1" applyFill="1" applyAlignment="1">
      <alignment horizontal="center"/>
    </xf>
    <xf numFmtId="2" fontId="46" fillId="33" borderId="32" xfId="0" applyNumberFormat="1" applyFont="1" applyFill="1" applyBorder="1" applyAlignment="1">
      <alignment horizontal="center"/>
    </xf>
    <xf numFmtId="2" fontId="46" fillId="33" borderId="23" xfId="0" applyNumberFormat="1" applyFont="1" applyFill="1" applyBorder="1" applyAlignment="1">
      <alignment horizontal="center"/>
    </xf>
    <xf numFmtId="2" fontId="46" fillId="34" borderId="36" xfId="0" applyNumberFormat="1" applyFont="1" applyFill="1" applyBorder="1" applyAlignment="1">
      <alignment horizontal="center"/>
    </xf>
    <xf numFmtId="9" fontId="46" fillId="34" borderId="36" xfId="2" applyFont="1" applyFill="1" applyBorder="1" applyAlignment="1">
      <alignment horizontal="center"/>
    </xf>
    <xf numFmtId="0" fontId="1" fillId="32" borderId="0" xfId="0" applyFont="1" applyFill="1" applyAlignment="1">
      <alignment horizontal="center"/>
    </xf>
    <xf numFmtId="0" fontId="1" fillId="32" borderId="16" xfId="0" applyFont="1" applyFill="1" applyBorder="1" applyAlignment="1">
      <alignment horizontal="center"/>
    </xf>
    <xf numFmtId="2" fontId="1" fillId="32" borderId="16" xfId="0" applyNumberFormat="1" applyFont="1" applyFill="1" applyBorder="1" applyAlignment="1">
      <alignment horizontal="center"/>
    </xf>
    <xf numFmtId="2" fontId="3" fillId="35" borderId="16" xfId="0" applyNumberFormat="1" applyFont="1" applyFill="1" applyBorder="1" applyAlignment="1">
      <alignment horizontal="center"/>
    </xf>
    <xf numFmtId="2" fontId="3" fillId="2" borderId="16" xfId="0" applyNumberFormat="1" applyFont="1" applyFill="1" applyBorder="1" applyAlignment="1">
      <alignment horizontal="center"/>
    </xf>
    <xf numFmtId="10" fontId="3" fillId="2" borderId="16" xfId="0" applyNumberFormat="1" applyFont="1" applyFill="1" applyBorder="1" applyAlignment="1">
      <alignment horizontal="center"/>
    </xf>
    <xf numFmtId="2" fontId="3" fillId="0" borderId="16" xfId="0" applyNumberFormat="1" applyFont="1" applyBorder="1" applyAlignment="1">
      <alignment horizontal="center"/>
    </xf>
    <xf numFmtId="9" fontId="3" fillId="0" borderId="16" xfId="2" applyFont="1" applyBorder="1" applyAlignment="1">
      <alignment horizontal="center"/>
    </xf>
    <xf numFmtId="2" fontId="4" fillId="2" borderId="0" xfId="0" applyNumberFormat="1" applyFont="1" applyFill="1" applyAlignment="1">
      <alignment horizontal="center"/>
    </xf>
    <xf numFmtId="0" fontId="3" fillId="32" borderId="0" xfId="0" applyFont="1" applyFill="1" applyAlignment="1">
      <alignment horizontal="center"/>
    </xf>
    <xf numFmtId="0" fontId="3" fillId="32" borderId="16" xfId="0" applyFont="1" applyFill="1" applyBorder="1" applyAlignment="1">
      <alignment horizontal="center"/>
    </xf>
    <xf numFmtId="0" fontId="47" fillId="32" borderId="0" xfId="0" applyFont="1" applyFill="1" applyAlignment="1">
      <alignment horizontal="center"/>
    </xf>
    <xf numFmtId="0" fontId="47" fillId="32" borderId="16" xfId="0" applyFont="1" applyFill="1" applyBorder="1" applyAlignment="1">
      <alignment horizontal="center"/>
    </xf>
    <xf numFmtId="0" fontId="48" fillId="32" borderId="0" xfId="0" applyFont="1" applyFill="1" applyAlignment="1">
      <alignment horizontal="center"/>
    </xf>
    <xf numFmtId="0" fontId="48" fillId="32" borderId="16" xfId="0" applyFont="1" applyFill="1" applyBorder="1" applyAlignment="1">
      <alignment horizontal="center"/>
    </xf>
    <xf numFmtId="2" fontId="3" fillId="37" borderId="16" xfId="0" applyNumberFormat="1" applyFont="1" applyFill="1" applyBorder="1" applyAlignment="1">
      <alignment horizontal="center"/>
    </xf>
    <xf numFmtId="2" fontId="3" fillId="36" borderId="0" xfId="0" applyNumberFormat="1" applyFont="1" applyFill="1" applyAlignment="1">
      <alignment horizontal="center"/>
    </xf>
    <xf numFmtId="2" fontId="1" fillId="34" borderId="0" xfId="0" applyNumberFormat="1" applyFont="1" applyFill="1" applyAlignment="1">
      <alignment horizontal="center"/>
    </xf>
    <xf numFmtId="179" fontId="1" fillId="0" borderId="0" xfId="0" applyNumberFormat="1" applyFont="1" applyAlignment="1">
      <alignment horizontal="center"/>
    </xf>
    <xf numFmtId="179" fontId="46" fillId="32" borderId="0" xfId="0" applyNumberFormat="1" applyFont="1" applyFill="1" applyAlignment="1">
      <alignment horizontal="center"/>
    </xf>
    <xf numFmtId="179" fontId="46" fillId="33" borderId="32" xfId="0" applyNumberFormat="1" applyFont="1" applyFill="1" applyBorder="1" applyAlignment="1">
      <alignment horizontal="center"/>
    </xf>
    <xf numFmtId="179" fontId="3" fillId="35" borderId="16" xfId="0" applyNumberFormat="1" applyFont="1" applyFill="1" applyBorder="1" applyAlignment="1">
      <alignment horizontal="center"/>
    </xf>
    <xf numFmtId="179" fontId="1" fillId="34" borderId="0" xfId="0" applyNumberFormat="1" applyFont="1" applyFill="1" applyAlignment="1">
      <alignment horizontal="center"/>
    </xf>
    <xf numFmtId="179" fontId="0" fillId="0" borderId="0" xfId="0" applyNumberFormat="1"/>
    <xf numFmtId="2" fontId="3" fillId="38" borderId="16" xfId="0" applyNumberFormat="1" applyFont="1" applyFill="1" applyBorder="1" applyAlignment="1">
      <alignment horizontal="center"/>
    </xf>
    <xf numFmtId="179" fontId="3" fillId="38" borderId="16" xfId="0" applyNumberFormat="1" applyFont="1" applyFill="1" applyBorder="1" applyAlignment="1">
      <alignment horizontal="center"/>
    </xf>
    <xf numFmtId="2" fontId="1" fillId="39" borderId="16" xfId="0" applyNumberFormat="1" applyFont="1" applyFill="1" applyBorder="1" applyAlignment="1">
      <alignment horizontal="center"/>
    </xf>
    <xf numFmtId="2" fontId="3" fillId="39" borderId="16" xfId="0" applyNumberFormat="1" applyFont="1" applyFill="1" applyBorder="1" applyAlignment="1">
      <alignment horizontal="center"/>
    </xf>
    <xf numFmtId="0" fontId="49" fillId="0" borderId="0" xfId="0" applyFont="1"/>
    <xf numFmtId="170" fontId="49" fillId="0" borderId="0" xfId="0" applyNumberFormat="1" applyFont="1"/>
    <xf numFmtId="14" fontId="49" fillId="0" borderId="0" xfId="0" applyNumberFormat="1" applyFont="1"/>
    <xf numFmtId="0" fontId="6" fillId="19" borderId="0" xfId="0" applyFont="1" applyFill="1" applyAlignment="1">
      <alignment horizontal="center"/>
    </xf>
    <xf numFmtId="0" fontId="39" fillId="0" borderId="0" xfId="0" applyFont="1"/>
    <xf numFmtId="0" fontId="6" fillId="28" borderId="0" xfId="0" applyFont="1" applyFill="1" applyAlignment="1">
      <alignment horizontal="center"/>
    </xf>
    <xf numFmtId="0" fontId="1" fillId="9" borderId="0" xfId="0" applyFont="1" applyFill="1" applyAlignment="1">
      <alignment horizontal="center"/>
    </xf>
    <xf numFmtId="10" fontId="6" fillId="25" borderId="16" xfId="0" applyNumberFormat="1" applyFont="1" applyFill="1" applyBorder="1" applyAlignment="1">
      <alignment horizontal="center"/>
    </xf>
    <xf numFmtId="177" fontId="6" fillId="25" borderId="16" xfId="0" applyNumberFormat="1" applyFont="1" applyFill="1" applyBorder="1" applyAlignment="1">
      <alignment horizontal="center"/>
    </xf>
    <xf numFmtId="2" fontId="6" fillId="25" borderId="16" xfId="0" applyNumberFormat="1" applyFont="1" applyFill="1" applyBorder="1" applyAlignment="1">
      <alignment horizontal="center"/>
    </xf>
    <xf numFmtId="176" fontId="6" fillId="25" borderId="37" xfId="0" applyNumberFormat="1" applyFont="1" applyFill="1" applyBorder="1" applyAlignment="1">
      <alignment horizontal="center"/>
    </xf>
    <xf numFmtId="176" fontId="1" fillId="17" borderId="37" xfId="0" applyNumberFormat="1" applyFont="1" applyFill="1" applyBorder="1" applyAlignment="1">
      <alignment horizontal="center"/>
    </xf>
    <xf numFmtId="0" fontId="6" fillId="0" borderId="0" xfId="0" applyFont="1" applyAlignment="1">
      <alignment horizontal="center" wrapText="1"/>
    </xf>
    <xf numFmtId="2" fontId="2" fillId="2" borderId="29" xfId="0" applyNumberFormat="1" applyFont="1" applyFill="1" applyBorder="1" applyAlignment="1">
      <alignment horizontal="center"/>
    </xf>
    <xf numFmtId="0" fontId="2" fillId="2" borderId="29" xfId="0" applyFont="1" applyFill="1" applyBorder="1" applyAlignment="1">
      <alignment horizontal="center"/>
    </xf>
    <xf numFmtId="10" fontId="0" fillId="0" borderId="0" xfId="2" applyNumberFormat="1" applyFont="1"/>
    <xf numFmtId="0" fontId="2" fillId="0" borderId="0" xfId="0" applyFont="1" applyAlignment="1">
      <alignment horizontal="center"/>
    </xf>
    <xf numFmtId="0" fontId="2" fillId="0" borderId="16" xfId="0" applyFont="1" applyBorder="1"/>
    <xf numFmtId="0" fontId="13" fillId="0" borderId="16" xfId="0" applyFont="1" applyBorder="1" applyAlignment="1">
      <alignment horizontal="left"/>
    </xf>
    <xf numFmtId="0" fontId="13" fillId="0" borderId="16" xfId="0" applyFont="1" applyBorder="1"/>
    <xf numFmtId="2" fontId="2" fillId="0" borderId="16" xfId="0" applyNumberFormat="1" applyFont="1" applyBorder="1"/>
    <xf numFmtId="2" fontId="0" fillId="0" borderId="16" xfId="0" applyNumberFormat="1" applyBorder="1"/>
    <xf numFmtId="0" fontId="13" fillId="0" borderId="16" xfId="0" applyFont="1" applyBorder="1" applyAlignment="1">
      <alignment horizontal="center"/>
    </xf>
    <xf numFmtId="2" fontId="2" fillId="0" borderId="16" xfId="0" applyNumberFormat="1" applyFont="1" applyBorder="1" applyAlignment="1">
      <alignment horizontal="center"/>
    </xf>
    <xf numFmtId="2" fontId="0" fillId="0" borderId="16" xfId="0" applyNumberFormat="1" applyBorder="1" applyAlignment="1">
      <alignment horizontal="center"/>
    </xf>
    <xf numFmtId="9" fontId="2" fillId="0" borderId="16" xfId="2" applyFont="1" applyBorder="1"/>
    <xf numFmtId="171" fontId="2" fillId="0" borderId="16" xfId="0" applyNumberFormat="1" applyFont="1" applyBorder="1"/>
    <xf numFmtId="180" fontId="2" fillId="0" borderId="16" xfId="0" applyNumberFormat="1" applyFont="1" applyBorder="1"/>
    <xf numFmtId="171" fontId="0" fillId="0" borderId="16" xfId="0" applyNumberFormat="1" applyBorder="1"/>
    <xf numFmtId="9" fontId="0" fillId="0" borderId="16" xfId="2" applyFont="1" applyBorder="1"/>
    <xf numFmtId="0" fontId="43" fillId="0" borderId="16" xfId="0" applyFont="1" applyBorder="1" applyAlignment="1">
      <alignment horizontal="left"/>
    </xf>
    <xf numFmtId="14" fontId="43" fillId="0" borderId="16" xfId="0" applyNumberFormat="1" applyFont="1" applyBorder="1" applyAlignment="1">
      <alignment horizontal="left"/>
    </xf>
    <xf numFmtId="10" fontId="43" fillId="0" borderId="16" xfId="2" applyNumberFormat="1" applyFont="1" applyBorder="1" applyAlignment="1">
      <alignment horizontal="left"/>
    </xf>
    <xf numFmtId="0" fontId="49" fillId="0" borderId="38" xfId="0" applyFont="1" applyBorder="1"/>
    <xf numFmtId="0" fontId="52" fillId="0" borderId="38" xfId="0" applyFont="1" applyBorder="1"/>
    <xf numFmtId="0" fontId="0" fillId="0" borderId="38" xfId="0" applyBorder="1"/>
    <xf numFmtId="0" fontId="13" fillId="0" borderId="38" xfId="0" applyFont="1" applyBorder="1"/>
    <xf numFmtId="9" fontId="13" fillId="0" borderId="38" xfId="2" applyFont="1" applyBorder="1"/>
    <xf numFmtId="0" fontId="53" fillId="0" borderId="16" xfId="0" applyFont="1" applyBorder="1"/>
    <xf numFmtId="14" fontId="53" fillId="0" borderId="16" xfId="0" applyNumberFormat="1" applyFont="1" applyBorder="1"/>
    <xf numFmtId="0" fontId="53" fillId="0" borderId="0" xfId="0" applyFont="1"/>
    <xf numFmtId="9" fontId="53" fillId="0" borderId="16" xfId="2" applyFont="1" applyBorder="1"/>
    <xf numFmtId="0" fontId="21" fillId="0" borderId="16" xfId="0" applyFont="1" applyBorder="1"/>
    <xf numFmtId="0" fontId="53" fillId="0" borderId="16" xfId="0" applyFont="1" applyBorder="1" applyAlignment="1">
      <alignment horizontal="center"/>
    </xf>
    <xf numFmtId="0" fontId="2" fillId="0" borderId="16" xfId="0" applyFont="1" applyBorder="1" applyAlignment="1">
      <alignment horizontal="center"/>
    </xf>
    <xf numFmtId="0" fontId="0" fillId="0" borderId="16" xfId="0" applyBorder="1" applyAlignment="1">
      <alignment horizontal="center"/>
    </xf>
    <xf numFmtId="0" fontId="42" fillId="0" borderId="16" xfId="0" applyFont="1" applyBorder="1"/>
    <xf numFmtId="0" fontId="42" fillId="0" borderId="0" xfId="0" applyFont="1"/>
    <xf numFmtId="2" fontId="50" fillId="0" borderId="0" xfId="0" applyNumberFormat="1" applyFont="1"/>
    <xf numFmtId="14" fontId="2" fillId="0" borderId="0" xfId="0" applyNumberFormat="1" applyFont="1"/>
    <xf numFmtId="14" fontId="13" fillId="0" borderId="16" xfId="0" applyNumberFormat="1" applyFont="1" applyBorder="1"/>
    <xf numFmtId="2" fontId="13" fillId="0" borderId="16" xfId="0" applyNumberFormat="1" applyFont="1" applyBorder="1"/>
    <xf numFmtId="14" fontId="0" fillId="0" borderId="16" xfId="0" applyNumberFormat="1" applyBorder="1" applyAlignment="1">
      <alignment horizontal="center"/>
    </xf>
    <xf numFmtId="164" fontId="13" fillId="0" borderId="16" xfId="0" applyNumberFormat="1" applyFont="1" applyBorder="1" applyAlignment="1">
      <alignment horizontal="center" vertical="top" wrapText="1"/>
    </xf>
    <xf numFmtId="164" fontId="13" fillId="0" borderId="9" xfId="0" applyNumberFormat="1" applyFont="1" applyBorder="1" applyAlignment="1">
      <alignment horizontal="center" vertical="top" wrapText="1"/>
    </xf>
    <xf numFmtId="164" fontId="13" fillId="6" borderId="16" xfId="0" applyNumberFormat="1" applyFont="1" applyFill="1" applyBorder="1" applyAlignment="1">
      <alignment horizontal="center" vertical="top" wrapText="1"/>
    </xf>
    <xf numFmtId="164" fontId="13" fillId="6" borderId="16" xfId="0" applyNumberFormat="1" applyFont="1" applyFill="1" applyBorder="1" applyAlignment="1">
      <alignment horizontal="center" vertical="top"/>
    </xf>
    <xf numFmtId="0" fontId="22" fillId="0" borderId="0" xfId="0" applyFont="1" applyAlignment="1">
      <alignment horizontal="center" vertical="top" wrapText="1"/>
    </xf>
    <xf numFmtId="0" fontId="13" fillId="0" borderId="0" xfId="0" applyFont="1" applyAlignment="1">
      <alignment horizontal="center"/>
    </xf>
    <xf numFmtId="0" fontId="1" fillId="0" borderId="28" xfId="0" applyFont="1" applyBorder="1" applyAlignment="1">
      <alignment horizontal="center"/>
    </xf>
    <xf numFmtId="0" fontId="1" fillId="0" borderId="29" xfId="0" applyFont="1" applyBorder="1" applyAlignment="1">
      <alignment horizontal="center"/>
    </xf>
    <xf numFmtId="0" fontId="1" fillId="26" borderId="28" xfId="0" applyFont="1" applyFill="1" applyBorder="1" applyAlignment="1">
      <alignment horizontal="center"/>
    </xf>
    <xf numFmtId="0" fontId="39" fillId="0" borderId="29" xfId="0" applyFont="1" applyBorder="1"/>
    <xf numFmtId="0" fontId="39" fillId="0" borderId="30" xfId="0" applyFont="1" applyBorder="1"/>
    <xf numFmtId="0" fontId="24" fillId="0" borderId="0" xfId="0" applyFont="1" applyAlignment="1">
      <alignment horizontal="center"/>
    </xf>
    <xf numFmtId="0" fontId="0" fillId="0" borderId="0" xfId="0" applyAlignment="1">
      <alignment horizontal="center"/>
    </xf>
    <xf numFmtId="0" fontId="1" fillId="0" borderId="30" xfId="0" applyFont="1" applyBorder="1" applyAlignment="1">
      <alignment horizontal="center"/>
    </xf>
    <xf numFmtId="0" fontId="40" fillId="29" borderId="16" xfId="0" applyFont="1" applyFill="1" applyBorder="1" applyAlignment="1">
      <alignment horizontal="center"/>
    </xf>
    <xf numFmtId="0" fontId="39" fillId="9" borderId="16" xfId="0" applyFont="1" applyFill="1" applyBorder="1"/>
    <xf numFmtId="0" fontId="1" fillId="0" borderId="0" xfId="0" applyFont="1" applyAlignment="1">
      <alignment horizontal="center"/>
    </xf>
    <xf numFmtId="0" fontId="0" fillId="0" borderId="0" xfId="0"/>
    <xf numFmtId="0" fontId="44" fillId="0" borderId="0" xfId="0" applyFont="1" applyAlignment="1">
      <alignment horizontal="center"/>
    </xf>
    <xf numFmtId="0" fontId="6" fillId="30" borderId="33" xfId="0" applyFont="1" applyFill="1" applyBorder="1" applyAlignment="1">
      <alignment horizontal="center"/>
    </xf>
    <xf numFmtId="0" fontId="6" fillId="30" borderId="34" xfId="0" applyFont="1" applyFill="1" applyBorder="1" applyAlignment="1">
      <alignment horizontal="center"/>
    </xf>
    <xf numFmtId="0" fontId="6" fillId="30" borderId="35" xfId="0" applyFont="1" applyFill="1" applyBorder="1" applyAlignment="1">
      <alignment horizontal="center"/>
    </xf>
    <xf numFmtId="0" fontId="40" fillId="27" borderId="0" xfId="0" applyFont="1" applyFill="1" applyAlignment="1">
      <alignment horizontal="center"/>
    </xf>
    <xf numFmtId="0" fontId="39" fillId="9" borderId="0" xfId="0" applyFont="1" applyFill="1"/>
    <xf numFmtId="0" fontId="6" fillId="28" borderId="33" xfId="0" applyFont="1" applyFill="1" applyBorder="1" applyAlignment="1">
      <alignment horizontal="center"/>
    </xf>
    <xf numFmtId="0" fontId="6" fillId="28" borderId="34" xfId="0" applyFont="1" applyFill="1" applyBorder="1" applyAlignment="1">
      <alignment horizontal="center"/>
    </xf>
    <xf numFmtId="0" fontId="6" fillId="28" borderId="35" xfId="0" applyFont="1" applyFill="1" applyBorder="1" applyAlignment="1">
      <alignment horizontal="center"/>
    </xf>
    <xf numFmtId="0" fontId="1" fillId="9" borderId="33" xfId="0" applyFont="1" applyFill="1" applyBorder="1" applyAlignment="1">
      <alignment horizontal="center"/>
    </xf>
    <xf numFmtId="0" fontId="1" fillId="9" borderId="34" xfId="0" applyFont="1" applyFill="1" applyBorder="1" applyAlignment="1">
      <alignment horizontal="center"/>
    </xf>
    <xf numFmtId="0" fontId="1" fillId="9" borderId="35" xfId="0" applyFont="1" applyFill="1" applyBorder="1" applyAlignment="1">
      <alignment horizontal="center"/>
    </xf>
    <xf numFmtId="0" fontId="6" fillId="25" borderId="28" xfId="0" applyFont="1" applyFill="1" applyBorder="1" applyAlignment="1">
      <alignment horizontal="center"/>
    </xf>
    <xf numFmtId="0" fontId="39" fillId="23" borderId="29" xfId="0" applyFont="1" applyFill="1" applyBorder="1"/>
    <xf numFmtId="0" fontId="7" fillId="0" borderId="21" xfId="0" applyFont="1" applyBorder="1" applyAlignment="1">
      <alignment horizontal="center"/>
    </xf>
    <xf numFmtId="0" fontId="41" fillId="26" borderId="28" xfId="0" applyFont="1" applyFill="1" applyBorder="1" applyAlignment="1">
      <alignment horizontal="center"/>
    </xf>
    <xf numFmtId="0" fontId="6" fillId="25" borderId="23" xfId="0" applyFont="1" applyFill="1" applyBorder="1" applyAlignment="1">
      <alignment horizontal="center"/>
    </xf>
    <xf numFmtId="0" fontId="39" fillId="23" borderId="24" xfId="0" applyFont="1" applyFill="1" applyBorder="1"/>
    <xf numFmtId="0" fontId="1" fillId="0" borderId="21" xfId="0" applyFont="1" applyBorder="1" applyAlignment="1">
      <alignment horizontal="center"/>
    </xf>
    <xf numFmtId="0" fontId="1" fillId="0" borderId="22" xfId="0" applyFont="1" applyBorder="1" applyAlignment="1">
      <alignment horizontal="center"/>
    </xf>
    <xf numFmtId="0" fontId="38" fillId="16" borderId="16" xfId="0" applyFont="1" applyFill="1" applyBorder="1" applyAlignment="1">
      <alignment horizontal="center" vertical="center"/>
    </xf>
    <xf numFmtId="0" fontId="39" fillId="0" borderId="16" xfId="0" applyFont="1" applyBorder="1"/>
    <xf numFmtId="0" fontId="0" fillId="0" borderId="16" xfId="0" applyBorder="1"/>
    <xf numFmtId="0" fontId="1" fillId="0" borderId="27" xfId="0" applyFont="1" applyBorder="1" applyAlignment="1">
      <alignment horizontal="center"/>
    </xf>
    <xf numFmtId="0" fontId="40" fillId="17" borderId="16" xfId="0" applyFont="1" applyFill="1" applyBorder="1" applyAlignment="1">
      <alignment horizontal="center"/>
    </xf>
    <xf numFmtId="0" fontId="6" fillId="17" borderId="31" xfId="0" applyFont="1" applyFill="1" applyBorder="1" applyAlignment="1">
      <alignment horizontal="center"/>
    </xf>
    <xf numFmtId="0" fontId="6" fillId="17" borderId="21" xfId="0" applyFont="1" applyFill="1" applyBorder="1" applyAlignment="1">
      <alignment horizontal="center"/>
    </xf>
    <xf numFmtId="0" fontId="7" fillId="0" borderId="0" xfId="0" applyFont="1" applyAlignment="1">
      <alignment horizontal="center"/>
    </xf>
    <xf numFmtId="0" fontId="41" fillId="18" borderId="0" xfId="0" applyFont="1" applyFill="1" applyAlignment="1">
      <alignment horizontal="center"/>
    </xf>
    <xf numFmtId="0" fontId="40" fillId="21" borderId="16" xfId="0" applyFont="1" applyFill="1" applyBorder="1" applyAlignment="1">
      <alignment horizontal="center"/>
    </xf>
    <xf numFmtId="0" fontId="24" fillId="20" borderId="26" xfId="0" applyFont="1" applyFill="1" applyBorder="1" applyAlignment="1">
      <alignment horizontal="center"/>
    </xf>
    <xf numFmtId="10" fontId="40" fillId="22" borderId="0" xfId="0" applyNumberFormat="1" applyFont="1" applyFill="1" applyAlignment="1">
      <alignment horizontal="center"/>
    </xf>
    <xf numFmtId="0" fontId="39" fillId="23" borderId="27" xfId="0" applyFont="1" applyFill="1" applyBorder="1"/>
    <xf numFmtId="0" fontId="1" fillId="18" borderId="0" xfId="0" applyFont="1" applyFill="1" applyAlignment="1">
      <alignment horizontal="center"/>
    </xf>
    <xf numFmtId="0" fontId="6" fillId="19" borderId="23" xfId="0" applyFont="1" applyFill="1" applyBorder="1" applyAlignment="1">
      <alignment horizontal="center"/>
    </xf>
    <xf numFmtId="0" fontId="6" fillId="19" borderId="24" xfId="0" applyFont="1" applyFill="1" applyBorder="1" applyAlignment="1">
      <alignment horizontal="center"/>
    </xf>
    <xf numFmtId="0" fontId="6" fillId="19" borderId="0" xfId="0" applyFont="1" applyFill="1" applyAlignment="1">
      <alignment horizontal="center"/>
    </xf>
    <xf numFmtId="0" fontId="24" fillId="20" borderId="23" xfId="0" applyFont="1" applyFill="1" applyBorder="1" applyAlignment="1">
      <alignment horizontal="center"/>
    </xf>
    <xf numFmtId="0" fontId="39" fillId="0" borderId="24" xfId="0" applyFont="1" applyBorder="1"/>
    <xf numFmtId="176" fontId="40" fillId="20" borderId="24" xfId="0" applyNumberFormat="1" applyFont="1" applyFill="1" applyBorder="1" applyAlignment="1">
      <alignment horizontal="center"/>
    </xf>
    <xf numFmtId="0" fontId="39" fillId="0" borderId="25" xfId="0" applyFont="1" applyBorder="1"/>
    <xf numFmtId="0" fontId="6" fillId="25" borderId="31" xfId="0" applyFont="1" applyFill="1" applyBorder="1" applyAlignment="1">
      <alignment horizontal="center"/>
    </xf>
    <xf numFmtId="0" fontId="39" fillId="23" borderId="21" xfId="0" applyFont="1" applyFill="1" applyBorder="1"/>
    <xf numFmtId="0" fontId="24" fillId="20" borderId="31" xfId="0" applyFont="1" applyFill="1" applyBorder="1" applyAlignment="1">
      <alignment horizontal="center"/>
    </xf>
    <xf numFmtId="0" fontId="39" fillId="0" borderId="21" xfId="0" applyFont="1" applyBorder="1"/>
    <xf numFmtId="2" fontId="42" fillId="20" borderId="21" xfId="0" applyNumberFormat="1" applyFont="1" applyFill="1" applyBorder="1" applyAlignment="1">
      <alignment horizontal="center"/>
    </xf>
    <xf numFmtId="0" fontId="39" fillId="0" borderId="22" xfId="0" applyFont="1" applyBorder="1"/>
    <xf numFmtId="2" fontId="45" fillId="31" borderId="23" xfId="0" applyNumberFormat="1" applyFont="1" applyFill="1" applyBorder="1" applyAlignment="1">
      <alignment horizontal="center" vertical="center"/>
    </xf>
    <xf numFmtId="0" fontId="39" fillId="0" borderId="31" xfId="0" applyFont="1" applyBorder="1"/>
    <xf numFmtId="0" fontId="51" fillId="0" borderId="0" xfId="0" applyFont="1" applyAlignment="1">
      <alignment horizontal="center"/>
    </xf>
    <xf numFmtId="0" fontId="51" fillId="0" borderId="17" xfId="0" applyFont="1" applyBorder="1" applyAlignment="1">
      <alignment horizontal="center" wrapText="1"/>
    </xf>
    <xf numFmtId="0" fontId="13" fillId="0" borderId="16" xfId="0" applyFont="1" applyBorder="1" applyAlignment="1">
      <alignment horizontal="center"/>
    </xf>
    <xf numFmtId="0" fontId="51" fillId="0" borderId="16" xfId="0" applyFont="1" applyBorder="1" applyAlignment="1">
      <alignment horizontal="center"/>
    </xf>
    <xf numFmtId="0" fontId="51" fillId="0" borderId="36" xfId="0" applyFont="1" applyBorder="1" applyAlignment="1">
      <alignment horizontal="center"/>
    </xf>
    <xf numFmtId="182" fontId="13" fillId="6" borderId="16" xfId="0" applyNumberFormat="1" applyFont="1" applyFill="1" applyBorder="1" applyAlignment="1">
      <alignment horizontal="center" vertical="top" wrapText="1"/>
    </xf>
    <xf numFmtId="2" fontId="13" fillId="0" borderId="16" xfId="0" applyNumberFormat="1" applyFont="1" applyBorder="1" applyAlignment="1">
      <alignment horizontal="center" vertical="top" wrapText="1"/>
    </xf>
  </cellXfs>
  <cellStyles count="3">
    <cellStyle name="Hyperlink" xfId="1" builtinId="8"/>
    <cellStyle name="Normal" xfId="0" builtinId="0"/>
    <cellStyle name="Per cent" xfId="2" builtinId="5"/>
  </cellStyles>
  <dxfs count="485">
    <dxf>
      <fill>
        <patternFill patternType="solid">
          <fgColor rgb="FFF4C7C3"/>
          <bgColor rgb="FFF4C7C3"/>
        </patternFill>
      </fill>
    </dxf>
    <dxf>
      <fill>
        <patternFill patternType="solid">
          <fgColor rgb="FFB7E1CD"/>
          <bgColor rgb="FFB7E1CD"/>
        </patternFill>
      </fill>
    </dxf>
    <dxf>
      <font>
        <color rgb="FFCC0000"/>
      </font>
      <fill>
        <patternFill patternType="none"/>
      </fill>
    </dxf>
    <dxf>
      <font>
        <color rgb="FF38761D"/>
      </font>
      <fill>
        <patternFill patternType="none"/>
      </fill>
    </dxf>
    <dxf>
      <fill>
        <patternFill>
          <bgColor theme="5" tint="0.79998168889431442"/>
        </patternFill>
      </fill>
    </dxf>
    <dxf>
      <fill>
        <patternFill>
          <bgColor theme="7" tint="0.79998168889431442"/>
        </patternFill>
      </fill>
    </dxf>
    <dxf>
      <fill>
        <patternFill>
          <bgColor rgb="FF98CB89"/>
        </patternFill>
      </fill>
    </dxf>
    <dxf>
      <fill>
        <patternFill>
          <bgColor theme="5" tint="0.39994506668294322"/>
        </patternFill>
      </fill>
    </dxf>
    <dxf>
      <fill>
        <patternFill>
          <bgColor rgb="FF98CB89"/>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98CB89"/>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98CB89"/>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98CB89"/>
        </patternFill>
      </fill>
    </dxf>
    <dxf>
      <fill>
        <patternFill>
          <bgColor theme="5" tint="0.39994506668294322"/>
        </patternFill>
      </fill>
    </dxf>
    <dxf>
      <fill>
        <patternFill>
          <bgColor rgb="FF98CB89"/>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98CB89"/>
        </patternFill>
      </fill>
    </dxf>
    <dxf>
      <fill>
        <patternFill>
          <bgColor theme="5" tint="0.39994506668294322"/>
        </patternFill>
      </fill>
    </dxf>
    <dxf>
      <fill>
        <patternFill>
          <bgColor rgb="FF98CB89"/>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98CB89"/>
        </patternFill>
      </fill>
    </dxf>
    <dxf>
      <fill>
        <patternFill>
          <fgColor rgb="FFC74327"/>
          <bgColor theme="5" tint="0.39991454817346722"/>
        </patternFill>
      </fill>
    </dxf>
    <dxf>
      <fill>
        <patternFill>
          <bgColor theme="5" tint="0.79998168889431442"/>
        </patternFill>
      </fill>
    </dxf>
    <dxf>
      <fill>
        <patternFill>
          <bgColor theme="7" tint="0.79998168889431442"/>
        </patternFill>
      </fill>
    </dxf>
    <dxf>
      <fill>
        <patternFill>
          <bgColor rgb="FF98CB89"/>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98CB89"/>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05FF00"/>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05FF00"/>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05FF00"/>
        </patternFill>
      </fill>
    </dxf>
    <dxf>
      <fill>
        <patternFill>
          <bgColor theme="5" tint="0.39994506668294322"/>
        </patternFill>
      </fill>
    </dxf>
    <dxf>
      <fill>
        <patternFill>
          <bgColor theme="5" tint="0.39994506668294322"/>
        </patternFill>
      </fill>
    </dxf>
    <dxf>
      <fill>
        <patternFill>
          <bgColor theme="7" tint="0.79998168889431442"/>
        </patternFill>
      </fill>
    </dxf>
    <dxf>
      <fill>
        <patternFill>
          <bgColor theme="5" tint="0.79998168889431442"/>
        </patternFill>
      </fill>
    </dxf>
    <dxf>
      <fill>
        <patternFill>
          <bgColor theme="5" tint="0.39994506668294322"/>
        </patternFill>
      </fill>
    </dxf>
    <dxf>
      <fill>
        <patternFill>
          <bgColor rgb="FF98CB89"/>
        </patternFill>
      </fill>
    </dxf>
    <dxf>
      <fill>
        <patternFill>
          <bgColor theme="7" tint="0.79998168889431442"/>
        </patternFill>
      </fill>
    </dxf>
    <dxf>
      <fill>
        <patternFill>
          <bgColor theme="5" tint="0.79998168889431442"/>
        </patternFill>
      </fill>
    </dxf>
    <dxf>
      <fill>
        <patternFill>
          <bgColor rgb="FF98CB89"/>
        </patternFill>
      </fill>
    </dxf>
    <dxf>
      <fill>
        <patternFill>
          <fgColor rgb="FFC74327"/>
          <bgColor theme="5" tint="0.39991454817346722"/>
        </patternFill>
      </fill>
    </dxf>
    <dxf>
      <fill>
        <patternFill>
          <bgColor theme="5" tint="0.79998168889431442"/>
        </patternFill>
      </fill>
    </dxf>
    <dxf>
      <fill>
        <patternFill>
          <bgColor theme="7" tint="0.79998168889431442"/>
        </patternFill>
      </fill>
    </dxf>
    <dxf>
      <fill>
        <patternFill>
          <bgColor rgb="FF98CB89"/>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98CB89"/>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05FF00"/>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05FF00"/>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05FF00"/>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98CB89"/>
        </patternFill>
      </fill>
    </dxf>
    <dxf>
      <fill>
        <patternFill>
          <bgColor theme="7" tint="0.79998168889431442"/>
        </patternFill>
      </fill>
    </dxf>
    <dxf>
      <fill>
        <patternFill>
          <bgColor theme="5" tint="0.79998168889431442"/>
        </patternFill>
      </fill>
    </dxf>
    <dxf>
      <fill>
        <patternFill>
          <bgColor theme="5" tint="0.39994506668294322"/>
        </patternFill>
      </fill>
    </dxf>
    <dxf>
      <fill>
        <patternFill>
          <bgColor rgb="FF98CB89"/>
        </patternFill>
      </fill>
    </dxf>
    <dxf>
      <fill>
        <patternFill>
          <bgColor theme="7" tint="0.79998168889431442"/>
        </patternFill>
      </fill>
    </dxf>
    <dxf>
      <fill>
        <patternFill>
          <bgColor theme="5" tint="0.79998168889431442"/>
        </patternFill>
      </fill>
    </dxf>
    <dxf>
      <fill>
        <patternFill>
          <bgColor rgb="FF98CB89"/>
        </patternFill>
      </fill>
    </dxf>
    <dxf>
      <fill>
        <patternFill>
          <fgColor rgb="FFC74327"/>
          <bgColor theme="5" tint="0.39991454817346722"/>
        </patternFill>
      </fill>
    </dxf>
    <dxf>
      <fill>
        <patternFill>
          <bgColor theme="5" tint="0.79998168889431442"/>
        </patternFill>
      </fill>
    </dxf>
    <dxf>
      <fill>
        <patternFill>
          <bgColor theme="7" tint="0.79998168889431442"/>
        </patternFill>
      </fill>
    </dxf>
    <dxf>
      <fill>
        <patternFill>
          <bgColor rgb="FF98CB89"/>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98CB89"/>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05FF00"/>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05FF00"/>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05FF00"/>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98CB89"/>
        </patternFill>
      </fill>
    </dxf>
    <dxf>
      <fill>
        <patternFill>
          <bgColor theme="5" tint="0.39994506668294322"/>
        </patternFill>
      </fill>
    </dxf>
    <dxf>
      <fill>
        <patternFill>
          <bgColor theme="7" tint="0.79998168889431442"/>
        </patternFill>
      </fill>
    </dxf>
    <dxf>
      <fill>
        <patternFill>
          <bgColor theme="5" tint="0.79998168889431442"/>
        </patternFill>
      </fill>
    </dxf>
    <dxf>
      <font>
        <color rgb="FF9C0006"/>
      </font>
      <fill>
        <patternFill>
          <bgColor rgb="FFFFC7CE"/>
        </patternFill>
      </fill>
    </dxf>
    <dxf>
      <fill>
        <patternFill>
          <bgColor rgb="FF98CB89"/>
        </patternFill>
      </fill>
    </dxf>
    <dxf>
      <fill>
        <patternFill>
          <bgColor theme="7" tint="0.79998168889431442"/>
        </patternFill>
      </fill>
    </dxf>
    <dxf>
      <fill>
        <patternFill>
          <bgColor theme="5" tint="0.79998168889431442"/>
        </patternFill>
      </fill>
    </dxf>
    <dxf>
      <fill>
        <patternFill>
          <bgColor rgb="FF98CB89"/>
        </patternFill>
      </fill>
    </dxf>
    <dxf>
      <fill>
        <patternFill>
          <fgColor rgb="FFC74327"/>
          <bgColor theme="5" tint="0.39991454817346722"/>
        </patternFill>
      </fill>
    </dxf>
    <dxf>
      <fill>
        <patternFill>
          <bgColor theme="5" tint="0.79998168889431442"/>
        </patternFill>
      </fill>
    </dxf>
    <dxf>
      <fill>
        <patternFill>
          <bgColor theme="7" tint="0.79998168889431442"/>
        </patternFill>
      </fill>
    </dxf>
    <dxf>
      <fill>
        <patternFill>
          <bgColor rgb="FF98CB89"/>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98CB89"/>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05FF00"/>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05FF00"/>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05FF00"/>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98CB89"/>
        </patternFill>
      </fill>
    </dxf>
    <dxf>
      <fill>
        <patternFill>
          <bgColor theme="5" tint="0.39994506668294322"/>
        </patternFill>
      </fill>
    </dxf>
    <dxf>
      <font>
        <color rgb="FF9C0006"/>
      </font>
      <fill>
        <patternFill>
          <bgColor rgb="FFFFC7CE"/>
        </patternFill>
      </fill>
    </dxf>
    <dxf>
      <fill>
        <patternFill>
          <bgColor rgb="FF98CB89"/>
        </patternFill>
      </fill>
    </dxf>
    <dxf>
      <fill>
        <patternFill>
          <bgColor theme="7" tint="0.79998168889431442"/>
        </patternFill>
      </fill>
    </dxf>
    <dxf>
      <fill>
        <patternFill>
          <bgColor theme="5" tint="0.79998168889431442"/>
        </patternFill>
      </fill>
    </dxf>
    <dxf>
      <fill>
        <patternFill>
          <bgColor rgb="FF98CB89"/>
        </patternFill>
      </fill>
    </dxf>
    <dxf>
      <fill>
        <patternFill>
          <fgColor rgb="FFC74327"/>
          <bgColor theme="5" tint="0.39991454817346722"/>
        </patternFill>
      </fill>
    </dxf>
    <dxf>
      <fill>
        <patternFill>
          <bgColor theme="5" tint="0.79998168889431442"/>
        </patternFill>
      </fill>
    </dxf>
    <dxf>
      <fill>
        <patternFill>
          <bgColor theme="7" tint="0.79998168889431442"/>
        </patternFill>
      </fill>
    </dxf>
    <dxf>
      <fill>
        <patternFill>
          <bgColor rgb="FF98CB89"/>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98CB89"/>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05FF00"/>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05FF00"/>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05FF00"/>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98CB89"/>
        </patternFill>
      </fill>
    </dxf>
    <dxf>
      <fill>
        <patternFill>
          <bgColor theme="5" tint="0.39994506668294322"/>
        </patternFill>
      </fill>
    </dxf>
    <dxf>
      <font>
        <color rgb="FF9C0006"/>
      </font>
      <fill>
        <patternFill>
          <bgColor rgb="FFFFC7CE"/>
        </patternFill>
      </fill>
    </dxf>
    <dxf>
      <fill>
        <patternFill>
          <bgColor theme="7" tint="0.79998168889431442"/>
        </patternFill>
      </fill>
    </dxf>
    <dxf>
      <fill>
        <patternFill>
          <bgColor theme="5" tint="0.79998168889431442"/>
        </patternFill>
      </fill>
    </dxf>
    <dxf>
      <fill>
        <patternFill>
          <bgColor rgb="FF98CB89"/>
        </patternFill>
      </fill>
    </dxf>
    <dxf>
      <fill>
        <patternFill>
          <fgColor rgb="FFC74327"/>
          <bgColor theme="5" tint="0.39991454817346722"/>
        </patternFill>
      </fill>
    </dxf>
    <dxf>
      <fill>
        <patternFill>
          <bgColor theme="5" tint="0.79998168889431442"/>
        </patternFill>
      </fill>
    </dxf>
    <dxf>
      <fill>
        <patternFill>
          <bgColor theme="7" tint="0.79998168889431442"/>
        </patternFill>
      </fill>
    </dxf>
    <dxf>
      <fill>
        <patternFill>
          <bgColor rgb="FF98CB89"/>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98CB89"/>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05FF00"/>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05FF00"/>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05FF00"/>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98CB89"/>
        </patternFill>
      </fill>
    </dxf>
    <dxf>
      <fill>
        <patternFill>
          <bgColor theme="5" tint="0.39994506668294322"/>
        </patternFill>
      </fill>
    </dxf>
    <dxf>
      <fill>
        <patternFill>
          <fgColor rgb="FFC74327"/>
          <bgColor theme="5" tint="0.39991454817346722"/>
        </patternFill>
      </fill>
    </dxf>
    <dxf>
      <fill>
        <patternFill>
          <bgColor theme="5" tint="0.79998168889431442"/>
        </patternFill>
      </fill>
    </dxf>
    <dxf>
      <fill>
        <patternFill>
          <bgColor theme="7" tint="0.79998168889431442"/>
        </patternFill>
      </fill>
    </dxf>
    <dxf>
      <fill>
        <patternFill>
          <bgColor rgb="FF98CB89"/>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98CB89"/>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05FF00"/>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05FF00"/>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05FF00"/>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98CB89"/>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98CB89"/>
        </patternFill>
      </fill>
    </dxf>
    <dxf>
      <fill>
        <patternFill>
          <bgColor theme="5" tint="0.79998168889431442"/>
        </patternFill>
      </fill>
    </dxf>
    <dxf>
      <fill>
        <patternFill>
          <bgColor theme="7" tint="0.79998168889431442"/>
        </patternFill>
      </fill>
    </dxf>
    <dxf>
      <fill>
        <patternFill>
          <bgColor rgb="FF98CB89"/>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98CB89"/>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05FF00"/>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05FF00"/>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05FF00"/>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98CB89"/>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98CB89"/>
        </patternFill>
      </fill>
    </dxf>
    <dxf>
      <fill>
        <patternFill>
          <fgColor rgb="FFC74327"/>
          <bgColor theme="5" tint="0.39991454817346722"/>
        </patternFill>
      </fill>
    </dxf>
    <dxf>
      <fill>
        <patternFill>
          <bgColor theme="5" tint="0.39994506668294322"/>
        </patternFill>
      </fill>
    </dxf>
    <dxf>
      <fill>
        <patternFill>
          <bgColor rgb="FF05FF00"/>
        </patternFill>
      </fill>
    </dxf>
    <dxf>
      <fill>
        <patternFill>
          <bgColor theme="7" tint="0.79998168889431442"/>
        </patternFill>
      </fill>
    </dxf>
    <dxf>
      <fill>
        <patternFill>
          <bgColor theme="5" tint="0.79998168889431442"/>
        </patternFill>
      </fill>
    </dxf>
    <dxf>
      <fill>
        <patternFill>
          <bgColor theme="5" tint="0.39994506668294322"/>
        </patternFill>
      </fill>
    </dxf>
    <dxf>
      <fill>
        <patternFill>
          <bgColor rgb="FF98CB89"/>
        </patternFill>
      </fill>
    </dxf>
    <dxf>
      <fill>
        <patternFill>
          <bgColor theme="7" tint="0.79998168889431442"/>
        </patternFill>
      </fill>
    </dxf>
    <dxf>
      <fill>
        <patternFill>
          <bgColor theme="5" tint="0.79998168889431442"/>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05FF00"/>
        </patternFill>
      </fill>
    </dxf>
    <dxf>
      <fill>
        <patternFill>
          <bgColor theme="5" tint="0.79998168889431442"/>
        </patternFill>
      </fill>
    </dxf>
    <dxf>
      <fill>
        <patternFill>
          <bgColor theme="7" tint="0.79998168889431442"/>
        </patternFill>
      </fill>
    </dxf>
    <dxf>
      <fill>
        <patternFill>
          <bgColor rgb="FF05FF00"/>
        </patternFill>
      </fill>
    </dxf>
    <dxf>
      <fill>
        <patternFill>
          <bgColor theme="5" tint="0.39994506668294322"/>
        </patternFill>
      </fill>
    </dxf>
    <dxf>
      <fill>
        <patternFill>
          <bgColor theme="5" tint="0.79998168889431442"/>
        </patternFill>
      </fill>
    </dxf>
    <dxf>
      <fill>
        <patternFill>
          <bgColor rgb="FF05FF00"/>
        </patternFill>
      </fill>
    </dxf>
    <dxf>
      <fill>
        <patternFill>
          <bgColor theme="5" tint="0.39994506668294322"/>
        </patternFill>
      </fill>
    </dxf>
    <dxf>
      <fill>
        <patternFill>
          <bgColor theme="7" tint="0.79998168889431442"/>
        </patternFill>
      </fill>
    </dxf>
    <dxf>
      <fill>
        <patternFill>
          <bgColor theme="5" tint="0.39994506668294322"/>
        </patternFill>
      </fill>
    </dxf>
    <dxf>
      <fill>
        <patternFill>
          <bgColor rgb="FF98CB89"/>
        </patternFill>
      </fill>
    </dxf>
    <dxf>
      <fill>
        <patternFill>
          <bgColor theme="7" tint="0.79998168889431442"/>
        </patternFill>
      </fill>
    </dxf>
    <dxf>
      <fill>
        <patternFill>
          <bgColor theme="5" tint="0.79998168889431442"/>
        </patternFill>
      </fill>
    </dxf>
    <dxf>
      <fill>
        <patternFill>
          <fgColor rgb="FFC74327"/>
          <bgColor theme="5" tint="0.39991454817346722"/>
        </patternFill>
      </fill>
    </dxf>
    <dxf>
      <fill>
        <patternFill>
          <bgColor rgb="FF98CB89"/>
        </patternFill>
      </fill>
    </dxf>
    <dxf>
      <fill>
        <patternFill>
          <bgColor theme="7" tint="0.79998168889431442"/>
        </patternFill>
      </fill>
    </dxf>
    <dxf>
      <fill>
        <patternFill>
          <bgColor theme="5" tint="0.79998168889431442"/>
        </patternFill>
      </fill>
    </dxf>
    <dxf>
      <fill>
        <patternFill>
          <bgColor theme="5" tint="0.39994506668294322"/>
        </patternFill>
      </fill>
    </dxf>
    <dxf>
      <fill>
        <patternFill>
          <bgColor rgb="FF05FF00"/>
        </patternFill>
      </fill>
    </dxf>
    <dxf>
      <fill>
        <patternFill>
          <bgColor theme="7" tint="0.79998168889431442"/>
        </patternFill>
      </fill>
    </dxf>
    <dxf>
      <fill>
        <patternFill>
          <bgColor theme="5" tint="0.79998168889431442"/>
        </patternFill>
      </fill>
    </dxf>
    <dxf>
      <fill>
        <patternFill>
          <bgColor theme="5" tint="0.39994506668294322"/>
        </patternFill>
      </fill>
    </dxf>
    <dxf>
      <fill>
        <patternFill>
          <bgColor rgb="FF05FF00"/>
        </patternFill>
      </fill>
    </dxf>
    <dxf>
      <fill>
        <patternFill>
          <bgColor theme="7" tint="0.79998168889431442"/>
        </patternFill>
      </fill>
    </dxf>
    <dxf>
      <fill>
        <patternFill>
          <bgColor theme="5" tint="0.79998168889431442"/>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05FF00"/>
        </patternFill>
      </fill>
    </dxf>
    <dxf>
      <fill>
        <patternFill>
          <bgColor theme="5" tint="0.79998168889431442"/>
        </patternFill>
      </fill>
    </dxf>
    <dxf>
      <fill>
        <patternFill>
          <bgColor theme="7" tint="0.79998168889431442"/>
        </patternFill>
      </fill>
    </dxf>
    <dxf>
      <fill>
        <patternFill>
          <bgColor rgb="FF05FF00"/>
        </patternFill>
      </fill>
    </dxf>
    <dxf>
      <fill>
        <patternFill>
          <bgColor theme="5" tint="0.39994506668294322"/>
        </patternFill>
      </fill>
    </dxf>
    <dxf>
      <fill>
        <patternFill>
          <bgColor theme="5" tint="0.79998168889431442"/>
        </patternFill>
      </fill>
    </dxf>
    <dxf>
      <fill>
        <patternFill>
          <bgColor rgb="FF05FF00"/>
        </patternFill>
      </fill>
    </dxf>
    <dxf>
      <fill>
        <patternFill>
          <bgColor theme="5" tint="0.39994506668294322"/>
        </patternFill>
      </fill>
    </dxf>
    <dxf>
      <fill>
        <patternFill>
          <bgColor theme="7" tint="0.79998168889431442"/>
        </patternFill>
      </fill>
    </dxf>
    <dxf>
      <fill>
        <patternFill>
          <bgColor theme="5" tint="0.39994506668294322"/>
        </patternFill>
      </fill>
    </dxf>
    <dxf>
      <fill>
        <patternFill>
          <bgColor rgb="FF98CB89"/>
        </patternFill>
      </fill>
    </dxf>
    <dxf>
      <fill>
        <patternFill>
          <bgColor theme="7" tint="0.79998168889431442"/>
        </patternFill>
      </fill>
    </dxf>
    <dxf>
      <fill>
        <patternFill>
          <bgColor theme="5" tint="0.79998168889431442"/>
        </patternFill>
      </fill>
    </dxf>
    <dxf>
      <fill>
        <patternFill>
          <fgColor rgb="FFC74327"/>
          <bgColor theme="5" tint="0.39991454817346722"/>
        </patternFill>
      </fill>
    </dxf>
    <dxf>
      <fill>
        <patternFill>
          <bgColor rgb="FF98CB89"/>
        </patternFill>
      </fill>
    </dxf>
    <dxf>
      <fill>
        <patternFill>
          <bgColor theme="7" tint="0.79998168889431442"/>
        </patternFill>
      </fill>
    </dxf>
    <dxf>
      <fill>
        <patternFill>
          <bgColor theme="5" tint="0.79998168889431442"/>
        </patternFill>
      </fill>
    </dxf>
    <dxf>
      <fill>
        <patternFill>
          <bgColor theme="5" tint="0.39994506668294322"/>
        </patternFill>
      </fill>
    </dxf>
    <dxf>
      <fill>
        <patternFill>
          <bgColor rgb="FF05FF00"/>
        </patternFill>
      </fill>
    </dxf>
    <dxf>
      <fill>
        <patternFill>
          <bgColor theme="7" tint="0.79998168889431442"/>
        </patternFill>
      </fill>
    </dxf>
    <dxf>
      <fill>
        <patternFill>
          <bgColor theme="5" tint="0.79998168889431442"/>
        </patternFill>
      </fill>
    </dxf>
    <dxf>
      <fill>
        <patternFill>
          <bgColor theme="5" tint="0.39994506668294322"/>
        </patternFill>
      </fill>
    </dxf>
    <dxf>
      <fill>
        <patternFill>
          <bgColor rgb="FF05FF00"/>
        </patternFill>
      </fill>
    </dxf>
    <dxf>
      <fill>
        <patternFill>
          <bgColor theme="7" tint="0.79998168889431442"/>
        </patternFill>
      </fill>
    </dxf>
    <dxf>
      <fill>
        <patternFill>
          <bgColor theme="5" tint="0.79998168889431442"/>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05FF00"/>
        </patternFill>
      </fill>
    </dxf>
    <dxf>
      <fill>
        <patternFill>
          <bgColor theme="5" tint="0.79998168889431442"/>
        </patternFill>
      </fill>
    </dxf>
    <dxf>
      <fill>
        <patternFill>
          <bgColor theme="7" tint="0.79998168889431442"/>
        </patternFill>
      </fill>
    </dxf>
    <dxf>
      <fill>
        <patternFill>
          <bgColor rgb="FF05FF00"/>
        </patternFill>
      </fill>
    </dxf>
    <dxf>
      <fill>
        <patternFill>
          <bgColor theme="5" tint="0.39994506668294322"/>
        </patternFill>
      </fill>
    </dxf>
    <dxf>
      <fill>
        <patternFill>
          <bgColor theme="5" tint="0.79998168889431442"/>
        </patternFill>
      </fill>
    </dxf>
    <dxf>
      <fill>
        <patternFill>
          <bgColor rgb="FF05FF00"/>
        </patternFill>
      </fill>
    </dxf>
    <dxf>
      <fill>
        <patternFill>
          <bgColor theme="5" tint="0.39994506668294322"/>
        </patternFill>
      </fill>
    </dxf>
    <dxf>
      <fill>
        <patternFill>
          <bgColor theme="7" tint="0.79998168889431442"/>
        </patternFill>
      </fill>
    </dxf>
    <dxf>
      <fill>
        <patternFill>
          <bgColor rgb="FFC74327"/>
        </patternFill>
      </fill>
    </dxf>
    <dxf>
      <fill>
        <patternFill>
          <bgColor rgb="FF98CB89"/>
        </patternFill>
      </fill>
    </dxf>
    <dxf>
      <fill>
        <patternFill>
          <bgColor theme="7" tint="0.79998168889431442"/>
        </patternFill>
      </fill>
    </dxf>
    <dxf>
      <fill>
        <patternFill>
          <bgColor theme="5" tint="0.79998168889431442"/>
        </patternFill>
      </fill>
    </dxf>
    <dxf>
      <fill>
        <patternFill>
          <fgColor rgb="FFC74327"/>
          <bgColor theme="5" tint="0.39991454817346722"/>
        </patternFill>
      </fill>
    </dxf>
    <dxf>
      <fill>
        <patternFill>
          <bgColor rgb="FF98CB89"/>
        </patternFill>
      </fill>
    </dxf>
    <dxf>
      <fill>
        <patternFill>
          <bgColor theme="7" tint="0.79998168889431442"/>
        </patternFill>
      </fill>
    </dxf>
    <dxf>
      <fill>
        <patternFill>
          <bgColor theme="5" tint="0.79998168889431442"/>
        </patternFill>
      </fill>
    </dxf>
    <dxf>
      <fill>
        <patternFill>
          <bgColor theme="5" tint="0.39994506668294322"/>
        </patternFill>
      </fill>
    </dxf>
    <dxf>
      <fill>
        <patternFill>
          <bgColor rgb="FF05FF00"/>
        </patternFill>
      </fill>
    </dxf>
    <dxf>
      <fill>
        <patternFill>
          <bgColor theme="7" tint="0.79998168889431442"/>
        </patternFill>
      </fill>
    </dxf>
    <dxf>
      <fill>
        <patternFill>
          <bgColor theme="5" tint="0.79998168889431442"/>
        </patternFill>
      </fill>
    </dxf>
    <dxf>
      <fill>
        <patternFill>
          <bgColor theme="5" tint="0.39994506668294322"/>
        </patternFill>
      </fill>
    </dxf>
    <dxf>
      <fill>
        <patternFill>
          <bgColor rgb="FF05FF00"/>
        </patternFill>
      </fill>
    </dxf>
    <dxf>
      <fill>
        <patternFill>
          <bgColor theme="7" tint="0.79998168889431442"/>
        </patternFill>
      </fill>
    </dxf>
    <dxf>
      <fill>
        <patternFill>
          <bgColor theme="5" tint="0.79998168889431442"/>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05FF00"/>
        </patternFill>
      </fill>
    </dxf>
    <dxf>
      <fill>
        <patternFill>
          <bgColor theme="5" tint="0.79998168889431442"/>
        </patternFill>
      </fill>
    </dxf>
    <dxf>
      <fill>
        <patternFill>
          <bgColor theme="7" tint="0.79998168889431442"/>
        </patternFill>
      </fill>
    </dxf>
    <dxf>
      <fill>
        <patternFill>
          <bgColor rgb="FF05FF00"/>
        </patternFill>
      </fill>
    </dxf>
    <dxf>
      <fill>
        <patternFill>
          <bgColor theme="5" tint="0.39994506668294322"/>
        </patternFill>
      </fill>
    </dxf>
    <dxf>
      <fill>
        <patternFill>
          <bgColor theme="5" tint="0.79998168889431442"/>
        </patternFill>
      </fill>
    </dxf>
    <dxf>
      <fill>
        <patternFill>
          <bgColor rgb="FF05FF00"/>
        </patternFill>
      </fill>
    </dxf>
    <dxf>
      <fill>
        <patternFill>
          <bgColor theme="5" tint="0.39994506668294322"/>
        </patternFill>
      </fill>
    </dxf>
    <dxf>
      <fill>
        <patternFill>
          <bgColor theme="7" tint="0.79998168889431442"/>
        </patternFill>
      </fill>
    </dxf>
    <dxf>
      <fill>
        <patternFill>
          <bgColor rgb="FFC74327"/>
        </patternFill>
      </fill>
    </dxf>
    <dxf>
      <fill>
        <patternFill>
          <bgColor rgb="FF98CB89"/>
        </patternFill>
      </fill>
    </dxf>
    <dxf>
      <fill>
        <patternFill>
          <bgColor theme="7" tint="0.79998168889431442"/>
        </patternFill>
      </fill>
    </dxf>
    <dxf>
      <fill>
        <patternFill>
          <bgColor theme="5" tint="0.79998168889431442"/>
        </patternFill>
      </fill>
    </dxf>
    <dxf>
      <fill>
        <patternFill>
          <fgColor rgb="FFC74327"/>
          <bgColor theme="5" tint="0.39991454817346722"/>
        </patternFill>
      </fill>
    </dxf>
    <dxf>
      <fill>
        <patternFill>
          <bgColor rgb="FF98CB89"/>
        </patternFill>
      </fill>
    </dxf>
    <dxf>
      <fill>
        <patternFill>
          <bgColor theme="7" tint="0.79998168889431442"/>
        </patternFill>
      </fill>
    </dxf>
    <dxf>
      <fill>
        <patternFill>
          <bgColor theme="5" tint="0.79998168889431442"/>
        </patternFill>
      </fill>
    </dxf>
    <dxf>
      <fill>
        <patternFill>
          <bgColor theme="5" tint="0.39994506668294322"/>
        </patternFill>
      </fill>
    </dxf>
    <dxf>
      <fill>
        <patternFill>
          <bgColor rgb="FF05FF00"/>
        </patternFill>
      </fill>
    </dxf>
    <dxf>
      <fill>
        <patternFill>
          <bgColor theme="7" tint="0.79998168889431442"/>
        </patternFill>
      </fill>
    </dxf>
    <dxf>
      <fill>
        <patternFill>
          <bgColor theme="5" tint="0.79998168889431442"/>
        </patternFill>
      </fill>
    </dxf>
    <dxf>
      <fill>
        <patternFill>
          <bgColor theme="5" tint="0.39994506668294322"/>
        </patternFill>
      </fill>
    </dxf>
    <dxf>
      <fill>
        <patternFill>
          <bgColor rgb="FF05FF00"/>
        </patternFill>
      </fill>
    </dxf>
    <dxf>
      <fill>
        <patternFill>
          <bgColor theme="7" tint="0.79998168889431442"/>
        </patternFill>
      </fill>
    </dxf>
    <dxf>
      <fill>
        <patternFill>
          <bgColor theme="5" tint="0.79998168889431442"/>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05FF00"/>
        </patternFill>
      </fill>
    </dxf>
    <dxf>
      <fill>
        <patternFill>
          <bgColor theme="5" tint="0.79998168889431442"/>
        </patternFill>
      </fill>
    </dxf>
    <dxf>
      <fill>
        <patternFill>
          <bgColor theme="7" tint="0.79998168889431442"/>
        </patternFill>
      </fill>
    </dxf>
    <dxf>
      <fill>
        <patternFill>
          <bgColor rgb="FF05FF00"/>
        </patternFill>
      </fill>
    </dxf>
    <dxf>
      <fill>
        <patternFill>
          <bgColor theme="5" tint="0.39994506668294322"/>
        </patternFill>
      </fill>
    </dxf>
    <dxf>
      <fill>
        <patternFill>
          <bgColor theme="5" tint="0.79998168889431442"/>
        </patternFill>
      </fill>
    </dxf>
    <dxf>
      <fill>
        <patternFill>
          <bgColor rgb="FF05FF00"/>
        </patternFill>
      </fill>
    </dxf>
    <dxf>
      <fill>
        <patternFill>
          <bgColor theme="5" tint="0.39994506668294322"/>
        </patternFill>
      </fill>
    </dxf>
    <dxf>
      <fill>
        <patternFill>
          <bgColor theme="7" tint="0.79998168889431442"/>
        </patternFill>
      </fill>
    </dxf>
    <dxf>
      <fill>
        <patternFill>
          <bgColor rgb="FFC74327"/>
        </patternFill>
      </fill>
    </dxf>
    <dxf>
      <fill>
        <patternFill>
          <bgColor rgb="FF98CB89"/>
        </patternFill>
      </fill>
    </dxf>
    <dxf>
      <fill>
        <patternFill>
          <bgColor theme="7" tint="0.79998168889431442"/>
        </patternFill>
      </fill>
    </dxf>
    <dxf>
      <fill>
        <patternFill>
          <bgColor theme="5" tint="0.79998168889431442"/>
        </patternFill>
      </fill>
    </dxf>
    <dxf>
      <fill>
        <patternFill>
          <fgColor rgb="FFC74327"/>
          <bgColor theme="5" tint="0.39991454817346722"/>
        </patternFill>
      </fill>
    </dxf>
    <dxf>
      <fill>
        <patternFill>
          <bgColor rgb="FF98CB89"/>
        </patternFill>
      </fill>
    </dxf>
    <dxf>
      <fill>
        <patternFill>
          <bgColor theme="7" tint="0.79998168889431442"/>
        </patternFill>
      </fill>
    </dxf>
    <dxf>
      <fill>
        <patternFill>
          <bgColor theme="5" tint="0.79998168889431442"/>
        </patternFill>
      </fill>
    </dxf>
    <dxf>
      <fill>
        <patternFill>
          <bgColor theme="5" tint="0.39994506668294322"/>
        </patternFill>
      </fill>
    </dxf>
    <dxf>
      <fill>
        <patternFill>
          <bgColor rgb="FF05FF00"/>
        </patternFill>
      </fill>
    </dxf>
    <dxf>
      <fill>
        <patternFill>
          <bgColor theme="7" tint="0.79998168889431442"/>
        </patternFill>
      </fill>
    </dxf>
    <dxf>
      <fill>
        <patternFill>
          <bgColor theme="5" tint="0.79998168889431442"/>
        </patternFill>
      </fill>
    </dxf>
    <dxf>
      <fill>
        <patternFill>
          <bgColor theme="5" tint="0.39994506668294322"/>
        </patternFill>
      </fill>
    </dxf>
    <dxf>
      <fill>
        <patternFill>
          <bgColor rgb="FF05FF00"/>
        </patternFill>
      </fill>
    </dxf>
    <dxf>
      <fill>
        <patternFill>
          <bgColor theme="7" tint="0.79998168889431442"/>
        </patternFill>
      </fill>
    </dxf>
    <dxf>
      <fill>
        <patternFill>
          <bgColor theme="5" tint="0.79998168889431442"/>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05FF00"/>
        </patternFill>
      </fill>
    </dxf>
    <dxf>
      <fill>
        <patternFill>
          <bgColor theme="5" tint="0.79998168889431442"/>
        </patternFill>
      </fill>
    </dxf>
    <dxf>
      <fill>
        <patternFill>
          <bgColor theme="7" tint="0.79998168889431442"/>
        </patternFill>
      </fill>
    </dxf>
    <dxf>
      <fill>
        <patternFill>
          <bgColor rgb="FF05FF00"/>
        </patternFill>
      </fill>
    </dxf>
    <dxf>
      <fill>
        <patternFill>
          <bgColor theme="5" tint="0.39994506668294322"/>
        </patternFill>
      </fill>
    </dxf>
    <dxf>
      <fill>
        <patternFill>
          <bgColor theme="5" tint="0.79998168889431442"/>
        </patternFill>
      </fill>
    </dxf>
    <dxf>
      <fill>
        <patternFill>
          <bgColor rgb="FF05FF00"/>
        </patternFill>
      </fill>
    </dxf>
    <dxf>
      <fill>
        <patternFill>
          <bgColor theme="5" tint="0.39994506668294322"/>
        </patternFill>
      </fill>
    </dxf>
    <dxf>
      <fill>
        <patternFill>
          <bgColor theme="7" tint="0.79998168889431442"/>
        </patternFill>
      </fill>
    </dxf>
    <dxf>
      <fill>
        <patternFill>
          <bgColor theme="5" tint="0.39994506668294322"/>
        </patternFill>
      </fill>
    </dxf>
    <dxf>
      <fill>
        <patternFill>
          <bgColor rgb="FF05FF00"/>
        </patternFill>
      </fill>
    </dxf>
    <dxf>
      <fill>
        <patternFill>
          <bgColor theme="7" tint="0.79998168889431442"/>
        </patternFill>
      </fill>
    </dxf>
    <dxf>
      <fill>
        <patternFill>
          <bgColor theme="5" tint="0.79998168889431442"/>
        </patternFill>
      </fill>
    </dxf>
    <dxf>
      <fill>
        <patternFill>
          <fgColor rgb="FFC74327"/>
          <bgColor theme="5" tint="0.39991454817346722"/>
        </patternFill>
      </fill>
    </dxf>
    <dxf>
      <fill>
        <patternFill>
          <bgColor rgb="FF98CB89"/>
        </patternFill>
      </fill>
    </dxf>
    <dxf>
      <fill>
        <patternFill>
          <bgColor theme="7" tint="0.79998168889431442"/>
        </patternFill>
      </fill>
    </dxf>
    <dxf>
      <fill>
        <patternFill>
          <bgColor theme="5" tint="0.79998168889431442"/>
        </patternFill>
      </fill>
    </dxf>
    <dxf>
      <fill>
        <patternFill>
          <bgColor theme="5" tint="0.39994506668294322"/>
        </patternFill>
      </fill>
    </dxf>
    <dxf>
      <fill>
        <patternFill>
          <bgColor rgb="FF05FF00"/>
        </patternFill>
      </fill>
    </dxf>
    <dxf>
      <fill>
        <patternFill>
          <bgColor theme="7" tint="0.79998168889431442"/>
        </patternFill>
      </fill>
    </dxf>
    <dxf>
      <fill>
        <patternFill>
          <bgColor theme="5" tint="0.79998168889431442"/>
        </patternFill>
      </fill>
    </dxf>
    <dxf>
      <fill>
        <patternFill>
          <bgColor theme="5" tint="0.39994506668294322"/>
        </patternFill>
      </fill>
    </dxf>
    <dxf>
      <fill>
        <patternFill>
          <bgColor rgb="FF05FF00"/>
        </patternFill>
      </fill>
    </dxf>
    <dxf>
      <fill>
        <patternFill>
          <bgColor theme="7" tint="0.79998168889431442"/>
        </patternFill>
      </fill>
    </dxf>
    <dxf>
      <fill>
        <patternFill>
          <bgColor theme="5" tint="0.79998168889431442"/>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05FF00"/>
        </patternFill>
      </fill>
    </dxf>
    <dxf>
      <fill>
        <patternFill>
          <bgColor theme="5" tint="0.79998168889431442"/>
        </patternFill>
      </fill>
    </dxf>
    <dxf>
      <fill>
        <patternFill>
          <bgColor theme="7" tint="0.79998168889431442"/>
        </patternFill>
      </fill>
    </dxf>
    <dxf>
      <fill>
        <patternFill>
          <bgColor rgb="FF05FF00"/>
        </patternFill>
      </fill>
    </dxf>
    <dxf>
      <fill>
        <patternFill>
          <bgColor theme="5" tint="0.39994506668294322"/>
        </patternFill>
      </fill>
    </dxf>
    <dxf>
      <fill>
        <patternFill>
          <bgColor theme="5" tint="0.79998168889431442"/>
        </patternFill>
      </fill>
    </dxf>
    <dxf>
      <fill>
        <patternFill>
          <bgColor rgb="FF05FF00"/>
        </patternFill>
      </fill>
    </dxf>
    <dxf>
      <fill>
        <patternFill>
          <bgColor theme="5" tint="0.39994506668294322"/>
        </patternFill>
      </fill>
    </dxf>
    <dxf>
      <fill>
        <patternFill>
          <bgColor theme="7" tint="0.79998168889431442"/>
        </patternFill>
      </fill>
    </dxf>
    <dxf>
      <fill>
        <patternFill>
          <bgColor theme="5" tint="0.39994506668294322"/>
        </patternFill>
      </fill>
    </dxf>
    <dxf>
      <fill>
        <patternFill>
          <bgColor rgb="FF05FF00"/>
        </patternFill>
      </fill>
    </dxf>
    <dxf>
      <fill>
        <patternFill>
          <bgColor theme="7" tint="0.79998168889431442"/>
        </patternFill>
      </fill>
    </dxf>
    <dxf>
      <fill>
        <patternFill>
          <bgColor theme="5" tint="0.79998168889431442"/>
        </patternFill>
      </fill>
    </dxf>
    <dxf>
      <fill>
        <patternFill>
          <bgColor theme="5" tint="0.39994506668294322"/>
        </patternFill>
      </fill>
    </dxf>
    <dxf>
      <fill>
        <patternFill>
          <bgColor rgb="FF05FF00"/>
        </patternFill>
      </fill>
    </dxf>
    <dxf>
      <fill>
        <patternFill>
          <bgColor theme="7" tint="0.79998168889431442"/>
        </patternFill>
      </fill>
    </dxf>
    <dxf>
      <fill>
        <patternFill>
          <bgColor theme="5" tint="0.79998168889431442"/>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s>
  <tableStyles count="6">
    <tableStyle name="Main-style" pivot="0" count="3" xr9:uid="{00000000-0011-0000-FFFF-FFFF00000000}">
      <tableStyleElement type="headerRow" dxfId="484"/>
      <tableStyleElement type="firstRowStripe" dxfId="483"/>
      <tableStyleElement type="secondRowStripe" dxfId="482"/>
    </tableStyle>
    <tableStyle name="Main-style 2" pivot="0" count="3" xr9:uid="{00000000-0011-0000-FFFF-FFFF01000000}">
      <tableStyleElement type="headerRow" dxfId="481"/>
      <tableStyleElement type="firstRowStripe" dxfId="480"/>
      <tableStyleElement type="secondRowStripe" dxfId="479"/>
    </tableStyle>
    <tableStyle name="Main-style 3" pivot="0" count="3" xr9:uid="{00000000-0011-0000-FFFF-FFFF02000000}">
      <tableStyleElement type="headerRow" dxfId="478"/>
      <tableStyleElement type="firstRowStripe" dxfId="477"/>
      <tableStyleElement type="secondRowStripe" dxfId="476"/>
    </tableStyle>
    <tableStyle name="Helper-style" pivot="0" count="3" xr9:uid="{00000000-0011-0000-FFFF-FFFF03000000}">
      <tableStyleElement type="headerRow" dxfId="475"/>
      <tableStyleElement type="firstRowStripe" dxfId="474"/>
      <tableStyleElement type="secondRowStripe" dxfId="473"/>
    </tableStyle>
    <tableStyle name="Helper-style 2" pivot="0" count="3" xr9:uid="{00000000-0011-0000-FFFF-FFFF04000000}">
      <tableStyleElement type="headerRow" dxfId="472"/>
      <tableStyleElement type="firstRowStripe" dxfId="471"/>
      <tableStyleElement type="secondRowStripe" dxfId="470"/>
    </tableStyle>
    <tableStyle name="Helper-style 3" pivot="0" count="3" xr9:uid="{00000000-0011-0000-FFFF-FFFF05000000}">
      <tableStyleElement type="headerRow" dxfId="469"/>
      <tableStyleElement type="firstRowStripe" dxfId="468"/>
      <tableStyleElement type="secondRowStripe" dxfId="467"/>
    </tableStyle>
  </tableStyles>
  <colors>
    <mruColors>
      <color rgb="FF98CB89"/>
      <color rgb="FFC74327"/>
      <color rgb="FF05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06/relationships/rdSupportingPropertyBagStructure" Target="richData/rdsupportingpropertybagstructure.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06/relationships/richStyles" Target="richData/rich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06/relationships/rdRichValue" Target="richData/rdrichvalue.xml"/><Relationship Id="rId28"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 Id="rId27" Type="http://schemas.microsoft.com/office/2017/06/relationships/rdSupportingPropertyBag" Target="richData/rdsupportingpropertybag.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lvl="0">
              <a:defRPr sz="1000" b="1" i="0" u="none" strike="noStrike" kern="1200" baseline="0">
                <a:solidFill>
                  <a:srgbClr val="757575"/>
                </a:solidFill>
                <a:latin typeface="+mn-lt"/>
                <a:ea typeface="+mn-ea"/>
                <a:cs typeface="+mn-cs"/>
              </a:defRPr>
            </a:pPr>
            <a:r>
              <a:rPr lang="en-GB" sz="1600" b="1">
                <a:solidFill>
                  <a:schemeClr val="tx1"/>
                </a:solidFill>
                <a:latin typeface="+mn-lt"/>
              </a:rPr>
              <a:t>Investment Growth</a:t>
            </a:r>
          </a:p>
        </c:rich>
      </c:tx>
      <c:overlay val="0"/>
      <c:spPr>
        <a:noFill/>
        <a:ln>
          <a:noFill/>
        </a:ln>
        <a:effectLst/>
      </c:spPr>
      <c:txPr>
        <a:bodyPr rot="0" spcFirstLastPara="1" vertOverflow="ellipsis" vert="horz" wrap="square" anchor="ctr" anchorCtr="1"/>
        <a:lstStyle/>
        <a:p>
          <a:pPr lvl="0">
            <a:defRPr sz="1000" b="1" i="0" u="none" strike="noStrike" kern="1200" baseline="0">
              <a:solidFill>
                <a:srgbClr val="757575"/>
              </a:solidFill>
              <a:latin typeface="+mn-lt"/>
              <a:ea typeface="+mn-ea"/>
              <a:cs typeface="+mn-cs"/>
            </a:defRPr>
          </a:pPr>
          <a:endParaRPr lang="en-US"/>
        </a:p>
      </c:txPr>
    </c:title>
    <c:autoTitleDeleted val="0"/>
    <c:plotArea>
      <c:layout>
        <c:manualLayout>
          <c:layoutTarget val="inner"/>
          <c:xMode val="edge"/>
          <c:yMode val="edge"/>
          <c:x val="8.1393147536275773E-2"/>
          <c:y val="0.18162161195884166"/>
          <c:w val="0.89673185686769163"/>
          <c:h val="0.63902704623180229"/>
        </c:manualLayout>
      </c:layout>
      <c:barChart>
        <c:barDir val="col"/>
        <c:grouping val="clustered"/>
        <c:varyColors val="1"/>
        <c:ser>
          <c:idx val="1"/>
          <c:order val="0"/>
          <c:spPr>
            <a:solidFill>
              <a:schemeClr val="accent3"/>
            </a:solidFill>
            <a:ln>
              <a:noFill/>
            </a:ln>
            <a:effectLst/>
          </c:spPr>
          <c:invertIfNegative val="0"/>
          <c:cat>
            <c:strLit>
              <c:ptCount val="98"/>
              <c:pt idx="0">
                <c:v>AAPL</c:v>
              </c:pt>
              <c:pt idx="1">
                <c:v>GOOG</c:v>
              </c:pt>
              <c:pt idx="2">
                <c:v>SPY</c:v>
              </c:pt>
              <c:pt idx="3">
                <c:v>MSFT</c:v>
              </c:pt>
              <c:pt idx="4">
                <c:v>JNJ</c:v>
              </c:pt>
              <c:pt idx="5">
                <c:v>NVDA</c:v>
              </c:pt>
              <c:pt idx="6">
                <c:v>UNH</c:v>
              </c:pt>
              <c:pt idx="7">
                <c:v>JPM</c:v>
              </c:pt>
              <c:pt idx="8">
                <c:v>XOM</c:v>
              </c:pt>
              <c:pt idx="9">
                <c:v>SNAP</c:v>
              </c:pt>
            </c:strLit>
          </c:cat>
          <c:val>
            <c:numLit>
              <c:formatCode>General</c:formatCode>
              <c:ptCount val="10"/>
            </c:numLit>
          </c:val>
          <c:extLst>
            <c:ext xmlns:c16="http://schemas.microsoft.com/office/drawing/2014/chart" uri="{C3380CC4-5D6E-409C-BE32-E72D297353CC}">
              <c16:uniqueId val="{00000000-CEAB-1845-A024-70E3380835E1}"/>
            </c:ext>
          </c:extLst>
        </c:ser>
        <c:ser>
          <c:idx val="2"/>
          <c:order val="1"/>
          <c:tx>
            <c:v>Purchase 180 200 500 600 100 120 300 200 150 10 #REF! #REF! #REF! #REF! #REF! #REF! #REF! #REF! #REF! #REF! #REF! #REF! #REF! #REF! #REF! #REF! #REF! #REF! #REF! #REF! #REF! #REF! #REF! #REF! #REF! #REF! #REF! #REF! #REF! #REF! #REF! #REF! #REF! #REF! #RE</c:v>
          </c:tx>
          <c:spPr>
            <a:solidFill>
              <a:schemeClr val="accent5"/>
            </a:solidFill>
            <a:ln>
              <a:noFill/>
            </a:ln>
            <a:effectLst/>
          </c:spPr>
          <c:invertIfNegative val="0"/>
          <c:cat>
            <c:strLit>
              <c:ptCount val="98"/>
              <c:pt idx="0">
                <c:v>AAPL</c:v>
              </c:pt>
              <c:pt idx="1">
                <c:v>GOOG</c:v>
              </c:pt>
              <c:pt idx="2">
                <c:v>SPY</c:v>
              </c:pt>
              <c:pt idx="3">
                <c:v>MSFT</c:v>
              </c:pt>
              <c:pt idx="4">
                <c:v>JNJ</c:v>
              </c:pt>
              <c:pt idx="5">
                <c:v>NVDA</c:v>
              </c:pt>
              <c:pt idx="6">
                <c:v>UNH</c:v>
              </c:pt>
              <c:pt idx="7">
                <c:v>JPM</c:v>
              </c:pt>
              <c:pt idx="8">
                <c:v>XOM</c:v>
              </c:pt>
              <c:pt idx="9">
                <c:v>SNAP</c:v>
              </c:pt>
            </c:strLit>
          </c:cat>
          <c:val>
            <c:numLit>
              <c:formatCode>General</c:formatCode>
              <c:ptCount val="10"/>
            </c:numLit>
          </c:val>
          <c:extLst>
            <c:ext xmlns:c16="http://schemas.microsoft.com/office/drawing/2014/chart" uri="{C3380CC4-5D6E-409C-BE32-E72D297353CC}">
              <c16:uniqueId val="{00000001-CEAB-1845-A024-70E3380835E1}"/>
            </c:ext>
          </c:extLst>
        </c:ser>
        <c:ser>
          <c:idx val="3"/>
          <c:order val="2"/>
          <c:tx>
            <c:v>Price 201.7699 180.25 604.85 475.027 155.645 144.455 308.45 268.085 106.66 8.815</c:v>
          </c:tx>
          <c:spPr>
            <a:solidFill>
              <a:schemeClr val="accent1">
                <a:lumMod val="60000"/>
              </a:schemeClr>
            </a:solidFill>
            <a:ln>
              <a:noFill/>
            </a:ln>
            <a:effectLst/>
          </c:spPr>
          <c:invertIfNegative val="0"/>
          <c:cat>
            <c:strLit>
              <c:ptCount val="98"/>
              <c:pt idx="0">
                <c:v>AAPL</c:v>
              </c:pt>
              <c:pt idx="1">
                <c:v>GOOG</c:v>
              </c:pt>
              <c:pt idx="2">
                <c:v>SPY</c:v>
              </c:pt>
              <c:pt idx="3">
                <c:v>MSFT</c:v>
              </c:pt>
              <c:pt idx="4">
                <c:v>JNJ</c:v>
              </c:pt>
              <c:pt idx="5">
                <c:v>NVDA</c:v>
              </c:pt>
              <c:pt idx="6">
                <c:v>UNH</c:v>
              </c:pt>
              <c:pt idx="7">
                <c:v>JPM</c:v>
              </c:pt>
              <c:pt idx="8">
                <c:v>XOM</c:v>
              </c:pt>
              <c:pt idx="9">
                <c:v>SNAP</c:v>
              </c:pt>
            </c:strLit>
          </c:cat>
          <c:val>
            <c:numLit>
              <c:formatCode>General</c:formatCode>
              <c:ptCount val="10"/>
            </c:numLit>
          </c:val>
          <c:extLst>
            <c:ext xmlns:c16="http://schemas.microsoft.com/office/drawing/2014/chart" uri="{C3380CC4-5D6E-409C-BE32-E72D297353CC}">
              <c16:uniqueId val="{00000002-CEAB-1845-A024-70E3380835E1}"/>
            </c:ext>
          </c:extLst>
        </c:ser>
        <c:ser>
          <c:idx val="4"/>
          <c:order val="3"/>
          <c:tx>
            <c:v>Cost 18000 20000 25000 60000 10000 12000 30000 22000 7500 10000 0 0 0 0 0 0 0 0 0 0 0 0 0 0 0 0 0 0 0 0 0 0 0 0 0 0 0 0 0 0 0 0 0 0 0 0 0 0 0 0 0 0 0 0 0 0 0 0 0 0 0 0 0 0 0 0 0 0 0 0 0 0 0 0 0 0 0 0 0 0 0 0 0 0 0 0 0 0 0 0 0 0 0 0 0 0 0 0</c:v>
          </c:tx>
          <c:spPr>
            <a:solidFill>
              <a:schemeClr val="accent3">
                <a:lumMod val="60000"/>
              </a:schemeClr>
            </a:solidFill>
            <a:ln>
              <a:noFill/>
            </a:ln>
            <a:effectLst/>
          </c:spPr>
          <c:invertIfNegative val="0"/>
          <c:cat>
            <c:strLit>
              <c:ptCount val="98"/>
              <c:pt idx="0">
                <c:v>AAPL</c:v>
              </c:pt>
              <c:pt idx="1">
                <c:v>GOOG</c:v>
              </c:pt>
              <c:pt idx="2">
                <c:v>SPY</c:v>
              </c:pt>
              <c:pt idx="3">
                <c:v>MSFT</c:v>
              </c:pt>
              <c:pt idx="4">
                <c:v>JNJ</c:v>
              </c:pt>
              <c:pt idx="5">
                <c:v>NVDA</c:v>
              </c:pt>
              <c:pt idx="6">
                <c:v>UNH</c:v>
              </c:pt>
              <c:pt idx="7">
                <c:v>JPM</c:v>
              </c:pt>
              <c:pt idx="8">
                <c:v>XOM</c:v>
              </c:pt>
              <c:pt idx="9">
                <c:v>SNAP</c:v>
              </c:pt>
            </c:strLit>
          </c:cat>
          <c:val>
            <c:numLit>
              <c:formatCode>General</c:formatCode>
              <c:ptCount val="10"/>
            </c:numLit>
          </c:val>
          <c:extLst>
            <c:ext xmlns:c16="http://schemas.microsoft.com/office/drawing/2014/chart" uri="{C3380CC4-5D6E-409C-BE32-E72D297353CC}">
              <c16:uniqueId val="{00000003-CEAB-1845-A024-70E3380835E1}"/>
            </c:ext>
          </c:extLst>
        </c:ser>
        <c:ser>
          <c:idx val="5"/>
          <c:order val="4"/>
          <c:tx>
            <c:v>Market Value 20176.99 18025 30242.5 47502.7 15564.5 14445.5 30845 29489.35 5333 8815</c:v>
          </c:tx>
          <c:spPr>
            <a:solidFill>
              <a:schemeClr val="accent5">
                <a:lumMod val="60000"/>
              </a:schemeClr>
            </a:solidFill>
            <a:ln>
              <a:noFill/>
            </a:ln>
            <a:effectLst/>
          </c:spPr>
          <c:invertIfNegative val="0"/>
          <c:cat>
            <c:strLit>
              <c:ptCount val="98"/>
              <c:pt idx="0">
                <c:v>AAPL</c:v>
              </c:pt>
              <c:pt idx="1">
                <c:v>GOOG</c:v>
              </c:pt>
              <c:pt idx="2">
                <c:v>SPY</c:v>
              </c:pt>
              <c:pt idx="3">
                <c:v>MSFT</c:v>
              </c:pt>
              <c:pt idx="4">
                <c:v>JNJ</c:v>
              </c:pt>
              <c:pt idx="5">
                <c:v>NVDA</c:v>
              </c:pt>
              <c:pt idx="6">
                <c:v>UNH</c:v>
              </c:pt>
              <c:pt idx="7">
                <c:v>JPM</c:v>
              </c:pt>
              <c:pt idx="8">
                <c:v>XOM</c:v>
              </c:pt>
              <c:pt idx="9">
                <c:v>SNAP</c:v>
              </c:pt>
            </c:strLit>
          </c:cat>
          <c:val>
            <c:numLit>
              <c:formatCode>General</c:formatCode>
              <c:ptCount val="10"/>
            </c:numLit>
          </c:val>
          <c:extLst>
            <c:ext xmlns:c16="http://schemas.microsoft.com/office/drawing/2014/chart" uri="{C3380CC4-5D6E-409C-BE32-E72D297353CC}">
              <c16:uniqueId val="{00000004-CEAB-1845-A024-70E3380835E1}"/>
            </c:ext>
          </c:extLst>
        </c:ser>
        <c:ser>
          <c:idx val="6"/>
          <c:order val="5"/>
          <c:tx>
            <c:v> Gain 2176.99 -1975 5242.5 -12497.3 5564.5 2445.5 845 7489.35 -2167 -1185</c:v>
          </c:tx>
          <c:spPr>
            <a:solidFill>
              <a:schemeClr val="accent1">
                <a:lumMod val="80000"/>
                <a:lumOff val="20000"/>
              </a:schemeClr>
            </a:solidFill>
            <a:ln>
              <a:noFill/>
            </a:ln>
            <a:effectLst/>
          </c:spPr>
          <c:invertIfNegative val="0"/>
          <c:cat>
            <c:strLit>
              <c:ptCount val="98"/>
              <c:pt idx="0">
                <c:v>AAPL</c:v>
              </c:pt>
              <c:pt idx="1">
                <c:v>GOOG</c:v>
              </c:pt>
              <c:pt idx="2">
                <c:v>SPY</c:v>
              </c:pt>
              <c:pt idx="3">
                <c:v>MSFT</c:v>
              </c:pt>
              <c:pt idx="4">
                <c:v>JNJ</c:v>
              </c:pt>
              <c:pt idx="5">
                <c:v>NVDA</c:v>
              </c:pt>
              <c:pt idx="6">
                <c:v>UNH</c:v>
              </c:pt>
              <c:pt idx="7">
                <c:v>JPM</c:v>
              </c:pt>
              <c:pt idx="8">
                <c:v>XOM</c:v>
              </c:pt>
              <c:pt idx="9">
                <c:v>SNAP</c:v>
              </c:pt>
            </c:strLit>
          </c:cat>
          <c:val>
            <c:numLit>
              <c:formatCode>General</c:formatCode>
              <c:ptCount val="10"/>
            </c:numLit>
          </c:val>
          <c:extLst>
            <c:ext xmlns:c16="http://schemas.microsoft.com/office/drawing/2014/chart" uri="{C3380CC4-5D6E-409C-BE32-E72D297353CC}">
              <c16:uniqueId val="{00000005-CEAB-1845-A024-70E3380835E1}"/>
            </c:ext>
          </c:extLst>
        </c:ser>
        <c:ser>
          <c:idx val="7"/>
          <c:order val="6"/>
          <c:tx>
            <c:v>Growth 0.120943889 -0.09875 0.2097 -0.208288333 0.55645 0.203791667 0.028166667 0.340425 -0.288933333 -0.1185</c:v>
          </c:tx>
          <c:spPr>
            <a:solidFill>
              <a:schemeClr val="accent3">
                <a:lumMod val="80000"/>
                <a:lumOff val="20000"/>
              </a:schemeClr>
            </a:solidFill>
            <a:ln>
              <a:noFill/>
            </a:ln>
            <a:effectLst/>
          </c:spPr>
          <c:invertIfNegative val="0"/>
          <c:cat>
            <c:strLit>
              <c:ptCount val="98"/>
              <c:pt idx="0">
                <c:v>AAPL</c:v>
              </c:pt>
              <c:pt idx="1">
                <c:v>GOOG</c:v>
              </c:pt>
              <c:pt idx="2">
                <c:v>SPY</c:v>
              </c:pt>
              <c:pt idx="3">
                <c:v>MSFT</c:v>
              </c:pt>
              <c:pt idx="4">
                <c:v>JNJ</c:v>
              </c:pt>
              <c:pt idx="5">
                <c:v>NVDA</c:v>
              </c:pt>
              <c:pt idx="6">
                <c:v>UNH</c:v>
              </c:pt>
              <c:pt idx="7">
                <c:v>JPM</c:v>
              </c:pt>
              <c:pt idx="8">
                <c:v>XOM</c:v>
              </c:pt>
              <c:pt idx="9">
                <c:v>SNAP</c:v>
              </c:pt>
            </c:strLit>
          </c:cat>
          <c:val>
            <c:numLit>
              <c:formatCode>General</c:formatCode>
              <c:ptCount val="10"/>
            </c:numLit>
          </c:val>
          <c:extLst>
            <c:ext xmlns:c16="http://schemas.microsoft.com/office/drawing/2014/chart" uri="{C3380CC4-5D6E-409C-BE32-E72D297353CC}">
              <c16:uniqueId val="{00000006-CEAB-1845-A024-70E3380835E1}"/>
            </c:ext>
          </c:extLst>
        </c:ser>
        <c:ser>
          <c:idx val="8"/>
          <c:order val="7"/>
          <c:tx>
            <c:v>Beta 1.209 1.0147 0.9982 1.0256 0.4096 2.1201 0.4531 1.0826 0.4653 0.5848</c:v>
          </c:tx>
          <c:spPr>
            <a:solidFill>
              <a:schemeClr val="accent5">
                <a:lumMod val="80000"/>
                <a:lumOff val="20000"/>
              </a:schemeClr>
            </a:solidFill>
            <a:ln>
              <a:noFill/>
            </a:ln>
            <a:effectLst/>
          </c:spPr>
          <c:invertIfNegative val="0"/>
          <c:cat>
            <c:strLit>
              <c:ptCount val="98"/>
              <c:pt idx="0">
                <c:v>AAPL</c:v>
              </c:pt>
              <c:pt idx="1">
                <c:v>GOOG</c:v>
              </c:pt>
              <c:pt idx="2">
                <c:v>SPY</c:v>
              </c:pt>
              <c:pt idx="3">
                <c:v>MSFT</c:v>
              </c:pt>
              <c:pt idx="4">
                <c:v>JNJ</c:v>
              </c:pt>
              <c:pt idx="5">
                <c:v>NVDA</c:v>
              </c:pt>
              <c:pt idx="6">
                <c:v>UNH</c:v>
              </c:pt>
              <c:pt idx="7">
                <c:v>JPM</c:v>
              </c:pt>
              <c:pt idx="8">
                <c:v>XOM</c:v>
              </c:pt>
              <c:pt idx="9">
                <c:v>SNAP</c:v>
              </c:pt>
            </c:strLit>
          </c:cat>
          <c:val>
            <c:numLit>
              <c:formatCode>General</c:formatCode>
              <c:ptCount val="10"/>
            </c:numLit>
          </c:val>
          <c:extLst>
            <c:ext xmlns:c16="http://schemas.microsoft.com/office/drawing/2014/chart" uri="{C3380CC4-5D6E-409C-BE32-E72D297353CC}">
              <c16:uniqueId val="{00000007-CEAB-1845-A024-70E3380835E1}"/>
            </c:ext>
          </c:extLst>
        </c:ser>
        <c:ser>
          <c:idx val="0"/>
          <c:order val="8"/>
          <c:spPr>
            <a:solidFill>
              <a:srgbClr val="4285F4"/>
            </a:solidFill>
            <a:ln>
              <a:noFill/>
            </a:ln>
            <a:effectLst/>
          </c:spPr>
          <c:invertIfNegative val="1"/>
          <c:cat>
            <c:strLit>
              <c:ptCount val="98"/>
              <c:pt idx="0">
                <c:v>AAPL</c:v>
              </c:pt>
              <c:pt idx="1">
                <c:v>GOOG</c:v>
              </c:pt>
              <c:pt idx="2">
                <c:v>SPY</c:v>
              </c:pt>
              <c:pt idx="3">
                <c:v>MSFT</c:v>
              </c:pt>
              <c:pt idx="4">
                <c:v>JNJ</c:v>
              </c:pt>
              <c:pt idx="5">
                <c:v>NVDA</c:v>
              </c:pt>
              <c:pt idx="6">
                <c:v>UNH</c:v>
              </c:pt>
              <c:pt idx="7">
                <c:v>JPM</c:v>
              </c:pt>
              <c:pt idx="8">
                <c:v>XOM</c:v>
              </c:pt>
              <c:pt idx="9">
                <c:v>SNAP</c:v>
              </c:pt>
            </c:strLit>
          </c:cat>
          <c:val>
            <c:numLit>
              <c:formatCode>General</c:formatCode>
              <c:ptCount val="9"/>
              <c:pt idx="0">
                <c:v>0.12094388888888893</c:v>
              </c:pt>
              <c:pt idx="1">
                <c:v>-9.8750000000000004E-2</c:v>
              </c:pt>
              <c:pt idx="2">
                <c:v>0.20970000000000005</c:v>
              </c:pt>
              <c:pt idx="3">
                <c:v>-0.20828833333333335</c:v>
              </c:pt>
              <c:pt idx="4">
                <c:v>0.55645000000000011</c:v>
              </c:pt>
              <c:pt idx="5">
                <c:v>0.20379166666666676</c:v>
              </c:pt>
              <c:pt idx="6">
                <c:v>2.8166666666666628E-2</c:v>
              </c:pt>
              <c:pt idx="7">
                <c:v>0.34042499999999992</c:v>
              </c:pt>
              <c:pt idx="8">
                <c:v>-0.28893333333333338</c:v>
              </c:pt>
            </c:numLit>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8-CEAB-1845-A024-70E3380835E1}"/>
            </c:ext>
          </c:extLst>
        </c:ser>
        <c:dLbls>
          <c:showLegendKey val="0"/>
          <c:showVal val="0"/>
          <c:showCatName val="0"/>
          <c:showSerName val="0"/>
          <c:showPercent val="0"/>
          <c:showBubbleSize val="0"/>
        </c:dLbls>
        <c:gapWidth val="210"/>
        <c:overlap val="90"/>
        <c:axId val="401535833"/>
        <c:axId val="1378520421"/>
      </c:barChart>
      <c:catAx>
        <c:axId val="401535833"/>
        <c:scaling>
          <c:orientation val="minMax"/>
        </c:scaling>
        <c:delete val="0"/>
        <c:axPos val="b"/>
        <c:title>
          <c:tx>
            <c:rich>
              <a:bodyPr rot="0" spcFirstLastPara="1" vertOverflow="ellipsis" vert="horz" wrap="square" anchor="ctr" anchorCtr="1"/>
              <a:lstStyle/>
              <a:p>
                <a:pPr lvl="0">
                  <a:defRPr sz="1000" b="0" i="0" u="none" strike="noStrike" kern="1200" baseline="0">
                    <a:solidFill>
                      <a:srgbClr val="000000"/>
                    </a:solidFill>
                    <a:latin typeface="+mn-lt"/>
                    <a:ea typeface="+mn-ea"/>
                    <a:cs typeface="+mn-cs"/>
                  </a:defRPr>
                </a:pPr>
                <a:endParaRPr lang="en-GB"/>
              </a:p>
            </c:rich>
          </c:tx>
          <c:overlay val="0"/>
          <c:spPr>
            <a:noFill/>
            <a:ln>
              <a:noFill/>
            </a:ln>
            <a:effectLst/>
          </c:spPr>
          <c:txPr>
            <a:bodyPr rot="0" spcFirstLastPara="1" vertOverflow="ellipsis" vert="horz" wrap="square" anchor="ctr" anchorCtr="1"/>
            <a:lstStyle/>
            <a:p>
              <a:pPr lvl="0">
                <a:defRPr sz="1000" b="0" i="0" u="none" strike="noStrike" kern="1200" baseline="0">
                  <a:solidFill>
                    <a:srgbClr val="000000"/>
                  </a:solidFill>
                  <a:latin typeface="+mn-lt"/>
                  <a:ea typeface="+mn-ea"/>
                  <a:cs typeface="+mn-cs"/>
                </a:defRPr>
              </a:pPr>
              <a:endParaRPr lang="en-GB"/>
            </a:p>
          </c:txPr>
        </c:title>
        <c:numFmt formatCode="General" sourceLinked="1"/>
        <c:majorTickMark val="none"/>
        <c:minorTickMark val="none"/>
        <c:tickLblPos val="low"/>
        <c:spPr>
          <a:noFill/>
          <a:ln w="6350" cap="flat" cmpd="sng" algn="ctr">
            <a:solidFill>
              <a:schemeClr val="tx1"/>
            </a:solidFill>
            <a:prstDash val="solid"/>
            <a:round/>
          </a:ln>
          <a:effectLst/>
        </c:spPr>
        <c:txPr>
          <a:bodyPr rot="-60000000" spcFirstLastPara="1" vertOverflow="ellipsis" vert="horz" wrap="square" anchor="ctr" anchorCtr="1"/>
          <a:lstStyle/>
          <a:p>
            <a:pPr lvl="0">
              <a:defRPr sz="1100" b="1" i="0" u="none" strike="noStrike" kern="1200" baseline="0">
                <a:solidFill>
                  <a:srgbClr val="000000"/>
                </a:solidFill>
                <a:latin typeface="+mn-lt"/>
                <a:ea typeface="+mn-ea"/>
                <a:cs typeface="+mn-cs"/>
              </a:defRPr>
            </a:pPr>
            <a:endParaRPr lang="en-US"/>
          </a:p>
        </c:txPr>
        <c:crossAx val="1378520421"/>
        <c:crosses val="autoZero"/>
        <c:auto val="1"/>
        <c:lblAlgn val="ctr"/>
        <c:lblOffset val="100"/>
        <c:tickMarkSkip val="2"/>
        <c:noMultiLvlLbl val="1"/>
      </c:catAx>
      <c:valAx>
        <c:axId val="1378520421"/>
        <c:scaling>
          <c:orientation val="minMax"/>
        </c:scaling>
        <c:delete val="0"/>
        <c:axPos val="l"/>
        <c:majorGridlines>
          <c:spPr>
            <a:ln w="6350" cap="flat" cmpd="sng" algn="ctr">
              <a:solidFill>
                <a:schemeClr val="bg2">
                  <a:lumMod val="50000"/>
                </a:schemeClr>
              </a:solidFill>
              <a:prstDash val="solid"/>
              <a:round/>
            </a:ln>
            <a:effectLst/>
          </c:spPr>
        </c:majorGridlines>
        <c:title>
          <c:tx>
            <c:rich>
              <a:bodyPr rot="-5400000" spcFirstLastPara="1" vertOverflow="ellipsis" vert="horz" wrap="square" anchor="ctr" anchorCtr="1"/>
              <a:lstStyle/>
              <a:p>
                <a:pPr lvl="0">
                  <a:defRPr sz="1000" b="0" i="0" u="none" strike="noStrike" kern="1200" baseline="0">
                    <a:solidFill>
                      <a:srgbClr val="000000"/>
                    </a:solidFill>
                    <a:latin typeface="+mn-lt"/>
                    <a:ea typeface="+mn-ea"/>
                    <a:cs typeface="+mn-cs"/>
                  </a:defRPr>
                </a:pPr>
                <a:endParaRPr lang="en-GB"/>
              </a:p>
            </c:rich>
          </c:tx>
          <c:overlay val="0"/>
          <c:spPr>
            <a:noFill/>
            <a:ln>
              <a:noFill/>
            </a:ln>
            <a:effectLst/>
          </c:spPr>
          <c:txPr>
            <a:bodyPr rot="-5400000" spcFirstLastPara="1" vertOverflow="ellipsis" vert="horz" wrap="square" anchor="ctr" anchorCtr="1"/>
            <a:lstStyle/>
            <a:p>
              <a:pPr lvl="0">
                <a:defRPr sz="1000" b="0" i="0" u="none" strike="noStrike" kern="1200" baseline="0">
                  <a:solidFill>
                    <a:srgbClr val="000000"/>
                  </a:solidFill>
                  <a:latin typeface="+mn-lt"/>
                  <a:ea typeface="+mn-ea"/>
                  <a:cs typeface="+mn-cs"/>
                </a:defRPr>
              </a:pPr>
              <a:endParaRPr lang="en-GB"/>
            </a:p>
          </c:txPr>
        </c:title>
        <c:numFmt formatCode="0%" sourceLinked="0"/>
        <c:majorTickMark val="none"/>
        <c:minorTickMark val="in"/>
        <c:tickLblPos val="nextTo"/>
        <c:spPr>
          <a:solidFill>
            <a:schemeClr val="accent3">
              <a:lumMod val="20000"/>
              <a:lumOff val="80000"/>
            </a:schemeClr>
          </a:solidFill>
          <a:ln w="6350" cap="flat" cmpd="sng" algn="ctr">
            <a:noFill/>
            <a:prstDash val="solid"/>
            <a:round/>
          </a:ln>
          <a:effectLst/>
        </c:spPr>
        <c:txPr>
          <a:bodyPr rot="-60000000" spcFirstLastPara="1" vertOverflow="ellipsis" vert="horz" wrap="square" anchor="ctr" anchorCtr="1"/>
          <a:lstStyle/>
          <a:p>
            <a:pPr lvl="0">
              <a:defRPr sz="1000" b="0" i="0" u="none" strike="noStrike" kern="1200" baseline="0">
                <a:ln>
                  <a:noFill/>
                </a:ln>
                <a:solidFill>
                  <a:srgbClr val="000000"/>
                </a:solidFill>
                <a:latin typeface="+mn-lt"/>
                <a:ea typeface="+mn-ea"/>
                <a:cs typeface="+mn-cs"/>
              </a:defRPr>
            </a:pPr>
            <a:endParaRPr lang="en-US"/>
          </a:p>
        </c:txPr>
        <c:crossAx val="401535833"/>
        <c:crosses val="autoZero"/>
        <c:crossBetween val="between"/>
      </c:valAx>
      <c:spPr>
        <a:solidFill>
          <a:schemeClr val="accent3">
            <a:lumMod val="20000"/>
            <a:lumOff val="80000"/>
          </a:schemeClr>
        </a:solidFill>
        <a:ln>
          <a:noFill/>
        </a:ln>
        <a:effectLst/>
      </c:spPr>
    </c:plotArea>
    <c:plotVisOnly val="1"/>
    <c:dispBlanksAs val="zero"/>
    <c:showDLblsOverMax val="1"/>
  </c:chart>
  <c:spPr>
    <a:solidFill>
      <a:schemeClr val="accent3">
        <a:lumMod val="20000"/>
        <a:lumOff val="80000"/>
      </a:schemeClr>
    </a:solidFill>
    <a:ln w="6350" cap="flat" cmpd="sng" algn="ctr">
      <a:solidFill>
        <a:schemeClr val="tx1">
          <a:tint val="75000"/>
        </a:schemeClr>
      </a:solidFill>
      <a:prstDash val="solid"/>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sz="1400" b="1">
                <a:solidFill>
                  <a:srgbClr val="757575"/>
                </a:solidFill>
                <a:latin typeface="+mn-lt"/>
              </a:defRPr>
            </a:pPr>
            <a:r>
              <a:rPr lang="en-GB" sz="1400" b="1">
                <a:solidFill>
                  <a:srgbClr val="757575"/>
                </a:solidFill>
                <a:latin typeface="+mn-lt"/>
              </a:rPr>
              <a:t>Cost vs Market Value</a:t>
            </a:r>
          </a:p>
        </c:rich>
      </c:tx>
      <c:layout>
        <c:manualLayout>
          <c:xMode val="edge"/>
          <c:yMode val="edge"/>
          <c:x val="0.34558148788391913"/>
          <c:y val="3.9594505232300507E-2"/>
        </c:manualLayout>
      </c:layout>
      <c:overlay val="0"/>
    </c:title>
    <c:autoTitleDeleted val="0"/>
    <c:plotArea>
      <c:layout>
        <c:manualLayout>
          <c:layoutTarget val="inner"/>
          <c:xMode val="edge"/>
          <c:yMode val="edge"/>
          <c:x val="0.19029564033299881"/>
          <c:y val="0.11255411255411256"/>
          <c:w val="0.67054994318860062"/>
          <c:h val="0.71873497630977945"/>
        </c:manualLayout>
      </c:layout>
      <c:barChart>
        <c:barDir val="col"/>
        <c:grouping val="clustered"/>
        <c:varyColors val="1"/>
        <c:ser>
          <c:idx val="1"/>
          <c:order val="0"/>
          <c:tx>
            <c:strRef>
              <c:f>Stocks!$G$22</c:f>
              <c:strCache>
                <c:ptCount val="1"/>
                <c:pt idx="0">
                  <c:v>Cost</c:v>
                </c:pt>
              </c:strCache>
            </c:strRef>
          </c:tx>
          <c:invertIfNegative val="0"/>
          <c:cat>
            <c:strRef>
              <c:f>Stocks!$C$23:$C$34</c:f>
              <c:strCache>
                <c:ptCount val="12"/>
                <c:pt idx="0">
                  <c:v>AAPL</c:v>
                </c:pt>
                <c:pt idx="1">
                  <c:v>GOOG</c:v>
                </c:pt>
                <c:pt idx="2">
                  <c:v>SPY</c:v>
                </c:pt>
                <c:pt idx="3">
                  <c:v>MSFT</c:v>
                </c:pt>
                <c:pt idx="4">
                  <c:v>JNJ</c:v>
                </c:pt>
                <c:pt idx="5">
                  <c:v>NVDA</c:v>
                </c:pt>
                <c:pt idx="6">
                  <c:v>UNH</c:v>
                </c:pt>
                <c:pt idx="7">
                  <c:v>JPM</c:v>
                </c:pt>
                <c:pt idx="8">
                  <c:v>XOM</c:v>
                </c:pt>
                <c:pt idx="9">
                  <c:v>SNAP</c:v>
                </c:pt>
                <c:pt idx="10">
                  <c:v>META</c:v>
                </c:pt>
                <c:pt idx="11">
                  <c:v>DG</c:v>
                </c:pt>
              </c:strCache>
            </c:strRef>
          </c:cat>
          <c:val>
            <c:numRef>
              <c:f>Stocks!$G$23:$G$34</c:f>
              <c:numCache>
                <c:formatCode>0.00;;""</c:formatCode>
                <c:ptCount val="12"/>
                <c:pt idx="0">
                  <c:v>18000</c:v>
                </c:pt>
                <c:pt idx="1">
                  <c:v>20000</c:v>
                </c:pt>
                <c:pt idx="2">
                  <c:v>25000</c:v>
                </c:pt>
                <c:pt idx="3">
                  <c:v>60000</c:v>
                </c:pt>
                <c:pt idx="4">
                  <c:v>10000</c:v>
                </c:pt>
                <c:pt idx="5">
                  <c:v>12000</c:v>
                </c:pt>
                <c:pt idx="6">
                  <c:v>30000</c:v>
                </c:pt>
                <c:pt idx="7">
                  <c:v>22000</c:v>
                </c:pt>
                <c:pt idx="8">
                  <c:v>7500</c:v>
                </c:pt>
                <c:pt idx="9">
                  <c:v>10000</c:v>
                </c:pt>
                <c:pt idx="10">
                  <c:v>25000</c:v>
                </c:pt>
                <c:pt idx="11">
                  <c:v>9900</c:v>
                </c:pt>
              </c:numCache>
            </c:numRef>
          </c:val>
          <c:extLst>
            <c:ext xmlns:c16="http://schemas.microsoft.com/office/drawing/2014/chart" uri="{C3380CC4-5D6E-409C-BE32-E72D297353CC}">
              <c16:uniqueId val="{00000000-16D8-1940-AD77-DED84901C216}"/>
            </c:ext>
          </c:extLst>
        </c:ser>
        <c:ser>
          <c:idx val="2"/>
          <c:order val="1"/>
          <c:tx>
            <c:strRef>
              <c:f>Stocks!$H$22</c:f>
              <c:strCache>
                <c:ptCount val="1"/>
                <c:pt idx="0">
                  <c:v>Market Value</c:v>
                </c:pt>
              </c:strCache>
            </c:strRef>
          </c:tx>
          <c:spPr>
            <a:solidFill>
              <a:schemeClr val="accent4">
                <a:lumMod val="60000"/>
                <a:lumOff val="40000"/>
              </a:schemeClr>
            </a:solidFill>
          </c:spPr>
          <c:invertIfNegative val="0"/>
          <c:cat>
            <c:strRef>
              <c:f>Stocks!$C$23:$C$34</c:f>
              <c:strCache>
                <c:ptCount val="12"/>
                <c:pt idx="0">
                  <c:v>AAPL</c:v>
                </c:pt>
                <c:pt idx="1">
                  <c:v>GOOG</c:v>
                </c:pt>
                <c:pt idx="2">
                  <c:v>SPY</c:v>
                </c:pt>
                <c:pt idx="3">
                  <c:v>MSFT</c:v>
                </c:pt>
                <c:pt idx="4">
                  <c:v>JNJ</c:v>
                </c:pt>
                <c:pt idx="5">
                  <c:v>NVDA</c:v>
                </c:pt>
                <c:pt idx="6">
                  <c:v>UNH</c:v>
                </c:pt>
                <c:pt idx="7">
                  <c:v>JPM</c:v>
                </c:pt>
                <c:pt idx="8">
                  <c:v>XOM</c:v>
                </c:pt>
                <c:pt idx="9">
                  <c:v>SNAP</c:v>
                </c:pt>
                <c:pt idx="10">
                  <c:v>META</c:v>
                </c:pt>
                <c:pt idx="11">
                  <c:v>DG</c:v>
                </c:pt>
              </c:strCache>
            </c:strRef>
          </c:cat>
          <c:val>
            <c:numRef>
              <c:f>Stocks!$H$23:$H$34</c:f>
              <c:numCache>
                <c:formatCode>0.00</c:formatCode>
                <c:ptCount val="12"/>
                <c:pt idx="0">
                  <c:v>21355</c:v>
                </c:pt>
                <c:pt idx="1">
                  <c:v>18055</c:v>
                </c:pt>
                <c:pt idx="2">
                  <c:v>31267</c:v>
                </c:pt>
                <c:pt idx="3">
                  <c:v>49884</c:v>
                </c:pt>
                <c:pt idx="4">
                  <c:v>15601</c:v>
                </c:pt>
                <c:pt idx="5">
                  <c:v>15934</c:v>
                </c:pt>
                <c:pt idx="6">
                  <c:v>30855</c:v>
                </c:pt>
                <c:pt idx="7">
                  <c:v>32560</c:v>
                </c:pt>
                <c:pt idx="8">
                  <c:v>5610</c:v>
                </c:pt>
                <c:pt idx="9">
                  <c:v>9270</c:v>
                </c:pt>
                <c:pt idx="10">
                  <c:v>35950.5</c:v>
                </c:pt>
                <c:pt idx="11">
                  <c:v>11411</c:v>
                </c:pt>
              </c:numCache>
            </c:numRef>
          </c:val>
          <c:extLst>
            <c:ext xmlns:c16="http://schemas.microsoft.com/office/drawing/2014/chart" uri="{C3380CC4-5D6E-409C-BE32-E72D297353CC}">
              <c16:uniqueId val="{00000001-16D8-1940-AD77-DED84901C216}"/>
            </c:ext>
          </c:extLst>
        </c:ser>
        <c:dLbls>
          <c:showLegendKey val="0"/>
          <c:showVal val="0"/>
          <c:showCatName val="0"/>
          <c:showSerName val="0"/>
          <c:showPercent val="0"/>
          <c:showBubbleSize val="0"/>
        </c:dLbls>
        <c:gapWidth val="54"/>
        <c:axId val="1936681112"/>
        <c:axId val="1678166264"/>
      </c:barChart>
      <c:catAx>
        <c:axId val="1936681112"/>
        <c:scaling>
          <c:orientation val="minMax"/>
        </c:scaling>
        <c:delete val="0"/>
        <c:axPos val="b"/>
        <c:title>
          <c:tx>
            <c:rich>
              <a:bodyPr/>
              <a:lstStyle/>
              <a:p>
                <a:pPr lvl="0">
                  <a:defRPr b="0">
                    <a:solidFill>
                      <a:srgbClr val="000000"/>
                    </a:solidFill>
                    <a:latin typeface="+mn-lt"/>
                  </a:defRPr>
                </a:pPr>
                <a:r>
                  <a:rPr lang="en-GB" b="0">
                    <a:solidFill>
                      <a:srgbClr val="000000"/>
                    </a:solidFill>
                    <a:latin typeface="+mn-lt"/>
                  </a:rPr>
                  <a:t>Symbol</a:t>
                </a:r>
              </a:p>
            </c:rich>
          </c:tx>
          <c:overlay val="0"/>
        </c:title>
        <c:numFmt formatCode="General" sourceLinked="1"/>
        <c:majorTickMark val="none"/>
        <c:minorTickMark val="none"/>
        <c:tickLblPos val="nextTo"/>
        <c:spPr>
          <a:solidFill>
            <a:schemeClr val="accent1">
              <a:lumMod val="20000"/>
              <a:lumOff val="80000"/>
            </a:schemeClr>
          </a:solidFill>
        </c:spPr>
        <c:txPr>
          <a:bodyPr/>
          <a:lstStyle/>
          <a:p>
            <a:pPr lvl="0">
              <a:defRPr sz="1050" b="1">
                <a:solidFill>
                  <a:srgbClr val="000000"/>
                </a:solidFill>
                <a:latin typeface="+mn-lt"/>
              </a:defRPr>
            </a:pPr>
            <a:endParaRPr lang="en-US"/>
          </a:p>
        </c:txPr>
        <c:crossAx val="1678166264"/>
        <c:crosses val="autoZero"/>
        <c:auto val="1"/>
        <c:lblAlgn val="ctr"/>
        <c:lblOffset val="100"/>
        <c:noMultiLvlLbl val="1"/>
      </c:catAx>
      <c:valAx>
        <c:axId val="167816626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GB"/>
              </a:p>
            </c:rich>
          </c:tx>
          <c:overlay val="0"/>
        </c:title>
        <c:numFmt formatCode="[$$-409]#,##0" sourceLinked="0"/>
        <c:majorTickMark val="none"/>
        <c:minorTickMark val="none"/>
        <c:tickLblPos val="nextTo"/>
        <c:spPr>
          <a:ln/>
        </c:spPr>
        <c:txPr>
          <a:bodyPr/>
          <a:lstStyle/>
          <a:p>
            <a:pPr lvl="0">
              <a:defRPr b="0">
                <a:solidFill>
                  <a:srgbClr val="000000"/>
                </a:solidFill>
                <a:latin typeface="+mn-lt"/>
              </a:defRPr>
            </a:pPr>
            <a:endParaRPr lang="en-US"/>
          </a:p>
        </c:txPr>
        <c:crossAx val="1936681112"/>
        <c:crosses val="autoZero"/>
        <c:crossBetween val="between"/>
      </c:valAx>
    </c:plotArea>
    <c:legend>
      <c:legendPos val="r"/>
      <c:layout>
        <c:manualLayout>
          <c:xMode val="edge"/>
          <c:yMode val="edge"/>
          <c:x val="0.83164850322962858"/>
          <c:y val="3.0187135698946724E-3"/>
          <c:w val="0.16835149677037139"/>
          <c:h val="0.11811814432286873"/>
        </c:manualLayout>
      </c:layout>
      <c:overlay val="0"/>
      <c:txPr>
        <a:bodyPr/>
        <a:lstStyle/>
        <a:p>
          <a:pPr lvl="0">
            <a:defRPr b="0">
              <a:solidFill>
                <a:srgbClr val="1A1A1A"/>
              </a:solidFill>
              <a:latin typeface="+mn-lt"/>
            </a:defRPr>
          </a:pPr>
          <a:endParaRPr lang="en-US"/>
        </a:p>
      </c:txPr>
    </c:legend>
    <c:plotVisOnly val="1"/>
    <c:dispBlanksAs val="zero"/>
    <c:showDLblsOverMax val="1"/>
  </c:chart>
  <c:spPr>
    <a:solidFill>
      <a:srgbClr val="CFE2F3"/>
    </a:solidFill>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sz="3000" b="1">
                <a:solidFill>
                  <a:srgbClr val="000000"/>
                </a:solidFill>
                <a:latin typeface="Arial"/>
              </a:defRPr>
            </a:pPr>
            <a:r>
              <a:rPr lang="en-GB" sz="3000" b="1">
                <a:solidFill>
                  <a:srgbClr val="000000"/>
                </a:solidFill>
                <a:latin typeface="Arial"/>
              </a:rPr>
              <a:t>Capital Allocation</a:t>
            </a:r>
          </a:p>
        </c:rich>
      </c:tx>
      <c:overlay val="0"/>
    </c:title>
    <c:autoTitleDeleted val="0"/>
    <c:plotArea>
      <c:layout/>
      <c:pieChart>
        <c:varyColors val="1"/>
        <c:ser>
          <c:idx val="0"/>
          <c:order val="0"/>
          <c:tx>
            <c:strRef>
              <c:f>Stocks!$H$22</c:f>
              <c:strCache>
                <c:ptCount val="1"/>
                <c:pt idx="0">
                  <c:v>Market Value</c:v>
                </c:pt>
              </c:strCache>
            </c:strRef>
          </c:tx>
          <c:dPt>
            <c:idx val="0"/>
            <c:bubble3D val="0"/>
            <c:spPr>
              <a:solidFill>
                <a:srgbClr val="4285F4"/>
              </a:solidFill>
              <a:ln w="9525" cmpd="sng">
                <a:solidFill>
                  <a:srgbClr val="000000"/>
                </a:solidFill>
              </a:ln>
            </c:spPr>
            <c:extLst>
              <c:ext xmlns:c16="http://schemas.microsoft.com/office/drawing/2014/chart" uri="{C3380CC4-5D6E-409C-BE32-E72D297353CC}">
                <c16:uniqueId val="{00000001-477A-5B4E-936E-4C31D32CA2C3}"/>
              </c:ext>
            </c:extLst>
          </c:dPt>
          <c:dPt>
            <c:idx val="1"/>
            <c:bubble3D val="0"/>
            <c:spPr>
              <a:solidFill>
                <a:srgbClr val="EA4335"/>
              </a:solidFill>
              <a:ln w="9525" cmpd="sng">
                <a:solidFill>
                  <a:srgbClr val="000000"/>
                </a:solidFill>
              </a:ln>
            </c:spPr>
            <c:extLst>
              <c:ext xmlns:c16="http://schemas.microsoft.com/office/drawing/2014/chart" uri="{C3380CC4-5D6E-409C-BE32-E72D297353CC}">
                <c16:uniqueId val="{00000003-477A-5B4E-936E-4C31D32CA2C3}"/>
              </c:ext>
            </c:extLst>
          </c:dPt>
          <c:dPt>
            <c:idx val="2"/>
            <c:bubble3D val="0"/>
            <c:spPr>
              <a:solidFill>
                <a:srgbClr val="FBBC04"/>
              </a:solidFill>
              <a:ln w="9525" cmpd="sng">
                <a:solidFill>
                  <a:srgbClr val="000000"/>
                </a:solidFill>
              </a:ln>
            </c:spPr>
            <c:extLst>
              <c:ext xmlns:c16="http://schemas.microsoft.com/office/drawing/2014/chart" uri="{C3380CC4-5D6E-409C-BE32-E72D297353CC}">
                <c16:uniqueId val="{00000005-477A-5B4E-936E-4C31D32CA2C3}"/>
              </c:ext>
            </c:extLst>
          </c:dPt>
          <c:dPt>
            <c:idx val="3"/>
            <c:bubble3D val="0"/>
            <c:spPr>
              <a:solidFill>
                <a:srgbClr val="34A853"/>
              </a:solidFill>
              <a:ln w="9525" cmpd="sng">
                <a:solidFill>
                  <a:srgbClr val="000000"/>
                </a:solidFill>
              </a:ln>
            </c:spPr>
            <c:extLst>
              <c:ext xmlns:c16="http://schemas.microsoft.com/office/drawing/2014/chart" uri="{C3380CC4-5D6E-409C-BE32-E72D297353CC}">
                <c16:uniqueId val="{00000007-477A-5B4E-936E-4C31D32CA2C3}"/>
              </c:ext>
            </c:extLst>
          </c:dPt>
          <c:dPt>
            <c:idx val="4"/>
            <c:bubble3D val="0"/>
            <c:spPr>
              <a:solidFill>
                <a:srgbClr val="FF6D01"/>
              </a:solidFill>
              <a:ln w="9525" cmpd="sng">
                <a:solidFill>
                  <a:srgbClr val="000000"/>
                </a:solidFill>
              </a:ln>
            </c:spPr>
            <c:extLst>
              <c:ext xmlns:c16="http://schemas.microsoft.com/office/drawing/2014/chart" uri="{C3380CC4-5D6E-409C-BE32-E72D297353CC}">
                <c16:uniqueId val="{00000009-477A-5B4E-936E-4C31D32CA2C3}"/>
              </c:ext>
            </c:extLst>
          </c:dPt>
          <c:dPt>
            <c:idx val="5"/>
            <c:bubble3D val="0"/>
            <c:spPr>
              <a:solidFill>
                <a:srgbClr val="46BDC6"/>
              </a:solidFill>
              <a:ln w="9525" cmpd="sng">
                <a:solidFill>
                  <a:srgbClr val="000000"/>
                </a:solidFill>
              </a:ln>
            </c:spPr>
            <c:extLst>
              <c:ext xmlns:c16="http://schemas.microsoft.com/office/drawing/2014/chart" uri="{C3380CC4-5D6E-409C-BE32-E72D297353CC}">
                <c16:uniqueId val="{0000000B-477A-5B4E-936E-4C31D32CA2C3}"/>
              </c:ext>
            </c:extLst>
          </c:dPt>
          <c:dPt>
            <c:idx val="6"/>
            <c:bubble3D val="0"/>
            <c:spPr>
              <a:solidFill>
                <a:srgbClr val="7BAAF7"/>
              </a:solidFill>
              <a:ln w="9525" cmpd="sng">
                <a:solidFill>
                  <a:srgbClr val="000000"/>
                </a:solidFill>
              </a:ln>
            </c:spPr>
            <c:extLst>
              <c:ext xmlns:c16="http://schemas.microsoft.com/office/drawing/2014/chart" uri="{C3380CC4-5D6E-409C-BE32-E72D297353CC}">
                <c16:uniqueId val="{0000000D-477A-5B4E-936E-4C31D32CA2C3}"/>
              </c:ext>
            </c:extLst>
          </c:dPt>
          <c:dPt>
            <c:idx val="7"/>
            <c:bubble3D val="0"/>
            <c:spPr>
              <a:solidFill>
                <a:srgbClr val="F07B72"/>
              </a:solidFill>
              <a:ln w="9525" cmpd="sng">
                <a:solidFill>
                  <a:srgbClr val="000000"/>
                </a:solidFill>
              </a:ln>
            </c:spPr>
            <c:extLst>
              <c:ext xmlns:c16="http://schemas.microsoft.com/office/drawing/2014/chart" uri="{C3380CC4-5D6E-409C-BE32-E72D297353CC}">
                <c16:uniqueId val="{0000000F-477A-5B4E-936E-4C31D32CA2C3}"/>
              </c:ext>
            </c:extLst>
          </c:dPt>
          <c:dPt>
            <c:idx val="8"/>
            <c:bubble3D val="0"/>
            <c:spPr>
              <a:solidFill>
                <a:srgbClr val="FCD04F"/>
              </a:solidFill>
              <a:ln w="9525" cmpd="sng">
                <a:solidFill>
                  <a:srgbClr val="000000"/>
                </a:solidFill>
              </a:ln>
            </c:spPr>
            <c:extLst>
              <c:ext xmlns:c16="http://schemas.microsoft.com/office/drawing/2014/chart" uri="{C3380CC4-5D6E-409C-BE32-E72D297353CC}">
                <c16:uniqueId val="{00000011-477A-5B4E-936E-4C31D32CA2C3}"/>
              </c:ext>
            </c:extLst>
          </c:dPt>
          <c:dPt>
            <c:idx val="9"/>
            <c:bubble3D val="0"/>
            <c:spPr>
              <a:solidFill>
                <a:srgbClr val="71C287"/>
              </a:solidFill>
              <a:ln w="9525" cmpd="sng">
                <a:solidFill>
                  <a:srgbClr val="000000"/>
                </a:solidFill>
              </a:ln>
            </c:spPr>
            <c:extLst>
              <c:ext xmlns:c16="http://schemas.microsoft.com/office/drawing/2014/chart" uri="{C3380CC4-5D6E-409C-BE32-E72D297353CC}">
                <c16:uniqueId val="{00000013-477A-5B4E-936E-4C31D32CA2C3}"/>
              </c:ext>
            </c:extLst>
          </c:dPt>
          <c:dPt>
            <c:idx val="10"/>
            <c:bubble3D val="0"/>
            <c:spPr>
              <a:solidFill>
                <a:srgbClr val="FF994D"/>
              </a:solidFill>
              <a:ln w="9525" cmpd="sng">
                <a:solidFill>
                  <a:srgbClr val="000000"/>
                </a:solidFill>
              </a:ln>
            </c:spPr>
            <c:extLst>
              <c:ext xmlns:c16="http://schemas.microsoft.com/office/drawing/2014/chart" uri="{C3380CC4-5D6E-409C-BE32-E72D297353CC}">
                <c16:uniqueId val="{00000015-477A-5B4E-936E-4C31D32CA2C3}"/>
              </c:ext>
            </c:extLst>
          </c:dPt>
          <c:dPt>
            <c:idx val="11"/>
            <c:bubble3D val="0"/>
            <c:spPr>
              <a:solidFill>
                <a:srgbClr val="7ED1D7"/>
              </a:solidFill>
              <a:ln w="9525" cmpd="sng">
                <a:solidFill>
                  <a:srgbClr val="000000"/>
                </a:solidFill>
              </a:ln>
            </c:spPr>
            <c:extLst>
              <c:ext xmlns:c16="http://schemas.microsoft.com/office/drawing/2014/chart" uri="{C3380CC4-5D6E-409C-BE32-E72D297353CC}">
                <c16:uniqueId val="{00000017-477A-5B4E-936E-4C31D32CA2C3}"/>
              </c:ext>
            </c:extLst>
          </c:dPt>
          <c:dPt>
            <c:idx val="12"/>
            <c:bubble3D val="0"/>
            <c:extLst>
              <c:ext xmlns:c16="http://schemas.microsoft.com/office/drawing/2014/chart" uri="{C3380CC4-5D6E-409C-BE32-E72D297353CC}">
                <c16:uniqueId val="{00000018-477A-5B4E-936E-4C31D32CA2C3}"/>
              </c:ext>
            </c:extLst>
          </c:dPt>
          <c:dPt>
            <c:idx val="13"/>
            <c:bubble3D val="0"/>
            <c:extLst>
              <c:ext xmlns:c16="http://schemas.microsoft.com/office/drawing/2014/chart" uri="{C3380CC4-5D6E-409C-BE32-E72D297353CC}">
                <c16:uniqueId val="{00000019-477A-5B4E-936E-4C31D32CA2C3}"/>
              </c:ext>
            </c:extLst>
          </c:dPt>
          <c:dPt>
            <c:idx val="14"/>
            <c:bubble3D val="0"/>
            <c:extLst>
              <c:ext xmlns:c16="http://schemas.microsoft.com/office/drawing/2014/chart" uri="{C3380CC4-5D6E-409C-BE32-E72D297353CC}">
                <c16:uniqueId val="{0000001A-477A-5B4E-936E-4C31D32CA2C3}"/>
              </c:ext>
            </c:extLst>
          </c:dPt>
          <c:dPt>
            <c:idx val="15"/>
            <c:bubble3D val="0"/>
            <c:extLst>
              <c:ext xmlns:c16="http://schemas.microsoft.com/office/drawing/2014/chart" uri="{C3380CC4-5D6E-409C-BE32-E72D297353CC}">
                <c16:uniqueId val="{0000001B-477A-5B4E-936E-4C31D32CA2C3}"/>
              </c:ext>
            </c:extLst>
          </c:dPt>
          <c:dPt>
            <c:idx val="16"/>
            <c:bubble3D val="0"/>
            <c:extLst>
              <c:ext xmlns:c16="http://schemas.microsoft.com/office/drawing/2014/chart" uri="{C3380CC4-5D6E-409C-BE32-E72D297353CC}">
                <c16:uniqueId val="{0000001C-477A-5B4E-936E-4C31D32CA2C3}"/>
              </c:ext>
            </c:extLst>
          </c:dPt>
          <c:dPt>
            <c:idx val="17"/>
            <c:bubble3D val="0"/>
            <c:extLst>
              <c:ext xmlns:c16="http://schemas.microsoft.com/office/drawing/2014/chart" uri="{C3380CC4-5D6E-409C-BE32-E72D297353CC}">
                <c16:uniqueId val="{0000001D-477A-5B4E-936E-4C31D32CA2C3}"/>
              </c:ext>
            </c:extLst>
          </c:dPt>
          <c:dPt>
            <c:idx val="18"/>
            <c:bubble3D val="0"/>
            <c:extLst>
              <c:ext xmlns:c16="http://schemas.microsoft.com/office/drawing/2014/chart" uri="{C3380CC4-5D6E-409C-BE32-E72D297353CC}">
                <c16:uniqueId val="{0000001E-477A-5B4E-936E-4C31D32CA2C3}"/>
              </c:ext>
            </c:extLst>
          </c:dPt>
          <c:dPt>
            <c:idx val="19"/>
            <c:bubble3D val="0"/>
            <c:extLst>
              <c:ext xmlns:c16="http://schemas.microsoft.com/office/drawing/2014/chart" uri="{C3380CC4-5D6E-409C-BE32-E72D297353CC}">
                <c16:uniqueId val="{0000001F-477A-5B4E-936E-4C31D32CA2C3}"/>
              </c:ext>
            </c:extLst>
          </c:dPt>
          <c:dPt>
            <c:idx val="20"/>
            <c:bubble3D val="0"/>
            <c:extLst>
              <c:ext xmlns:c16="http://schemas.microsoft.com/office/drawing/2014/chart" uri="{C3380CC4-5D6E-409C-BE32-E72D297353CC}">
                <c16:uniqueId val="{00000020-477A-5B4E-936E-4C31D32CA2C3}"/>
              </c:ext>
            </c:extLst>
          </c:dPt>
          <c:dPt>
            <c:idx val="21"/>
            <c:bubble3D val="0"/>
            <c:extLst>
              <c:ext xmlns:c16="http://schemas.microsoft.com/office/drawing/2014/chart" uri="{C3380CC4-5D6E-409C-BE32-E72D297353CC}">
                <c16:uniqueId val="{00000021-477A-5B4E-936E-4C31D32CA2C3}"/>
              </c:ext>
            </c:extLst>
          </c:dPt>
          <c:dPt>
            <c:idx val="22"/>
            <c:bubble3D val="0"/>
            <c:extLst>
              <c:ext xmlns:c16="http://schemas.microsoft.com/office/drawing/2014/chart" uri="{C3380CC4-5D6E-409C-BE32-E72D297353CC}">
                <c16:uniqueId val="{00000022-477A-5B4E-936E-4C31D32CA2C3}"/>
              </c:ext>
            </c:extLst>
          </c:dPt>
          <c:dPt>
            <c:idx val="23"/>
            <c:bubble3D val="0"/>
            <c:extLst>
              <c:ext xmlns:c16="http://schemas.microsoft.com/office/drawing/2014/chart" uri="{C3380CC4-5D6E-409C-BE32-E72D297353CC}">
                <c16:uniqueId val="{00000023-477A-5B4E-936E-4C31D32CA2C3}"/>
              </c:ext>
            </c:extLst>
          </c:dPt>
          <c:dPt>
            <c:idx val="24"/>
            <c:bubble3D val="0"/>
            <c:extLst>
              <c:ext xmlns:c16="http://schemas.microsoft.com/office/drawing/2014/chart" uri="{C3380CC4-5D6E-409C-BE32-E72D297353CC}">
                <c16:uniqueId val="{00000024-477A-5B4E-936E-4C31D32CA2C3}"/>
              </c:ext>
            </c:extLst>
          </c:dPt>
          <c:dPt>
            <c:idx val="25"/>
            <c:bubble3D val="0"/>
            <c:extLst>
              <c:ext xmlns:c16="http://schemas.microsoft.com/office/drawing/2014/chart" uri="{C3380CC4-5D6E-409C-BE32-E72D297353CC}">
                <c16:uniqueId val="{00000025-477A-5B4E-936E-4C31D32CA2C3}"/>
              </c:ext>
            </c:extLst>
          </c:dPt>
          <c:dPt>
            <c:idx val="26"/>
            <c:bubble3D val="0"/>
            <c:extLst>
              <c:ext xmlns:c16="http://schemas.microsoft.com/office/drawing/2014/chart" uri="{C3380CC4-5D6E-409C-BE32-E72D297353CC}">
                <c16:uniqueId val="{00000026-477A-5B4E-936E-4C31D32CA2C3}"/>
              </c:ext>
            </c:extLst>
          </c:dPt>
          <c:dPt>
            <c:idx val="27"/>
            <c:bubble3D val="0"/>
            <c:extLst>
              <c:ext xmlns:c16="http://schemas.microsoft.com/office/drawing/2014/chart" uri="{C3380CC4-5D6E-409C-BE32-E72D297353CC}">
                <c16:uniqueId val="{00000027-477A-5B4E-936E-4C31D32CA2C3}"/>
              </c:ext>
            </c:extLst>
          </c:dPt>
          <c:dPt>
            <c:idx val="28"/>
            <c:bubble3D val="0"/>
            <c:extLst>
              <c:ext xmlns:c16="http://schemas.microsoft.com/office/drawing/2014/chart" uri="{C3380CC4-5D6E-409C-BE32-E72D297353CC}">
                <c16:uniqueId val="{00000028-477A-5B4E-936E-4C31D32CA2C3}"/>
              </c:ext>
            </c:extLst>
          </c:dPt>
          <c:dPt>
            <c:idx val="29"/>
            <c:bubble3D val="0"/>
            <c:extLst>
              <c:ext xmlns:c16="http://schemas.microsoft.com/office/drawing/2014/chart" uri="{C3380CC4-5D6E-409C-BE32-E72D297353CC}">
                <c16:uniqueId val="{00000029-477A-5B4E-936E-4C31D32CA2C3}"/>
              </c:ext>
            </c:extLst>
          </c:dPt>
          <c:dPt>
            <c:idx val="30"/>
            <c:bubble3D val="0"/>
            <c:extLst>
              <c:ext xmlns:c16="http://schemas.microsoft.com/office/drawing/2014/chart" uri="{C3380CC4-5D6E-409C-BE32-E72D297353CC}">
                <c16:uniqueId val="{0000002A-477A-5B4E-936E-4C31D32CA2C3}"/>
              </c:ext>
            </c:extLst>
          </c:dPt>
          <c:dPt>
            <c:idx val="31"/>
            <c:bubble3D val="0"/>
            <c:extLst>
              <c:ext xmlns:c16="http://schemas.microsoft.com/office/drawing/2014/chart" uri="{C3380CC4-5D6E-409C-BE32-E72D297353CC}">
                <c16:uniqueId val="{0000002B-477A-5B4E-936E-4C31D32CA2C3}"/>
              </c:ext>
            </c:extLst>
          </c:dPt>
          <c:dPt>
            <c:idx val="32"/>
            <c:bubble3D val="0"/>
            <c:extLst>
              <c:ext xmlns:c16="http://schemas.microsoft.com/office/drawing/2014/chart" uri="{C3380CC4-5D6E-409C-BE32-E72D297353CC}">
                <c16:uniqueId val="{0000002C-477A-5B4E-936E-4C31D32CA2C3}"/>
              </c:ext>
            </c:extLst>
          </c:dPt>
          <c:dPt>
            <c:idx val="33"/>
            <c:bubble3D val="0"/>
            <c:extLst>
              <c:ext xmlns:c16="http://schemas.microsoft.com/office/drawing/2014/chart" uri="{C3380CC4-5D6E-409C-BE32-E72D297353CC}">
                <c16:uniqueId val="{0000002D-477A-5B4E-936E-4C31D32CA2C3}"/>
              </c:ext>
            </c:extLst>
          </c:dPt>
          <c:dPt>
            <c:idx val="34"/>
            <c:bubble3D val="0"/>
            <c:extLst>
              <c:ext xmlns:c16="http://schemas.microsoft.com/office/drawing/2014/chart" uri="{C3380CC4-5D6E-409C-BE32-E72D297353CC}">
                <c16:uniqueId val="{0000002E-477A-5B4E-936E-4C31D32CA2C3}"/>
              </c:ext>
            </c:extLst>
          </c:dPt>
          <c:dPt>
            <c:idx val="35"/>
            <c:bubble3D val="0"/>
            <c:extLst>
              <c:ext xmlns:c16="http://schemas.microsoft.com/office/drawing/2014/chart" uri="{C3380CC4-5D6E-409C-BE32-E72D297353CC}">
                <c16:uniqueId val="{0000002F-477A-5B4E-936E-4C31D32CA2C3}"/>
              </c:ext>
            </c:extLst>
          </c:dPt>
          <c:dPt>
            <c:idx val="36"/>
            <c:bubble3D val="0"/>
            <c:extLst>
              <c:ext xmlns:c16="http://schemas.microsoft.com/office/drawing/2014/chart" uri="{C3380CC4-5D6E-409C-BE32-E72D297353CC}">
                <c16:uniqueId val="{00000030-477A-5B4E-936E-4C31D32CA2C3}"/>
              </c:ext>
            </c:extLst>
          </c:dPt>
          <c:dPt>
            <c:idx val="37"/>
            <c:bubble3D val="0"/>
            <c:extLst>
              <c:ext xmlns:c16="http://schemas.microsoft.com/office/drawing/2014/chart" uri="{C3380CC4-5D6E-409C-BE32-E72D297353CC}">
                <c16:uniqueId val="{00000031-477A-5B4E-936E-4C31D32CA2C3}"/>
              </c:ext>
            </c:extLst>
          </c:dPt>
          <c:dPt>
            <c:idx val="38"/>
            <c:bubble3D val="0"/>
            <c:extLst>
              <c:ext xmlns:c16="http://schemas.microsoft.com/office/drawing/2014/chart" uri="{C3380CC4-5D6E-409C-BE32-E72D297353CC}">
                <c16:uniqueId val="{00000032-477A-5B4E-936E-4C31D32CA2C3}"/>
              </c:ext>
            </c:extLst>
          </c:dPt>
          <c:dPt>
            <c:idx val="39"/>
            <c:bubble3D val="0"/>
            <c:extLst>
              <c:ext xmlns:c16="http://schemas.microsoft.com/office/drawing/2014/chart" uri="{C3380CC4-5D6E-409C-BE32-E72D297353CC}">
                <c16:uniqueId val="{00000033-477A-5B4E-936E-4C31D32CA2C3}"/>
              </c:ext>
            </c:extLst>
          </c:dPt>
          <c:dPt>
            <c:idx val="40"/>
            <c:bubble3D val="0"/>
            <c:extLst>
              <c:ext xmlns:c16="http://schemas.microsoft.com/office/drawing/2014/chart" uri="{C3380CC4-5D6E-409C-BE32-E72D297353CC}">
                <c16:uniqueId val="{00000034-477A-5B4E-936E-4C31D32CA2C3}"/>
              </c:ext>
            </c:extLst>
          </c:dPt>
          <c:dPt>
            <c:idx val="41"/>
            <c:bubble3D val="0"/>
            <c:extLst>
              <c:ext xmlns:c16="http://schemas.microsoft.com/office/drawing/2014/chart" uri="{C3380CC4-5D6E-409C-BE32-E72D297353CC}">
                <c16:uniqueId val="{00000035-477A-5B4E-936E-4C31D32CA2C3}"/>
              </c:ext>
            </c:extLst>
          </c:dPt>
          <c:dPt>
            <c:idx val="42"/>
            <c:bubble3D val="0"/>
            <c:extLst>
              <c:ext xmlns:c16="http://schemas.microsoft.com/office/drawing/2014/chart" uri="{C3380CC4-5D6E-409C-BE32-E72D297353CC}">
                <c16:uniqueId val="{00000036-477A-5B4E-936E-4C31D32CA2C3}"/>
              </c:ext>
            </c:extLst>
          </c:dPt>
          <c:dPt>
            <c:idx val="43"/>
            <c:bubble3D val="0"/>
            <c:extLst>
              <c:ext xmlns:c16="http://schemas.microsoft.com/office/drawing/2014/chart" uri="{C3380CC4-5D6E-409C-BE32-E72D297353CC}">
                <c16:uniqueId val="{00000037-477A-5B4E-936E-4C31D32CA2C3}"/>
              </c:ext>
            </c:extLst>
          </c:dPt>
          <c:dPt>
            <c:idx val="44"/>
            <c:bubble3D val="0"/>
            <c:extLst>
              <c:ext xmlns:c16="http://schemas.microsoft.com/office/drawing/2014/chart" uri="{C3380CC4-5D6E-409C-BE32-E72D297353CC}">
                <c16:uniqueId val="{00000038-477A-5B4E-936E-4C31D32CA2C3}"/>
              </c:ext>
            </c:extLst>
          </c:dPt>
          <c:dPt>
            <c:idx val="45"/>
            <c:bubble3D val="0"/>
            <c:extLst>
              <c:ext xmlns:c16="http://schemas.microsoft.com/office/drawing/2014/chart" uri="{C3380CC4-5D6E-409C-BE32-E72D297353CC}">
                <c16:uniqueId val="{00000039-477A-5B4E-936E-4C31D32CA2C3}"/>
              </c:ext>
            </c:extLst>
          </c:dPt>
          <c:dPt>
            <c:idx val="46"/>
            <c:bubble3D val="0"/>
            <c:extLst>
              <c:ext xmlns:c16="http://schemas.microsoft.com/office/drawing/2014/chart" uri="{C3380CC4-5D6E-409C-BE32-E72D297353CC}">
                <c16:uniqueId val="{0000003A-477A-5B4E-936E-4C31D32CA2C3}"/>
              </c:ext>
            </c:extLst>
          </c:dPt>
          <c:dPt>
            <c:idx val="47"/>
            <c:bubble3D val="0"/>
            <c:extLst>
              <c:ext xmlns:c16="http://schemas.microsoft.com/office/drawing/2014/chart" uri="{C3380CC4-5D6E-409C-BE32-E72D297353CC}">
                <c16:uniqueId val="{0000003B-477A-5B4E-936E-4C31D32CA2C3}"/>
              </c:ext>
            </c:extLst>
          </c:dPt>
          <c:dPt>
            <c:idx val="48"/>
            <c:bubble3D val="0"/>
            <c:extLst>
              <c:ext xmlns:c16="http://schemas.microsoft.com/office/drawing/2014/chart" uri="{C3380CC4-5D6E-409C-BE32-E72D297353CC}">
                <c16:uniqueId val="{0000003C-477A-5B4E-936E-4C31D32CA2C3}"/>
              </c:ext>
            </c:extLst>
          </c:dPt>
          <c:dPt>
            <c:idx val="49"/>
            <c:bubble3D val="0"/>
            <c:extLst>
              <c:ext xmlns:c16="http://schemas.microsoft.com/office/drawing/2014/chart" uri="{C3380CC4-5D6E-409C-BE32-E72D297353CC}">
                <c16:uniqueId val="{0000003D-477A-5B4E-936E-4C31D32CA2C3}"/>
              </c:ext>
            </c:extLst>
          </c:dPt>
          <c:dPt>
            <c:idx val="50"/>
            <c:bubble3D val="0"/>
            <c:extLst>
              <c:ext xmlns:c16="http://schemas.microsoft.com/office/drawing/2014/chart" uri="{C3380CC4-5D6E-409C-BE32-E72D297353CC}">
                <c16:uniqueId val="{0000003E-477A-5B4E-936E-4C31D32CA2C3}"/>
              </c:ext>
            </c:extLst>
          </c:dPt>
          <c:dPt>
            <c:idx val="51"/>
            <c:bubble3D val="0"/>
            <c:extLst>
              <c:ext xmlns:c16="http://schemas.microsoft.com/office/drawing/2014/chart" uri="{C3380CC4-5D6E-409C-BE32-E72D297353CC}">
                <c16:uniqueId val="{0000003F-477A-5B4E-936E-4C31D32CA2C3}"/>
              </c:ext>
            </c:extLst>
          </c:dPt>
          <c:dPt>
            <c:idx val="52"/>
            <c:bubble3D val="0"/>
            <c:extLst>
              <c:ext xmlns:c16="http://schemas.microsoft.com/office/drawing/2014/chart" uri="{C3380CC4-5D6E-409C-BE32-E72D297353CC}">
                <c16:uniqueId val="{00000040-477A-5B4E-936E-4C31D32CA2C3}"/>
              </c:ext>
            </c:extLst>
          </c:dPt>
          <c:dPt>
            <c:idx val="53"/>
            <c:bubble3D val="0"/>
            <c:extLst>
              <c:ext xmlns:c16="http://schemas.microsoft.com/office/drawing/2014/chart" uri="{C3380CC4-5D6E-409C-BE32-E72D297353CC}">
                <c16:uniqueId val="{00000041-477A-5B4E-936E-4C31D32CA2C3}"/>
              </c:ext>
            </c:extLst>
          </c:dPt>
          <c:dPt>
            <c:idx val="54"/>
            <c:bubble3D val="0"/>
            <c:extLst>
              <c:ext xmlns:c16="http://schemas.microsoft.com/office/drawing/2014/chart" uri="{C3380CC4-5D6E-409C-BE32-E72D297353CC}">
                <c16:uniqueId val="{00000042-477A-5B4E-936E-4C31D32CA2C3}"/>
              </c:ext>
            </c:extLst>
          </c:dPt>
          <c:dPt>
            <c:idx val="55"/>
            <c:bubble3D val="0"/>
            <c:extLst>
              <c:ext xmlns:c16="http://schemas.microsoft.com/office/drawing/2014/chart" uri="{C3380CC4-5D6E-409C-BE32-E72D297353CC}">
                <c16:uniqueId val="{00000043-477A-5B4E-936E-4C31D32CA2C3}"/>
              </c:ext>
            </c:extLst>
          </c:dPt>
          <c:dPt>
            <c:idx val="56"/>
            <c:bubble3D val="0"/>
            <c:extLst>
              <c:ext xmlns:c16="http://schemas.microsoft.com/office/drawing/2014/chart" uri="{C3380CC4-5D6E-409C-BE32-E72D297353CC}">
                <c16:uniqueId val="{00000044-477A-5B4E-936E-4C31D32CA2C3}"/>
              </c:ext>
            </c:extLst>
          </c:dPt>
          <c:dPt>
            <c:idx val="57"/>
            <c:bubble3D val="0"/>
            <c:extLst>
              <c:ext xmlns:c16="http://schemas.microsoft.com/office/drawing/2014/chart" uri="{C3380CC4-5D6E-409C-BE32-E72D297353CC}">
                <c16:uniqueId val="{00000045-477A-5B4E-936E-4C31D32CA2C3}"/>
              </c:ext>
            </c:extLst>
          </c:dPt>
          <c:dPt>
            <c:idx val="58"/>
            <c:bubble3D val="0"/>
            <c:extLst>
              <c:ext xmlns:c16="http://schemas.microsoft.com/office/drawing/2014/chart" uri="{C3380CC4-5D6E-409C-BE32-E72D297353CC}">
                <c16:uniqueId val="{00000046-477A-5B4E-936E-4C31D32CA2C3}"/>
              </c:ext>
            </c:extLst>
          </c:dPt>
          <c:dPt>
            <c:idx val="59"/>
            <c:bubble3D val="0"/>
            <c:extLst>
              <c:ext xmlns:c16="http://schemas.microsoft.com/office/drawing/2014/chart" uri="{C3380CC4-5D6E-409C-BE32-E72D297353CC}">
                <c16:uniqueId val="{00000047-477A-5B4E-936E-4C31D32CA2C3}"/>
              </c:ext>
            </c:extLst>
          </c:dPt>
          <c:dPt>
            <c:idx val="60"/>
            <c:bubble3D val="0"/>
            <c:extLst>
              <c:ext xmlns:c16="http://schemas.microsoft.com/office/drawing/2014/chart" uri="{C3380CC4-5D6E-409C-BE32-E72D297353CC}">
                <c16:uniqueId val="{00000048-477A-5B4E-936E-4C31D32CA2C3}"/>
              </c:ext>
            </c:extLst>
          </c:dPt>
          <c:dPt>
            <c:idx val="61"/>
            <c:bubble3D val="0"/>
            <c:extLst>
              <c:ext xmlns:c16="http://schemas.microsoft.com/office/drawing/2014/chart" uri="{C3380CC4-5D6E-409C-BE32-E72D297353CC}">
                <c16:uniqueId val="{00000049-477A-5B4E-936E-4C31D32CA2C3}"/>
              </c:ext>
            </c:extLst>
          </c:dPt>
          <c:dPt>
            <c:idx val="62"/>
            <c:bubble3D val="0"/>
            <c:extLst>
              <c:ext xmlns:c16="http://schemas.microsoft.com/office/drawing/2014/chart" uri="{C3380CC4-5D6E-409C-BE32-E72D297353CC}">
                <c16:uniqueId val="{0000004A-477A-5B4E-936E-4C31D32CA2C3}"/>
              </c:ext>
            </c:extLst>
          </c:dPt>
          <c:dPt>
            <c:idx val="63"/>
            <c:bubble3D val="0"/>
            <c:extLst>
              <c:ext xmlns:c16="http://schemas.microsoft.com/office/drawing/2014/chart" uri="{C3380CC4-5D6E-409C-BE32-E72D297353CC}">
                <c16:uniqueId val="{0000004B-477A-5B4E-936E-4C31D32CA2C3}"/>
              </c:ext>
            </c:extLst>
          </c:dPt>
          <c:dPt>
            <c:idx val="64"/>
            <c:bubble3D val="0"/>
            <c:extLst>
              <c:ext xmlns:c16="http://schemas.microsoft.com/office/drawing/2014/chart" uri="{C3380CC4-5D6E-409C-BE32-E72D297353CC}">
                <c16:uniqueId val="{0000004C-477A-5B4E-936E-4C31D32CA2C3}"/>
              </c:ext>
            </c:extLst>
          </c:dPt>
          <c:dPt>
            <c:idx val="65"/>
            <c:bubble3D val="0"/>
            <c:extLst>
              <c:ext xmlns:c16="http://schemas.microsoft.com/office/drawing/2014/chart" uri="{C3380CC4-5D6E-409C-BE32-E72D297353CC}">
                <c16:uniqueId val="{0000004D-477A-5B4E-936E-4C31D32CA2C3}"/>
              </c:ext>
            </c:extLst>
          </c:dPt>
          <c:dPt>
            <c:idx val="66"/>
            <c:bubble3D val="0"/>
            <c:extLst>
              <c:ext xmlns:c16="http://schemas.microsoft.com/office/drawing/2014/chart" uri="{C3380CC4-5D6E-409C-BE32-E72D297353CC}">
                <c16:uniqueId val="{0000004E-477A-5B4E-936E-4C31D32CA2C3}"/>
              </c:ext>
            </c:extLst>
          </c:dPt>
          <c:dPt>
            <c:idx val="67"/>
            <c:bubble3D val="0"/>
            <c:extLst>
              <c:ext xmlns:c16="http://schemas.microsoft.com/office/drawing/2014/chart" uri="{C3380CC4-5D6E-409C-BE32-E72D297353CC}">
                <c16:uniqueId val="{0000004F-477A-5B4E-936E-4C31D32CA2C3}"/>
              </c:ext>
            </c:extLst>
          </c:dPt>
          <c:dPt>
            <c:idx val="68"/>
            <c:bubble3D val="0"/>
            <c:extLst>
              <c:ext xmlns:c16="http://schemas.microsoft.com/office/drawing/2014/chart" uri="{C3380CC4-5D6E-409C-BE32-E72D297353CC}">
                <c16:uniqueId val="{00000050-477A-5B4E-936E-4C31D32CA2C3}"/>
              </c:ext>
            </c:extLst>
          </c:dPt>
          <c:dPt>
            <c:idx val="69"/>
            <c:bubble3D val="0"/>
            <c:extLst>
              <c:ext xmlns:c16="http://schemas.microsoft.com/office/drawing/2014/chart" uri="{C3380CC4-5D6E-409C-BE32-E72D297353CC}">
                <c16:uniqueId val="{00000051-477A-5B4E-936E-4C31D32CA2C3}"/>
              </c:ext>
            </c:extLst>
          </c:dPt>
          <c:dPt>
            <c:idx val="70"/>
            <c:bubble3D val="0"/>
            <c:extLst>
              <c:ext xmlns:c16="http://schemas.microsoft.com/office/drawing/2014/chart" uri="{C3380CC4-5D6E-409C-BE32-E72D297353CC}">
                <c16:uniqueId val="{00000052-477A-5B4E-936E-4C31D32CA2C3}"/>
              </c:ext>
            </c:extLst>
          </c:dPt>
          <c:dPt>
            <c:idx val="71"/>
            <c:bubble3D val="0"/>
            <c:extLst>
              <c:ext xmlns:c16="http://schemas.microsoft.com/office/drawing/2014/chart" uri="{C3380CC4-5D6E-409C-BE32-E72D297353CC}">
                <c16:uniqueId val="{00000053-477A-5B4E-936E-4C31D32CA2C3}"/>
              </c:ext>
            </c:extLst>
          </c:dPt>
          <c:dPt>
            <c:idx val="72"/>
            <c:bubble3D val="0"/>
            <c:extLst>
              <c:ext xmlns:c16="http://schemas.microsoft.com/office/drawing/2014/chart" uri="{C3380CC4-5D6E-409C-BE32-E72D297353CC}">
                <c16:uniqueId val="{00000054-477A-5B4E-936E-4C31D32CA2C3}"/>
              </c:ext>
            </c:extLst>
          </c:dPt>
          <c:dPt>
            <c:idx val="73"/>
            <c:bubble3D val="0"/>
            <c:extLst>
              <c:ext xmlns:c16="http://schemas.microsoft.com/office/drawing/2014/chart" uri="{C3380CC4-5D6E-409C-BE32-E72D297353CC}">
                <c16:uniqueId val="{00000055-477A-5B4E-936E-4C31D32CA2C3}"/>
              </c:ext>
            </c:extLst>
          </c:dPt>
          <c:dPt>
            <c:idx val="74"/>
            <c:bubble3D val="0"/>
            <c:extLst>
              <c:ext xmlns:c16="http://schemas.microsoft.com/office/drawing/2014/chart" uri="{C3380CC4-5D6E-409C-BE32-E72D297353CC}">
                <c16:uniqueId val="{00000056-477A-5B4E-936E-4C31D32CA2C3}"/>
              </c:ext>
            </c:extLst>
          </c:dPt>
          <c:dPt>
            <c:idx val="75"/>
            <c:bubble3D val="0"/>
            <c:extLst>
              <c:ext xmlns:c16="http://schemas.microsoft.com/office/drawing/2014/chart" uri="{C3380CC4-5D6E-409C-BE32-E72D297353CC}">
                <c16:uniqueId val="{00000057-477A-5B4E-936E-4C31D32CA2C3}"/>
              </c:ext>
            </c:extLst>
          </c:dPt>
          <c:dPt>
            <c:idx val="76"/>
            <c:bubble3D val="0"/>
            <c:extLst>
              <c:ext xmlns:c16="http://schemas.microsoft.com/office/drawing/2014/chart" uri="{C3380CC4-5D6E-409C-BE32-E72D297353CC}">
                <c16:uniqueId val="{00000058-477A-5B4E-936E-4C31D32CA2C3}"/>
              </c:ext>
            </c:extLst>
          </c:dPt>
          <c:dPt>
            <c:idx val="77"/>
            <c:bubble3D val="0"/>
            <c:extLst>
              <c:ext xmlns:c16="http://schemas.microsoft.com/office/drawing/2014/chart" uri="{C3380CC4-5D6E-409C-BE32-E72D297353CC}">
                <c16:uniqueId val="{00000059-477A-5B4E-936E-4C31D32CA2C3}"/>
              </c:ext>
            </c:extLst>
          </c:dPt>
          <c:dPt>
            <c:idx val="78"/>
            <c:bubble3D val="0"/>
            <c:extLst>
              <c:ext xmlns:c16="http://schemas.microsoft.com/office/drawing/2014/chart" uri="{C3380CC4-5D6E-409C-BE32-E72D297353CC}">
                <c16:uniqueId val="{0000005A-477A-5B4E-936E-4C31D32CA2C3}"/>
              </c:ext>
            </c:extLst>
          </c:dPt>
          <c:dPt>
            <c:idx val="79"/>
            <c:bubble3D val="0"/>
            <c:extLst>
              <c:ext xmlns:c16="http://schemas.microsoft.com/office/drawing/2014/chart" uri="{C3380CC4-5D6E-409C-BE32-E72D297353CC}">
                <c16:uniqueId val="{0000005B-477A-5B4E-936E-4C31D32CA2C3}"/>
              </c:ext>
            </c:extLst>
          </c:dPt>
          <c:dPt>
            <c:idx val="80"/>
            <c:bubble3D val="0"/>
            <c:extLst>
              <c:ext xmlns:c16="http://schemas.microsoft.com/office/drawing/2014/chart" uri="{C3380CC4-5D6E-409C-BE32-E72D297353CC}">
                <c16:uniqueId val="{0000005C-477A-5B4E-936E-4C31D32CA2C3}"/>
              </c:ext>
            </c:extLst>
          </c:dPt>
          <c:dPt>
            <c:idx val="81"/>
            <c:bubble3D val="0"/>
            <c:extLst>
              <c:ext xmlns:c16="http://schemas.microsoft.com/office/drawing/2014/chart" uri="{C3380CC4-5D6E-409C-BE32-E72D297353CC}">
                <c16:uniqueId val="{0000005D-477A-5B4E-936E-4C31D32CA2C3}"/>
              </c:ext>
            </c:extLst>
          </c:dPt>
          <c:dPt>
            <c:idx val="82"/>
            <c:bubble3D val="0"/>
            <c:extLst>
              <c:ext xmlns:c16="http://schemas.microsoft.com/office/drawing/2014/chart" uri="{C3380CC4-5D6E-409C-BE32-E72D297353CC}">
                <c16:uniqueId val="{0000005E-477A-5B4E-936E-4C31D32CA2C3}"/>
              </c:ext>
            </c:extLst>
          </c:dPt>
          <c:dPt>
            <c:idx val="83"/>
            <c:bubble3D val="0"/>
            <c:extLst>
              <c:ext xmlns:c16="http://schemas.microsoft.com/office/drawing/2014/chart" uri="{C3380CC4-5D6E-409C-BE32-E72D297353CC}">
                <c16:uniqueId val="{0000005F-477A-5B4E-936E-4C31D32CA2C3}"/>
              </c:ext>
            </c:extLst>
          </c:dPt>
          <c:dPt>
            <c:idx val="84"/>
            <c:bubble3D val="0"/>
            <c:extLst>
              <c:ext xmlns:c16="http://schemas.microsoft.com/office/drawing/2014/chart" uri="{C3380CC4-5D6E-409C-BE32-E72D297353CC}">
                <c16:uniqueId val="{00000060-477A-5B4E-936E-4C31D32CA2C3}"/>
              </c:ext>
            </c:extLst>
          </c:dPt>
          <c:dPt>
            <c:idx val="85"/>
            <c:bubble3D val="0"/>
            <c:extLst>
              <c:ext xmlns:c16="http://schemas.microsoft.com/office/drawing/2014/chart" uri="{C3380CC4-5D6E-409C-BE32-E72D297353CC}">
                <c16:uniqueId val="{00000061-477A-5B4E-936E-4C31D32CA2C3}"/>
              </c:ext>
            </c:extLst>
          </c:dPt>
          <c:dPt>
            <c:idx val="86"/>
            <c:bubble3D val="0"/>
            <c:extLst>
              <c:ext xmlns:c16="http://schemas.microsoft.com/office/drawing/2014/chart" uri="{C3380CC4-5D6E-409C-BE32-E72D297353CC}">
                <c16:uniqueId val="{00000062-477A-5B4E-936E-4C31D32CA2C3}"/>
              </c:ext>
            </c:extLst>
          </c:dPt>
          <c:dPt>
            <c:idx val="87"/>
            <c:bubble3D val="0"/>
            <c:extLst>
              <c:ext xmlns:c16="http://schemas.microsoft.com/office/drawing/2014/chart" uri="{C3380CC4-5D6E-409C-BE32-E72D297353CC}">
                <c16:uniqueId val="{00000063-477A-5B4E-936E-4C31D32CA2C3}"/>
              </c:ext>
            </c:extLst>
          </c:dPt>
          <c:dPt>
            <c:idx val="88"/>
            <c:bubble3D val="0"/>
            <c:extLst>
              <c:ext xmlns:c16="http://schemas.microsoft.com/office/drawing/2014/chart" uri="{C3380CC4-5D6E-409C-BE32-E72D297353CC}">
                <c16:uniqueId val="{00000064-477A-5B4E-936E-4C31D32CA2C3}"/>
              </c:ext>
            </c:extLst>
          </c:dPt>
          <c:dPt>
            <c:idx val="89"/>
            <c:bubble3D val="0"/>
            <c:extLst>
              <c:ext xmlns:c16="http://schemas.microsoft.com/office/drawing/2014/chart" uri="{C3380CC4-5D6E-409C-BE32-E72D297353CC}">
                <c16:uniqueId val="{00000065-477A-5B4E-936E-4C31D32CA2C3}"/>
              </c:ext>
            </c:extLst>
          </c:dPt>
          <c:dPt>
            <c:idx val="90"/>
            <c:bubble3D val="0"/>
            <c:extLst>
              <c:ext xmlns:c16="http://schemas.microsoft.com/office/drawing/2014/chart" uri="{C3380CC4-5D6E-409C-BE32-E72D297353CC}">
                <c16:uniqueId val="{00000066-477A-5B4E-936E-4C31D32CA2C3}"/>
              </c:ext>
            </c:extLst>
          </c:dPt>
          <c:dPt>
            <c:idx val="91"/>
            <c:bubble3D val="0"/>
            <c:extLst>
              <c:ext xmlns:c16="http://schemas.microsoft.com/office/drawing/2014/chart" uri="{C3380CC4-5D6E-409C-BE32-E72D297353CC}">
                <c16:uniqueId val="{00000067-477A-5B4E-936E-4C31D32CA2C3}"/>
              </c:ext>
            </c:extLst>
          </c:dPt>
          <c:dPt>
            <c:idx val="92"/>
            <c:bubble3D val="0"/>
            <c:extLst>
              <c:ext xmlns:c16="http://schemas.microsoft.com/office/drawing/2014/chart" uri="{C3380CC4-5D6E-409C-BE32-E72D297353CC}">
                <c16:uniqueId val="{00000068-477A-5B4E-936E-4C31D32CA2C3}"/>
              </c:ext>
            </c:extLst>
          </c:dPt>
          <c:dPt>
            <c:idx val="93"/>
            <c:bubble3D val="0"/>
            <c:extLst>
              <c:ext xmlns:c16="http://schemas.microsoft.com/office/drawing/2014/chart" uri="{C3380CC4-5D6E-409C-BE32-E72D297353CC}">
                <c16:uniqueId val="{00000069-477A-5B4E-936E-4C31D32CA2C3}"/>
              </c:ext>
            </c:extLst>
          </c:dPt>
          <c:dPt>
            <c:idx val="94"/>
            <c:bubble3D val="0"/>
            <c:extLst>
              <c:ext xmlns:c16="http://schemas.microsoft.com/office/drawing/2014/chart" uri="{C3380CC4-5D6E-409C-BE32-E72D297353CC}">
                <c16:uniqueId val="{0000006A-477A-5B4E-936E-4C31D32CA2C3}"/>
              </c:ext>
            </c:extLst>
          </c:dPt>
          <c:dPt>
            <c:idx val="95"/>
            <c:bubble3D val="0"/>
            <c:extLst>
              <c:ext xmlns:c16="http://schemas.microsoft.com/office/drawing/2014/chart" uri="{C3380CC4-5D6E-409C-BE32-E72D297353CC}">
                <c16:uniqueId val="{0000006B-477A-5B4E-936E-4C31D32CA2C3}"/>
              </c:ext>
            </c:extLst>
          </c:dPt>
          <c:dPt>
            <c:idx val="96"/>
            <c:bubble3D val="0"/>
            <c:extLst>
              <c:ext xmlns:c16="http://schemas.microsoft.com/office/drawing/2014/chart" uri="{C3380CC4-5D6E-409C-BE32-E72D297353CC}">
                <c16:uniqueId val="{0000006C-477A-5B4E-936E-4C31D32CA2C3}"/>
              </c:ext>
            </c:extLst>
          </c:dPt>
          <c:dPt>
            <c:idx val="97"/>
            <c:bubble3D val="0"/>
            <c:extLst>
              <c:ext xmlns:c16="http://schemas.microsoft.com/office/drawing/2014/chart" uri="{C3380CC4-5D6E-409C-BE32-E72D297353CC}">
                <c16:uniqueId val="{0000006D-477A-5B4E-936E-4C31D32CA2C3}"/>
              </c:ext>
            </c:extLst>
          </c:dPt>
          <c:dLbls>
            <c:spPr>
              <a:noFill/>
              <a:ln>
                <a:noFill/>
              </a:ln>
              <a:effectLst/>
            </c:spPr>
            <c:showLegendKey val="0"/>
            <c:showVal val="0"/>
            <c:showCatName val="1"/>
            <c:showSerName val="0"/>
            <c:showPercent val="0"/>
            <c:showBubbleSize val="0"/>
            <c:showLeaderLines val="1"/>
            <c:extLst>
              <c:ext xmlns:c15="http://schemas.microsoft.com/office/drawing/2012/chart" uri="{CE6537A1-D6FC-4f65-9D91-7224C49458BB}"/>
            </c:extLst>
          </c:dLbls>
          <c:cat>
            <c:strRef>
              <c:f>Stocks!$C$23:$C$120</c:f>
              <c:strCache>
                <c:ptCount val="12"/>
                <c:pt idx="0">
                  <c:v>AAPL</c:v>
                </c:pt>
                <c:pt idx="1">
                  <c:v>GOOG</c:v>
                </c:pt>
                <c:pt idx="2">
                  <c:v>SPY</c:v>
                </c:pt>
                <c:pt idx="3">
                  <c:v>MSFT</c:v>
                </c:pt>
                <c:pt idx="4">
                  <c:v>JNJ</c:v>
                </c:pt>
                <c:pt idx="5">
                  <c:v>NVDA</c:v>
                </c:pt>
                <c:pt idx="6">
                  <c:v>UNH</c:v>
                </c:pt>
                <c:pt idx="7">
                  <c:v>JPM</c:v>
                </c:pt>
                <c:pt idx="8">
                  <c:v>XOM</c:v>
                </c:pt>
                <c:pt idx="9">
                  <c:v>SNAP</c:v>
                </c:pt>
                <c:pt idx="10">
                  <c:v>META</c:v>
                </c:pt>
                <c:pt idx="11">
                  <c:v>DG</c:v>
                </c:pt>
              </c:strCache>
            </c:strRef>
          </c:cat>
          <c:val>
            <c:numRef>
              <c:f>Stocks!$H$23:$H$120</c:f>
              <c:numCache>
                <c:formatCode>0.00</c:formatCode>
                <c:ptCount val="98"/>
                <c:pt idx="0">
                  <c:v>21355</c:v>
                </c:pt>
                <c:pt idx="1">
                  <c:v>18055</c:v>
                </c:pt>
                <c:pt idx="2">
                  <c:v>31267</c:v>
                </c:pt>
                <c:pt idx="3">
                  <c:v>49884</c:v>
                </c:pt>
                <c:pt idx="4">
                  <c:v>15601</c:v>
                </c:pt>
                <c:pt idx="5">
                  <c:v>15934</c:v>
                </c:pt>
                <c:pt idx="6">
                  <c:v>30855</c:v>
                </c:pt>
                <c:pt idx="7">
                  <c:v>32560</c:v>
                </c:pt>
                <c:pt idx="8">
                  <c:v>5610</c:v>
                </c:pt>
                <c:pt idx="9">
                  <c:v>9270</c:v>
                </c:pt>
                <c:pt idx="10">
                  <c:v>35950.5</c:v>
                </c:pt>
                <c:pt idx="11">
                  <c:v>11411</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numCache>
            </c:numRef>
          </c:val>
          <c:extLst>
            <c:ext xmlns:c16="http://schemas.microsoft.com/office/drawing/2014/chart" uri="{C3380CC4-5D6E-409C-BE32-E72D297353CC}">
              <c16:uniqueId val="{0000006E-477A-5B4E-936E-4C31D32CA2C3}"/>
            </c:ext>
          </c:extLst>
        </c:ser>
        <c:dLbls>
          <c:showLegendKey val="0"/>
          <c:showVal val="0"/>
          <c:showCatName val="0"/>
          <c:showSerName val="0"/>
          <c:showPercent val="0"/>
          <c:showBubbleSize val="0"/>
          <c:showLeaderLines val="1"/>
        </c:dLbls>
        <c:firstSliceAng val="0"/>
      </c:pieChart>
    </c:plotArea>
    <c:legend>
      <c:legendPos val="r"/>
      <c:overlay val="0"/>
      <c:txPr>
        <a:bodyPr/>
        <a:lstStyle/>
        <a:p>
          <a:pPr lvl="0">
            <a:defRPr sz="1600" b="1" i="0">
              <a:solidFill>
                <a:srgbClr val="000000"/>
              </a:solidFill>
              <a:latin typeface="Arial"/>
            </a:defRPr>
          </a:pPr>
          <a:endParaRPr lang="en-US"/>
        </a:p>
      </c:txPr>
    </c:legend>
    <c:plotVisOnly val="1"/>
    <c:dispBlanksAs val="zero"/>
    <c:showDLblsOverMax val="1"/>
  </c:chart>
  <c:spPr>
    <a:solidFill>
      <a:srgbClr val="FFFFFF"/>
    </a:solidFill>
  </c:sp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
  <cs:axisTitle>
    <cs:lnRef idx="0"/>
    <cs:fillRef idx="0"/>
    <cs:effectRef idx="0"/>
    <cs:fontRef idx="minor">
      <a:schemeClr val="tx1"/>
    </cs:fontRef>
    <cs:defRPr sz="1000" b="1" kern="1200"/>
  </cs:axisTitle>
  <cs:categoryAxis>
    <cs:lnRef idx="1">
      <a:schemeClr val="tx1"/>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0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4</xdr:col>
      <xdr:colOff>126999</xdr:colOff>
      <xdr:row>7</xdr:row>
      <xdr:rowOff>18143</xdr:rowOff>
    </xdr:from>
    <xdr:ext cx="7139216" cy="2821213"/>
    <xdr:graphicFrame macro="">
      <xdr:nvGraphicFramePr>
        <xdr:cNvPr id="2" name="Chart 1" title="Chart">
          <a:extLst>
            <a:ext uri="{FF2B5EF4-FFF2-40B4-BE49-F238E27FC236}">
              <a16:creationId xmlns:a16="http://schemas.microsoft.com/office/drawing/2014/main" id="{D667C911-60E3-C445-8248-C5FB888CF0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twoCellAnchor editAs="oneCell">
    <xdr:from>
      <xdr:col>0</xdr:col>
      <xdr:colOff>0</xdr:colOff>
      <xdr:row>24</xdr:row>
      <xdr:rowOff>0</xdr:rowOff>
    </xdr:from>
    <xdr:to>
      <xdr:col>3</xdr:col>
      <xdr:colOff>1422400</xdr:colOff>
      <xdr:row>47</xdr:row>
      <xdr:rowOff>0</xdr:rowOff>
    </xdr:to>
    <xdr:pic>
      <xdr:nvPicPr>
        <xdr:cNvPr id="4" name="VaR_Hist">
          <a:extLst>
            <a:ext uri="{FF2B5EF4-FFF2-40B4-BE49-F238E27FC236}">
              <a16:creationId xmlns:a16="http://schemas.microsoft.com/office/drawing/2014/main" id="{EAA6C7FD-AE88-30BD-8AE0-EACFAFD3AEC6}"/>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4847167"/>
          <a:ext cx="5835650" cy="4381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10583</xdr:rowOff>
    </xdr:from>
    <xdr:ext cx="5654675" cy="3667125"/>
    <xdr:graphicFrame macro="">
      <xdr:nvGraphicFramePr>
        <xdr:cNvPr id="2" name="Chart 3" title="Chart">
          <a:extLst>
            <a:ext uri="{FF2B5EF4-FFF2-40B4-BE49-F238E27FC236}">
              <a16:creationId xmlns:a16="http://schemas.microsoft.com/office/drawing/2014/main" id="{E351A0FE-2FE7-B94D-8D19-6265C55FBD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444500</xdr:colOff>
      <xdr:row>0</xdr:row>
      <xdr:rowOff>38100</xdr:rowOff>
    </xdr:from>
    <xdr:ext cx="9572625" cy="3771900"/>
    <xdr:graphicFrame macro="">
      <xdr:nvGraphicFramePr>
        <xdr:cNvPr id="3" name="Chart 4" title="Chart">
          <a:extLst>
            <a:ext uri="{FF2B5EF4-FFF2-40B4-BE49-F238E27FC236}">
              <a16:creationId xmlns:a16="http://schemas.microsoft.com/office/drawing/2014/main" id="{F74A5368-DC3A-824F-BB6F-9F51D4CADD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twoCellAnchor editAs="oneCell">
    <xdr:from>
      <xdr:col>6</xdr:col>
      <xdr:colOff>0</xdr:colOff>
      <xdr:row>0</xdr:row>
      <xdr:rowOff>0</xdr:rowOff>
    </xdr:from>
    <xdr:to>
      <xdr:col>14</xdr:col>
      <xdr:colOff>609600</xdr:colOff>
      <xdr:row>22</xdr:row>
      <xdr:rowOff>114300</xdr:rowOff>
    </xdr:to>
    <xdr:pic>
      <xdr:nvPicPr>
        <xdr:cNvPr id="31" name="histogram">
          <a:extLst>
            <a:ext uri="{FF2B5EF4-FFF2-40B4-BE49-F238E27FC236}">
              <a16:creationId xmlns:a16="http://schemas.microsoft.com/office/drawing/2014/main" id="{C025CEF3-A063-31F1-3146-D4D7E4BE27F9}"/>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930900" y="0"/>
          <a:ext cx="7213600" cy="4457700"/>
        </a:xfrm>
        <a:prstGeom prst="rect">
          <a:avLst/>
        </a:prstGeom>
      </xdr:spPr>
    </xdr:pic>
    <xdr:clientData/>
  </xdr:twoCellAnchor>
  <xdr:twoCellAnchor editAs="oneCell">
    <xdr:from>
      <xdr:col>5</xdr:col>
      <xdr:colOff>635000</xdr:colOff>
      <xdr:row>27</xdr:row>
      <xdr:rowOff>38100</xdr:rowOff>
    </xdr:from>
    <xdr:to>
      <xdr:col>18</xdr:col>
      <xdr:colOff>774700</xdr:colOff>
      <xdr:row>65</xdr:row>
      <xdr:rowOff>63500</xdr:rowOff>
    </xdr:to>
    <xdr:pic>
      <xdr:nvPicPr>
        <xdr:cNvPr id="33" name="simulation_paths">
          <a:extLst>
            <a:ext uri="{FF2B5EF4-FFF2-40B4-BE49-F238E27FC236}">
              <a16:creationId xmlns:a16="http://schemas.microsoft.com/office/drawing/2014/main" id="{6A8ACF19-6807-CE7A-D725-B1F47B455045}"/>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740400" y="5207000"/>
          <a:ext cx="10871200" cy="6299200"/>
        </a:xfrm>
        <a:prstGeom prst="rect">
          <a:avLst/>
        </a:prstGeom>
      </xdr:spPr>
    </xdr:pic>
    <xdr:clientData/>
  </xdr:twoCellAnchor>
</xdr:wsDr>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richvalue.xml><?xml version="1.0" encoding="utf-8"?>
<rvData xmlns="http://schemas.microsoft.com/office/spreadsheetml/2017/richdata" count="43">
  <rv s="0">
    <v>https://www.bing.com/financeapi/forcetrigger?t=a24kar&amp;q=XNAS%3aTSLA&amp;form=skydnc</v>
    <v>Learn more on Bing</v>
  </rv>
  <rv s="1">
    <v>0</v>
    <v>TESLA, INC. (XNAS:TSLA)</v>
    <v>2</v>
    <v>3</v>
    <v>Finance</v>
    <v>4</v>
    <v>en-GB</v>
    <v>a24kar</v>
    <v>268435456</v>
    <v>1</v>
    <v>Powered by Refinitiv</v>
    <v>488.53989999999999</v>
    <v>182</v>
    <v>2.3372999999999999</v>
    <v>-0.3</v>
    <v>-9.5040000000000001E-4</v>
    <v>USD</v>
    <v>Tesla, Inc. designs, develops, manufactures, sells and leases high-performance fully electric vehicles and energy generation and storage systems, and offers services related to its products. Its segments include automotive, and energy generation and storage. The automotive segment includes the design, development, manufacturing, sales and leasing of high-performance fully electric vehicles, and sales of automotive regulatory credits. It also includes sales of used vehicles, non-warranty maintenance services and collisions, part sales, paid supercharging, insurance services revenue and retail merchandise sales. The energy generation and storage segment include the design, manufacture, installation, sales and leasing of solar energy generation and energy storage products and related services and sales of solar energy systems incentives. Its consumer vehicles include the Model 3, Y, S, X and Cybertruck. Its lithium-ion battery energy storage products include Powerwall and Megapack.</v>
    <v>125665</v>
    <v>Nasdaq Stock Market</v>
    <v>XNAS</v>
    <v>XNAS</v>
    <v>1 Tesla Road, AUSTIN, TX, 78725 US</v>
    <v>318.45</v>
    <v>Automobiles &amp; Auto Parts</v>
    <v>Stock</v>
    <v>45841.874997233594</v>
    <v>0</v>
    <v>312.76</v>
    <v>1015729000000</v>
    <v>TESLA, INC.</v>
    <v>TESLA, INC.</v>
    <v>317.99</v>
    <v>173.7328</v>
    <v>315.64999999999998</v>
    <v>315.35000000000002</v>
    <v>3220956000</v>
    <v>TSLA</v>
    <v>TESLA, INC. (XNAS:TSLA)</v>
    <v>58042302</v>
    <v>120083001</v>
    <v>2024</v>
  </rv>
  <rv s="2">
    <v>1</v>
  </rv>
  <rv s="0">
    <v>https://www.bing.com/financeapi/forcetrigger?t=a1mou2&amp;q=XNAS%3aAAPL&amp;form=skydnc</v>
    <v>Learn more on Bing</v>
  </rv>
  <rv s="1">
    <v>0</v>
    <v>APPLE INC. (XNAS:AAPL)</v>
    <v>2</v>
    <v>3</v>
    <v>Finance</v>
    <v>4</v>
    <v>en-GB</v>
    <v>a1mou2</v>
    <v>268435456</v>
    <v>1</v>
    <v>Powered by Refinitiv</v>
    <v>260.10000000000002</v>
    <v>169.21010000000001</v>
    <v>1.1660999999999999</v>
    <v>1.1100000000000001</v>
    <v>5.2249999999999996E-3</v>
    <v>USD</v>
    <v>Apple Inc. designs, manufactures and markets smartphones, personal computers, tablets, wearables and accessories, and sells a variety of related services. Its product categories include iPhone, Mac, iPad, and Wearables, Home and Accessories. Its software platforms include iOS, iPadOS, macOS, watchOS, visionOS, and tvOS. Its services include advertising, AppleCare, cloud services, digital content and payment services. The Company operates various platforms, including the App Store, that allow customers to discover and download applications and digital content, such as books, music, video, games and podcasts. It also offers digital content through subscription-based services, including Apple Arcade, Apple Fitness+, Apple Music, Apple News+, and Apple TV+. Its products include iPhone 16 Pro, iPhone 16, iPhone 15, iPhone 14, iPhone SE, MacBook Air, MacBook Pro, iMac, Mac mini, Mac Studio, Mac Pro, iPad Pro, iPad Air, AirPods, AirPods Pro, AirPods Max, Apple TV and Apple Vision Pro.</v>
    <v>164000</v>
    <v>Nasdaq Stock Market</v>
    <v>XNAS</v>
    <v>XNAS</v>
    <v>One Apple Park Way, CUPERTINO, CA, 95014 US</v>
    <v>214.65</v>
    <v>Computers, Phones &amp; Household Electronics</v>
    <v>Stock</v>
    <v>45841.874976608597</v>
    <v>3</v>
    <v>211.81010000000001</v>
    <v>3189546000000</v>
    <v>APPLE INC.</v>
    <v>APPLE INC.</v>
    <v>212.14500000000001</v>
    <v>30.005299999999998</v>
    <v>212.44</v>
    <v>213.55</v>
    <v>14935830000</v>
    <v>AAPL</v>
    <v>APPLE INC. (XNAS:AAPL)</v>
    <v>34955836</v>
    <v>56594905</v>
    <v>1977</v>
  </rv>
  <rv s="2">
    <v>4</v>
  </rv>
  <rv s="0">
    <v>https://www.bing.com/financeapi/forcetrigger?t=a1u3p2&amp;q=XNAS%3aGOOG&amp;form=skydnc</v>
    <v>Learn more on Bing</v>
  </rv>
  <rv s="1">
    <v>0</v>
    <v>ALPHABET INC. (XNAS:GOOG)</v>
    <v>2</v>
    <v>3</v>
    <v>Finance</v>
    <v>4</v>
    <v>en-GB</v>
    <v>a1u3p2</v>
    <v>268435456</v>
    <v>1</v>
    <v>Powered by Refinitiv</v>
    <v>208.7</v>
    <v>142.66</v>
    <v>1.0092000000000001</v>
    <v>0.79</v>
    <v>4.3949999999999996E-3</v>
    <v>USD</v>
    <v>Alphabet Inc. is a holding company. The Company's segments include Google Services, Google Cloud, and Other Bets. The Google Services segment includes products and services such as ads, Android, Chrome, devices, Google Maps, Google Play, Search, and YouTube. The Google Cloud segment includes infrastructure and platform services, collaboration tools, and other services for enterprise customers. Its Other Bets segment is engaged in the sale of healthcare-related services and Internet services. Its Google Cloud provides enterprise-ready cloud services, including Google Cloud Platform and Google Workspace. Google Cloud Platform provides access to solutions such as artificial intelligence (AI) offerings, including its AI infrastructure, Vertex AI platform, and Gemini for Google Cloud; cybersecurity, and data and analytics. Google Workspace includes cloud-based communication and collaboration tools for enterprises, such as Calendar, Gmail, Docs, Drive, and Meet.</v>
    <v>185719</v>
    <v>Nasdaq Stock Market</v>
    <v>XNAS</v>
    <v>XNAS</v>
    <v>1600 Amphitheatre Parkway, MOUNTAIN VIEW, CA, 94043 US</v>
    <v>180.77</v>
    <v>Software &amp; IT Services</v>
    <v>Stock</v>
    <v>45841.874881642965</v>
    <v>6</v>
    <v>178.19</v>
    <v>2184165000000</v>
    <v>ALPHABET INC.</v>
    <v>ALPHABET INC.</v>
    <v>179.82</v>
    <v>20.0473</v>
    <v>179.76</v>
    <v>180.55</v>
    <v>12135000000</v>
    <v>GOOG</v>
    <v>ALPHABET INC. (XNAS:GOOG)</v>
    <v>13287389</v>
    <v>28376675</v>
    <v>2015</v>
  </rv>
  <rv s="2">
    <v>7</v>
  </rv>
  <rv s="0">
    <v>https://www.bing.com/financeapi/forcetrigger?t=a23hqh&amp;q=ARCX%3aSPY&amp;form=skydnc</v>
    <v>Learn more on Bing</v>
  </rv>
  <rv s="3">
    <v>5</v>
    <v>SPDR S&amp;P 500 (ARCX:SPY)</v>
    <v>6</v>
    <v>7</v>
    <v>Finance</v>
    <v>8</v>
    <v>en-GB</v>
    <v>a23hqh</v>
    <v>268435456</v>
    <v>1</v>
    <v>Powered by Refinitiv</v>
    <v>626.28</v>
    <v>481.8</v>
    <v>0.99819999999999998</v>
    <v>4.8899999999999997</v>
    <v>7.8810000000000009E-3</v>
    <v>USD</v>
    <v>NYSE Arca</v>
    <v>ARCX</v>
    <v>9.4499999999999998E-4</v>
    <v>626.28</v>
    <v>ETF</v>
    <v>45841.875000010936</v>
    <v>9</v>
    <v>622.42999999999995</v>
    <v>632446489346.07996</v>
    <v>SPDR S&amp;P 500</v>
    <v>622.45000000000005</v>
    <v>620.45000000000005</v>
    <v>625.34</v>
    <v>SPY</v>
    <v>SPDR S&amp;P 500 (ARCX:SPY)</v>
    <v>51065789</v>
    <v>71711339</v>
  </rv>
  <rv s="2">
    <v>10</v>
  </rv>
  <rv s="0">
    <v>http://en.wikipedia.org/wiki/Public_domain</v>
    <v>Public domain</v>
  </rv>
  <rv s="0">
    <v>https://en.wikipedia.org/wiki/Microsoft</v>
    <v>Wikipedia</v>
  </rv>
  <rv s="4">
    <v>12</v>
    <v>13</v>
  </rv>
  <rv s="5">
    <v>13</v>
    <v>https://www.bing.com/th?id=AMMS_e6e837c7bf3a77408619758b7447855a&amp;qlt=95</v>
    <v>14</v>
    <v>0</v>
    <v>https://www.bing.com/images/search?form=xlimg&amp;q=microsoft</v>
    <v>Image of MICROSOFT CORPORATION</v>
  </rv>
  <rv s="0">
    <v>https://www.bing.com/financeapi/forcetrigger?t=a1xzim&amp;q=XNAS%3aMSFT&amp;form=skydnc</v>
    <v>Learn more on Bing</v>
  </rv>
  <rv s="6">
    <v>9</v>
    <v>MICROSOFT CORPORATION (XNAS:MSFT)</v>
    <v>11</v>
    <v>12</v>
    <v>Finance</v>
    <v>4</v>
    <v>en-GB</v>
    <v>a1xzim</v>
    <v>268435456</v>
    <v>1</v>
    <v>Powered by Refinitiv</v>
    <v>500.76</v>
    <v>344.79</v>
    <v>1.0511999999999999</v>
    <v>7.75</v>
    <v>1.5781E-2</v>
    <v>USD</v>
    <v>Microsoft Corporation is a technology company. The Company develops and supports software, services, devices, and solutions. The Company’s segments include Productivity and Business Processes, Intelligent Cloud, and More Personal Computing. The Productivity and Business Processes segment consists of products and services in its portfolio of productivity, communication, and information services. This segment primarily comprises: Office Commercial, Office Consumer, LinkedIn, and Dynamics business solutions. The Intelligent Cloud segment consists of server products and cloud services, including Azure and other cloud services, SQL Server, Windows Server, Visual Studio, System Center, and related Client Access Licenses (CALs), and Nuance and GitHub; and Enterprise Services, including enterprise support services, industry solutions and Nuance professional services. The More Personal Computing segment primarily comprises Windows, Devices, Gaming, and search and news advertising.</v>
    <v>228000</v>
    <v>Nasdaq Stock Market</v>
    <v>XNAS</v>
    <v>XNAS</v>
    <v>One Microsoft Way, REDMOND, WA, 98052 US</v>
    <v>500.13</v>
    <v>15</v>
    <v>Software &amp; IT Services</v>
    <v>Stock</v>
    <v>45841.874978853906</v>
    <v>16</v>
    <v>493.44</v>
    <v>3707650000000</v>
    <v>MICROSOFT CORPORATION</v>
    <v>MICROSOFT CORPORATION</v>
    <v>493.81</v>
    <v>37.9529</v>
    <v>491.09</v>
    <v>498.84</v>
    <v>7432544000</v>
    <v>MSFT</v>
    <v>MICROSOFT CORPORATION (XNAS:MSFT)</v>
    <v>13984829</v>
    <v>20135270</v>
    <v>1993</v>
  </rv>
  <rv s="2">
    <v>17</v>
  </rv>
  <rv s="0">
    <v>https://www.bing.com/financeapi/forcetrigger?t=a1w8ec&amp;q=XNYS%3aJNJ&amp;form=skydnc</v>
    <v>Learn more on Bing</v>
  </rv>
  <rv s="1">
    <v>0</v>
    <v>JOHNSON &amp; JOHNSON (XNYS:JNJ)</v>
    <v>2</v>
    <v>3</v>
    <v>Finance</v>
    <v>4</v>
    <v>en-GB</v>
    <v>a1w8ec</v>
    <v>268435456</v>
    <v>1</v>
    <v>Powered by Refinitiv</v>
    <v>169.99</v>
    <v>140.68</v>
    <v>0.39419999999999999</v>
    <v>0.45</v>
    <v>2.8930000000000002E-3</v>
    <v>USD</v>
    <v>Johnson &amp; Johnson and its subsidiaries are engaged in the research and development, manufacture, and sale of a range of products in the healthcare field. The Company's primary focus is products related to human health and well-being. The Company operates through two segments: Innovative Medicine and MedTech. The Innovative Medicine segment is focused on various therapeutic areas, including immunology, infectious diseases, neuroscience, oncology, pulmonary hypertension, and cardiovascular and metabolism. Medicines in this segment are distributed directly to retailers, wholesalers, distributors, hospitals, and healthcare professionals for prescription use. The MedTech segment includes a broad portfolio of products used in the orthopedic, surgery, cardiovascular, and vision fields. These products are distributed to wholesalers, hospitals and retailers, and used principally in the professional fields by physicians, nurses, hospitals, eyecare professionals, and clinics.</v>
    <v>138100</v>
    <v>New York Stock Exchange</v>
    <v>XNYS</v>
    <v>XNYS</v>
    <v>One Johnson &amp; Johnson Plaza, NEW BRUNSWICK, NJ, 08933 US</v>
    <v>156.28</v>
    <v>Pharmaceuticals</v>
    <v>Stock</v>
    <v>45841.875000010936</v>
    <v>19</v>
    <v>154.88</v>
    <v>375371500000</v>
    <v>JOHNSON &amp; JOHNSON</v>
    <v>JOHNSON &amp; JOHNSON</v>
    <v>155.43</v>
    <v>17.294599999999999</v>
    <v>155.56</v>
    <v>156.01</v>
    <v>2406073000</v>
    <v>JNJ</v>
    <v>JOHNSON &amp; JOHNSON (XNYS:JNJ)</v>
    <v>3482521</v>
    <v>8249897</v>
    <v>1887</v>
  </rv>
  <rv s="2">
    <v>20</v>
  </rv>
  <rv s="0">
    <v>https://www.bing.com/financeapi/forcetrigger?t=a1yv52&amp;q=XNAS%3aNVDA&amp;form=skydnc</v>
    <v>Learn more on Bing</v>
  </rv>
  <rv s="1">
    <v>0</v>
    <v>NVIDIA CORPORATION (XNAS:NVDA)</v>
    <v>2</v>
    <v>3</v>
    <v>Finance</v>
    <v>4</v>
    <v>en-GB</v>
    <v>a1yv52</v>
    <v>268435456</v>
    <v>1</v>
    <v>Powered by Refinitiv</v>
    <v>160.97999999999999</v>
    <v>86.62</v>
    <v>2.1406999999999998</v>
    <v>2.09</v>
    <v>1.3290999999999999E-2</v>
    <v>USD</v>
    <v>NVIDIA Corporation is a full-stack computing infrastructure company. The Company is engaged in accelerated computing to help solve the challenging computational problems. The Company’s segments include Compute &amp; Networking and Graphics. The Compute &amp; Networking segment includes its Data Center accelerated computing platforms and artificial intelligence (AI) solutions and software; networking; automotive platforms and autonomous and electric vehicle solutions; Jetson for robotics and other embedded platforms, and DGX Cloud computing services. The Graphics segment includes GeForce GPUs for gaming and PCs, the GeForce NOW game streaming service and related infrastructure, and solutions for gaming platforms; Quadro/NVIDIA RTX GPUs for enterprise workstation graphics; virtual GPU software for cloud-based visual and virtual computing; automotive platforms for infotainment systems, and Omniverse Enterprise software for building and operating industrial AI and digital twin applications.</v>
    <v>36000</v>
    <v>Nasdaq Stock Market</v>
    <v>XNAS</v>
    <v>XNAS</v>
    <v>2788 San Tomas Expressway, SANTA CLARA, CA, 95051 US</v>
    <v>160.97999999999999</v>
    <v>Semiconductors &amp; Semiconductor Equipment</v>
    <v>Stock</v>
    <v>45841.874982823436</v>
    <v>22</v>
    <v>157.77000000000001</v>
    <v>3887896000000</v>
    <v>NVIDIA CORPORATION</v>
    <v>NVIDIA CORPORATION</v>
    <v>158.37</v>
    <v>50.6524</v>
    <v>157.25</v>
    <v>159.34</v>
    <v>24400000000</v>
    <v>NVDA</v>
    <v>NVIDIA CORPORATION (XNAS:NVDA)</v>
    <v>143716055</v>
    <v>208579384</v>
    <v>1998</v>
  </rv>
  <rv s="2">
    <v>23</v>
  </rv>
  <rv s="0">
    <v>https://www.bing.com/financeapi/forcetrigger?t=a24xlh&amp;q=XNYS%3aUNH&amp;form=skydnc</v>
    <v>Learn more on Bing</v>
  </rv>
  <rv s="1">
    <v>0</v>
    <v>UNITEDHEALTH GROUP INCORPORATED (XNYS:UNH)</v>
    <v>2</v>
    <v>3</v>
    <v>Finance</v>
    <v>4</v>
    <v>en-GB</v>
    <v>a24xlh</v>
    <v>268435456</v>
    <v>1</v>
    <v>Powered by Refinitiv</v>
    <v>630.73</v>
    <v>248.88</v>
    <v>0.45569999999999999</v>
    <v>0.99</v>
    <v>3.2190000000000001E-3</v>
    <v>USD</v>
    <v>UnitedHealth Group Incorporated is a healthcare company. The Company operates two businesses, Optum and UnitedHealthcare. Optum serves the healthcare marketplace, including patients and consumers, payers, care providers, employers, governments and life sciences companies, through its Optum Health, Optum Insight and Optum Rx businesses. UnitedHealthcare offers a full range of health benefits, simplifying the healthcare experience and providing affordable solutions. The Company’s segments include Optum Health, Optum Insight, Optum Rx and UnitedHealthcare. The UnitedHealthcare segment includes UnitedHealthcare Employer &amp; Individual, which serves consumers and employers; UnitedHealthcare Medicare &amp; Retirement delivers health and well-being benefits to seniors and other Medicare-eligible consumers; and UnitedHealthcare Community &amp; State serves consumers who are economically disadvantaged, the medically underserved and those without the benefit of employer sponsored health benefits coverage.</v>
    <v>400000</v>
    <v>New York Stock Exchange</v>
    <v>XNYS</v>
    <v>XNYS</v>
    <v>1 HEALTH DRIVE, EDEN PRAIRIE, MN, 55344 US</v>
    <v>312.25</v>
    <v>Healthcare Providers &amp; Services</v>
    <v>Stock</v>
    <v>45841.875000010936</v>
    <v>25</v>
    <v>308.23</v>
    <v>279898200000</v>
    <v>UNITEDHEALTH GROUP INCORPORATED</v>
    <v>UNITEDHEALTH GROUP INCORPORATED</v>
    <v>309.83999999999997</v>
    <v>12.8719</v>
    <v>307.56</v>
    <v>308.55</v>
    <v>907140400</v>
    <v>UNH</v>
    <v>UNITEDHEALTH GROUP INCORPORATED (XNYS:UNH)</v>
    <v>6161145</v>
    <v>13518932</v>
    <v>2015</v>
  </rv>
  <rv s="2">
    <v>26</v>
  </rv>
  <rv s="0">
    <v>https://www.bing.com/financeapi/forcetrigger?t=a1waa2&amp;q=XNYS%3aJPM&amp;form=skydnc</v>
    <v>Learn more on Bing</v>
  </rv>
  <rv s="1">
    <v>0</v>
    <v>JPMORGAN CHASE &amp; CO. (XNYS:JPM)</v>
    <v>2</v>
    <v>3</v>
    <v>Finance</v>
    <v>4</v>
    <v>en-GB</v>
    <v>a1waa2</v>
    <v>268435456</v>
    <v>1</v>
    <v>Powered by Refinitiv</v>
    <v>296.39999999999998</v>
    <v>190.9</v>
    <v>1.1076999999999999</v>
    <v>5.4</v>
    <v>1.8582000000000001E-2</v>
    <v>USD</v>
    <v>JPMorgan Chase &amp; Co. is a financial holding company. The Company is engaged in investment banking, financial services for consumers and small businesses, commercial banking, financial transaction processing and asset management. The Company operates through three segments: Consumer &amp; Community Banking (CCB), Commercial &amp; Investment Bank (CIB), and Asset &amp; Wealth Management (AWM). Its CCB segment offers products and services to consumers and small businesses through bank branches, ATMs, digital and telephone banking. Its CIB segment consists of banking and payments and markets and securities services, and offers a suite of investment banking, lending, payments, market-making, financing, custody and securities products and services to a global base of corporate and institutional clients. AWM segment offers investment and wealth management solutions. It offers multi-asset investment management solutions, retirement products and services, brokerage, custody, estate planning, and others.</v>
    <v>318477</v>
    <v>New York Stock Exchange</v>
    <v>XNYS</v>
    <v>XNYS</v>
    <v>383 Madison Avenue, NEW YORK, NY, 10179-0001 US</v>
    <v>296.39999999999998</v>
    <v>Banking Services</v>
    <v>Stock</v>
    <v>45841.875000010936</v>
    <v>28</v>
    <v>291.20999999999998</v>
    <v>822611900000</v>
    <v>JPMORGAN CHASE &amp; CO.</v>
    <v>JPMORGAN CHASE &amp; CO.</v>
    <v>292.14999999999998</v>
    <v>14.263299999999999</v>
    <v>290.60000000000002</v>
    <v>296</v>
    <v>2779094000</v>
    <v>JPM</v>
    <v>JPMORGAN CHASE &amp; CO. (XNYS:JPM)</v>
    <v>6541646</v>
    <v>8538367</v>
    <v>1968</v>
  </rv>
  <rv s="2">
    <v>29</v>
  </rv>
  <rv s="0">
    <v>https://www.bing.com/financeapi/forcetrigger?t=a269ec&amp;q=XNYS%3aXOM&amp;form=skydnc</v>
    <v>Learn more on Bing</v>
  </rv>
  <rv s="1">
    <v>0</v>
    <v>EXXON MOBIL CORPORATION (XNYS:XOM)</v>
    <v>2</v>
    <v>3</v>
    <v>Finance</v>
    <v>4</v>
    <v>en-GB</v>
    <v>a269ec</v>
    <v>268435456</v>
    <v>1</v>
    <v>Powered by Refinitiv</v>
    <v>126.34</v>
    <v>97.8</v>
    <v>0.50139999999999996</v>
    <v>1.1499999999999999</v>
    <v>1.0356000000000001E-2</v>
    <v>USD</v>
    <v>Exxon Mobil Corporation is an energy provider and chemical manufacturer. The Company’s principal business involves exploration for, and production of, crude oil and natural gas; the manufacture, trade, transport and sale of crude oil, natural gas, petroleum products, petrochemicals and a wide variety of specialty products; and pursuit of lower-emission and other new business opportunities, including carbon capture and storage, hydrogen, lower-emission fuels, Proxxima systems, carbon materials, and lithium. Its Upstream segment explores for and produces crude oil and natural gas. The Energy Products, Chemical Products, and Specialty Products segments manufacture and sell petroleum products and petrochemicals. Energy Products segment includes fuels, aromatics, and catalysts and licensing. Chemical Products segment consists of olefins, polyolefins, and intermediates. Specialty Products segment includes finished lubricants, basestocks and waxes, synthetics, and elastomers and resins.</v>
    <v>61000</v>
    <v>New York Stock Exchange</v>
    <v>XNYS</v>
    <v>XNYS</v>
    <v>22777 SPRINGWOODS VILLAGE PARKWAY, SPRING, TX, 77389-1425 US</v>
    <v>112.47</v>
    <v>Oil &amp; Gas</v>
    <v>Stock</v>
    <v>45841.875000010936</v>
    <v>31</v>
    <v>110.6187</v>
    <v>483582000000</v>
    <v>EXXON MOBIL CORPORATION</v>
    <v>EXXON MOBIL CORPORATION</v>
    <v>110.86</v>
    <v>14.7034</v>
    <v>111.05</v>
    <v>112.2</v>
    <v>4310000000</v>
    <v>XOM</v>
    <v>EXXON MOBIL CORPORATION (XNYS:XOM)</v>
    <v>11223580</v>
    <v>19770860</v>
    <v>1882</v>
  </rv>
  <rv s="2">
    <v>32</v>
  </rv>
  <rv s="0">
    <v>https://www.bing.com/financeapi/forcetrigger?t=a237m7&amp;q=XNYS%3aSNAP&amp;form=skydnc</v>
    <v>Learn more on Bing</v>
  </rv>
  <rv s="7">
    <v>14</v>
    <v>SNAP INC. (XNYS:SNAP)</v>
    <v>2</v>
    <v>15</v>
    <v>Finance</v>
    <v>4</v>
    <v>en-GB</v>
    <v>a237m7</v>
    <v>268435456</v>
    <v>1</v>
    <v>Powered by Refinitiv</v>
    <v>17.329999999999998</v>
    <v>7.08</v>
    <v>0.61609999999999998</v>
    <v>-0.11</v>
    <v>-1.1727000000000001E-2</v>
    <v>USD</v>
    <v>Snap Inc. is a technology company. Its flagship product, Snapchat, is a visual messaging application that enhances relationships with friends, family, and the world. Snapchat is the Company's core mobile device application and contains five tabs, complemented by additional tools that function outside the application. Snapchatters can interact with any or all the five tabs. Additionally, it offers Snapchat+, its subscription product that provides subscribers access to exclusive, experimental, and pre-release features. Snapchat+ offers a range of features, from allowing Snapchatters to customize the look and feel of their application, to giving special insights into their friendships. The Company also offers Snapchat for Web, a browser-based product that brings Snapchats calling and messaging capabilities to the Web. Its advertising products include AR Ads and Snap Ads. Snap Ads include Single Image or Video Ads, Story Ads, Collection Ads, Dynamic Ads, Commercials, and Sponsored Snaps.</v>
    <v>4911</v>
    <v>New York Stock Exchange</v>
    <v>XNYS</v>
    <v>XNYS</v>
    <v>3000 31st Street, SANTA MONICA, CA, 90405 US</v>
    <v>9.4600000000000009</v>
    <v>Software &amp; IT Services</v>
    <v>Stock</v>
    <v>45841.875000022657</v>
    <v>34</v>
    <v>9.19</v>
    <v>15491820000</v>
    <v>SNAP INC.</v>
    <v>SNAP INC.</v>
    <v>9.41</v>
    <v>9.3800000000000008</v>
    <v>9.27</v>
    <v>1671178000</v>
    <v>SNAP</v>
    <v>SNAP INC. (XNYS:SNAP)</v>
    <v>21788698</v>
    <v>34603438</v>
    <v>2012</v>
  </rv>
  <rv s="2">
    <v>35</v>
  </rv>
  <rv s="0">
    <v>https://www.bing.com/financeapi/forcetrigger?t=a1slm7&amp;q=XNAS%3aMETA&amp;form=skydnc</v>
    <v>Learn more on Bing</v>
  </rv>
  <rv s="1">
    <v>0</v>
    <v>Meta Platforms, Inc. (XNAS:META)</v>
    <v>2</v>
    <v>3</v>
    <v>Finance</v>
    <v>4</v>
    <v>en-GB</v>
    <v>a1slm7</v>
    <v>268435456</v>
    <v>1</v>
    <v>Powered by Refinitiv</v>
    <v>747.9</v>
    <v>442.65</v>
    <v>1.2725</v>
    <v>5.44</v>
    <v>7.6239999999999997E-3</v>
    <v>USD</v>
    <v>Meta Platforms, Inc. builds technology that helps people connect and share, find communities, and grow businesses. The Company’s products enable people to connect and share with friends and family through mobile devices, personal computers, virtual reality (VR) and mixed reality (MR) headsets, and wearables. It operates through two segments: Family of Apps (FoA) and Reality Labs (RL). The FoA segment includes Facebook, Instagram, Messenger, Threads and WhatsApp. The RL includes augmented, mixed and virtual reality related consumer hardware, software, and content. Instagram is a place where people and creators can connect and express themselves through photos, video, and private messaging, and discover and shop from their favorite businesses. Threads is an application for text-based updates and public conversations. Its RL product offerings in VR include Meta Quest devices, and software and content available through the Meta Horizon Store, which enable a range of social experiences.</v>
    <v>76834</v>
    <v>Nasdaq Stock Market</v>
    <v>XNAS</v>
    <v>XNAS</v>
    <v>1 Meta Way, MENLO PARK, CA, 94025 US</v>
    <v>729.03</v>
    <v>Software &amp; IT Services</v>
    <v>Stock</v>
    <v>45841.874871932814</v>
    <v>37</v>
    <v>714.42</v>
    <v>1807826000000</v>
    <v>Meta Platforms, Inc.</v>
    <v>Meta Platforms, Inc.</v>
    <v>726.61</v>
    <v>27.2852</v>
    <v>713.57</v>
    <v>719.01</v>
    <v>2514327000</v>
    <v>META</v>
    <v>Meta Platforms, Inc. (XNAS:META)</v>
    <v>8601653</v>
    <v>12469176</v>
    <v>2004</v>
  </rv>
  <rv s="2">
    <v>38</v>
  </rv>
  <rv s="0">
    <v>https://www.bing.com/financeapi/forcetrigger?t=a1qyvh&amp;q=XNYS%3aDG&amp;form=skydnc</v>
    <v>Learn more on Bing</v>
  </rv>
  <rv s="1">
    <v>0</v>
    <v>DOLLAR GENERAL CORPORATION (XNYS:DG)</v>
    <v>2</v>
    <v>3</v>
    <v>Finance</v>
    <v>4</v>
    <v>en-GB</v>
    <v>a1qyvh</v>
    <v>268435456</v>
    <v>1</v>
    <v>Powered by Refinitiv</v>
    <v>135.46</v>
    <v>66.430000000000007</v>
    <v>0.31819999999999998</v>
    <v>-1.35</v>
    <v>-1.1692000000000001E-2</v>
    <v>USD</v>
    <v>Dollar General Corporation is a discount retailer. The Company offers merchandise, including consumable items, seasonal items, home products and apparel. Its merchandise includes brands from manufacturers, as well as its own private brand selections with prices at discounts to brands. Its consumables category includes paper and cleaning products, packaged food, perishables, snacks, health and beauty, pet, and tobacco products. Its seasonal products include holiday items, toys, batteries, small electronics, greeting cards, stationery, prepaid phones and accessories, gardening supplies, hardware, automotive and home office supplies. Its home products include kitchen supplies, cookware, small appliances, light bulbs, storage containers, frames, candles, craft supplies and kitchen, bed and bath soft goods. The Company’s apparel products include basic items for infants, toddlers, girls, boys, women and men, as well as socks, underwear, disposable diapers, shoes and accessories.</v>
    <v>194200</v>
    <v>New York Stock Exchange</v>
    <v>XNYS</v>
    <v>XNYS</v>
    <v>100 Mission Ridge, GOODLETTSVILLE, TN, 37072-2171 US</v>
    <v>116.07</v>
    <v>Diversified Retail</v>
    <v>Stock</v>
    <v>45841.875000022657</v>
    <v>40</v>
    <v>112.6782</v>
    <v>25112260000</v>
    <v>DOLLAR GENERAL CORPORATION</v>
    <v>DOLLAR GENERAL CORPORATION</v>
    <v>115.49</v>
    <v>22.020600000000002</v>
    <v>115.46</v>
    <v>114.11</v>
    <v>220070600</v>
    <v>DG</v>
    <v>DOLLAR GENERAL CORPORATION (XNYS:DG)</v>
    <v>2041983</v>
    <v>3853915</v>
    <v>1998</v>
  </rv>
  <rv s="2">
    <v>41</v>
  </rv>
</rvData>
</file>

<file path=xl/richData/rdrichvaluestructure.xml><?xml version="1.0" encoding="utf-8"?>
<rvStructures xmlns="http://schemas.microsoft.com/office/spreadsheetml/2017/richdata" count="8">
  <s t="_hyperlink">
    <k n="Address" t="s"/>
    <k n="Text" t="s"/>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
    <k n="%cvi" t="r"/>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urrency" t="s"/>
    <k n="Exchange" t="s"/>
    <k n="Exchange abbreviation" t="s"/>
    <k n="Expense ratio"/>
    <k n="High"/>
    <k n="Instrument type" t="s"/>
    <k n="Last trade time"/>
    <k n="LearnMoreOnLink" t="r"/>
    <k n="Low"/>
    <k n="Market cap"/>
    <k n="Name" t="s"/>
    <k n="Open"/>
    <k n="Previous close"/>
    <k n="Price"/>
    <k n="Ticker symbol" t="s"/>
    <k n="UniqueName" t="s"/>
    <k n="Volume"/>
    <k n="Volume average"/>
  </s>
  <s t="_sourceattribution">
    <k n="License" t="r"/>
    <k n="Source" t="r"/>
  </s>
  <s t="_imageurl">
    <k n="_Provider" t="spb"/>
    <k n="Address" t="s"/>
    <k n="Attribution" t="r"/>
    <k n="ComputedImage" t="b"/>
    <k n="More Images Address" t="s"/>
    <k n="Text" t="s"/>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rvStructures>
</file>

<file path=xl/richData/rdsupportingpropertybag.xml><?xml version="1.0" encoding="utf-8"?>
<supportingPropertyBags xmlns="http://schemas.microsoft.com/office/spreadsheetml/2017/richdata2">
  <spbArrays count="4">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34">
      <v t="s">%EntityServiceId</v>
      <v t="s">_Format</v>
      <v t="s">%IsRefreshable</v>
      <v t="s">%EntityCulture</v>
      <v t="s">%EntityId</v>
      <v t="s">_Icon</v>
      <v t="s">_Display</v>
      <v t="s">Name</v>
      <v t="s">_SubLabel</v>
      <v t="s">Price</v>
      <v t="s">Exchange</v>
      <v t="s">Last trade time</v>
      <v t="s">Ticker symbol</v>
      <v t="s">Exchange abbreviation</v>
      <v t="s">Change</v>
      <v t="s">Expense ratio</v>
      <v t="s">Change (%)</v>
      <v t="s">Currency</v>
      <v t="s">Previous close</v>
      <v t="s">Open</v>
      <v t="s">High</v>
      <v t="s">Low</v>
      <v t="s">52 week high</v>
      <v t="s">52 week low</v>
      <v t="s">Volume</v>
      <v t="s">Volume average</v>
      <v t="s">Market cap</v>
      <v t="s">Beta</v>
      <v t="s">Instrument type</v>
      <v t="s">_Flags</v>
      <v t="s">UniqueName</v>
      <v t="s">_DisplayString</v>
      <v t="s">LearnMoreOnLink</v>
      <v t="s">%ProviderInfo</v>
    </a>
    <a count="43">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a>
  </spbArrays>
  <spbData count="16">
    <spb s="0">
      <v>0</v>
      <v>Name</v>
      <v>LearnMoreOnLink</v>
    </spb>
    <spb s="1">
      <v>0</v>
      <v>0</v>
      <v>0</v>
    </spb>
    <spb s="2">
      <v>1</v>
      <v>1</v>
      <v>1</v>
      <v>1</v>
    </spb>
    <spb s="3">
      <v>1</v>
      <v>2</v>
      <v>2</v>
      <v>1</v>
      <v>3</v>
      <v>1</v>
      <v>1</v>
      <v>1</v>
      <v>4</v>
      <v>4</v>
      <v>5</v>
      <v>6</v>
      <v>1</v>
      <v>1</v>
      <v>1</v>
      <v>4</v>
      <v>7</v>
      <v>8</v>
      <v>9</v>
      <v>4</v>
    </spb>
    <spb s="4">
      <v>Delayed 15 minutes</v>
      <v>from previous close</v>
      <v>from previous close</v>
      <v>Source: Nasdaq</v>
      <v>GMT</v>
    </spb>
    <spb s="0">
      <v>1</v>
      <v>Name</v>
      <v>LearnMoreOnLink</v>
    </spb>
    <spb s="5">
      <v>1</v>
      <v>1</v>
      <v>1</v>
    </spb>
    <spb s="6">
      <v>1</v>
      <v>2</v>
      <v>1</v>
      <v>3</v>
      <v>1</v>
      <v>1</v>
      <v>1</v>
      <v>4</v>
      <v>5</v>
      <v>6</v>
      <v>1</v>
      <v>1</v>
      <v>5</v>
      <v>1</v>
      <v>4</v>
      <v>7</v>
      <v>9</v>
    </spb>
    <spb s="7">
      <v>Delayed 15 minutes</v>
      <v>from previous close</v>
      <v>Source: Nasdaq</v>
      <v>from previous close</v>
      <v>GMT</v>
    </spb>
    <spb s="0">
      <v>2</v>
      <v>Name</v>
      <v>LearnMoreOnLink</v>
    </spb>
    <spb s="8">
      <v>0</v>
      <v>0</v>
    </spb>
    <spb s="9">
      <v>10</v>
      <v>1</v>
      <v>1</v>
      <v>1</v>
      <v>1</v>
    </spb>
    <spb s="10">
      <v>1</v>
      <v>2</v>
      <v>2</v>
      <v>1</v>
      <v>3</v>
      <v>1</v>
      <v>10</v>
      <v>1</v>
      <v>1</v>
      <v>4</v>
      <v>4</v>
      <v>5</v>
      <v>6</v>
      <v>1</v>
      <v>1</v>
      <v>1</v>
      <v>4</v>
      <v>7</v>
      <v>8</v>
      <v>9</v>
      <v>4</v>
    </spb>
    <spb s="11">
      <v>Powered by Refinitiv</v>
    </spb>
    <spb s="0">
      <v>3</v>
      <v>Name</v>
      <v>LearnMoreOnLink</v>
    </spb>
    <spb s="12">
      <v>1</v>
      <v>2</v>
      <v>1</v>
      <v>3</v>
      <v>1</v>
      <v>1</v>
      <v>1</v>
      <v>4</v>
      <v>4</v>
      <v>5</v>
      <v>6</v>
      <v>1</v>
      <v>1</v>
      <v>1</v>
      <v>4</v>
      <v>7</v>
      <v>8</v>
      <v>9</v>
      <v>4</v>
    </spb>
  </spbData>
</supportingPropertyBags>
</file>

<file path=xl/richData/rdsupportingpropertybagstructure.xml><?xml version="1.0" encoding="utf-8"?>
<spbStructures xmlns="http://schemas.microsoft.com/office/spreadsheetml/2017/richdata2" count="13">
  <s>
    <k n="^Order" t="spba"/>
    <k n="TitleProperty" t="s"/>
    <k n="SubTitleProperty" t="s"/>
  </s>
  <s>
    <k n="ShowInCardView" t="b"/>
    <k n="ShowInDotNotation" t="b"/>
    <k n="ShowInAutoComplete" t="b"/>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ExchangeID" t="s"/>
    <k n="Last trade time" t="s"/>
  </s>
  <s>
    <k n="UniqueName" t="spb"/>
    <k n="`%ProviderInfo" t="spb"/>
    <k n="LearnMoreOnLink" t="spb"/>
  </s>
  <s>
    <k n="Low" t="i"/>
    <k n="Beta" t="i"/>
    <k n="High" t="i"/>
    <k n="Name" t="i"/>
    <k n="Open" t="i"/>
    <k n="Price" t="i"/>
    <k n="Change" t="i"/>
    <k n="Volume" t="i"/>
    <k n="Change (%)" t="i"/>
    <k n="Market cap" t="i"/>
    <k n="52 week low" t="i"/>
    <k n="52 week high" t="i"/>
    <k n="Expense ratio" t="i"/>
    <k n="Previous close" t="i"/>
    <k n="Volume average" t="i"/>
    <k n="Last trade time" t="i"/>
    <k n="`%EntityServiceId" t="i"/>
  </s>
  <s>
    <k n="Price" t="s"/>
    <k n="Change" t="s"/>
    <k n="Exchange" t="s"/>
    <k n="Change (%)" t="s"/>
    <k n="Last trade time" t="s"/>
  </s>
  <s>
    <k n="ShowInDotNotation" t="b"/>
    <k n="ShowInAutoComplete" t="b"/>
  </s>
  <s>
    <k n="Image" t="spb"/>
    <k n="ExchangeID" t="spb"/>
    <k n="UniqueName" t="spb"/>
    <k n="`%ProviderInfo" t="spb"/>
    <k n="LearnMoreOnLink" t="spb"/>
  </s>
  <s>
    <k n="Low" t="i"/>
    <k n="P/E" t="i"/>
    <k n="Beta" t="i"/>
    <k n="High" t="i"/>
    <k n="Name" t="i"/>
    <k n="Open" t="i"/>
    <k n="Image" t="i"/>
    <k n="Price" t="i"/>
    <k n="Change" t="i"/>
    <k n="Volume" t="i"/>
    <k n="Employees" t="i"/>
    <k n="Change (%)" t="i"/>
    <k n="Market cap" t="i"/>
    <k n="52 week low" t="i"/>
    <k n="52 week high" t="i"/>
    <k n="Previous close" t="i"/>
    <k n="Volume average" t="i"/>
    <k n="Last trade time" t="i"/>
    <k n="Year incorporated" t="i"/>
    <k n="`%EntityServiceId" t="i"/>
    <k n="Shares outstanding" t="i"/>
  </s>
  <s>
    <k n="name" t="s"/>
  </s>
  <s>
    <k n="Low"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7">
    <x:dxf>
      <x:numFmt numFmtId="2" formatCode="0.00"/>
    </x:dxf>
    <x:dxf>
      <x:numFmt numFmtId="0" formatCode="General"/>
    </x:dxf>
    <x:dxf>
      <x:numFmt numFmtId="27" formatCode="dd/mm/yyyy\ hh:mm"/>
    </x:dxf>
    <x:dxf>
      <x:numFmt numFmtId="14" formatCode="0.00%"/>
    </x:dxf>
    <x:dxf>
      <x:numFmt numFmtId="3" formatCode="#,##0"/>
    </x:dxf>
    <x:dxf>
      <x:numFmt numFmtId="4" formatCode="#,##0.00"/>
    </x:dxf>
    <x:dxf>
      <x:numFmt numFmtId="1" formatCode="0"/>
    </x:dxf>
  </dxfs>
  <richProperties>
    <rPr n="NumberFormat" t="s"/>
    <rPr n="IsTitleField" t="b"/>
    <rPr n="IsHeroField" t="b"/>
  </richProperties>
  <richStyles>
    <rSty dxfid="1">
      <rpv i="0">_([$$-en-US]* #,##0.00_);_([$$-en-US]* (#,##0.00);_([$$-en-US]* "-"??_);_(@_)</rpv>
    </rSty>
    <rSty dxfid="5">
      <rpv i="0">#,##0.00</rpv>
    </rSty>
    <rSty>
      <rpv i="1">1</rpv>
    </rSty>
    <rSty dxfid="4">
      <rpv i="0">#,##0</rpv>
    </rSty>
    <rSty dxfid="3"/>
    <rSty dxfid="1">
      <rpv i="0">_([$$-en-US]* #,##0_);_([$$-en-US]* (#,##0);_([$$-en-US]* "-"_);_(@_)</rpv>
    </rSty>
    <rSty dxfid="2"/>
    <rSty dxfid="6">
      <rpv i="0">0</rpv>
    </rSty>
    <rSty dxfid="0">
      <rpv i="0">0.00</rpv>
    </rSty>
    <rSty>
      <rpv i="2">1</rpv>
    </rSty>
  </richStyles>
</richStyleShee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A0C9D3FB-9316-294E-93E3-B415559ECD58}">
  <we:reference id="wa200003692" version="1.0.0.1" store="en-US" storeType="OMEX"/>
  <we:alternateReferences>
    <we:reference id="WA200003692" version="1.0.0.1" store="" storeType="OMEX"/>
  </we:alternateReferences>
  <we:properties/>
  <we:bindings/>
  <we:snapshot xmlns:r="http://schemas.openxmlformats.org/officeDocument/2006/relationships"/>
</we:webextension>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475634-2364-42AC-B23E-E72428ACB4D4}">
  <sheetPr codeName="Sheet1"/>
  <dimension ref="A1:AP277"/>
  <sheetViews>
    <sheetView topLeftCell="V91" workbookViewId="0">
      <selection activeCell="W115" sqref="W115"/>
    </sheetView>
  </sheetViews>
  <sheetFormatPr baseColWidth="10" defaultColWidth="8.83203125" defaultRowHeight="13"/>
  <cols>
    <col min="1" max="1" width="28.83203125" bestFit="1" customWidth="1"/>
    <col min="2" max="2" width="17" bestFit="1" customWidth="1"/>
    <col min="3" max="3" width="18" bestFit="1" customWidth="1"/>
    <col min="4" max="4" width="30.1640625" bestFit="1" customWidth="1"/>
    <col min="5" max="5" width="36.5" bestFit="1" customWidth="1"/>
    <col min="6" max="6" width="29.5" bestFit="1" customWidth="1"/>
    <col min="7" max="7" width="24.33203125" bestFit="1" customWidth="1"/>
    <col min="8" max="8" width="36.5" bestFit="1" customWidth="1"/>
    <col min="9" max="9" width="24.6640625" bestFit="1" customWidth="1"/>
    <col min="10" max="10" width="27.83203125" bestFit="1" customWidth="1"/>
    <col min="11" max="11" width="36.5" bestFit="1" customWidth="1"/>
    <col min="12" max="12" width="30.6640625" bestFit="1" customWidth="1"/>
    <col min="13" max="13" width="32.6640625" bestFit="1" customWidth="1"/>
    <col min="14" max="14" width="22.6640625" bestFit="1" customWidth="1"/>
    <col min="15" max="16" width="36.5" bestFit="1" customWidth="1"/>
    <col min="17" max="17" width="31.5" bestFit="1" customWidth="1"/>
    <col min="18" max="18" width="36.5" bestFit="1" customWidth="1"/>
    <col min="19" max="19" width="22.5" bestFit="1" customWidth="1"/>
    <col min="20" max="21" width="28.5" bestFit="1" customWidth="1"/>
    <col min="22" max="24" width="36.5" bestFit="1" customWidth="1"/>
    <col min="25" max="25" width="32.83203125" bestFit="1" customWidth="1"/>
    <col min="26" max="26" width="35.5" bestFit="1" customWidth="1"/>
    <col min="27" max="28" width="36.5" bestFit="1" customWidth="1"/>
    <col min="29" max="29" width="32.83203125" bestFit="1" customWidth="1"/>
    <col min="30" max="30" width="33.1640625" bestFit="1" customWidth="1"/>
    <col min="31" max="31" width="32.83203125" bestFit="1" customWidth="1"/>
    <col min="32" max="32" width="22.1640625" bestFit="1" customWidth="1"/>
    <col min="33" max="33" width="25.1640625" bestFit="1" customWidth="1"/>
    <col min="34" max="34" width="24.1640625" bestFit="1" customWidth="1"/>
    <col min="35" max="35" width="23.5" bestFit="1" customWidth="1"/>
    <col min="36" max="36" width="21.5" bestFit="1" customWidth="1"/>
    <col min="37" max="37" width="25.1640625" bestFit="1" customWidth="1"/>
    <col min="38" max="38" width="31.5" bestFit="1" customWidth="1"/>
    <col min="39" max="39" width="13.5" bestFit="1" customWidth="1"/>
    <col min="40" max="40" width="16.33203125" bestFit="1" customWidth="1"/>
    <col min="41" max="41" width="14.1640625" bestFit="1" customWidth="1"/>
    <col min="42" max="42" width="31.5" bestFit="1" customWidth="1"/>
  </cols>
  <sheetData>
    <row r="1" spans="1:42" ht="17">
      <c r="A1" s="8" t="s">
        <v>16</v>
      </c>
      <c r="B1" s="8"/>
      <c r="C1" s="8"/>
      <c r="D1" s="8"/>
      <c r="E1" s="10" t="s">
        <v>17</v>
      </c>
      <c r="F1" s="8" t="s">
        <v>18</v>
      </c>
      <c r="G1" s="8" t="s">
        <v>19</v>
      </c>
      <c r="H1" s="8" t="s">
        <v>20</v>
      </c>
      <c r="I1" s="8" t="s">
        <v>21</v>
      </c>
      <c r="J1" s="8" t="s">
        <v>22</v>
      </c>
      <c r="K1" s="10" t="s">
        <v>23</v>
      </c>
      <c r="L1" s="8" t="s">
        <v>24</v>
      </c>
      <c r="M1" s="8" t="s">
        <v>25</v>
      </c>
      <c r="N1" s="8" t="s">
        <v>26</v>
      </c>
      <c r="O1" s="10" t="s">
        <v>27</v>
      </c>
      <c r="P1" s="10" t="s">
        <v>28</v>
      </c>
      <c r="Q1" s="8" t="s">
        <v>29</v>
      </c>
      <c r="R1" s="10" t="s">
        <v>30</v>
      </c>
      <c r="S1" s="8" t="s">
        <v>31</v>
      </c>
      <c r="T1" s="8" t="s">
        <v>32</v>
      </c>
      <c r="U1" s="8" t="s">
        <v>33</v>
      </c>
      <c r="V1" s="10" t="s">
        <v>34</v>
      </c>
      <c r="W1" s="10" t="s">
        <v>35</v>
      </c>
      <c r="X1" s="10" t="s">
        <v>36</v>
      </c>
      <c r="Y1" s="8" t="s">
        <v>37</v>
      </c>
      <c r="Z1" s="8" t="s">
        <v>38</v>
      </c>
      <c r="AA1" s="10" t="s">
        <v>39</v>
      </c>
      <c r="AB1" s="10" t="s">
        <v>40</v>
      </c>
      <c r="AC1" s="8" t="s">
        <v>41</v>
      </c>
      <c r="AD1" s="8" t="s">
        <v>42</v>
      </c>
      <c r="AE1" s="8"/>
      <c r="AF1" s="8"/>
      <c r="AG1" s="8"/>
      <c r="AH1" s="8"/>
      <c r="AI1" s="8"/>
      <c r="AJ1" s="8"/>
      <c r="AK1" s="8"/>
      <c r="AL1" s="8"/>
      <c r="AM1" s="8"/>
      <c r="AN1" s="8"/>
      <c r="AO1" s="8"/>
      <c r="AP1" s="8"/>
    </row>
    <row r="2" spans="1:42" ht="17">
      <c r="A2" s="8" t="s">
        <v>43</v>
      </c>
      <c r="B2" s="8" t="s">
        <v>18</v>
      </c>
      <c r="C2" s="8" t="s">
        <v>19</v>
      </c>
      <c r="D2" s="8" t="s">
        <v>20</v>
      </c>
      <c r="E2" s="10" t="s">
        <v>44</v>
      </c>
      <c r="F2" s="8" t="s">
        <v>45</v>
      </c>
      <c r="G2" s="8">
        <v>2265601000</v>
      </c>
      <c r="H2" s="8">
        <v>3854532000</v>
      </c>
      <c r="I2" s="8">
        <v>1588931000</v>
      </c>
      <c r="J2" s="8">
        <v>1588931000</v>
      </c>
      <c r="K2" s="10">
        <v>-763108000</v>
      </c>
      <c r="L2" s="8">
        <v>1693679000</v>
      </c>
      <c r="M2" s="8" t="s">
        <v>46</v>
      </c>
      <c r="N2" s="8">
        <v>3028709000</v>
      </c>
      <c r="O2" s="10" t="s">
        <v>46</v>
      </c>
      <c r="P2" s="10">
        <v>-379434000</v>
      </c>
      <c r="Q2" s="8" t="s">
        <v>46</v>
      </c>
      <c r="R2" s="10">
        <v>379434000</v>
      </c>
      <c r="S2" s="8" t="s">
        <v>46</v>
      </c>
      <c r="T2" s="8" t="s">
        <v>46</v>
      </c>
      <c r="U2" s="8" t="s">
        <v>46</v>
      </c>
      <c r="V2" s="10">
        <v>409582000</v>
      </c>
      <c r="W2" s="11">
        <v>-1168000000</v>
      </c>
      <c r="X2" s="10">
        <v>-158402000</v>
      </c>
      <c r="Y2" s="8" t="s">
        <v>46</v>
      </c>
      <c r="Z2" s="9">
        <v>-1009000000</v>
      </c>
      <c r="AA2" s="10" t="s">
        <v>46</v>
      </c>
      <c r="AB2" s="10">
        <v>-788462000</v>
      </c>
      <c r="AC2" s="8">
        <v>-378880000</v>
      </c>
      <c r="AD2" s="9">
        <v>-1010000000</v>
      </c>
      <c r="AE2" s="8"/>
      <c r="AF2" s="8"/>
      <c r="AG2" s="8"/>
      <c r="AH2" s="8"/>
      <c r="AI2" s="8"/>
      <c r="AJ2" s="8"/>
      <c r="AK2" s="8"/>
      <c r="AL2" s="8"/>
      <c r="AM2" s="8"/>
      <c r="AN2" s="8"/>
      <c r="AO2" s="8"/>
      <c r="AP2" s="8"/>
    </row>
    <row r="3" spans="1:42" ht="17">
      <c r="A3" s="8" t="s">
        <v>44</v>
      </c>
      <c r="B3" s="8" t="s">
        <v>45</v>
      </c>
      <c r="C3" s="8">
        <v>2265601000</v>
      </c>
      <c r="D3" s="8">
        <v>3854532000</v>
      </c>
      <c r="E3" s="10" t="s">
        <v>47</v>
      </c>
      <c r="F3" s="8" t="s">
        <v>45</v>
      </c>
      <c r="G3" s="8">
        <v>2256791000</v>
      </c>
      <c r="H3" s="8">
        <v>3751025000</v>
      </c>
      <c r="I3" s="8">
        <v>1494234000</v>
      </c>
      <c r="J3" s="8">
        <v>1494234000</v>
      </c>
      <c r="K3" s="10">
        <v>-797311000</v>
      </c>
      <c r="L3" s="8">
        <v>1656171000</v>
      </c>
      <c r="M3" s="8" t="s">
        <v>46</v>
      </c>
      <c r="N3" s="8">
        <v>3054102000</v>
      </c>
      <c r="O3" s="10" t="s">
        <v>46</v>
      </c>
      <c r="P3" s="10">
        <v>-389775000</v>
      </c>
      <c r="Q3" s="8" t="s">
        <v>46</v>
      </c>
      <c r="R3" s="10">
        <v>389775000</v>
      </c>
      <c r="S3" s="8" t="s">
        <v>46</v>
      </c>
      <c r="T3" s="8" t="s">
        <v>46</v>
      </c>
      <c r="U3" s="8" t="s">
        <v>46</v>
      </c>
      <c r="V3" s="10">
        <v>428483000</v>
      </c>
      <c r="W3" s="11">
        <v>-1163000000</v>
      </c>
      <c r="X3" s="10">
        <v>-62338000</v>
      </c>
      <c r="Y3" s="8" t="s">
        <v>46</v>
      </c>
      <c r="Z3" s="9">
        <v>-1100000000</v>
      </c>
      <c r="AA3" s="10" t="s">
        <v>46</v>
      </c>
      <c r="AB3" s="10">
        <v>-772902000</v>
      </c>
      <c r="AC3" s="8">
        <v>-344419000</v>
      </c>
      <c r="AD3" s="9">
        <v>-1103000000</v>
      </c>
      <c r="AE3" s="8"/>
      <c r="AF3" s="8"/>
      <c r="AG3" s="8"/>
      <c r="AH3" s="8"/>
      <c r="AI3" s="8"/>
      <c r="AJ3" s="8"/>
      <c r="AK3" s="8"/>
      <c r="AL3" s="8"/>
      <c r="AM3" s="8"/>
      <c r="AN3" s="8"/>
      <c r="AO3" s="8"/>
      <c r="AP3" s="8"/>
    </row>
    <row r="4" spans="1:42" ht="17">
      <c r="A4" s="8" t="s">
        <v>48</v>
      </c>
      <c r="B4" s="8" t="s">
        <v>45</v>
      </c>
      <c r="C4" s="8">
        <v>2256791000</v>
      </c>
      <c r="D4" s="8">
        <v>3751025000</v>
      </c>
      <c r="E4" s="10" t="s">
        <v>49</v>
      </c>
      <c r="F4" s="8" t="s">
        <v>45</v>
      </c>
      <c r="G4" s="8">
        <v>2431957000</v>
      </c>
      <c r="H4" s="8">
        <v>3912283000</v>
      </c>
      <c r="I4" s="8">
        <v>1480326000</v>
      </c>
      <c r="J4" s="8">
        <v>1480326000</v>
      </c>
      <c r="K4" s="10">
        <v>366043000</v>
      </c>
      <c r="L4" s="8">
        <v>1592946000</v>
      </c>
      <c r="M4" s="8" t="s">
        <v>46</v>
      </c>
      <c r="N4" s="8">
        <v>2063608000</v>
      </c>
      <c r="O4" s="10" t="s">
        <v>46</v>
      </c>
      <c r="P4" s="10">
        <v>-341674000</v>
      </c>
      <c r="Q4" s="8" t="s">
        <v>46</v>
      </c>
      <c r="R4" s="10">
        <v>341674000</v>
      </c>
      <c r="S4" s="8" t="s">
        <v>46</v>
      </c>
      <c r="T4" s="8" t="s">
        <v>46</v>
      </c>
      <c r="U4" s="8" t="s">
        <v>46</v>
      </c>
      <c r="V4" s="10">
        <v>445664000</v>
      </c>
      <c r="W4" s="10">
        <v>-257951000</v>
      </c>
      <c r="X4" s="10">
        <v>4719000</v>
      </c>
      <c r="Y4" s="8" t="s">
        <v>46</v>
      </c>
      <c r="Z4" s="8">
        <v>-262670000</v>
      </c>
      <c r="AA4" s="10" t="s">
        <v>46</v>
      </c>
      <c r="AB4" s="10">
        <v>391655000</v>
      </c>
      <c r="AC4" s="8">
        <v>837319000</v>
      </c>
      <c r="AD4" s="8">
        <v>-262670000</v>
      </c>
      <c r="AE4" s="8"/>
      <c r="AF4" s="8"/>
      <c r="AG4" s="8"/>
      <c r="AH4" s="8"/>
      <c r="AI4" s="8"/>
      <c r="AJ4" s="8"/>
      <c r="AK4" s="8"/>
      <c r="AL4" s="8"/>
      <c r="AM4" s="8"/>
      <c r="AN4" s="8"/>
      <c r="AO4" s="8"/>
      <c r="AP4" s="8"/>
    </row>
    <row r="5" spans="1:42" ht="17">
      <c r="A5" s="8" t="s">
        <v>43</v>
      </c>
      <c r="B5" s="8" t="s">
        <v>45</v>
      </c>
      <c r="C5" s="8">
        <v>2431957000</v>
      </c>
      <c r="D5" s="8">
        <v>3912283000</v>
      </c>
      <c r="E5" s="10" t="s">
        <v>50</v>
      </c>
      <c r="F5" s="8" t="s">
        <v>45</v>
      </c>
      <c r="G5" s="8">
        <v>2233683000</v>
      </c>
      <c r="H5" s="8">
        <v>3558340000</v>
      </c>
      <c r="I5" s="8">
        <v>1324657000</v>
      </c>
      <c r="J5" s="8">
        <v>1324657000</v>
      </c>
      <c r="K5" s="10">
        <v>226682000</v>
      </c>
      <c r="L5" s="8">
        <v>1519355000</v>
      </c>
      <c r="M5" s="8" t="s">
        <v>46</v>
      </c>
      <c r="N5" s="8">
        <v>2021092000</v>
      </c>
      <c r="O5" s="10" t="s">
        <v>46</v>
      </c>
      <c r="P5" s="10">
        <v>-332384000</v>
      </c>
      <c r="Q5" s="8" t="s">
        <v>46</v>
      </c>
      <c r="R5" s="10">
        <v>332384000</v>
      </c>
      <c r="S5" s="8" t="s">
        <v>46</v>
      </c>
      <c r="T5" s="8">
        <v>27529000</v>
      </c>
      <c r="U5" s="8" t="s">
        <v>46</v>
      </c>
      <c r="V5" s="10">
        <v>469417000</v>
      </c>
      <c r="W5" s="10">
        <v>-149998000</v>
      </c>
      <c r="X5" s="10">
        <v>8391000</v>
      </c>
      <c r="Y5" s="8" t="s">
        <v>46</v>
      </c>
      <c r="Z5" s="8">
        <v>-158389000</v>
      </c>
      <c r="AA5" s="10" t="s">
        <v>46</v>
      </c>
      <c r="AB5" s="10">
        <v>239432000</v>
      </c>
      <c r="AC5" s="8">
        <v>708849000</v>
      </c>
      <c r="AD5" s="8">
        <v>-158389000</v>
      </c>
      <c r="AE5" s="8"/>
      <c r="AF5" s="8"/>
      <c r="AG5" s="8"/>
      <c r="AH5" s="8"/>
      <c r="AI5" s="8"/>
      <c r="AJ5" s="8"/>
      <c r="AK5" s="8"/>
      <c r="AL5" s="8"/>
      <c r="AM5" s="8"/>
      <c r="AN5" s="8"/>
      <c r="AO5" s="8"/>
      <c r="AP5" s="8"/>
    </row>
    <row r="6" spans="1:42" ht="17">
      <c r="A6" s="8" t="s">
        <v>50</v>
      </c>
      <c r="B6" s="8" t="s">
        <v>45</v>
      </c>
      <c r="C6" s="8">
        <v>2233683000</v>
      </c>
      <c r="D6" s="8">
        <v>3558340000</v>
      </c>
      <c r="E6" s="10" t="s">
        <v>51</v>
      </c>
      <c r="F6" s="8" t="s">
        <v>45</v>
      </c>
      <c r="G6" s="8">
        <v>1785070000</v>
      </c>
      <c r="H6" s="8">
        <v>2948218000</v>
      </c>
      <c r="I6" s="8">
        <v>1163148000</v>
      </c>
      <c r="J6" s="8">
        <v>1163148000</v>
      </c>
      <c r="K6" s="10">
        <v>1749226000</v>
      </c>
      <c r="L6" s="8">
        <v>1225097000</v>
      </c>
      <c r="M6" s="8" t="s">
        <v>46</v>
      </c>
      <c r="N6" s="8">
        <v>1783942000</v>
      </c>
      <c r="O6" s="10" t="s">
        <v>46</v>
      </c>
      <c r="P6" s="10">
        <v>-343745000</v>
      </c>
      <c r="Q6" s="8" t="s">
        <v>46</v>
      </c>
      <c r="R6" s="10">
        <v>343745000</v>
      </c>
      <c r="S6" s="8" t="s">
        <v>46</v>
      </c>
      <c r="T6" s="8">
        <v>-9346000</v>
      </c>
      <c r="U6" s="8" t="s">
        <v>46</v>
      </c>
      <c r="V6" s="10">
        <v>402929000</v>
      </c>
      <c r="W6" s="11">
        <v>-2099000000</v>
      </c>
      <c r="X6" s="10">
        <v>-183623000</v>
      </c>
      <c r="Y6" s="8" t="s">
        <v>46</v>
      </c>
      <c r="Z6" s="9">
        <v>-1915000000</v>
      </c>
      <c r="AA6" s="10" t="s">
        <v>46</v>
      </c>
      <c r="AB6" s="10">
        <v>8114000</v>
      </c>
      <c r="AC6" s="8">
        <v>411043000</v>
      </c>
      <c r="AD6" s="9">
        <v>-1915000000</v>
      </c>
      <c r="AE6" s="8"/>
      <c r="AF6" s="8"/>
      <c r="AG6" s="8"/>
      <c r="AH6" s="8"/>
      <c r="AI6" s="8"/>
      <c r="AJ6" s="8"/>
      <c r="AK6" s="8"/>
      <c r="AL6" s="8"/>
      <c r="AM6" s="8"/>
      <c r="AN6" s="8"/>
      <c r="AO6" s="8"/>
      <c r="AP6" s="8"/>
    </row>
    <row r="7" spans="1:42" ht="17">
      <c r="A7" s="8" t="s">
        <v>52</v>
      </c>
      <c r="B7" s="8" t="s">
        <v>45</v>
      </c>
      <c r="C7" s="8">
        <v>1785070000</v>
      </c>
      <c r="D7" s="8">
        <v>2948218000</v>
      </c>
      <c r="E7" s="10" t="s">
        <v>53</v>
      </c>
      <c r="F7" s="8" t="s">
        <v>45</v>
      </c>
      <c r="G7" s="8">
        <v>2213965000</v>
      </c>
      <c r="H7" s="8">
        <v>3683527000</v>
      </c>
      <c r="I7" s="8">
        <v>1469562000</v>
      </c>
      <c r="J7" s="8">
        <v>1469562000</v>
      </c>
      <c r="K7" s="10">
        <v>606212000</v>
      </c>
      <c r="L7" s="8">
        <v>1607753000</v>
      </c>
      <c r="M7" s="8" t="s">
        <v>46</v>
      </c>
      <c r="N7" s="8">
        <v>1607753000</v>
      </c>
      <c r="O7" s="10" t="s">
        <v>46</v>
      </c>
      <c r="P7" s="10" t="s">
        <v>46</v>
      </c>
      <c r="Q7" s="8" t="s">
        <v>46</v>
      </c>
      <c r="R7" s="10">
        <v>266274000</v>
      </c>
      <c r="S7" s="8" t="s">
        <v>46</v>
      </c>
      <c r="T7" s="8" t="s">
        <v>46</v>
      </c>
      <c r="U7" s="8" t="s">
        <v>46</v>
      </c>
      <c r="V7" s="10">
        <v>302457000</v>
      </c>
      <c r="W7" s="10">
        <v>9652475000</v>
      </c>
      <c r="X7" s="10">
        <v>59186000</v>
      </c>
      <c r="Y7" s="8" t="s">
        <v>46</v>
      </c>
      <c r="Z7" s="8">
        <v>9593289000</v>
      </c>
      <c r="AA7" s="10" t="s">
        <v>46</v>
      </c>
      <c r="AB7" s="10">
        <v>602454000</v>
      </c>
      <c r="AC7" s="8">
        <v>904911000</v>
      </c>
      <c r="AD7" s="8">
        <v>9471158000</v>
      </c>
      <c r="AE7" s="8"/>
      <c r="AF7" s="8"/>
      <c r="AG7" s="8"/>
      <c r="AH7" s="8"/>
      <c r="AI7" s="8"/>
      <c r="AJ7" s="8"/>
      <c r="AK7" s="8"/>
      <c r="AL7" s="8"/>
      <c r="AM7" s="8"/>
      <c r="AN7" s="8"/>
      <c r="AO7" s="8"/>
      <c r="AP7" s="8"/>
    </row>
    <row r="8" spans="1:42" ht="17">
      <c r="A8" s="8" t="s">
        <v>43</v>
      </c>
      <c r="B8" s="8" t="s">
        <v>45</v>
      </c>
      <c r="C8" s="8">
        <v>2213965000</v>
      </c>
      <c r="D8" s="8">
        <v>3683527000</v>
      </c>
      <c r="E8" s="10" t="s">
        <v>54</v>
      </c>
      <c r="F8" s="8" t="s">
        <v>45</v>
      </c>
      <c r="G8" s="8">
        <v>3792832000</v>
      </c>
      <c r="H8" s="8">
        <v>6325780000</v>
      </c>
      <c r="I8" s="8">
        <v>2532948000</v>
      </c>
      <c r="J8" s="8">
        <v>2532948000</v>
      </c>
      <c r="K8" s="10">
        <v>980518000</v>
      </c>
      <c r="L8" s="8">
        <v>1896503000</v>
      </c>
      <c r="M8" s="8" t="s">
        <v>46</v>
      </c>
      <c r="N8" s="8">
        <v>2771392000</v>
      </c>
      <c r="O8" s="10" t="s">
        <v>46</v>
      </c>
      <c r="P8" s="10">
        <v>-722931000</v>
      </c>
      <c r="Q8" s="8" t="s">
        <v>46</v>
      </c>
      <c r="R8" s="10">
        <v>722931000</v>
      </c>
      <c r="S8" s="8" t="s">
        <v>46</v>
      </c>
      <c r="T8" s="8" t="s">
        <v>46</v>
      </c>
      <c r="U8" s="8" t="s">
        <v>46</v>
      </c>
      <c r="V8" s="10">
        <v>211951000</v>
      </c>
      <c r="W8" s="10">
        <v>-156288000</v>
      </c>
      <c r="X8" s="10">
        <v>46351000</v>
      </c>
      <c r="Y8" s="8" t="s">
        <v>46</v>
      </c>
      <c r="Z8" s="8">
        <v>-202639000</v>
      </c>
      <c r="AA8" s="10" t="s">
        <v>46</v>
      </c>
      <c r="AB8" s="10">
        <v>726527000</v>
      </c>
      <c r="AC8" s="8">
        <v>938478000</v>
      </c>
      <c r="AD8" s="8">
        <v>-201910000</v>
      </c>
      <c r="AE8" s="8"/>
      <c r="AF8" s="8"/>
      <c r="AG8" s="8"/>
      <c r="AH8" s="8"/>
      <c r="AI8" s="8"/>
      <c r="AJ8" s="8"/>
      <c r="AK8" s="8"/>
      <c r="AL8" s="8"/>
      <c r="AM8" s="8"/>
      <c r="AN8" s="8"/>
      <c r="AO8" s="8"/>
      <c r="AP8" s="8"/>
    </row>
    <row r="9" spans="1:42" ht="17">
      <c r="A9" s="8" t="s">
        <v>54</v>
      </c>
      <c r="B9" s="8" t="s">
        <v>45</v>
      </c>
      <c r="C9" s="8">
        <v>3792832000</v>
      </c>
      <c r="D9" s="8">
        <v>6325780000</v>
      </c>
      <c r="E9" s="10" t="s">
        <v>55</v>
      </c>
      <c r="F9" s="8" t="s">
        <v>45</v>
      </c>
      <c r="G9" s="8">
        <v>3709272000</v>
      </c>
      <c r="H9" s="8">
        <v>6170994000</v>
      </c>
      <c r="I9" s="8">
        <v>2461722000</v>
      </c>
      <c r="J9" s="8">
        <v>2461722000</v>
      </c>
      <c r="K9" s="10">
        <v>969938000</v>
      </c>
      <c r="L9" s="8">
        <v>1851646000</v>
      </c>
      <c r="M9" s="8" t="s">
        <v>46</v>
      </c>
      <c r="N9" s="8">
        <v>2729135000</v>
      </c>
      <c r="O9" s="10" t="s">
        <v>46</v>
      </c>
      <c r="P9" s="11">
        <v>-1866000000</v>
      </c>
      <c r="Q9" s="8" t="s">
        <v>46</v>
      </c>
      <c r="R9" s="10">
        <v>1865584000</v>
      </c>
      <c r="S9" s="8" t="s">
        <v>46</v>
      </c>
      <c r="T9" s="8" t="s">
        <v>46</v>
      </c>
      <c r="U9" s="8" t="s">
        <v>46</v>
      </c>
      <c r="V9" s="10">
        <v>601295000</v>
      </c>
      <c r="W9" s="10">
        <v>-917424000</v>
      </c>
      <c r="X9" s="10">
        <v>-457406000</v>
      </c>
      <c r="Y9" s="8" t="s">
        <v>46</v>
      </c>
      <c r="Z9" s="8">
        <v>-460018000</v>
      </c>
      <c r="AA9" s="10" t="s">
        <v>46</v>
      </c>
      <c r="AB9" s="10">
        <v>948019000</v>
      </c>
      <c r="AC9" s="8">
        <v>1549314000</v>
      </c>
      <c r="AD9" s="8">
        <v>-393891000</v>
      </c>
      <c r="AE9" s="8"/>
      <c r="AF9" s="8"/>
      <c r="AG9" s="8"/>
      <c r="AH9" s="8"/>
      <c r="AI9" s="8"/>
      <c r="AJ9" s="8"/>
      <c r="AK9" s="8"/>
      <c r="AL9" s="8"/>
      <c r="AM9" s="8"/>
      <c r="AN9" s="8"/>
      <c r="AO9" s="8"/>
      <c r="AP9" s="8"/>
    </row>
    <row r="10" spans="1:42" ht="17">
      <c r="A10" s="8" t="s">
        <v>56</v>
      </c>
      <c r="B10" s="8" t="s">
        <v>45</v>
      </c>
      <c r="C10" s="8">
        <v>3709272000</v>
      </c>
      <c r="D10" s="8">
        <v>6170994000</v>
      </c>
      <c r="E10" s="10" t="s">
        <v>57</v>
      </c>
      <c r="F10" s="8" t="s">
        <v>45</v>
      </c>
      <c r="G10" s="8">
        <v>3861286000</v>
      </c>
      <c r="H10" s="8">
        <v>6273573000</v>
      </c>
      <c r="I10" s="8">
        <v>2412287000</v>
      </c>
      <c r="J10" s="8">
        <v>2412287000</v>
      </c>
      <c r="K10" s="10">
        <v>1504691000</v>
      </c>
      <c r="L10" s="8">
        <v>1725899000</v>
      </c>
      <c r="M10" s="8" t="s">
        <v>46</v>
      </c>
      <c r="N10" s="8">
        <v>2348595000</v>
      </c>
      <c r="O10" s="10" t="s">
        <v>46</v>
      </c>
      <c r="P10" s="11">
        <v>-1850000000</v>
      </c>
      <c r="Q10" s="8" t="s">
        <v>46</v>
      </c>
      <c r="R10" s="10">
        <v>1850119000</v>
      </c>
      <c r="S10" s="8" t="s">
        <v>46</v>
      </c>
      <c r="T10" s="8" t="s">
        <v>46</v>
      </c>
      <c r="U10" s="8" t="s">
        <v>46</v>
      </c>
      <c r="V10" s="10">
        <v>635227000</v>
      </c>
      <c r="W10" s="10">
        <v>-290477000</v>
      </c>
      <c r="X10" s="10">
        <v>-50474000</v>
      </c>
      <c r="Y10" s="8" t="s">
        <v>46</v>
      </c>
      <c r="Z10" s="8">
        <v>-240003000</v>
      </c>
      <c r="AA10" s="10" t="s">
        <v>46</v>
      </c>
      <c r="AB10" s="10">
        <v>1157802000</v>
      </c>
      <c r="AC10" s="8">
        <v>1793029000</v>
      </c>
      <c r="AD10" s="8">
        <v>-296318000</v>
      </c>
      <c r="AE10" s="8"/>
      <c r="AF10" s="8"/>
      <c r="AG10" s="8"/>
      <c r="AH10" s="8"/>
      <c r="AI10" s="8"/>
      <c r="AJ10" s="8"/>
      <c r="AK10" s="8"/>
      <c r="AL10" s="8"/>
      <c r="AM10" s="8"/>
      <c r="AN10" s="8"/>
      <c r="AO10" s="8"/>
      <c r="AP10" s="8"/>
    </row>
    <row r="11" spans="1:42" ht="17">
      <c r="A11" s="8" t="s">
        <v>43</v>
      </c>
      <c r="B11" s="8" t="s">
        <v>45</v>
      </c>
      <c r="C11" s="8">
        <v>3861286000</v>
      </c>
      <c r="D11" s="8">
        <v>6273573000</v>
      </c>
      <c r="E11" s="10" t="s">
        <v>58</v>
      </c>
      <c r="F11" s="8" t="s">
        <v>45</v>
      </c>
      <c r="G11" s="8">
        <v>3768171000</v>
      </c>
      <c r="H11" s="8">
        <v>6241516000</v>
      </c>
      <c r="I11" s="8">
        <v>2473345000</v>
      </c>
      <c r="J11" s="8">
        <v>2473345000</v>
      </c>
      <c r="K11" s="10">
        <v>1149431000</v>
      </c>
      <c r="L11" s="8">
        <v>1701555000</v>
      </c>
      <c r="M11" s="8" t="s">
        <v>46</v>
      </c>
      <c r="N11" s="8">
        <v>2597109000</v>
      </c>
      <c r="O11" s="10" t="s">
        <v>46</v>
      </c>
      <c r="P11" s="10" t="s">
        <v>46</v>
      </c>
      <c r="Q11" s="8" t="s">
        <v>46</v>
      </c>
      <c r="R11" s="10">
        <v>1805496000</v>
      </c>
      <c r="S11" s="8" t="s">
        <v>46</v>
      </c>
      <c r="T11" s="8" t="s">
        <v>46</v>
      </c>
      <c r="U11" s="8" t="s">
        <v>46</v>
      </c>
      <c r="V11" s="10">
        <v>673991000</v>
      </c>
      <c r="W11" s="10">
        <v>-650533000</v>
      </c>
      <c r="X11" s="10">
        <v>86957000</v>
      </c>
      <c r="Y11" s="8" t="s">
        <v>46</v>
      </c>
      <c r="Z11" s="8">
        <v>-737634000</v>
      </c>
      <c r="AA11" s="10" t="s">
        <v>46</v>
      </c>
      <c r="AB11" s="10">
        <v>1106532000</v>
      </c>
      <c r="AC11" s="8">
        <v>1780523000</v>
      </c>
      <c r="AD11" s="8">
        <v>-754621000</v>
      </c>
      <c r="AE11" s="8"/>
      <c r="AF11" s="8"/>
      <c r="AG11" s="8"/>
      <c r="AH11" s="8"/>
      <c r="AI11" s="8"/>
      <c r="AJ11" s="8"/>
      <c r="AK11" s="8"/>
      <c r="AL11" s="8"/>
      <c r="AM11" s="8"/>
      <c r="AN11" s="8"/>
      <c r="AO11" s="8"/>
      <c r="AP11" s="8"/>
    </row>
    <row r="12" spans="1:42" ht="17">
      <c r="A12" s="8" t="s">
        <v>58</v>
      </c>
      <c r="B12" s="8" t="s">
        <v>45</v>
      </c>
      <c r="C12" s="8">
        <v>3768171000</v>
      </c>
      <c r="D12" s="8">
        <v>6241516000</v>
      </c>
      <c r="E12" s="10" t="s">
        <v>59</v>
      </c>
      <c r="F12" s="8" t="s">
        <v>45</v>
      </c>
      <c r="G12" s="8">
        <v>3784168000</v>
      </c>
      <c r="H12" s="8">
        <v>6318533000</v>
      </c>
      <c r="I12" s="8">
        <v>2534365000</v>
      </c>
      <c r="J12" s="8">
        <v>2534365000</v>
      </c>
      <c r="K12" s="10">
        <v>1081586000</v>
      </c>
      <c r="L12" s="8">
        <v>1687208000</v>
      </c>
      <c r="M12" s="8" t="s">
        <v>46</v>
      </c>
      <c r="N12" s="8">
        <v>2678406000</v>
      </c>
      <c r="O12" s="10" t="s">
        <v>46</v>
      </c>
      <c r="P12" s="10" t="s">
        <v>46</v>
      </c>
      <c r="Q12" s="8" t="s">
        <v>46</v>
      </c>
      <c r="R12" s="10">
        <v>1741596000</v>
      </c>
      <c r="S12" s="8" t="s">
        <v>46</v>
      </c>
      <c r="T12" s="8" t="s">
        <v>46</v>
      </c>
      <c r="U12" s="8" t="s">
        <v>46</v>
      </c>
      <c r="V12" s="10">
        <v>710898000</v>
      </c>
      <c r="W12" s="10">
        <v>-703669000</v>
      </c>
      <c r="X12" s="10">
        <v>58489000</v>
      </c>
      <c r="Y12" s="8" t="s">
        <v>46</v>
      </c>
      <c r="Z12" s="8">
        <v>-846524000</v>
      </c>
      <c r="AA12" s="10" t="s">
        <v>46</v>
      </c>
      <c r="AB12" s="10">
        <v>1123450000</v>
      </c>
      <c r="AC12" s="8">
        <v>1834348000</v>
      </c>
      <c r="AD12" s="8">
        <v>-793761000</v>
      </c>
      <c r="AE12" s="8"/>
      <c r="AF12" s="8"/>
      <c r="AG12" s="8"/>
      <c r="AH12" s="8"/>
      <c r="AI12" s="8"/>
      <c r="AJ12" s="8"/>
      <c r="AK12" s="8"/>
      <c r="AL12" s="8"/>
      <c r="AM12" s="8"/>
      <c r="AN12" s="8"/>
      <c r="AO12" s="8"/>
      <c r="AP12" s="8"/>
    </row>
    <row r="13" spans="1:42" ht="17">
      <c r="A13" s="8" t="s">
        <v>60</v>
      </c>
      <c r="B13" s="8" t="s">
        <v>45</v>
      </c>
      <c r="C13" s="8">
        <v>3784168000</v>
      </c>
      <c r="D13" s="8">
        <v>6318533000</v>
      </c>
      <c r="E13" s="10" t="s">
        <v>61</v>
      </c>
      <c r="F13" s="8" t="s">
        <v>45</v>
      </c>
      <c r="G13" s="8">
        <v>3699625000</v>
      </c>
      <c r="H13" s="8">
        <v>6243044000</v>
      </c>
      <c r="I13" s="8">
        <v>2543419000</v>
      </c>
      <c r="J13" s="8">
        <v>2543419000</v>
      </c>
      <c r="K13" s="10">
        <v>1000782000</v>
      </c>
      <c r="L13" s="8">
        <v>1649861000</v>
      </c>
      <c r="M13" s="8" t="s">
        <v>46</v>
      </c>
      <c r="N13" s="8">
        <v>2681873000</v>
      </c>
      <c r="O13" s="10" t="s">
        <v>46</v>
      </c>
      <c r="P13" s="10" t="s">
        <v>46</v>
      </c>
      <c r="Q13" s="8" t="s">
        <v>46</v>
      </c>
      <c r="R13" s="10">
        <v>1649451000</v>
      </c>
      <c r="S13" s="8" t="s">
        <v>46</v>
      </c>
      <c r="T13" s="8" t="s">
        <v>46</v>
      </c>
      <c r="U13" s="8" t="s">
        <v>46</v>
      </c>
      <c r="V13" s="10">
        <v>730828000</v>
      </c>
      <c r="W13" s="10">
        <v>-705334000</v>
      </c>
      <c r="X13" s="10">
        <v>-121817000</v>
      </c>
      <c r="Y13" s="8" t="s">
        <v>46</v>
      </c>
      <c r="Z13" s="8" t="s">
        <v>46</v>
      </c>
      <c r="AA13" s="10" t="s">
        <v>46</v>
      </c>
      <c r="AB13" s="10">
        <v>1052654000</v>
      </c>
      <c r="AC13" s="8">
        <v>1783482000</v>
      </c>
      <c r="AD13" s="8">
        <v>-606883000</v>
      </c>
      <c r="AE13" s="8"/>
      <c r="AF13" s="8"/>
      <c r="AG13" s="8"/>
      <c r="AH13" s="8"/>
      <c r="AI13" s="8"/>
      <c r="AJ13" s="8"/>
      <c r="AK13" s="8"/>
      <c r="AL13" s="8"/>
      <c r="AM13" s="8"/>
      <c r="AN13" s="8"/>
      <c r="AO13" s="8"/>
      <c r="AP13" s="8"/>
    </row>
    <row r="14" spans="1:42" ht="17">
      <c r="A14" s="8" t="s">
        <v>43</v>
      </c>
      <c r="B14" s="8" t="s">
        <v>45</v>
      </c>
      <c r="C14" s="8">
        <v>3699625000</v>
      </c>
      <c r="D14" s="8">
        <v>6243044000</v>
      </c>
      <c r="E14" s="10" t="s">
        <v>62</v>
      </c>
      <c r="F14" s="8" t="s">
        <v>45</v>
      </c>
      <c r="G14" s="8">
        <v>3750334000</v>
      </c>
      <c r="H14" s="8">
        <v>6246884000</v>
      </c>
      <c r="I14" s="8">
        <v>2496550000</v>
      </c>
      <c r="J14" s="8">
        <v>2496550000</v>
      </c>
      <c r="K14" s="10">
        <v>1070050000</v>
      </c>
      <c r="L14" s="8">
        <v>1673447000</v>
      </c>
      <c r="M14" s="8" t="s">
        <v>46</v>
      </c>
      <c r="N14" s="8">
        <v>2642633000</v>
      </c>
      <c r="O14" s="10" t="s">
        <v>46</v>
      </c>
      <c r="P14" s="10" t="s">
        <v>46</v>
      </c>
      <c r="Q14" s="8" t="s">
        <v>46</v>
      </c>
      <c r="R14" s="10">
        <v>1549023000</v>
      </c>
      <c r="S14" s="8" t="s">
        <v>46</v>
      </c>
      <c r="T14" s="8" t="s">
        <v>46</v>
      </c>
      <c r="U14" s="8" t="s">
        <v>46</v>
      </c>
      <c r="V14" s="10">
        <v>729285000</v>
      </c>
      <c r="W14" s="10">
        <v>-719469000</v>
      </c>
      <c r="X14" s="10">
        <v>-308279000</v>
      </c>
      <c r="Y14" s="8" t="s">
        <v>46</v>
      </c>
      <c r="Z14" s="8" t="s">
        <v>46</v>
      </c>
      <c r="AA14" s="10" t="s">
        <v>46</v>
      </c>
      <c r="AB14" s="10">
        <v>829554000</v>
      </c>
      <c r="AC14" s="8">
        <v>1558839000</v>
      </c>
      <c r="AD14" s="8">
        <v>-424479000</v>
      </c>
      <c r="AE14" s="8"/>
      <c r="AF14" s="8"/>
      <c r="AG14" s="8"/>
      <c r="AH14" s="8"/>
      <c r="AI14" s="8"/>
      <c r="AJ14" s="8"/>
      <c r="AK14" s="8"/>
      <c r="AL14" s="8"/>
      <c r="AM14" s="8"/>
      <c r="AN14" s="8"/>
      <c r="AO14" s="8"/>
      <c r="AP14" s="8"/>
    </row>
    <row r="15" spans="1:42" ht="17">
      <c r="A15" s="8" t="s">
        <v>62</v>
      </c>
      <c r="B15" s="8" t="s">
        <v>45</v>
      </c>
      <c r="C15" s="8">
        <v>3750334000</v>
      </c>
      <c r="D15" s="8">
        <v>6246884000</v>
      </c>
      <c r="E15" s="10" t="s">
        <v>63</v>
      </c>
      <c r="F15" s="8" t="s">
        <v>45</v>
      </c>
      <c r="G15" s="8">
        <v>3657316000</v>
      </c>
      <c r="H15" s="8">
        <v>6161352000</v>
      </c>
      <c r="I15" s="8">
        <v>2504036000</v>
      </c>
      <c r="J15" s="8">
        <v>2504036000</v>
      </c>
      <c r="K15" s="10">
        <v>1054724000</v>
      </c>
      <c r="L15" s="8">
        <v>1844354000</v>
      </c>
      <c r="M15" s="8" t="s">
        <v>46</v>
      </c>
      <c r="N15" s="8">
        <v>2620342000</v>
      </c>
      <c r="O15" s="10" t="s">
        <v>46</v>
      </c>
      <c r="P15" s="10" t="s">
        <v>46</v>
      </c>
      <c r="Q15" s="8" t="s">
        <v>46</v>
      </c>
      <c r="R15" s="10">
        <v>1466246000</v>
      </c>
      <c r="S15" s="8" t="s">
        <v>46</v>
      </c>
      <c r="T15" s="8" t="s">
        <v>46</v>
      </c>
      <c r="U15" s="8" t="s">
        <v>46</v>
      </c>
      <c r="V15" s="10">
        <v>763306000</v>
      </c>
      <c r="W15" s="10">
        <v>-394007000</v>
      </c>
      <c r="X15" s="10">
        <v>-125978000</v>
      </c>
      <c r="Y15" s="8" t="s">
        <v>46</v>
      </c>
      <c r="Z15" s="8" t="s">
        <v>46</v>
      </c>
      <c r="AA15" s="10" t="s">
        <v>46</v>
      </c>
      <c r="AB15" s="10">
        <v>1072239000</v>
      </c>
      <c r="AC15" s="8">
        <v>1835545000</v>
      </c>
      <c r="AD15" s="8">
        <v>-302094000</v>
      </c>
      <c r="AE15" s="8"/>
      <c r="AF15" s="8"/>
      <c r="AG15" s="8"/>
      <c r="AH15" s="8"/>
      <c r="AI15" s="8"/>
      <c r="AJ15" s="8"/>
      <c r="AK15" s="8"/>
      <c r="AL15" s="8"/>
      <c r="AM15" s="8"/>
      <c r="AN15" s="8"/>
      <c r="AO15" s="8"/>
      <c r="AP15" s="8"/>
    </row>
    <row r="16" spans="1:42" ht="17">
      <c r="A16" s="8" t="s">
        <v>64</v>
      </c>
      <c r="B16" s="8" t="s">
        <v>45</v>
      </c>
      <c r="C16" s="8">
        <v>3657316000</v>
      </c>
      <c r="D16" s="8">
        <v>6161352000</v>
      </c>
      <c r="E16" s="10" t="s">
        <v>65</v>
      </c>
      <c r="F16" s="8" t="s">
        <v>45</v>
      </c>
      <c r="G16" s="8">
        <v>3139476000</v>
      </c>
      <c r="H16" s="8">
        <v>5865685000</v>
      </c>
      <c r="I16" s="8">
        <v>2726209000</v>
      </c>
      <c r="J16" s="8">
        <v>2726209000</v>
      </c>
      <c r="K16" s="10">
        <v>864841000</v>
      </c>
      <c r="L16" s="8">
        <v>1509692000</v>
      </c>
      <c r="M16" s="8" t="s">
        <v>46</v>
      </c>
      <c r="N16" s="8">
        <v>2259271000</v>
      </c>
      <c r="O16" s="10" t="s">
        <v>46</v>
      </c>
      <c r="P16" s="10" t="s">
        <v>46</v>
      </c>
      <c r="Q16" s="8" t="s">
        <v>46</v>
      </c>
      <c r="R16" s="10">
        <v>1533341000</v>
      </c>
      <c r="S16" s="8" t="s">
        <v>46</v>
      </c>
      <c r="T16" s="8" t="s">
        <v>46</v>
      </c>
      <c r="U16" s="8" t="s">
        <v>46</v>
      </c>
      <c r="V16" s="10">
        <v>732869000</v>
      </c>
      <c r="W16" s="10">
        <v>-622833000</v>
      </c>
      <c r="X16" s="10">
        <v>-159980000</v>
      </c>
      <c r="Y16" s="8" t="s">
        <v>46</v>
      </c>
      <c r="Z16" s="8" t="s">
        <v>46</v>
      </c>
      <c r="AA16" s="10" t="s">
        <v>46</v>
      </c>
      <c r="AB16" s="10">
        <v>910508000</v>
      </c>
      <c r="AC16" s="8">
        <v>1643377000</v>
      </c>
      <c r="AD16" s="8">
        <v>-479089000</v>
      </c>
      <c r="AE16" s="8"/>
      <c r="AF16" s="8"/>
      <c r="AG16" s="8"/>
      <c r="AH16" s="8"/>
      <c r="AI16" s="8"/>
      <c r="AJ16" s="8"/>
      <c r="AK16" s="8"/>
      <c r="AL16" s="8"/>
      <c r="AM16" s="8"/>
      <c r="AN16" s="8"/>
      <c r="AO16" s="8"/>
      <c r="AP16" s="8"/>
    </row>
    <row r="17" spans="1:42" ht="17">
      <c r="A17" s="8" t="s">
        <v>43</v>
      </c>
      <c r="B17" s="8" t="s">
        <v>45</v>
      </c>
      <c r="C17" s="8">
        <v>3139476000</v>
      </c>
      <c r="D17" s="8">
        <v>5865685000</v>
      </c>
      <c r="E17" s="10" t="s">
        <v>66</v>
      </c>
      <c r="F17" s="8" t="s">
        <v>45</v>
      </c>
      <c r="G17" s="8">
        <v>2714682000</v>
      </c>
      <c r="H17" s="8">
        <v>5551909000</v>
      </c>
      <c r="I17" s="8">
        <v>2837227000</v>
      </c>
      <c r="J17" s="8">
        <v>2837227000</v>
      </c>
      <c r="K17" s="11">
        <v>-3687000000</v>
      </c>
      <c r="L17" s="8">
        <v>1466593000</v>
      </c>
      <c r="M17" s="8" t="s">
        <v>46</v>
      </c>
      <c r="N17" s="8">
        <v>2181230000</v>
      </c>
      <c r="O17" s="10" t="s">
        <v>46</v>
      </c>
      <c r="P17" s="10" t="s">
        <v>46</v>
      </c>
      <c r="Q17" s="8" t="s">
        <v>46</v>
      </c>
      <c r="R17" s="10">
        <v>1500866000</v>
      </c>
      <c r="S17" s="8" t="s">
        <v>46</v>
      </c>
      <c r="T17" s="8" t="s">
        <v>46</v>
      </c>
      <c r="U17" s="8" t="s">
        <v>46</v>
      </c>
      <c r="V17" s="10">
        <v>765474000</v>
      </c>
      <c r="W17" s="11">
        <v>-4542000000</v>
      </c>
      <c r="X17" s="10">
        <v>-493320000</v>
      </c>
      <c r="Y17" s="8" t="s">
        <v>46</v>
      </c>
      <c r="Z17" s="8" t="s">
        <v>46</v>
      </c>
      <c r="AA17" s="10" t="s">
        <v>46</v>
      </c>
      <c r="AB17" s="11">
        <v>-3041000000</v>
      </c>
      <c r="AC17" s="9">
        <v>-2276000000</v>
      </c>
      <c r="AD17" s="9">
        <v>-4034000000</v>
      </c>
      <c r="AE17" s="8"/>
      <c r="AF17" s="8"/>
      <c r="AG17" s="8"/>
      <c r="AH17" s="8"/>
      <c r="AI17" s="8"/>
      <c r="AJ17" s="8"/>
      <c r="AK17" s="8"/>
      <c r="AL17" s="8"/>
      <c r="AM17" s="8"/>
      <c r="AN17" s="8"/>
      <c r="AO17" s="8"/>
      <c r="AP17" s="8"/>
    </row>
    <row r="18" spans="1:42" ht="17">
      <c r="A18" s="8" t="s">
        <v>66</v>
      </c>
      <c r="B18" s="8" t="s">
        <v>45</v>
      </c>
      <c r="C18" s="8">
        <v>2714682000</v>
      </c>
      <c r="D18" s="8">
        <v>5551909000</v>
      </c>
      <c r="E18" s="10" t="s">
        <v>67</v>
      </c>
      <c r="F18" s="8" t="s">
        <v>45</v>
      </c>
      <c r="G18" s="8">
        <v>3556294000</v>
      </c>
      <c r="H18" s="8">
        <v>6688683000</v>
      </c>
      <c r="I18" s="8">
        <v>3132389000</v>
      </c>
      <c r="J18" s="8">
        <v>3132389000</v>
      </c>
      <c r="K18" s="11">
        <v>-4366000000</v>
      </c>
      <c r="L18" s="8">
        <v>1829246000</v>
      </c>
      <c r="M18" s="8" t="s">
        <v>46</v>
      </c>
      <c r="N18" s="8">
        <v>2554108000</v>
      </c>
      <c r="O18" s="10" t="s">
        <v>46</v>
      </c>
      <c r="P18" s="10" t="s">
        <v>46</v>
      </c>
      <c r="Q18" s="8" t="s">
        <v>46</v>
      </c>
      <c r="R18" s="10">
        <v>928978000</v>
      </c>
      <c r="S18" s="8" t="s">
        <v>46</v>
      </c>
      <c r="T18" s="8" t="s">
        <v>46</v>
      </c>
      <c r="U18" s="8" t="s">
        <v>46</v>
      </c>
      <c r="V18" s="10">
        <v>696830000</v>
      </c>
      <c r="W18" s="11">
        <v>-5151000000</v>
      </c>
      <c r="X18" s="10">
        <v>-524040000</v>
      </c>
      <c r="Y18" s="8" t="s">
        <v>46</v>
      </c>
      <c r="Z18" s="8" t="s">
        <v>46</v>
      </c>
      <c r="AA18" s="10" t="s">
        <v>46</v>
      </c>
      <c r="AB18" s="11">
        <v>-4741000000</v>
      </c>
      <c r="AC18" s="9">
        <v>-4045000000</v>
      </c>
      <c r="AD18" s="9">
        <v>-4005000000</v>
      </c>
      <c r="AE18" s="8"/>
      <c r="AF18" s="8"/>
      <c r="AG18" s="8"/>
      <c r="AH18" s="8"/>
      <c r="AI18" s="8"/>
      <c r="AJ18" s="8"/>
      <c r="AK18" s="8"/>
      <c r="AL18" s="8"/>
      <c r="AM18" s="8"/>
      <c r="AN18" s="8"/>
      <c r="AO18" s="8"/>
      <c r="AP18" s="8"/>
    </row>
    <row r="19" spans="1:42" ht="17">
      <c r="A19" s="8" t="s">
        <v>67</v>
      </c>
      <c r="B19" s="8" t="s">
        <v>45</v>
      </c>
      <c r="C19" s="8">
        <v>3556294000</v>
      </c>
      <c r="D19" s="8">
        <v>6688683000</v>
      </c>
      <c r="E19" s="10" t="s">
        <v>68</v>
      </c>
      <c r="F19" s="8">
        <v>3132389000</v>
      </c>
      <c r="G19" s="9">
        <v>-4366000000</v>
      </c>
      <c r="H19" s="8">
        <v>1829246000</v>
      </c>
      <c r="I19" s="8" t="s">
        <v>46</v>
      </c>
      <c r="J19" s="8">
        <v>2554108000</v>
      </c>
      <c r="K19" s="10" t="s">
        <v>46</v>
      </c>
      <c r="L19" s="8" t="s">
        <v>46</v>
      </c>
      <c r="M19" s="8" t="s">
        <v>46</v>
      </c>
      <c r="N19" s="8">
        <v>928978000</v>
      </c>
      <c r="O19" s="10" t="s">
        <v>46</v>
      </c>
      <c r="P19" s="10" t="s">
        <v>46</v>
      </c>
      <c r="Q19" s="8" t="s">
        <v>46</v>
      </c>
      <c r="R19" s="10">
        <v>696830000</v>
      </c>
      <c r="S19" s="9">
        <v>-5151000000</v>
      </c>
      <c r="T19" s="8">
        <v>-524040000</v>
      </c>
      <c r="U19" s="8" t="s">
        <v>46</v>
      </c>
      <c r="V19" s="10" t="s">
        <v>46</v>
      </c>
      <c r="W19" s="10" t="s">
        <v>46</v>
      </c>
      <c r="X19" s="11">
        <v>-4741000000</v>
      </c>
      <c r="Y19" s="9">
        <v>-4045000000</v>
      </c>
      <c r="Z19" s="9">
        <v>-4005000000</v>
      </c>
      <c r="AA19" s="10" t="s">
        <v>46</v>
      </c>
      <c r="AB19" s="11">
        <v>-4741000000</v>
      </c>
      <c r="AC19" s="9">
        <v>-4045000000</v>
      </c>
      <c r="AD19" s="9">
        <v>-4005000000</v>
      </c>
      <c r="AE19" s="8"/>
      <c r="AF19" s="8"/>
      <c r="AG19" s="8"/>
      <c r="AH19" s="8"/>
      <c r="AI19" s="8"/>
      <c r="AJ19" s="8"/>
      <c r="AK19" s="8"/>
      <c r="AL19" s="8"/>
      <c r="AM19" s="8"/>
      <c r="AN19" s="8"/>
      <c r="AO19" s="8"/>
      <c r="AP19" s="8"/>
    </row>
    <row r="20" spans="1:42" ht="17">
      <c r="A20" s="8"/>
      <c r="B20" s="8"/>
      <c r="C20" s="8"/>
      <c r="D20" s="8"/>
      <c r="E20" s="10" t="s">
        <v>69</v>
      </c>
      <c r="F20" s="8" t="s">
        <v>45</v>
      </c>
      <c r="G20" s="8">
        <v>5598000000</v>
      </c>
      <c r="H20" s="9">
        <v>19315000000</v>
      </c>
      <c r="I20" s="9">
        <v>13717000000</v>
      </c>
      <c r="J20" s="9">
        <v>13717000000</v>
      </c>
      <c r="K20" s="10">
        <v>2453000000</v>
      </c>
      <c r="L20" s="8">
        <v>2433000000</v>
      </c>
      <c r="M20" s="8">
        <v>712000000</v>
      </c>
      <c r="N20" s="8">
        <v>3145000000</v>
      </c>
      <c r="O20" s="10" t="s">
        <v>46</v>
      </c>
      <c r="P20" s="10" t="s">
        <v>46</v>
      </c>
      <c r="Q20" s="8" t="s">
        <v>46</v>
      </c>
      <c r="R20" s="10">
        <v>365000000</v>
      </c>
      <c r="S20" s="8" t="s">
        <v>46</v>
      </c>
      <c r="T20" s="8" t="s">
        <v>46</v>
      </c>
      <c r="U20" s="8" t="s">
        <v>46</v>
      </c>
      <c r="V20" s="10">
        <v>225000000</v>
      </c>
      <c r="W20" s="10">
        <v>2818000000</v>
      </c>
      <c r="X20" s="10">
        <v>829000000</v>
      </c>
      <c r="Y20" s="8" t="s">
        <v>46</v>
      </c>
      <c r="Z20" s="8" t="s">
        <v>46</v>
      </c>
      <c r="AA20" s="10" t="s">
        <v>46</v>
      </c>
      <c r="AB20" s="10">
        <v>2453000000</v>
      </c>
      <c r="AC20" s="8">
        <v>2678000000</v>
      </c>
      <c r="AD20" s="8">
        <v>1989000000</v>
      </c>
      <c r="AE20" s="8"/>
      <c r="AF20" s="8"/>
      <c r="AG20" s="8"/>
      <c r="AH20" s="8"/>
      <c r="AI20" s="8"/>
      <c r="AJ20" s="8"/>
      <c r="AK20" s="8"/>
      <c r="AL20" s="8"/>
      <c r="AM20" s="8"/>
      <c r="AN20" s="8"/>
      <c r="AO20" s="8"/>
      <c r="AP20" s="8"/>
    </row>
    <row r="21" spans="1:42" ht="17">
      <c r="A21" s="8" t="s">
        <v>48</v>
      </c>
      <c r="B21" s="8"/>
      <c r="C21" s="8"/>
      <c r="D21" s="8"/>
      <c r="E21" s="10" t="s">
        <v>70</v>
      </c>
      <c r="F21" s="8" t="s">
        <v>45</v>
      </c>
      <c r="G21" s="8">
        <v>4042000000</v>
      </c>
      <c r="H21" s="9">
        <v>13931000000</v>
      </c>
      <c r="I21" s="8">
        <v>9889000000</v>
      </c>
      <c r="J21" s="8">
        <v>9889000000</v>
      </c>
      <c r="K21" s="10">
        <v>1643000000</v>
      </c>
      <c r="L21" s="8">
        <v>1859000000</v>
      </c>
      <c r="M21" s="8">
        <v>535000000</v>
      </c>
      <c r="N21" s="8">
        <v>2399000000</v>
      </c>
      <c r="O21" s="10" t="s">
        <v>46</v>
      </c>
      <c r="P21" s="10" t="s">
        <v>46</v>
      </c>
      <c r="Q21" s="8" t="s">
        <v>46</v>
      </c>
      <c r="R21" s="10">
        <v>165000000</v>
      </c>
      <c r="S21" s="8" t="s">
        <v>46</v>
      </c>
      <c r="T21" s="8" t="s">
        <v>46</v>
      </c>
      <c r="U21" s="8" t="s">
        <v>46</v>
      </c>
      <c r="V21" s="10">
        <v>179000000</v>
      </c>
      <c r="W21" s="10">
        <v>1815000000</v>
      </c>
      <c r="X21" s="10">
        <v>480000000</v>
      </c>
      <c r="Y21" s="8" t="s">
        <v>46</v>
      </c>
      <c r="Z21" s="8" t="s">
        <v>46</v>
      </c>
      <c r="AA21" s="10" t="s">
        <v>46</v>
      </c>
      <c r="AB21" s="10">
        <v>1643000000</v>
      </c>
      <c r="AC21" s="8">
        <v>1822000000</v>
      </c>
      <c r="AD21" s="8">
        <v>1328000000</v>
      </c>
      <c r="AE21" s="8"/>
      <c r="AF21" s="8"/>
      <c r="AG21" s="8"/>
      <c r="AH21" s="8"/>
      <c r="AI21" s="8"/>
      <c r="AJ21" s="8"/>
      <c r="AK21" s="8"/>
      <c r="AL21" s="8"/>
      <c r="AM21" s="8"/>
      <c r="AN21" s="8"/>
      <c r="AO21" s="8"/>
      <c r="AP21" s="8"/>
    </row>
    <row r="22" spans="1:42" ht="17">
      <c r="A22" s="8" t="s">
        <v>17</v>
      </c>
      <c r="B22" s="8" t="s">
        <v>18</v>
      </c>
      <c r="C22" s="8" t="s">
        <v>19</v>
      </c>
      <c r="D22" s="8" t="s">
        <v>20</v>
      </c>
      <c r="E22" s="10" t="s">
        <v>21</v>
      </c>
      <c r="F22" s="8" t="s">
        <v>22</v>
      </c>
      <c r="G22" s="8" t="s">
        <v>23</v>
      </c>
      <c r="H22" s="8" t="s">
        <v>24</v>
      </c>
      <c r="I22" s="8" t="s">
        <v>25</v>
      </c>
      <c r="J22" s="8" t="s">
        <v>26</v>
      </c>
      <c r="K22" s="10" t="s">
        <v>27</v>
      </c>
      <c r="L22" s="8" t="s">
        <v>28</v>
      </c>
      <c r="M22" s="8" t="s">
        <v>29</v>
      </c>
      <c r="N22" s="8" t="s">
        <v>30</v>
      </c>
      <c r="O22" s="10" t="s">
        <v>31</v>
      </c>
      <c r="P22" s="10" t="s">
        <v>32</v>
      </c>
      <c r="Q22" s="8" t="s">
        <v>33</v>
      </c>
      <c r="R22" s="10" t="s">
        <v>34</v>
      </c>
      <c r="S22" s="8" t="s">
        <v>35</v>
      </c>
      <c r="T22" s="8" t="s">
        <v>36</v>
      </c>
      <c r="U22" s="8" t="s">
        <v>37</v>
      </c>
      <c r="V22" s="10" t="s">
        <v>38</v>
      </c>
      <c r="W22" s="10" t="s">
        <v>39</v>
      </c>
      <c r="X22" s="10" t="s">
        <v>40</v>
      </c>
      <c r="Y22" s="8" t="s">
        <v>41</v>
      </c>
      <c r="Z22" s="8" t="s">
        <v>42</v>
      </c>
      <c r="AA22" s="10"/>
      <c r="AB22" s="10"/>
      <c r="AC22" s="8"/>
      <c r="AD22" s="8"/>
      <c r="AE22" s="8"/>
      <c r="AF22" s="8"/>
      <c r="AG22" s="8"/>
      <c r="AH22" s="8"/>
      <c r="AI22" s="8"/>
      <c r="AJ22" s="8"/>
      <c r="AK22" s="8"/>
      <c r="AL22" s="8"/>
      <c r="AM22" s="8"/>
      <c r="AN22" s="8"/>
      <c r="AO22" s="8"/>
      <c r="AP22" s="8"/>
    </row>
    <row r="23" spans="1:42" ht="17">
      <c r="A23" s="8" t="s">
        <v>71</v>
      </c>
      <c r="B23" s="8" t="s">
        <v>45</v>
      </c>
      <c r="C23" s="8">
        <v>450775000</v>
      </c>
      <c r="D23" s="8">
        <v>807101000</v>
      </c>
      <c r="E23" s="10">
        <v>356326000</v>
      </c>
      <c r="F23" s="8">
        <v>356326000</v>
      </c>
      <c r="G23" s="8">
        <v>-25434000</v>
      </c>
      <c r="H23" s="8">
        <v>380794000</v>
      </c>
      <c r="I23" s="8" t="s">
        <v>46</v>
      </c>
      <c r="J23" s="8">
        <v>476209000</v>
      </c>
      <c r="K23" s="10" t="s">
        <v>46</v>
      </c>
      <c r="L23" s="8">
        <v>-100386000</v>
      </c>
      <c r="M23" s="8" t="s">
        <v>46</v>
      </c>
      <c r="N23" s="8">
        <v>100386000</v>
      </c>
      <c r="O23" s="10" t="s">
        <v>46</v>
      </c>
      <c r="P23" s="10" t="s">
        <v>46</v>
      </c>
      <c r="Q23" s="8" t="s">
        <v>46</v>
      </c>
      <c r="R23" s="10">
        <v>91901000</v>
      </c>
      <c r="S23" s="8">
        <v>-145524000</v>
      </c>
      <c r="T23" s="8">
        <v>135359000</v>
      </c>
      <c r="U23" s="8" t="s">
        <v>46</v>
      </c>
      <c r="V23" s="10">
        <v>-280883000</v>
      </c>
      <c r="W23" s="10" t="s">
        <v>46</v>
      </c>
      <c r="X23" s="10">
        <v>-45138000</v>
      </c>
      <c r="Y23" s="8">
        <v>46763000</v>
      </c>
      <c r="Z23" s="8">
        <v>-281224000</v>
      </c>
      <c r="AA23" s="10" t="s">
        <v>72</v>
      </c>
      <c r="AB23" s="10" t="s">
        <v>73</v>
      </c>
      <c r="AC23" s="8" t="s">
        <v>74</v>
      </c>
      <c r="AD23" s="8" t="s">
        <v>75</v>
      </c>
      <c r="AE23" s="8" t="s">
        <v>76</v>
      </c>
      <c r="AF23" s="8" t="s">
        <v>77</v>
      </c>
      <c r="AG23" s="8" t="s">
        <v>78</v>
      </c>
      <c r="AH23" s="8" t="s">
        <v>79</v>
      </c>
      <c r="AI23" s="8" t="s">
        <v>80</v>
      </c>
      <c r="AJ23" s="8" t="s">
        <v>81</v>
      </c>
      <c r="AK23" s="8" t="s">
        <v>82</v>
      </c>
      <c r="AL23" s="8" t="s">
        <v>83</v>
      </c>
      <c r="AM23" s="8" t="s">
        <v>84</v>
      </c>
      <c r="AN23" s="8" t="s">
        <v>85</v>
      </c>
      <c r="AO23" s="8" t="s">
        <v>86</v>
      </c>
      <c r="AP23" s="8" t="s">
        <v>87</v>
      </c>
    </row>
    <row r="24" spans="1:42" ht="17">
      <c r="A24" s="8" t="s">
        <v>44</v>
      </c>
      <c r="B24" s="8" t="s">
        <v>45</v>
      </c>
      <c r="C24" s="8">
        <v>662492000</v>
      </c>
      <c r="D24" s="8">
        <v>1118269000</v>
      </c>
      <c r="E24" s="10" t="s">
        <v>68</v>
      </c>
      <c r="F24" s="8">
        <v>455777000</v>
      </c>
      <c r="G24" s="8">
        <v>104547000</v>
      </c>
      <c r="H24" s="8">
        <v>458088000</v>
      </c>
      <c r="I24" s="8" t="s">
        <v>46</v>
      </c>
      <c r="J24" s="8">
        <v>557945000</v>
      </c>
      <c r="K24" s="10" t="s">
        <v>46</v>
      </c>
      <c r="L24" s="8">
        <v>-92627000</v>
      </c>
      <c r="M24" s="8" t="s">
        <v>46</v>
      </c>
      <c r="N24" s="8">
        <v>92627000</v>
      </c>
      <c r="O24" s="10" t="s">
        <v>46</v>
      </c>
      <c r="P24" s="10" t="s">
        <v>46</v>
      </c>
      <c r="Q24" s="8" t="s">
        <v>46</v>
      </c>
      <c r="R24" s="10">
        <v>98733000</v>
      </c>
      <c r="S24" s="8">
        <v>-102688000</v>
      </c>
      <c r="T24" s="8">
        <v>-134616000</v>
      </c>
      <c r="U24" s="8" t="s">
        <v>46</v>
      </c>
      <c r="V24" s="10">
        <v>31928000</v>
      </c>
      <c r="W24" s="10" t="s">
        <v>46</v>
      </c>
      <c r="X24" s="10">
        <v>-10061000</v>
      </c>
      <c r="Y24" s="8">
        <v>88672000</v>
      </c>
      <c r="Z24" s="8">
        <v>31490000</v>
      </c>
      <c r="AA24" s="10" t="s">
        <v>46</v>
      </c>
      <c r="AB24" s="10" t="s">
        <v>46</v>
      </c>
      <c r="AC24" s="8">
        <v>92017000</v>
      </c>
      <c r="AD24" s="8">
        <v>6073196000</v>
      </c>
      <c r="AE24" s="8">
        <v>786102000</v>
      </c>
      <c r="AF24" s="8">
        <v>5048968000</v>
      </c>
      <c r="AG24" s="8">
        <v>22501000</v>
      </c>
      <c r="AH24" s="8" t="s">
        <v>46</v>
      </c>
      <c r="AI24" s="8">
        <v>5857571000</v>
      </c>
      <c r="AJ24" s="8">
        <v>370654000</v>
      </c>
      <c r="AK24" s="8">
        <v>204744000</v>
      </c>
      <c r="AL24" s="9">
        <v>-1377000000</v>
      </c>
      <c r="AM24" s="8" t="s">
        <v>46</v>
      </c>
      <c r="AN24" s="9">
        <v>-4340000000</v>
      </c>
      <c r="AO24" s="8">
        <v>149000</v>
      </c>
      <c r="AP24" s="8">
        <v>151272000</v>
      </c>
    </row>
    <row r="25" spans="1:42" ht="17">
      <c r="A25" s="8" t="s">
        <v>88</v>
      </c>
      <c r="B25" s="8" t="s">
        <v>45</v>
      </c>
      <c r="C25" s="8">
        <v>598388000</v>
      </c>
      <c r="D25" s="8">
        <v>1008133000</v>
      </c>
      <c r="E25" s="10" t="s">
        <v>68</v>
      </c>
      <c r="F25" s="8">
        <v>409745000</v>
      </c>
      <c r="G25" s="8">
        <v>76720000</v>
      </c>
      <c r="H25" s="8">
        <v>418833000</v>
      </c>
      <c r="I25" s="8" t="s">
        <v>46</v>
      </c>
      <c r="J25" s="8">
        <v>521668000</v>
      </c>
      <c r="K25" s="10" t="s">
        <v>46</v>
      </c>
      <c r="L25" s="8">
        <v>-95715000</v>
      </c>
      <c r="M25" s="8" t="s">
        <v>46</v>
      </c>
      <c r="N25" s="8">
        <v>95715000</v>
      </c>
      <c r="O25" s="10" t="s">
        <v>46</v>
      </c>
      <c r="P25" s="10" t="s">
        <v>46</v>
      </c>
      <c r="Q25" s="8" t="s">
        <v>46</v>
      </c>
      <c r="R25" s="10">
        <v>101331000</v>
      </c>
      <c r="S25" s="8">
        <v>-20490000</v>
      </c>
      <c r="T25" s="8">
        <v>20835000</v>
      </c>
      <c r="U25" s="8" t="s">
        <v>46</v>
      </c>
      <c r="V25" s="10">
        <v>-41325000</v>
      </c>
      <c r="W25" s="10" t="s">
        <v>46</v>
      </c>
      <c r="X25" s="10">
        <v>75225000</v>
      </c>
      <c r="Y25" s="8">
        <v>176556000</v>
      </c>
      <c r="Z25" s="8">
        <v>-41265000</v>
      </c>
      <c r="AA25" s="10" t="s">
        <v>46</v>
      </c>
      <c r="AB25" s="10" t="s">
        <v>46</v>
      </c>
      <c r="AC25" s="8">
        <v>74172000</v>
      </c>
      <c r="AD25" s="8">
        <v>6488933000</v>
      </c>
      <c r="AE25" s="8">
        <v>836652000</v>
      </c>
      <c r="AF25" s="8">
        <v>5214810000</v>
      </c>
      <c r="AG25" s="8">
        <v>340000</v>
      </c>
      <c r="AH25" s="8" t="s">
        <v>46</v>
      </c>
      <c r="AI25" s="8">
        <v>6051802000</v>
      </c>
      <c r="AJ25" s="8">
        <v>379562000</v>
      </c>
      <c r="AK25" s="8">
        <v>171535000</v>
      </c>
      <c r="AL25" s="8">
        <v>-394155000</v>
      </c>
      <c r="AM25" s="8" t="s">
        <v>46</v>
      </c>
      <c r="AN25" s="9">
        <v>-3330000000</v>
      </c>
      <c r="AO25" s="8">
        <v>146000</v>
      </c>
      <c r="AP25" s="8">
        <v>149255000</v>
      </c>
    </row>
    <row r="26" spans="1:42" ht="17">
      <c r="A26" s="8" t="s">
        <v>89</v>
      </c>
      <c r="B26" s="8" t="s">
        <v>45</v>
      </c>
      <c r="C26" s="8">
        <v>547043000</v>
      </c>
      <c r="D26" s="8">
        <v>929092000</v>
      </c>
      <c r="E26" s="10" t="s">
        <v>68</v>
      </c>
      <c r="F26" s="8">
        <v>382049000</v>
      </c>
      <c r="G26" s="8">
        <v>-909667000</v>
      </c>
      <c r="H26" s="8">
        <v>431614000</v>
      </c>
      <c r="I26" s="8" t="s">
        <v>46</v>
      </c>
      <c r="J26" s="8">
        <v>1456710000</v>
      </c>
      <c r="K26" s="10" t="s">
        <v>46</v>
      </c>
      <c r="L26" s="8">
        <v>-95577000</v>
      </c>
      <c r="M26" s="8" t="s">
        <v>46</v>
      </c>
      <c r="N26" s="8">
        <v>95577000</v>
      </c>
      <c r="O26" s="10" t="s">
        <v>46</v>
      </c>
      <c r="P26" s="10" t="s">
        <v>46</v>
      </c>
      <c r="Q26" s="8" t="s">
        <v>46</v>
      </c>
      <c r="R26" s="10">
        <v>104356000</v>
      </c>
      <c r="S26" s="9">
        <v>-1006000000</v>
      </c>
      <c r="T26" s="8">
        <v>-23959000</v>
      </c>
      <c r="U26" s="8" t="s">
        <v>46</v>
      </c>
      <c r="V26" s="10">
        <v>-981989000</v>
      </c>
      <c r="W26" s="10" t="s">
        <v>46</v>
      </c>
      <c r="X26" s="10">
        <v>-910371000</v>
      </c>
      <c r="Y26" s="8">
        <v>-806015000</v>
      </c>
      <c r="Z26" s="8">
        <v>-981658000</v>
      </c>
      <c r="AA26" s="10" t="s">
        <v>46</v>
      </c>
      <c r="AB26" s="10" t="s">
        <v>46</v>
      </c>
      <c r="AC26" s="8">
        <v>140712000</v>
      </c>
      <c r="AD26" s="8">
        <v>6820200000</v>
      </c>
      <c r="AE26" s="8">
        <v>918942000</v>
      </c>
      <c r="AF26" s="8">
        <v>5413503000</v>
      </c>
      <c r="AG26" s="8">
        <v>664000</v>
      </c>
      <c r="AH26" s="8" t="s">
        <v>46</v>
      </c>
      <c r="AI26" s="8">
        <v>6333109000</v>
      </c>
      <c r="AJ26" s="8">
        <v>249544000</v>
      </c>
      <c r="AK26" s="8">
        <v>73332000</v>
      </c>
      <c r="AL26" s="8">
        <v>684500000</v>
      </c>
      <c r="AM26" s="8" t="s">
        <v>46</v>
      </c>
      <c r="AN26" s="9">
        <v>-2227000000</v>
      </c>
      <c r="AO26" s="8">
        <v>144000</v>
      </c>
      <c r="AP26" s="8">
        <v>148058000</v>
      </c>
    </row>
    <row r="27" spans="1:42" ht="17">
      <c r="A27" s="8" t="s">
        <v>90</v>
      </c>
      <c r="B27" s="8" t="s">
        <v>45</v>
      </c>
      <c r="C27" s="8">
        <v>352516000</v>
      </c>
      <c r="D27" s="8">
        <v>799038000</v>
      </c>
      <c r="E27" s="10" t="s">
        <v>68</v>
      </c>
      <c r="F27" s="8">
        <v>446522000</v>
      </c>
      <c r="G27" s="8">
        <v>-9025000</v>
      </c>
      <c r="H27" s="8">
        <v>385144000</v>
      </c>
      <c r="I27" s="8" t="s">
        <v>46</v>
      </c>
      <c r="J27" s="8">
        <v>361541000</v>
      </c>
      <c r="K27" s="10" t="s">
        <v>46</v>
      </c>
      <c r="L27" s="8">
        <v>-95515000</v>
      </c>
      <c r="M27" s="8" t="s">
        <v>46</v>
      </c>
      <c r="N27" s="8">
        <v>95515000</v>
      </c>
      <c r="O27" s="10" t="s">
        <v>46</v>
      </c>
      <c r="P27" s="10" t="s">
        <v>46</v>
      </c>
      <c r="Q27" s="8" t="s">
        <v>46</v>
      </c>
      <c r="R27" s="10">
        <v>105162000</v>
      </c>
      <c r="S27" s="8">
        <v>-38770000</v>
      </c>
      <c r="T27" s="8">
        <v>-20662000</v>
      </c>
      <c r="U27" s="8" t="s">
        <v>46</v>
      </c>
      <c r="V27" s="10">
        <v>-18108000</v>
      </c>
      <c r="W27" s="10" t="s">
        <v>46</v>
      </c>
      <c r="X27" s="10">
        <v>56745000</v>
      </c>
      <c r="Y27" s="8">
        <v>161907000</v>
      </c>
      <c r="Z27" s="8">
        <v>-18508000</v>
      </c>
      <c r="AA27" s="10" t="s">
        <v>46</v>
      </c>
      <c r="AB27" s="10" t="s">
        <v>46</v>
      </c>
      <c r="AC27" s="8">
        <v>177843000</v>
      </c>
      <c r="AD27" s="8">
        <v>7116800000</v>
      </c>
      <c r="AE27" s="8">
        <v>827399000</v>
      </c>
      <c r="AF27" s="8">
        <v>5738195000</v>
      </c>
      <c r="AG27" s="8">
        <v>673000</v>
      </c>
      <c r="AH27" s="8" t="s">
        <v>46</v>
      </c>
      <c r="AI27" s="8">
        <v>6566267000</v>
      </c>
      <c r="AJ27" s="8">
        <v>243858000</v>
      </c>
      <c r="AK27" s="8">
        <v>80897000</v>
      </c>
      <c r="AL27" s="8">
        <v>915800000</v>
      </c>
      <c r="AM27" s="8">
        <v>-6282000</v>
      </c>
      <c r="AN27" s="9">
        <v>-1963000000</v>
      </c>
      <c r="AO27" s="8">
        <v>142000</v>
      </c>
      <c r="AP27" s="8">
        <v>146726000</v>
      </c>
    </row>
    <row r="28" spans="1:42" ht="17">
      <c r="A28" s="8" t="s">
        <v>47</v>
      </c>
      <c r="B28" s="8" t="s">
        <v>45</v>
      </c>
      <c r="C28" s="8">
        <v>546772000</v>
      </c>
      <c r="D28" s="8">
        <v>1066783000</v>
      </c>
      <c r="E28" s="10" t="s">
        <v>68</v>
      </c>
      <c r="F28" s="8">
        <v>520011000</v>
      </c>
      <c r="G28" s="8">
        <v>94687000</v>
      </c>
      <c r="H28" s="8">
        <v>465969000</v>
      </c>
      <c r="I28" s="8" t="s">
        <v>46</v>
      </c>
      <c r="J28" s="8">
        <v>452085000</v>
      </c>
      <c r="K28" s="10" t="s">
        <v>46</v>
      </c>
      <c r="L28" s="8">
        <v>-96116000</v>
      </c>
      <c r="M28" s="8" t="s">
        <v>46</v>
      </c>
      <c r="N28" s="8">
        <v>96116000</v>
      </c>
      <c r="O28" s="10" t="s">
        <v>46</v>
      </c>
      <c r="P28" s="10" t="s">
        <v>46</v>
      </c>
      <c r="Q28" s="8" t="s">
        <v>46</v>
      </c>
      <c r="R28" s="10">
        <v>105455000</v>
      </c>
      <c r="S28" s="8">
        <v>-18850000</v>
      </c>
      <c r="T28" s="8">
        <v>-32825000</v>
      </c>
      <c r="U28" s="8" t="s">
        <v>46</v>
      </c>
      <c r="V28" s="10">
        <v>13975000</v>
      </c>
      <c r="W28" s="10" t="s">
        <v>46</v>
      </c>
      <c r="X28" s="10">
        <v>77266000</v>
      </c>
      <c r="Y28" s="8">
        <v>182721000</v>
      </c>
      <c r="Z28" s="8">
        <v>13123000</v>
      </c>
      <c r="AA28" s="10" t="s">
        <v>46</v>
      </c>
      <c r="AB28" s="10" t="s">
        <v>46</v>
      </c>
      <c r="AC28" s="8">
        <v>187781000</v>
      </c>
      <c r="AD28" s="8">
        <v>7469200000</v>
      </c>
      <c r="AE28" s="8">
        <v>840994000</v>
      </c>
      <c r="AF28" s="8">
        <v>5982155000</v>
      </c>
      <c r="AG28" s="8">
        <v>34775000</v>
      </c>
      <c r="AH28" s="8" t="s">
        <v>46</v>
      </c>
      <c r="AI28" s="8">
        <v>6857924000</v>
      </c>
      <c r="AJ28" s="8">
        <v>180699000</v>
      </c>
      <c r="AK28" s="8">
        <v>131217000</v>
      </c>
      <c r="AL28" s="8">
        <v>1050800000</v>
      </c>
      <c r="AM28" s="8">
        <v>-3199000</v>
      </c>
      <c r="AN28" s="9">
        <v>-1804000000</v>
      </c>
      <c r="AO28" s="8">
        <v>72000</v>
      </c>
      <c r="AP28" s="8">
        <v>145979000</v>
      </c>
    </row>
    <row r="29" spans="1:42" ht="17">
      <c r="A29" s="8" t="s">
        <v>91</v>
      </c>
      <c r="B29" s="8" t="s">
        <v>45</v>
      </c>
      <c r="C29" s="8">
        <v>572992000</v>
      </c>
      <c r="D29" s="8">
        <v>952989000</v>
      </c>
      <c r="E29" s="10" t="s">
        <v>68</v>
      </c>
      <c r="F29" s="8">
        <v>379997000</v>
      </c>
      <c r="G29" s="8">
        <v>68965000</v>
      </c>
      <c r="H29" s="8">
        <v>393628000</v>
      </c>
      <c r="I29" s="8" t="s">
        <v>46</v>
      </c>
      <c r="J29" s="8">
        <v>393628000</v>
      </c>
      <c r="K29" s="10" t="s">
        <v>46</v>
      </c>
      <c r="L29" s="8">
        <v>-99509000</v>
      </c>
      <c r="M29" s="8" t="s">
        <v>46</v>
      </c>
      <c r="N29" s="8">
        <v>99509000</v>
      </c>
      <c r="O29" s="10" t="s">
        <v>46</v>
      </c>
      <c r="P29" s="10" t="s">
        <v>46</v>
      </c>
      <c r="Q29" s="8" t="s">
        <v>46</v>
      </c>
      <c r="R29" s="10">
        <v>106451000</v>
      </c>
      <c r="S29" s="8">
        <v>-18230000</v>
      </c>
      <c r="T29" s="8">
        <v>9261000</v>
      </c>
      <c r="U29" s="8" t="s">
        <v>46</v>
      </c>
      <c r="V29" s="10">
        <v>-8969000</v>
      </c>
      <c r="W29" s="10" t="s">
        <v>46</v>
      </c>
      <c r="X29" s="10">
        <v>81279000</v>
      </c>
      <c r="Y29" s="8">
        <v>187730000</v>
      </c>
      <c r="Z29" s="8">
        <v>-27491000</v>
      </c>
      <c r="AA29" s="10" t="s">
        <v>46</v>
      </c>
      <c r="AB29" s="10" t="s">
        <v>46</v>
      </c>
      <c r="AC29" s="8">
        <v>164424000</v>
      </c>
      <c r="AD29" s="8">
        <v>7417200000</v>
      </c>
      <c r="AE29" s="8">
        <v>873959000</v>
      </c>
      <c r="AF29" s="8">
        <v>5756504000</v>
      </c>
      <c r="AG29" s="8">
        <v>8912000</v>
      </c>
      <c r="AH29" s="8" t="s">
        <v>46</v>
      </c>
      <c r="AI29" s="8">
        <v>6639375000</v>
      </c>
      <c r="AJ29" s="8">
        <v>228223000</v>
      </c>
      <c r="AK29" s="8">
        <v>20457000</v>
      </c>
      <c r="AL29" s="8">
        <v>2945400000</v>
      </c>
      <c r="AM29" s="8" t="s">
        <v>46</v>
      </c>
      <c r="AN29" s="8">
        <v>112548000</v>
      </c>
      <c r="AO29" s="8">
        <v>65000</v>
      </c>
      <c r="AP29" s="8">
        <v>64553039</v>
      </c>
    </row>
    <row r="30" spans="1:42" ht="17">
      <c r="A30" s="8" t="s">
        <v>92</v>
      </c>
      <c r="B30" s="8" t="s">
        <v>45</v>
      </c>
      <c r="C30" s="8">
        <v>564953000</v>
      </c>
      <c r="D30" s="8">
        <v>920014000</v>
      </c>
      <c r="E30" s="10" t="s">
        <v>68</v>
      </c>
      <c r="F30" s="8">
        <v>355061000</v>
      </c>
      <c r="G30" s="8">
        <v>63376000</v>
      </c>
      <c r="H30" s="8">
        <v>393773000</v>
      </c>
      <c r="I30" s="8" t="s">
        <v>46</v>
      </c>
      <c r="J30" s="8">
        <v>501577000</v>
      </c>
      <c r="K30" s="10" t="s">
        <v>46</v>
      </c>
      <c r="L30" s="8">
        <v>-98693000</v>
      </c>
      <c r="M30" s="8" t="s">
        <v>46</v>
      </c>
      <c r="N30" s="8">
        <v>98693000</v>
      </c>
      <c r="O30" s="10" t="s">
        <v>46</v>
      </c>
      <c r="P30" s="10">
        <v>16548000</v>
      </c>
      <c r="Q30" s="8" t="s">
        <v>46</v>
      </c>
      <c r="R30" s="10">
        <v>108065000</v>
      </c>
      <c r="S30" s="8">
        <v>-979339000</v>
      </c>
      <c r="T30" s="8">
        <v>-96357000</v>
      </c>
      <c r="U30" s="8" t="s">
        <v>46</v>
      </c>
      <c r="V30" s="10">
        <v>-882982000</v>
      </c>
      <c r="W30" s="10" t="s">
        <v>46</v>
      </c>
      <c r="X30" s="10">
        <v>-880646000</v>
      </c>
      <c r="Y30" s="8">
        <v>-772581000</v>
      </c>
      <c r="Z30" s="8">
        <v>-884470000</v>
      </c>
      <c r="AA30" s="10" t="s">
        <v>46</v>
      </c>
      <c r="AB30" s="10" t="s">
        <v>46</v>
      </c>
      <c r="AC30" s="8">
        <v>46105000</v>
      </c>
      <c r="AD30" s="9">
        <v>22582000000</v>
      </c>
      <c r="AE30" s="8" t="s">
        <v>46</v>
      </c>
      <c r="AF30" s="8">
        <v>5277108000</v>
      </c>
      <c r="AG30" s="8">
        <v>46332000</v>
      </c>
      <c r="AH30" s="8" t="s">
        <v>46</v>
      </c>
      <c r="AI30" s="8">
        <v>5323440000</v>
      </c>
      <c r="AJ30" s="8">
        <v>1152109000</v>
      </c>
      <c r="AK30" s="9">
        <v>16614000000</v>
      </c>
      <c r="AL30" s="9">
        <v>-11590000000</v>
      </c>
      <c r="AM30" s="8" t="s">
        <v>46</v>
      </c>
      <c r="AN30" s="9">
        <v>-13350000000</v>
      </c>
      <c r="AO30" s="8">
        <v>92000</v>
      </c>
      <c r="AP30" s="8">
        <v>85412000</v>
      </c>
    </row>
    <row r="31" spans="1:42" ht="17">
      <c r="A31" s="8" t="s">
        <v>93</v>
      </c>
      <c r="B31" s="8" t="s">
        <v>45</v>
      </c>
      <c r="C31" s="8">
        <v>466619000</v>
      </c>
      <c r="D31" s="8">
        <v>811239000</v>
      </c>
      <c r="E31" s="10" t="s">
        <v>68</v>
      </c>
      <c r="F31" s="8">
        <v>344620000</v>
      </c>
      <c r="G31" s="8">
        <v>-44974000</v>
      </c>
      <c r="H31" s="8">
        <v>402801000</v>
      </c>
      <c r="I31" s="8" t="s">
        <v>46</v>
      </c>
      <c r="J31" s="8">
        <v>511534000</v>
      </c>
      <c r="K31" s="10" t="s">
        <v>46</v>
      </c>
      <c r="L31" s="8">
        <v>-95457000</v>
      </c>
      <c r="M31" s="8" t="s">
        <v>46</v>
      </c>
      <c r="N31" s="8">
        <v>95457000</v>
      </c>
      <c r="O31" s="10" t="s">
        <v>46</v>
      </c>
      <c r="P31" s="10">
        <v>-1939000</v>
      </c>
      <c r="Q31" s="8" t="s">
        <v>46</v>
      </c>
      <c r="R31" s="10">
        <v>108512000</v>
      </c>
      <c r="S31" s="8">
        <v>-146258000</v>
      </c>
      <c r="T31" s="8">
        <v>76105000</v>
      </c>
      <c r="U31" s="8" t="s">
        <v>46</v>
      </c>
      <c r="V31" s="10">
        <v>-222363000</v>
      </c>
      <c r="W31" s="10" t="s">
        <v>46</v>
      </c>
      <c r="X31" s="10">
        <v>-50801000</v>
      </c>
      <c r="Y31" s="8">
        <v>57711000</v>
      </c>
      <c r="Z31" s="8">
        <v>-222363000</v>
      </c>
      <c r="AA31" s="10" t="s">
        <v>46</v>
      </c>
      <c r="AB31" s="10" t="s">
        <v>46</v>
      </c>
      <c r="AC31" s="9">
        <v>14972000000</v>
      </c>
      <c r="AD31" s="8">
        <v>7233289000</v>
      </c>
      <c r="AE31" s="8" t="s">
        <v>46</v>
      </c>
      <c r="AF31" s="8">
        <v>5676814000</v>
      </c>
      <c r="AG31" s="9">
        <v>14972000000</v>
      </c>
      <c r="AH31" s="8" t="s">
        <v>46</v>
      </c>
      <c r="AI31" s="9">
        <v>20649000000</v>
      </c>
      <c r="AJ31" s="8">
        <v>1037230000</v>
      </c>
      <c r="AK31" s="8">
        <v>152598000</v>
      </c>
      <c r="AL31" s="9">
        <v>-11370000000</v>
      </c>
      <c r="AM31" s="8" t="s">
        <v>46</v>
      </c>
      <c r="AN31" s="9">
        <v>-13130000000</v>
      </c>
      <c r="AO31" s="8">
        <v>92000</v>
      </c>
      <c r="AP31" s="8">
        <v>84967000</v>
      </c>
    </row>
    <row r="32" spans="1:42" ht="17">
      <c r="A32" s="8" t="s">
        <v>49</v>
      </c>
      <c r="B32" s="8" t="s">
        <v>45</v>
      </c>
      <c r="C32" s="8">
        <v>713189000</v>
      </c>
      <c r="D32" s="8">
        <v>1125890000</v>
      </c>
      <c r="E32" s="10" t="s">
        <v>68</v>
      </c>
      <c r="F32" s="8">
        <v>412701000</v>
      </c>
      <c r="G32" s="8">
        <v>172843000</v>
      </c>
      <c r="H32" s="8">
        <v>429653000</v>
      </c>
      <c r="I32" s="8" t="s">
        <v>46</v>
      </c>
      <c r="J32" s="8">
        <v>540186000</v>
      </c>
      <c r="K32" s="10" t="s">
        <v>46</v>
      </c>
      <c r="L32" s="8">
        <v>-93071000</v>
      </c>
      <c r="M32" s="8" t="s">
        <v>46</v>
      </c>
      <c r="N32" s="8">
        <v>93071000</v>
      </c>
      <c r="O32" s="10" t="s">
        <v>46</v>
      </c>
      <c r="P32" s="10" t="s">
        <v>46</v>
      </c>
      <c r="Q32" s="8" t="s">
        <v>46</v>
      </c>
      <c r="R32" s="10">
        <v>111520000</v>
      </c>
      <c r="S32" s="8">
        <v>90397000</v>
      </c>
      <c r="T32" s="8">
        <v>9734000</v>
      </c>
      <c r="U32" s="8" t="s">
        <v>46</v>
      </c>
      <c r="V32" s="10">
        <v>80663000</v>
      </c>
      <c r="W32" s="10" t="s">
        <v>46</v>
      </c>
      <c r="X32" s="10">
        <v>170324000</v>
      </c>
      <c r="Y32" s="8">
        <v>281844000</v>
      </c>
      <c r="Z32" s="8">
        <v>79881000</v>
      </c>
      <c r="AA32" s="10" t="s">
        <v>46</v>
      </c>
      <c r="AB32" s="10" t="s">
        <v>46</v>
      </c>
      <c r="AC32" s="8">
        <v>342908000</v>
      </c>
      <c r="AD32" s="9">
        <v>22051000000</v>
      </c>
      <c r="AE32" s="8" t="s">
        <v>46</v>
      </c>
      <c r="AF32" s="9">
        <v>20022000000</v>
      </c>
      <c r="AG32" s="8">
        <v>342908000</v>
      </c>
      <c r="AH32" s="8" t="s">
        <v>46</v>
      </c>
      <c r="AI32" s="9">
        <v>20365000000</v>
      </c>
      <c r="AJ32" s="8">
        <v>988963000</v>
      </c>
      <c r="AK32" s="8">
        <v>154132000</v>
      </c>
      <c r="AL32" s="9">
        <v>-11020000000</v>
      </c>
      <c r="AM32" s="8" t="s">
        <v>46</v>
      </c>
      <c r="AN32" s="9">
        <v>-12730000000</v>
      </c>
      <c r="AO32" s="8">
        <v>91000</v>
      </c>
      <c r="AP32" s="8">
        <v>84569000</v>
      </c>
    </row>
    <row r="33" spans="1:42" ht="17">
      <c r="A33" s="8" t="s">
        <v>94</v>
      </c>
      <c r="B33" s="8" t="s">
        <v>45</v>
      </c>
      <c r="C33" s="8">
        <v>617211000</v>
      </c>
      <c r="D33" s="8">
        <v>988930000</v>
      </c>
      <c r="E33" s="10" t="s">
        <v>68</v>
      </c>
      <c r="F33" s="8">
        <v>371719000</v>
      </c>
      <c r="G33" s="8">
        <v>97850000</v>
      </c>
      <c r="H33" s="8">
        <v>399892000</v>
      </c>
      <c r="I33" s="8" t="s">
        <v>46</v>
      </c>
      <c r="J33" s="8">
        <v>518648000</v>
      </c>
      <c r="K33" s="10" t="s">
        <v>46</v>
      </c>
      <c r="L33" s="8">
        <v>-87890000</v>
      </c>
      <c r="M33" s="8" t="s">
        <v>46</v>
      </c>
      <c r="N33" s="8">
        <v>87890000</v>
      </c>
      <c r="O33" s="10" t="s">
        <v>46</v>
      </c>
      <c r="P33" s="10">
        <v>2713000</v>
      </c>
      <c r="Q33" s="8" t="s">
        <v>46</v>
      </c>
      <c r="R33" s="10">
        <v>109305000</v>
      </c>
      <c r="S33" s="8">
        <v>-296364000</v>
      </c>
      <c r="T33" s="8">
        <v>13412000</v>
      </c>
      <c r="U33" s="8" t="s">
        <v>46</v>
      </c>
      <c r="V33" s="10">
        <v>-309776000</v>
      </c>
      <c r="W33" s="10" t="s">
        <v>46</v>
      </c>
      <c r="X33" s="10">
        <v>-208474000</v>
      </c>
      <c r="Y33" s="8">
        <v>-99169000</v>
      </c>
      <c r="Z33" s="8">
        <v>-309776000</v>
      </c>
      <c r="AA33" s="10" t="s">
        <v>46</v>
      </c>
      <c r="AB33" s="10" t="s">
        <v>46</v>
      </c>
      <c r="AC33" s="8">
        <v>-931522000</v>
      </c>
      <c r="AD33" s="9">
        <v>22769000000</v>
      </c>
      <c r="AE33" s="8" t="s">
        <v>46</v>
      </c>
      <c r="AF33" s="9">
        <v>20539000000</v>
      </c>
      <c r="AG33" s="8">
        <v>181512000</v>
      </c>
      <c r="AH33" s="8" t="s">
        <v>46</v>
      </c>
      <c r="AI33" s="9">
        <v>20869000000</v>
      </c>
      <c r="AJ33" s="8">
        <v>1113516000</v>
      </c>
      <c r="AK33" s="8" t="s">
        <v>46</v>
      </c>
      <c r="AL33" s="9">
        <v>-10780000000</v>
      </c>
      <c r="AM33" s="8" t="s">
        <v>46</v>
      </c>
      <c r="AN33" s="9">
        <v>-12440000000</v>
      </c>
      <c r="AO33" s="8">
        <v>90000</v>
      </c>
      <c r="AP33" s="8">
        <v>84278000</v>
      </c>
    </row>
    <row r="34" spans="1:42" ht="17">
      <c r="A34" s="8" t="s">
        <v>95</v>
      </c>
      <c r="B34" s="8" t="s">
        <v>45</v>
      </c>
      <c r="C34" s="8">
        <v>588623000</v>
      </c>
      <c r="D34" s="8">
        <v>954005000</v>
      </c>
      <c r="E34" s="10" t="s">
        <v>68</v>
      </c>
      <c r="F34" s="8">
        <v>365382000</v>
      </c>
      <c r="G34" s="8">
        <v>82869000</v>
      </c>
      <c r="H34" s="8">
        <v>379057000</v>
      </c>
      <c r="I34" s="8" t="s">
        <v>46</v>
      </c>
      <c r="J34" s="8">
        <v>505509000</v>
      </c>
      <c r="K34" s="10" t="s">
        <v>46</v>
      </c>
      <c r="L34" s="8">
        <v>-81494000</v>
      </c>
      <c r="M34" s="8" t="s">
        <v>46</v>
      </c>
      <c r="N34" s="8">
        <v>81494000</v>
      </c>
      <c r="O34" s="10" t="s">
        <v>46</v>
      </c>
      <c r="P34" s="10">
        <v>15589000</v>
      </c>
      <c r="Q34" s="8" t="s">
        <v>46</v>
      </c>
      <c r="R34" s="10">
        <v>110788000</v>
      </c>
      <c r="S34" s="8">
        <v>16964000</v>
      </c>
      <c r="T34" s="8">
        <v>1782000</v>
      </c>
      <c r="U34" s="8" t="s">
        <v>46</v>
      </c>
      <c r="V34" s="10">
        <v>15182000</v>
      </c>
      <c r="W34" s="10" t="s">
        <v>46</v>
      </c>
      <c r="X34" s="10">
        <v>98778000</v>
      </c>
      <c r="Y34" s="8">
        <v>209566000</v>
      </c>
      <c r="Z34" s="8">
        <v>14401000</v>
      </c>
      <c r="AA34" s="10" t="s">
        <v>46</v>
      </c>
      <c r="AB34" s="10" t="s">
        <v>46</v>
      </c>
      <c r="AC34" s="9">
        <v>-1046000000</v>
      </c>
      <c r="AD34" s="9">
        <v>22341000000</v>
      </c>
      <c r="AE34" s="8" t="s">
        <v>46</v>
      </c>
      <c r="AF34" s="9">
        <v>20322000000</v>
      </c>
      <c r="AG34" s="8">
        <v>3604000</v>
      </c>
      <c r="AH34" s="8" t="s">
        <v>46</v>
      </c>
      <c r="AI34" s="9">
        <v>20326000000</v>
      </c>
      <c r="AJ34" s="8">
        <v>1052375000</v>
      </c>
      <c r="AK34" s="8" t="s">
        <v>46</v>
      </c>
      <c r="AL34" s="9">
        <v>-9889000000</v>
      </c>
      <c r="AM34" s="8" t="s">
        <v>46</v>
      </c>
      <c r="AN34" s="9">
        <v>-11680000000</v>
      </c>
      <c r="AO34" s="8">
        <v>89000</v>
      </c>
      <c r="AP34" s="8">
        <v>83941000</v>
      </c>
    </row>
    <row r="35" spans="1:42" ht="17">
      <c r="A35" s="8" t="s">
        <v>96</v>
      </c>
      <c r="B35" s="8" t="s">
        <v>45</v>
      </c>
      <c r="C35" s="8">
        <v>512934000</v>
      </c>
      <c r="D35" s="8">
        <v>843458000</v>
      </c>
      <c r="E35" s="10" t="s">
        <v>68</v>
      </c>
      <c r="F35" s="8">
        <v>330524000</v>
      </c>
      <c r="G35" s="8">
        <v>12335000</v>
      </c>
      <c r="H35" s="8">
        <v>384344000</v>
      </c>
      <c r="I35" s="8" t="s">
        <v>46</v>
      </c>
      <c r="J35" s="8">
        <v>499265000</v>
      </c>
      <c r="K35" s="10" t="s">
        <v>46</v>
      </c>
      <c r="L35" s="8">
        <v>-79219000</v>
      </c>
      <c r="M35" s="8" t="s">
        <v>46</v>
      </c>
      <c r="N35" s="8">
        <v>79219000</v>
      </c>
      <c r="O35" s="10" t="s">
        <v>46</v>
      </c>
      <c r="P35" s="10">
        <v>-2064000</v>
      </c>
      <c r="Q35" s="8" t="s">
        <v>46</v>
      </c>
      <c r="R35" s="10">
        <v>114051000</v>
      </c>
      <c r="S35" s="8">
        <v>-68948000</v>
      </c>
      <c r="T35" s="8">
        <v>-20209000</v>
      </c>
      <c r="U35" s="8" t="s">
        <v>46</v>
      </c>
      <c r="V35" s="10">
        <v>-48739000</v>
      </c>
      <c r="W35" s="10" t="s">
        <v>46</v>
      </c>
      <c r="X35" s="10">
        <v>14253000</v>
      </c>
      <c r="Y35" s="8">
        <v>128304000</v>
      </c>
      <c r="Z35" s="8">
        <v>-48739000</v>
      </c>
      <c r="AA35" s="10" t="s">
        <v>46</v>
      </c>
      <c r="AB35" s="10" t="s">
        <v>46</v>
      </c>
      <c r="AC35" s="8">
        <v>-536465000</v>
      </c>
      <c r="AD35" s="9">
        <v>22034000000</v>
      </c>
      <c r="AE35" s="8" t="s">
        <v>46</v>
      </c>
      <c r="AF35" s="8" t="s">
        <v>46</v>
      </c>
      <c r="AG35" s="8" t="s">
        <v>46</v>
      </c>
      <c r="AH35" s="8" t="s">
        <v>46</v>
      </c>
      <c r="AI35" s="9">
        <v>20484000000</v>
      </c>
      <c r="AJ35" s="8">
        <v>1002054000</v>
      </c>
      <c r="AK35" s="8" t="s">
        <v>46</v>
      </c>
      <c r="AL35" s="9">
        <v>-8942000000</v>
      </c>
      <c r="AM35" s="8" t="s">
        <v>46</v>
      </c>
      <c r="AN35" s="9">
        <v>-10890000000</v>
      </c>
      <c r="AO35" s="8">
        <v>89000</v>
      </c>
      <c r="AP35" s="8">
        <v>83364000</v>
      </c>
    </row>
    <row r="36" spans="1:42" ht="17">
      <c r="A36" s="8" t="s">
        <v>50</v>
      </c>
      <c r="B36" s="8" t="s">
        <v>45</v>
      </c>
      <c r="C36" s="8">
        <v>676456000</v>
      </c>
      <c r="D36" s="8">
        <v>1062019000</v>
      </c>
      <c r="E36" s="10" t="s">
        <v>68</v>
      </c>
      <c r="F36" s="8">
        <v>385563000</v>
      </c>
      <c r="G36" s="8">
        <v>122976000</v>
      </c>
      <c r="H36" s="8">
        <v>414299000</v>
      </c>
      <c r="I36" s="8" t="s">
        <v>46</v>
      </c>
      <c r="J36" s="8">
        <v>545137000</v>
      </c>
      <c r="K36" s="10" t="s">
        <v>46</v>
      </c>
      <c r="L36" s="8">
        <v>-79895000</v>
      </c>
      <c r="M36" s="8" t="s">
        <v>46</v>
      </c>
      <c r="N36" s="8">
        <v>79895000</v>
      </c>
      <c r="O36" s="10" t="s">
        <v>46</v>
      </c>
      <c r="P36" s="10">
        <v>27000</v>
      </c>
      <c r="Q36" s="8" t="s">
        <v>46</v>
      </c>
      <c r="R36" s="10">
        <v>126009000</v>
      </c>
      <c r="S36" s="8">
        <v>43108000</v>
      </c>
      <c r="T36" s="8">
        <v>-68846000</v>
      </c>
      <c r="U36" s="8" t="s">
        <v>46</v>
      </c>
      <c r="V36" s="10">
        <v>111954000</v>
      </c>
      <c r="W36" s="10" t="s">
        <v>46</v>
      </c>
      <c r="X36" s="10">
        <v>135389000</v>
      </c>
      <c r="Y36" s="8">
        <v>261398000</v>
      </c>
      <c r="Z36" s="8">
        <v>111630000</v>
      </c>
      <c r="AA36" s="10" t="s">
        <v>46</v>
      </c>
      <c r="AB36" s="10" t="s">
        <v>46</v>
      </c>
      <c r="AC36" s="8">
        <v>-571807000</v>
      </c>
      <c r="AD36" s="9">
        <v>22506000000</v>
      </c>
      <c r="AE36" s="8" t="s">
        <v>46</v>
      </c>
      <c r="AF36" s="8" t="s">
        <v>46</v>
      </c>
      <c r="AG36" s="8" t="s">
        <v>46</v>
      </c>
      <c r="AH36" s="8" t="s">
        <v>46</v>
      </c>
      <c r="AI36" s="9">
        <v>20747000000</v>
      </c>
      <c r="AJ36" s="8">
        <v>1094516000</v>
      </c>
      <c r="AK36" s="8" t="s">
        <v>46</v>
      </c>
      <c r="AL36" s="9">
        <v>-8299000000</v>
      </c>
      <c r="AM36" s="8" t="s">
        <v>46</v>
      </c>
      <c r="AN36" s="9">
        <v>-10280000000</v>
      </c>
      <c r="AO36" s="8">
        <v>87000</v>
      </c>
      <c r="AP36" s="8">
        <v>82745000</v>
      </c>
    </row>
    <row r="37" spans="1:42" ht="17">
      <c r="A37" s="8" t="s">
        <v>97</v>
      </c>
      <c r="B37" s="8" t="s">
        <v>45</v>
      </c>
      <c r="C37" s="8">
        <v>602285000</v>
      </c>
      <c r="D37" s="8">
        <v>928051000</v>
      </c>
      <c r="E37" s="10" t="s">
        <v>68</v>
      </c>
      <c r="F37" s="8">
        <v>325766000</v>
      </c>
      <c r="G37" s="8">
        <v>80111000</v>
      </c>
      <c r="H37" s="8">
        <v>390086000</v>
      </c>
      <c r="I37" s="8" t="s">
        <v>46</v>
      </c>
      <c r="J37" s="8">
        <v>510527000</v>
      </c>
      <c r="K37" s="10" t="s">
        <v>46</v>
      </c>
      <c r="L37" s="8">
        <v>-82481000</v>
      </c>
      <c r="M37" s="8" t="s">
        <v>46</v>
      </c>
      <c r="N37" s="8">
        <v>82481000</v>
      </c>
      <c r="O37" s="10" t="s">
        <v>46</v>
      </c>
      <c r="P37" s="10">
        <v>-21104000</v>
      </c>
      <c r="Q37" s="8" t="s">
        <v>46</v>
      </c>
      <c r="R37" s="10">
        <v>108100000</v>
      </c>
      <c r="S37" s="8">
        <v>-23474000</v>
      </c>
      <c r="T37" s="8">
        <v>-27147000</v>
      </c>
      <c r="U37" s="8" t="s">
        <v>46</v>
      </c>
      <c r="V37" s="10">
        <v>3673000</v>
      </c>
      <c r="W37" s="10" t="s">
        <v>46</v>
      </c>
      <c r="X37" s="10">
        <v>59007000</v>
      </c>
      <c r="Y37" s="8">
        <v>167107000</v>
      </c>
      <c r="Z37" s="8">
        <v>3180000</v>
      </c>
      <c r="AA37" s="10" t="s">
        <v>46</v>
      </c>
      <c r="AB37" s="10" t="s">
        <v>46</v>
      </c>
      <c r="AC37" s="8">
        <v>268638000</v>
      </c>
      <c r="AD37" s="9">
        <v>22585000000</v>
      </c>
      <c r="AE37" s="8" t="s">
        <v>46</v>
      </c>
      <c r="AF37" s="8" t="s">
        <v>46</v>
      </c>
      <c r="AG37" s="8" t="s">
        <v>46</v>
      </c>
      <c r="AH37" s="8" t="s">
        <v>46</v>
      </c>
      <c r="AI37" s="9">
        <v>20207000000</v>
      </c>
      <c r="AJ37" s="8">
        <v>895513000</v>
      </c>
      <c r="AK37" s="8" t="s">
        <v>46</v>
      </c>
      <c r="AL37" s="9">
        <v>-7994000000</v>
      </c>
      <c r="AM37" s="8" t="s">
        <v>46</v>
      </c>
      <c r="AN37" s="9">
        <v>-9857000000</v>
      </c>
      <c r="AO37" s="8">
        <v>83000</v>
      </c>
      <c r="AP37" s="8">
        <v>82487000</v>
      </c>
    </row>
    <row r="38" spans="1:42" ht="17">
      <c r="A38" s="8" t="s">
        <v>98</v>
      </c>
      <c r="B38" s="8" t="s">
        <v>45</v>
      </c>
      <c r="C38" s="8">
        <v>541090000</v>
      </c>
      <c r="D38" s="8">
        <v>861605000</v>
      </c>
      <c r="E38" s="10" t="s">
        <v>68</v>
      </c>
      <c r="F38" s="8">
        <v>320515000</v>
      </c>
      <c r="G38" s="8">
        <v>28126000</v>
      </c>
      <c r="H38" s="8">
        <v>372640000</v>
      </c>
      <c r="I38" s="8" t="s">
        <v>46</v>
      </c>
      <c r="J38" s="8">
        <v>512964000</v>
      </c>
      <c r="K38" s="10" t="s">
        <v>46</v>
      </c>
      <c r="L38" s="8">
        <v>-84887000</v>
      </c>
      <c r="M38" s="8" t="s">
        <v>46</v>
      </c>
      <c r="N38" s="8">
        <v>84887000</v>
      </c>
      <c r="O38" s="10" t="s">
        <v>46</v>
      </c>
      <c r="P38" s="10">
        <v>49250000</v>
      </c>
      <c r="Q38" s="8" t="s">
        <v>46</v>
      </c>
      <c r="R38" s="10">
        <v>127945000</v>
      </c>
      <c r="S38" s="8">
        <v>-7511000</v>
      </c>
      <c r="T38" s="8">
        <v>24449000</v>
      </c>
      <c r="U38" s="8" t="s">
        <v>46</v>
      </c>
      <c r="V38" s="10">
        <v>-31960000</v>
      </c>
      <c r="W38" s="10" t="s">
        <v>46</v>
      </c>
      <c r="X38" s="10">
        <v>40505000</v>
      </c>
      <c r="Y38" s="8">
        <v>168450000</v>
      </c>
      <c r="Z38" s="8">
        <v>-32286000</v>
      </c>
      <c r="AA38" s="10" t="s">
        <v>46</v>
      </c>
      <c r="AB38" s="10" t="s">
        <v>46</v>
      </c>
      <c r="AC38" s="8">
        <v>867735000</v>
      </c>
      <c r="AD38" s="9">
        <v>22566000000</v>
      </c>
      <c r="AE38" s="8" t="s">
        <v>46</v>
      </c>
      <c r="AF38" s="8" t="s">
        <v>46</v>
      </c>
      <c r="AG38" s="8" t="s">
        <v>46</v>
      </c>
      <c r="AH38" s="8" t="s">
        <v>46</v>
      </c>
      <c r="AI38" s="9">
        <v>20607000000</v>
      </c>
      <c r="AJ38" s="8">
        <v>970288000</v>
      </c>
      <c r="AK38" s="8" t="s">
        <v>46</v>
      </c>
      <c r="AL38" s="9">
        <v>-7696000000</v>
      </c>
      <c r="AM38" s="8" t="s">
        <v>46</v>
      </c>
      <c r="AN38" s="9">
        <v>-9555000000</v>
      </c>
      <c r="AO38" s="8">
        <v>83000</v>
      </c>
      <c r="AP38" s="8">
        <v>81653000</v>
      </c>
    </row>
    <row r="39" spans="1:42" ht="17">
      <c r="A39" s="8" t="s">
        <v>99</v>
      </c>
      <c r="B39" s="8" t="s">
        <v>45</v>
      </c>
      <c r="C39" s="8">
        <v>413852000</v>
      </c>
      <c r="D39" s="8">
        <v>706665000</v>
      </c>
      <c r="E39" s="10" t="s">
        <v>68</v>
      </c>
      <c r="F39" s="8">
        <v>292813000</v>
      </c>
      <c r="G39" s="8">
        <v>-76356000</v>
      </c>
      <c r="H39" s="8">
        <v>342330000</v>
      </c>
      <c r="I39" s="8" t="s">
        <v>46</v>
      </c>
      <c r="J39" s="8">
        <v>452464000</v>
      </c>
      <c r="K39" s="10" t="s">
        <v>46</v>
      </c>
      <c r="L39" s="8">
        <v>-85121000</v>
      </c>
      <c r="M39" s="8" t="s">
        <v>46</v>
      </c>
      <c r="N39" s="8">
        <v>85121000</v>
      </c>
      <c r="O39" s="10" t="s">
        <v>46</v>
      </c>
      <c r="P39" s="10">
        <v>-644000</v>
      </c>
      <c r="Q39" s="8" t="s">
        <v>46</v>
      </c>
      <c r="R39" s="10">
        <v>107363000</v>
      </c>
      <c r="S39" s="8">
        <v>-162121000</v>
      </c>
      <c r="T39" s="8">
        <v>79935000</v>
      </c>
      <c r="U39" s="8" t="s">
        <v>46</v>
      </c>
      <c r="V39" s="10">
        <v>-242056000</v>
      </c>
      <c r="W39" s="10" t="s">
        <v>46</v>
      </c>
      <c r="X39" s="10">
        <v>-77000000</v>
      </c>
      <c r="Y39" s="8">
        <v>30363000</v>
      </c>
      <c r="Z39" s="8">
        <v>-241723000</v>
      </c>
      <c r="AA39" s="10" t="s">
        <v>46</v>
      </c>
      <c r="AB39" s="10" t="s">
        <v>46</v>
      </c>
      <c r="AC39" s="8">
        <v>398779000</v>
      </c>
      <c r="AD39" s="9">
        <v>22892000000</v>
      </c>
      <c r="AE39" s="8" t="s">
        <v>46</v>
      </c>
      <c r="AF39" s="8" t="s">
        <v>46</v>
      </c>
      <c r="AG39" s="8" t="s">
        <v>46</v>
      </c>
      <c r="AH39" s="8" t="s">
        <v>46</v>
      </c>
      <c r="AI39" s="9">
        <v>20702000000</v>
      </c>
      <c r="AJ39" s="8">
        <v>863547000</v>
      </c>
      <c r="AK39" s="8" t="s">
        <v>46</v>
      </c>
      <c r="AL39" s="9">
        <v>-6845000000</v>
      </c>
      <c r="AM39" s="8" t="s">
        <v>46</v>
      </c>
      <c r="AN39" s="9">
        <v>-9076000000</v>
      </c>
      <c r="AO39" s="8">
        <v>82000</v>
      </c>
      <c r="AP39" s="8">
        <v>81296000</v>
      </c>
    </row>
    <row r="40" spans="1:42" ht="17">
      <c r="A40" s="8" t="s">
        <v>51</v>
      </c>
      <c r="B40" s="8" t="s">
        <v>45</v>
      </c>
      <c r="C40" s="8">
        <v>600599000</v>
      </c>
      <c r="D40" s="8">
        <v>935530000</v>
      </c>
      <c r="E40" s="10" t="s">
        <v>68</v>
      </c>
      <c r="F40" s="8">
        <v>334931000</v>
      </c>
      <c r="G40" s="8">
        <v>112847000</v>
      </c>
      <c r="H40" s="8">
        <v>327156000</v>
      </c>
      <c r="I40" s="8" t="s">
        <v>46</v>
      </c>
      <c r="J40" s="8">
        <v>482235000</v>
      </c>
      <c r="K40" s="10" t="s">
        <v>46</v>
      </c>
      <c r="L40" s="8">
        <v>-86131000</v>
      </c>
      <c r="M40" s="8" t="s">
        <v>46</v>
      </c>
      <c r="N40" s="8">
        <v>86131000</v>
      </c>
      <c r="O40" s="10" t="s">
        <v>46</v>
      </c>
      <c r="P40" s="10" t="s">
        <v>46</v>
      </c>
      <c r="Q40" s="8" t="s">
        <v>46</v>
      </c>
      <c r="R40" s="10">
        <v>103435000</v>
      </c>
      <c r="S40" s="8">
        <v>28801000</v>
      </c>
      <c r="T40" s="8">
        <v>25858000</v>
      </c>
      <c r="U40" s="8" t="s">
        <v>46</v>
      </c>
      <c r="V40" s="10">
        <v>2943000</v>
      </c>
      <c r="W40" s="10" t="s">
        <v>46</v>
      </c>
      <c r="X40" s="10">
        <v>124646000</v>
      </c>
      <c r="Y40" s="8">
        <v>228081000</v>
      </c>
      <c r="Z40" s="8">
        <v>3466000</v>
      </c>
      <c r="AA40" s="10" t="s">
        <v>46</v>
      </c>
      <c r="AB40" s="10" t="s">
        <v>46</v>
      </c>
      <c r="AC40" s="8">
        <v>562923000</v>
      </c>
      <c r="AD40" s="9">
        <v>21770000000</v>
      </c>
      <c r="AE40" s="8" t="s">
        <v>46</v>
      </c>
      <c r="AF40" s="8" t="s">
        <v>46</v>
      </c>
      <c r="AG40" s="8" t="s">
        <v>46</v>
      </c>
      <c r="AH40" s="8" t="s">
        <v>46</v>
      </c>
      <c r="AI40" s="9">
        <v>19504000000</v>
      </c>
      <c r="AJ40" s="8">
        <v>974630000</v>
      </c>
      <c r="AK40" s="8" t="s">
        <v>46</v>
      </c>
      <c r="AL40" s="9">
        <v>-2916000000</v>
      </c>
      <c r="AM40" s="8" t="s">
        <v>46</v>
      </c>
      <c r="AN40" s="9">
        <v>-5042000000</v>
      </c>
      <c r="AO40" s="8">
        <v>82000</v>
      </c>
      <c r="AP40" s="8">
        <v>323487000</v>
      </c>
    </row>
    <row r="41" spans="1:42" ht="17">
      <c r="A41" s="8" t="s">
        <v>100</v>
      </c>
      <c r="B41" s="8" t="s">
        <v>45</v>
      </c>
      <c r="C41" s="8">
        <v>467687000</v>
      </c>
      <c r="D41" s="8">
        <v>744406000</v>
      </c>
      <c r="E41" s="10">
        <v>276719000</v>
      </c>
      <c r="F41" s="8">
        <v>276719000</v>
      </c>
      <c r="G41" s="8">
        <v>39395000</v>
      </c>
      <c r="H41" s="8">
        <v>292581000</v>
      </c>
      <c r="I41" s="8" t="s">
        <v>46</v>
      </c>
      <c r="J41" s="8">
        <v>428292000</v>
      </c>
      <c r="K41" s="10" t="s">
        <v>46</v>
      </c>
      <c r="L41" s="8">
        <v>-85562000</v>
      </c>
      <c r="M41" s="8" t="s">
        <v>46</v>
      </c>
      <c r="N41" s="8">
        <v>85562000</v>
      </c>
      <c r="O41" s="10" t="s">
        <v>46</v>
      </c>
      <c r="P41" s="10" t="s">
        <v>46</v>
      </c>
      <c r="Q41" s="8" t="s">
        <v>46</v>
      </c>
      <c r="R41" s="10">
        <v>99379000</v>
      </c>
      <c r="S41" s="8">
        <v>-47340000</v>
      </c>
      <c r="T41" s="8">
        <v>-15228000</v>
      </c>
      <c r="U41" s="8" t="s">
        <v>46</v>
      </c>
      <c r="V41" s="10">
        <v>-32112000</v>
      </c>
      <c r="W41" s="10" t="s">
        <v>46</v>
      </c>
      <c r="X41" s="10">
        <v>41070000</v>
      </c>
      <c r="Y41" s="8">
        <v>140449000</v>
      </c>
      <c r="Z41" s="8">
        <v>-32112000</v>
      </c>
      <c r="AA41" s="10"/>
      <c r="AB41" s="10"/>
      <c r="AC41" s="8"/>
      <c r="AD41" s="8"/>
      <c r="AE41" s="8"/>
      <c r="AF41" s="8"/>
      <c r="AG41" s="8"/>
      <c r="AH41" s="8"/>
      <c r="AI41" s="8"/>
      <c r="AJ41" s="8"/>
      <c r="AK41" s="8"/>
      <c r="AL41" s="8"/>
      <c r="AM41" s="8"/>
      <c r="AN41" s="8"/>
      <c r="AO41" s="8"/>
      <c r="AP41" s="8"/>
    </row>
    <row r="42" spans="1:42" ht="17">
      <c r="A42" s="8" t="s">
        <v>101</v>
      </c>
      <c r="B42" s="8" t="s">
        <v>45</v>
      </c>
      <c r="C42" s="8">
        <v>237782000</v>
      </c>
      <c r="D42" s="8">
        <v>487648000</v>
      </c>
      <c r="E42" s="10">
        <v>249866000</v>
      </c>
      <c r="F42" s="8">
        <v>249866000</v>
      </c>
      <c r="G42" s="8">
        <v>-159087000</v>
      </c>
      <c r="H42" s="8">
        <v>261219000</v>
      </c>
      <c r="I42" s="8" t="s">
        <v>46</v>
      </c>
      <c r="J42" s="8">
        <v>391491000</v>
      </c>
      <c r="K42" s="10" t="s">
        <v>46</v>
      </c>
      <c r="L42" s="8">
        <v>-81963000</v>
      </c>
      <c r="M42" s="8" t="s">
        <v>46</v>
      </c>
      <c r="N42" s="8">
        <v>81963000</v>
      </c>
      <c r="O42" s="10" t="s">
        <v>46</v>
      </c>
      <c r="P42" s="10" t="s">
        <v>46</v>
      </c>
      <c r="Q42" s="8" t="s">
        <v>46</v>
      </c>
      <c r="R42" s="10">
        <v>103347000</v>
      </c>
      <c r="S42" s="8">
        <v>-241059000</v>
      </c>
      <c r="T42" s="8">
        <v>-43742000</v>
      </c>
      <c r="U42" s="8" t="s">
        <v>46</v>
      </c>
      <c r="V42" s="10">
        <v>-197317000</v>
      </c>
      <c r="W42" s="10" t="s">
        <v>46</v>
      </c>
      <c r="X42" s="10">
        <v>-159096000</v>
      </c>
      <c r="Y42" s="8">
        <v>-55749000</v>
      </c>
      <c r="Z42" s="8">
        <v>-197317000</v>
      </c>
      <c r="AA42" s="10"/>
      <c r="AB42" s="10"/>
      <c r="AC42" s="8"/>
      <c r="AD42" s="8"/>
      <c r="AE42" s="8"/>
      <c r="AF42" s="8"/>
      <c r="AG42" s="8"/>
      <c r="AH42" s="8"/>
      <c r="AI42" s="8"/>
      <c r="AJ42" s="8"/>
      <c r="AK42" s="8"/>
      <c r="AL42" s="8"/>
      <c r="AM42" s="8"/>
      <c r="AN42" s="8"/>
      <c r="AO42" s="8"/>
      <c r="AP42" s="8"/>
    </row>
    <row r="43" spans="1:42" ht="17">
      <c r="A43" s="8" t="s">
        <v>102</v>
      </c>
      <c r="B43" s="8" t="s">
        <v>45</v>
      </c>
      <c r="C43" s="8">
        <v>479002000</v>
      </c>
      <c r="D43" s="8">
        <v>780634000</v>
      </c>
      <c r="E43" s="10">
        <v>301632000</v>
      </c>
      <c r="F43" s="8">
        <v>301632000</v>
      </c>
      <c r="G43" s="9">
        <v>-1731000000</v>
      </c>
      <c r="H43" s="8">
        <v>344141000</v>
      </c>
      <c r="I43" s="8" t="s">
        <v>46</v>
      </c>
      <c r="J43" s="8">
        <v>481924000</v>
      </c>
      <c r="K43" s="10" t="s">
        <v>46</v>
      </c>
      <c r="L43" s="8">
        <v>-90089000</v>
      </c>
      <c r="M43" s="8" t="s">
        <v>46</v>
      </c>
      <c r="N43" s="8">
        <v>90089000</v>
      </c>
      <c r="O43" s="10" t="s">
        <v>46</v>
      </c>
      <c r="P43" s="10" t="s">
        <v>46</v>
      </c>
      <c r="Q43" s="8" t="s">
        <v>46</v>
      </c>
      <c r="R43" s="10">
        <v>96768000</v>
      </c>
      <c r="S43" s="9">
        <v>-1839000000</v>
      </c>
      <c r="T43" s="8">
        <v>-150511000</v>
      </c>
      <c r="U43" s="8" t="s">
        <v>46</v>
      </c>
      <c r="V43" s="11">
        <v>-1689000000</v>
      </c>
      <c r="W43" s="10" t="s">
        <v>46</v>
      </c>
      <c r="X43" s="11">
        <v>-1749000000</v>
      </c>
      <c r="Y43" s="9">
        <v>-1652000000</v>
      </c>
      <c r="Z43" s="9">
        <v>-1689000000</v>
      </c>
      <c r="AA43" s="10"/>
      <c r="AB43" s="10"/>
      <c r="AC43" s="8"/>
      <c r="AD43" s="8"/>
      <c r="AE43" s="8"/>
      <c r="AF43" s="8"/>
      <c r="AG43" s="8"/>
      <c r="AH43" s="8"/>
      <c r="AI43" s="8"/>
      <c r="AJ43" s="8"/>
      <c r="AK43" s="8"/>
      <c r="AL43" s="8"/>
      <c r="AM43" s="8"/>
      <c r="AN43" s="8"/>
      <c r="AO43" s="8"/>
      <c r="AP43" s="8"/>
    </row>
    <row r="44" spans="1:42" ht="34">
      <c r="A44" s="8" t="s">
        <v>53</v>
      </c>
      <c r="B44" s="8" t="s">
        <v>45</v>
      </c>
      <c r="C44" s="8">
        <v>693925000</v>
      </c>
      <c r="D44" s="8">
        <v>1026072000</v>
      </c>
      <c r="E44" s="10">
        <v>332147000</v>
      </c>
      <c r="F44" s="8">
        <v>332147000</v>
      </c>
      <c r="G44" s="8">
        <v>165126000</v>
      </c>
      <c r="H44" s="8">
        <v>368313000</v>
      </c>
      <c r="I44" s="8" t="s">
        <v>46</v>
      </c>
      <c r="J44" s="8">
        <v>528799000</v>
      </c>
      <c r="K44" s="10" t="s">
        <v>46</v>
      </c>
      <c r="L44" s="8">
        <v>-96095000</v>
      </c>
      <c r="M44" s="8" t="s">
        <v>46</v>
      </c>
      <c r="N44" s="8">
        <v>139078000</v>
      </c>
      <c r="O44" s="10" t="s">
        <v>46</v>
      </c>
      <c r="P44" s="10" t="s">
        <v>46</v>
      </c>
      <c r="Q44" s="8" t="s">
        <v>46</v>
      </c>
      <c r="R44" s="10">
        <v>94972000</v>
      </c>
      <c r="S44" s="8">
        <v>49462000</v>
      </c>
      <c r="T44" s="8">
        <v>-12670000</v>
      </c>
      <c r="U44" s="8" t="s">
        <v>46</v>
      </c>
      <c r="V44" s="10">
        <v>62132000</v>
      </c>
      <c r="W44" s="10" t="s">
        <v>46</v>
      </c>
      <c r="X44" s="10">
        <v>164910000</v>
      </c>
      <c r="Y44" s="8">
        <v>259882000</v>
      </c>
      <c r="Z44" s="8">
        <v>61381000</v>
      </c>
      <c r="AA44" s="10" t="s">
        <v>103</v>
      </c>
      <c r="AB44" s="10" t="s">
        <v>104</v>
      </c>
      <c r="AC44" s="8" t="s">
        <v>105</v>
      </c>
      <c r="AD44" s="8" t="s">
        <v>106</v>
      </c>
      <c r="AE44" s="8" t="s">
        <v>107</v>
      </c>
      <c r="AF44" s="8" t="s">
        <v>108</v>
      </c>
      <c r="AG44" s="8" t="s">
        <v>42</v>
      </c>
      <c r="AH44" s="8"/>
      <c r="AI44" s="8"/>
      <c r="AJ44" s="8"/>
      <c r="AK44" s="8"/>
      <c r="AL44" s="8"/>
      <c r="AM44" s="8"/>
      <c r="AN44" s="8"/>
      <c r="AO44" s="8"/>
      <c r="AP44" s="8"/>
    </row>
    <row r="45" spans="1:42" ht="17">
      <c r="A45" s="8" t="s">
        <v>109</v>
      </c>
      <c r="B45" s="8" t="s">
        <v>45</v>
      </c>
      <c r="C45" s="8">
        <v>657367000</v>
      </c>
      <c r="D45" s="8">
        <v>948338000</v>
      </c>
      <c r="E45" s="10" t="s">
        <v>68</v>
      </c>
      <c r="F45" s="8">
        <v>290971000</v>
      </c>
      <c r="G45" s="8">
        <v>140822000</v>
      </c>
      <c r="H45" s="8">
        <v>341353000</v>
      </c>
      <c r="I45" s="8" t="s">
        <v>46</v>
      </c>
      <c r="J45" s="8">
        <v>516545000</v>
      </c>
      <c r="K45" s="10" t="s">
        <v>46</v>
      </c>
      <c r="L45" s="8">
        <v>-100967000</v>
      </c>
      <c r="M45" s="8" t="s">
        <v>46</v>
      </c>
      <c r="N45" s="8">
        <v>109955000</v>
      </c>
      <c r="O45" s="10" t="s">
        <v>46</v>
      </c>
      <c r="P45" s="10" t="s">
        <v>46</v>
      </c>
      <c r="Q45" s="8" t="s">
        <v>46</v>
      </c>
      <c r="R45" s="10">
        <v>95268000</v>
      </c>
      <c r="S45" s="8">
        <v>29132000</v>
      </c>
      <c r="T45" s="8">
        <v>16758000</v>
      </c>
      <c r="U45" s="8" t="s">
        <v>46</v>
      </c>
      <c r="V45" s="10">
        <v>12374000</v>
      </c>
      <c r="W45" s="10" t="s">
        <v>46</v>
      </c>
      <c r="X45" s="10">
        <v>140822000</v>
      </c>
      <c r="Y45" s="8">
        <v>236090000</v>
      </c>
      <c r="Z45" s="8">
        <v>12374000</v>
      </c>
      <c r="AA45" s="10" t="s">
        <v>46</v>
      </c>
      <c r="AB45" s="10" t="s">
        <v>46</v>
      </c>
      <c r="AC45" s="8" t="s">
        <v>46</v>
      </c>
      <c r="AD45" s="8" t="s">
        <v>46</v>
      </c>
      <c r="AE45" s="8" t="s">
        <v>46</v>
      </c>
      <c r="AF45" s="8" t="s">
        <v>46</v>
      </c>
      <c r="AG45" s="9">
        <v>-1009000000</v>
      </c>
      <c r="AH45" s="8"/>
      <c r="AI45" s="8"/>
      <c r="AJ45" s="8"/>
      <c r="AK45" s="8"/>
      <c r="AL45" s="8"/>
      <c r="AM45" s="8"/>
      <c r="AN45" s="8"/>
      <c r="AO45" s="8"/>
      <c r="AP45" s="8"/>
    </row>
    <row r="46" spans="1:42" ht="17">
      <c r="A46" s="8" t="s">
        <v>110</v>
      </c>
      <c r="B46" s="8" t="s">
        <v>45</v>
      </c>
      <c r="C46" s="8">
        <v>594682000</v>
      </c>
      <c r="D46" s="8">
        <v>891764000</v>
      </c>
      <c r="E46" s="10" t="s">
        <v>68</v>
      </c>
      <c r="F46" s="8">
        <v>297082000</v>
      </c>
      <c r="G46" s="8">
        <v>181239000</v>
      </c>
      <c r="H46" s="8">
        <v>41324000</v>
      </c>
      <c r="I46" s="8" t="s">
        <v>46</v>
      </c>
      <c r="J46" s="8">
        <v>328200000</v>
      </c>
      <c r="K46" s="10" t="s">
        <v>46</v>
      </c>
      <c r="L46" s="8" t="s">
        <v>46</v>
      </c>
      <c r="M46" s="8" t="s">
        <v>46</v>
      </c>
      <c r="N46" s="8">
        <v>10613000</v>
      </c>
      <c r="O46" s="10" t="s">
        <v>46</v>
      </c>
      <c r="P46" s="10" t="s">
        <v>46</v>
      </c>
      <c r="Q46" s="8" t="s">
        <v>46</v>
      </c>
      <c r="R46" s="10">
        <v>73927000</v>
      </c>
      <c r="S46" s="8">
        <v>108971000</v>
      </c>
      <c r="T46" s="8">
        <v>-142032000</v>
      </c>
      <c r="U46" s="8" t="s">
        <v>46</v>
      </c>
      <c r="V46" s="10">
        <v>9484830000</v>
      </c>
      <c r="W46" s="10" t="s">
        <v>46</v>
      </c>
      <c r="X46" s="10">
        <v>181579000</v>
      </c>
      <c r="Y46" s="8">
        <v>255506000</v>
      </c>
      <c r="Z46" s="8">
        <v>251003000</v>
      </c>
      <c r="AA46" s="10" t="s">
        <v>46</v>
      </c>
      <c r="AB46" s="10" t="s">
        <v>46</v>
      </c>
      <c r="AC46" s="8" t="s">
        <v>46</v>
      </c>
      <c r="AD46" s="8" t="s">
        <v>46</v>
      </c>
      <c r="AE46" s="8" t="s">
        <v>46</v>
      </c>
      <c r="AF46" s="8" t="s">
        <v>46</v>
      </c>
      <c r="AG46" s="9">
        <v>-1103000000</v>
      </c>
      <c r="AH46" s="8"/>
      <c r="AI46" s="8"/>
      <c r="AJ46" s="8"/>
      <c r="AK46" s="8"/>
      <c r="AL46" s="8"/>
      <c r="AM46" s="8"/>
      <c r="AN46" s="8"/>
      <c r="AO46" s="8"/>
      <c r="AP46" s="8"/>
    </row>
    <row r="47" spans="1:42" ht="17">
      <c r="A47" s="8" t="s">
        <v>111</v>
      </c>
      <c r="B47" s="8" t="s">
        <v>45</v>
      </c>
      <c r="C47" s="8">
        <v>528682000</v>
      </c>
      <c r="D47" s="8">
        <v>795797000</v>
      </c>
      <c r="E47" s="10" t="s">
        <v>68</v>
      </c>
      <c r="F47" s="8">
        <v>267115000</v>
      </c>
      <c r="G47" s="8">
        <v>19149000</v>
      </c>
      <c r="H47" s="8">
        <v>332980000</v>
      </c>
      <c r="I47" s="8" t="s">
        <v>46</v>
      </c>
      <c r="J47" s="8">
        <v>418151000</v>
      </c>
      <c r="K47" s="10" t="s">
        <v>46</v>
      </c>
      <c r="L47" s="8">
        <v>-114764000</v>
      </c>
      <c r="M47" s="8" t="s">
        <v>46</v>
      </c>
      <c r="N47" s="8">
        <v>712000</v>
      </c>
      <c r="O47" s="10" t="s">
        <v>46</v>
      </c>
      <c r="P47" s="10" t="s">
        <v>46</v>
      </c>
      <c r="Q47" s="8" t="s">
        <v>46</v>
      </c>
      <c r="R47" s="10">
        <v>38290000</v>
      </c>
      <c r="S47" s="8">
        <v>-28052000</v>
      </c>
      <c r="T47" s="8">
        <v>-61194000</v>
      </c>
      <c r="U47" s="8" t="s">
        <v>46</v>
      </c>
      <c r="V47" s="10">
        <v>-135601000</v>
      </c>
      <c r="W47" s="10" t="s">
        <v>46</v>
      </c>
      <c r="X47" s="10">
        <v>110678000</v>
      </c>
      <c r="Y47" s="8">
        <v>148968000</v>
      </c>
      <c r="Z47" s="8">
        <v>33142000</v>
      </c>
      <c r="AA47" s="10" t="s">
        <v>46</v>
      </c>
      <c r="AB47" s="10" t="s">
        <v>46</v>
      </c>
      <c r="AC47" s="8" t="s">
        <v>46</v>
      </c>
      <c r="AD47" s="8" t="s">
        <v>46</v>
      </c>
      <c r="AE47" s="8" t="s">
        <v>46</v>
      </c>
      <c r="AF47" s="8" t="s">
        <v>46</v>
      </c>
      <c r="AG47" s="8">
        <v>-262670000</v>
      </c>
      <c r="AH47" s="8"/>
      <c r="AI47" s="8"/>
      <c r="AJ47" s="8"/>
      <c r="AK47" s="8"/>
      <c r="AL47" s="8"/>
      <c r="AM47" s="8"/>
      <c r="AN47" s="8"/>
      <c r="AO47" s="8"/>
      <c r="AP47" s="8"/>
    </row>
    <row r="48" spans="1:42" ht="17">
      <c r="A48" s="8" t="s">
        <v>54</v>
      </c>
      <c r="B48" s="8" t="s">
        <v>45</v>
      </c>
      <c r="C48" s="8">
        <v>1108837000</v>
      </c>
      <c r="D48" s="8">
        <v>1772525000</v>
      </c>
      <c r="E48" s="10" t="s">
        <v>68</v>
      </c>
      <c r="F48" s="8">
        <v>663688000</v>
      </c>
      <c r="G48" s="8">
        <v>387222000</v>
      </c>
      <c r="H48" s="8">
        <v>514269000</v>
      </c>
      <c r="I48" s="8" t="s">
        <v>46</v>
      </c>
      <c r="J48" s="8">
        <v>721615000</v>
      </c>
      <c r="K48" s="10" t="s">
        <v>46</v>
      </c>
      <c r="L48" s="8" t="s">
        <v>46</v>
      </c>
      <c r="M48" s="8" t="s">
        <v>46</v>
      </c>
      <c r="N48" s="8">
        <v>97679000</v>
      </c>
      <c r="O48" s="10" t="s">
        <v>46</v>
      </c>
      <c r="P48" s="10" t="s">
        <v>46</v>
      </c>
      <c r="Q48" s="8" t="s">
        <v>46</v>
      </c>
      <c r="R48" s="10">
        <v>111125000</v>
      </c>
      <c r="S48" s="8">
        <v>224071000</v>
      </c>
      <c r="T48" s="8">
        <v>-837000</v>
      </c>
      <c r="U48" s="8" t="s">
        <v>46</v>
      </c>
      <c r="V48" s="10">
        <v>224908000</v>
      </c>
      <c r="W48" s="10" t="s">
        <v>46</v>
      </c>
      <c r="X48" s="10">
        <v>321750000</v>
      </c>
      <c r="Y48" s="8">
        <v>432875000</v>
      </c>
      <c r="Z48" s="8">
        <v>214905000</v>
      </c>
      <c r="AA48" s="10" t="s">
        <v>46</v>
      </c>
      <c r="AB48" s="10" t="s">
        <v>46</v>
      </c>
      <c r="AC48" s="8" t="s">
        <v>46</v>
      </c>
      <c r="AD48" s="8" t="s">
        <v>46</v>
      </c>
      <c r="AE48" s="8">
        <v>-368341000</v>
      </c>
      <c r="AF48" s="8" t="s">
        <v>46</v>
      </c>
      <c r="AG48" s="8">
        <v>-158389000</v>
      </c>
      <c r="AH48" s="8"/>
      <c r="AI48" s="8"/>
      <c r="AJ48" s="8"/>
      <c r="AK48" s="8"/>
      <c r="AL48" s="8"/>
      <c r="AM48" s="8"/>
      <c r="AN48" s="8"/>
      <c r="AO48" s="8"/>
      <c r="AP48" s="8"/>
    </row>
    <row r="49" spans="1:42" ht="17">
      <c r="A49" s="8" t="s">
        <v>112</v>
      </c>
      <c r="B49" s="8" t="s">
        <v>45</v>
      </c>
      <c r="C49" s="8">
        <v>952501000</v>
      </c>
      <c r="D49" s="8">
        <v>1582765000</v>
      </c>
      <c r="E49" s="10" t="s">
        <v>68</v>
      </c>
      <c r="F49" s="8">
        <v>630264000</v>
      </c>
      <c r="G49" s="8">
        <v>247292000</v>
      </c>
      <c r="H49" s="8">
        <v>457757000</v>
      </c>
      <c r="I49" s="8" t="s">
        <v>46</v>
      </c>
      <c r="J49" s="8">
        <v>664287000</v>
      </c>
      <c r="K49" s="10" t="s">
        <v>46</v>
      </c>
      <c r="L49" s="8" t="s">
        <v>46</v>
      </c>
      <c r="M49" s="8" t="s">
        <v>46</v>
      </c>
      <c r="N49" s="8">
        <v>99255000</v>
      </c>
      <c r="O49" s="10" t="s">
        <v>46</v>
      </c>
      <c r="P49" s="10" t="s">
        <v>46</v>
      </c>
      <c r="Q49" s="8" t="s">
        <v>46</v>
      </c>
      <c r="R49" s="10">
        <v>120700000</v>
      </c>
      <c r="S49" s="8">
        <v>89552000</v>
      </c>
      <c r="T49" s="8">
        <v>17769000</v>
      </c>
      <c r="U49" s="8" t="s">
        <v>46</v>
      </c>
      <c r="V49" s="10">
        <v>71783000</v>
      </c>
      <c r="W49" s="10" t="s">
        <v>46</v>
      </c>
      <c r="X49" s="10">
        <v>188807000</v>
      </c>
      <c r="Y49" s="8">
        <v>309507000</v>
      </c>
      <c r="Z49" s="8">
        <v>70078000</v>
      </c>
      <c r="AA49" s="10" t="s">
        <v>46</v>
      </c>
      <c r="AB49" s="10" t="s">
        <v>46</v>
      </c>
      <c r="AC49" s="8" t="s">
        <v>46</v>
      </c>
      <c r="AD49" s="8" t="s">
        <v>46</v>
      </c>
      <c r="AE49" s="8">
        <v>309312000</v>
      </c>
      <c r="AF49" s="8" t="s">
        <v>46</v>
      </c>
      <c r="AG49" s="9">
        <v>-1915000000</v>
      </c>
      <c r="AH49" s="8"/>
      <c r="AI49" s="8"/>
      <c r="AJ49" s="8"/>
      <c r="AK49" s="8"/>
      <c r="AL49" s="8"/>
      <c r="AM49" s="8"/>
      <c r="AN49" s="8"/>
      <c r="AO49" s="8"/>
      <c r="AP49" s="8"/>
    </row>
    <row r="50" spans="1:42" ht="17">
      <c r="A50" s="8" t="s">
        <v>113</v>
      </c>
      <c r="B50" s="8" t="s">
        <v>45</v>
      </c>
      <c r="C50" s="8">
        <v>964201000</v>
      </c>
      <c r="D50" s="8">
        <v>1600842000</v>
      </c>
      <c r="E50" s="10" t="s">
        <v>68</v>
      </c>
      <c r="F50" s="8">
        <v>636641000</v>
      </c>
      <c r="G50" s="8">
        <v>285152000</v>
      </c>
      <c r="H50" s="8">
        <v>451490000</v>
      </c>
      <c r="I50" s="8" t="s">
        <v>46</v>
      </c>
      <c r="J50" s="8">
        <v>679049000</v>
      </c>
      <c r="K50" s="10" t="s">
        <v>46</v>
      </c>
      <c r="L50" s="8" t="s">
        <v>46</v>
      </c>
      <c r="M50" s="8" t="s">
        <v>46</v>
      </c>
      <c r="N50" s="8">
        <v>107600000</v>
      </c>
      <c r="O50" s="10" t="s">
        <v>46</v>
      </c>
      <c r="P50" s="10" t="s">
        <v>46</v>
      </c>
      <c r="Q50" s="8" t="s">
        <v>46</v>
      </c>
      <c r="R50" s="10">
        <v>147644000</v>
      </c>
      <c r="S50" s="8">
        <v>80495000</v>
      </c>
      <c r="T50" s="8">
        <v>146785000</v>
      </c>
      <c r="U50" s="8" t="s">
        <v>46</v>
      </c>
      <c r="V50" s="10">
        <v>-66290000</v>
      </c>
      <c r="W50" s="10" t="s">
        <v>46</v>
      </c>
      <c r="X50" s="10">
        <v>181239000</v>
      </c>
      <c r="Y50" s="8">
        <v>328883000</v>
      </c>
      <c r="Z50" s="8">
        <v>-69899000</v>
      </c>
      <c r="AA50" s="10" t="s">
        <v>46</v>
      </c>
      <c r="AB50" s="10" t="s">
        <v>46</v>
      </c>
      <c r="AC50" s="8" t="s">
        <v>46</v>
      </c>
      <c r="AD50" s="8" t="s">
        <v>46</v>
      </c>
      <c r="AE50" s="8" t="s">
        <v>46</v>
      </c>
      <c r="AF50" s="8" t="s">
        <v>46</v>
      </c>
      <c r="AG50" s="9">
        <v>11297000000</v>
      </c>
      <c r="AH50" s="8"/>
      <c r="AI50" s="8"/>
      <c r="AJ50" s="8"/>
      <c r="AK50" s="8"/>
      <c r="AL50" s="8"/>
      <c r="AM50" s="8"/>
      <c r="AN50" s="8"/>
      <c r="AO50" s="8"/>
      <c r="AP50" s="8"/>
    </row>
    <row r="51" spans="1:42" ht="17">
      <c r="A51" s="8" t="s">
        <v>114</v>
      </c>
      <c r="B51" s="8" t="s">
        <v>45</v>
      </c>
      <c r="C51" s="8">
        <v>768693000</v>
      </c>
      <c r="D51" s="8">
        <v>1369961000</v>
      </c>
      <c r="E51" s="10" t="s">
        <v>68</v>
      </c>
      <c r="F51" s="8">
        <v>601268000</v>
      </c>
      <c r="G51" s="8">
        <v>62252000</v>
      </c>
      <c r="H51" s="8">
        <v>472987000</v>
      </c>
      <c r="I51" s="8" t="s">
        <v>46</v>
      </c>
      <c r="J51" s="8">
        <v>706441000</v>
      </c>
      <c r="K51" s="10" t="s">
        <v>46</v>
      </c>
      <c r="L51" s="8" t="s">
        <v>46</v>
      </c>
      <c r="M51" s="8" t="s">
        <v>46</v>
      </c>
      <c r="N51" s="8">
        <v>418397000</v>
      </c>
      <c r="O51" s="10" t="s">
        <v>46</v>
      </c>
      <c r="P51" s="10" t="s">
        <v>46</v>
      </c>
      <c r="Q51" s="8" t="s">
        <v>46</v>
      </c>
      <c r="R51" s="10">
        <v>151434000</v>
      </c>
      <c r="S51" s="8">
        <v>-548916000</v>
      </c>
      <c r="T51" s="8">
        <v>-117366000</v>
      </c>
      <c r="U51" s="8" t="s">
        <v>46</v>
      </c>
      <c r="V51" s="10" t="s">
        <v>46</v>
      </c>
      <c r="W51" s="10" t="s">
        <v>46</v>
      </c>
      <c r="X51" s="10">
        <v>-130519000</v>
      </c>
      <c r="Y51" s="8">
        <v>20915000</v>
      </c>
      <c r="Z51" s="8">
        <v>-415653000</v>
      </c>
      <c r="AA51" s="10" t="s">
        <v>46</v>
      </c>
      <c r="AB51" s="10" t="s">
        <v>46</v>
      </c>
      <c r="AC51" s="8" t="s">
        <v>46</v>
      </c>
      <c r="AD51" s="8" t="s">
        <v>46</v>
      </c>
      <c r="AE51" s="8" t="s">
        <v>46</v>
      </c>
      <c r="AF51" s="8" t="s">
        <v>46</v>
      </c>
      <c r="AG51" s="8">
        <v>-202639000</v>
      </c>
      <c r="AH51" s="8"/>
      <c r="AI51" s="8"/>
      <c r="AJ51" s="8"/>
      <c r="AK51" s="8"/>
      <c r="AL51" s="8"/>
      <c r="AM51" s="8"/>
      <c r="AN51" s="8"/>
      <c r="AO51" s="8"/>
      <c r="AP51" s="8"/>
    </row>
    <row r="52" spans="1:42" ht="17">
      <c r="A52" s="8" t="s">
        <v>55</v>
      </c>
      <c r="B52" s="8" t="s">
        <v>45</v>
      </c>
      <c r="C52" s="8">
        <v>1059700000</v>
      </c>
      <c r="D52" s="8">
        <v>1713888000</v>
      </c>
      <c r="E52" s="10" t="s">
        <v>68</v>
      </c>
      <c r="F52" s="8">
        <v>654188000</v>
      </c>
      <c r="G52" s="8">
        <v>319480000</v>
      </c>
      <c r="H52" s="8">
        <v>515083000</v>
      </c>
      <c r="I52" s="8" t="s">
        <v>46</v>
      </c>
      <c r="J52" s="8">
        <v>740220000</v>
      </c>
      <c r="K52" s="10" t="s">
        <v>46</v>
      </c>
      <c r="L52" s="8" t="s">
        <v>46</v>
      </c>
      <c r="M52" s="8" t="s">
        <v>46</v>
      </c>
      <c r="N52" s="8">
        <v>476837000</v>
      </c>
      <c r="O52" s="10" t="s">
        <v>46</v>
      </c>
      <c r="P52" s="10" t="s">
        <v>46</v>
      </c>
      <c r="Q52" s="8" t="s">
        <v>46</v>
      </c>
      <c r="R52" s="10">
        <v>157645000</v>
      </c>
      <c r="S52" s="8" t="s">
        <v>46</v>
      </c>
      <c r="T52" s="8">
        <v>-507549000</v>
      </c>
      <c r="U52" s="8" t="s">
        <v>46</v>
      </c>
      <c r="V52" s="10" t="s">
        <v>46</v>
      </c>
      <c r="W52" s="10" t="s">
        <v>46</v>
      </c>
      <c r="X52" s="10">
        <v>-165786000</v>
      </c>
      <c r="Y52" s="8">
        <v>477125000</v>
      </c>
      <c r="Z52" s="8">
        <v>416538000</v>
      </c>
      <c r="AA52" s="10" t="s">
        <v>46</v>
      </c>
      <c r="AB52" s="10" t="s">
        <v>46</v>
      </c>
      <c r="AC52" s="8" t="s">
        <v>46</v>
      </c>
      <c r="AD52" s="8" t="s">
        <v>46</v>
      </c>
      <c r="AE52" s="8" t="s">
        <v>46</v>
      </c>
      <c r="AF52" s="8" t="s">
        <v>46</v>
      </c>
      <c r="AG52" s="8">
        <v>-460018000</v>
      </c>
      <c r="AH52" s="8"/>
      <c r="AI52" s="8"/>
      <c r="AJ52" s="8"/>
      <c r="AK52" s="8"/>
      <c r="AL52" s="8"/>
      <c r="AM52" s="8"/>
      <c r="AN52" s="8"/>
      <c r="AO52" s="8"/>
      <c r="AP52" s="8"/>
    </row>
    <row r="53" spans="1:42" ht="17">
      <c r="A53" s="8" t="s">
        <v>115</v>
      </c>
      <c r="B53" s="8" t="s">
        <v>45</v>
      </c>
      <c r="C53" s="8">
        <v>915521000</v>
      </c>
      <c r="D53" s="8">
        <v>1537416000</v>
      </c>
      <c r="E53" s="10" t="s">
        <v>68</v>
      </c>
      <c r="F53" s="8">
        <v>621895000</v>
      </c>
      <c r="G53" s="8">
        <v>228305000</v>
      </c>
      <c r="H53" s="8">
        <v>438654000</v>
      </c>
      <c r="I53" s="8" t="s">
        <v>46</v>
      </c>
      <c r="J53" s="8">
        <v>679585000</v>
      </c>
      <c r="K53" s="10" t="s">
        <v>46</v>
      </c>
      <c r="L53" s="8" t="s">
        <v>46</v>
      </c>
      <c r="M53" s="8" t="s">
        <v>46</v>
      </c>
      <c r="N53" s="8">
        <v>470250000</v>
      </c>
      <c r="O53" s="10" t="s">
        <v>46</v>
      </c>
      <c r="P53" s="10" t="s">
        <v>46</v>
      </c>
      <c r="Q53" s="8" t="s">
        <v>46</v>
      </c>
      <c r="R53" s="10">
        <v>149749000</v>
      </c>
      <c r="S53" s="8">
        <v>-244133000</v>
      </c>
      <c r="T53" s="8">
        <v>2051000</v>
      </c>
      <c r="U53" s="8" t="s">
        <v>46</v>
      </c>
      <c r="V53" s="10">
        <v>-250415000</v>
      </c>
      <c r="W53" s="10" t="s">
        <v>46</v>
      </c>
      <c r="X53" s="10">
        <v>245389000</v>
      </c>
      <c r="Y53" s="8">
        <v>395138000</v>
      </c>
      <c r="Z53" s="8">
        <v>-248177000</v>
      </c>
      <c r="AA53" s="10" t="s">
        <v>46</v>
      </c>
      <c r="AB53" s="10" t="s">
        <v>46</v>
      </c>
      <c r="AC53" s="8" t="s">
        <v>46</v>
      </c>
      <c r="AD53" s="8" t="s">
        <v>46</v>
      </c>
      <c r="AE53" s="8" t="s">
        <v>46</v>
      </c>
      <c r="AF53" s="8" t="s">
        <v>46</v>
      </c>
      <c r="AG53" s="8">
        <v>-240003000</v>
      </c>
      <c r="AH53" s="8"/>
      <c r="AI53" s="8"/>
      <c r="AJ53" s="8"/>
      <c r="AK53" s="8"/>
      <c r="AL53" s="8"/>
      <c r="AM53" s="8"/>
      <c r="AN53" s="8"/>
      <c r="AO53" s="8"/>
      <c r="AP53" s="8"/>
    </row>
    <row r="54" spans="1:42" ht="17">
      <c r="A54" s="8" t="s">
        <v>116</v>
      </c>
      <c r="B54" s="8" t="s">
        <v>45</v>
      </c>
      <c r="C54" s="8">
        <v>975991000</v>
      </c>
      <c r="D54" s="8">
        <v>1590368000</v>
      </c>
      <c r="E54" s="10" t="s">
        <v>68</v>
      </c>
      <c r="F54" s="8">
        <v>614377000</v>
      </c>
      <c r="G54" s="8">
        <v>310664000</v>
      </c>
      <c r="H54" s="8">
        <v>447290000</v>
      </c>
      <c r="I54" s="8" t="s">
        <v>46</v>
      </c>
      <c r="J54" s="8">
        <v>665327000</v>
      </c>
      <c r="K54" s="10" t="s">
        <v>46</v>
      </c>
      <c r="L54" s="8" t="s">
        <v>46</v>
      </c>
      <c r="M54" s="8" t="s">
        <v>46</v>
      </c>
      <c r="N54" s="8">
        <v>463160000</v>
      </c>
      <c r="O54" s="10" t="s">
        <v>46</v>
      </c>
      <c r="P54" s="10" t="s">
        <v>46</v>
      </c>
      <c r="Q54" s="8" t="s">
        <v>46</v>
      </c>
      <c r="R54" s="10">
        <v>147795000</v>
      </c>
      <c r="S54" s="8">
        <v>-150609000</v>
      </c>
      <c r="T54" s="8">
        <v>17408000</v>
      </c>
      <c r="U54" s="8" t="s">
        <v>46</v>
      </c>
      <c r="V54" s="10">
        <v>-173797000</v>
      </c>
      <c r="W54" s="10" t="s">
        <v>46</v>
      </c>
      <c r="X54" s="10">
        <v>300903000</v>
      </c>
      <c r="Y54" s="8">
        <v>448698000</v>
      </c>
      <c r="Z54" s="8">
        <v>-174037000</v>
      </c>
      <c r="AA54" s="10" t="s">
        <v>46</v>
      </c>
      <c r="AB54" s="10" t="s">
        <v>46</v>
      </c>
      <c r="AC54" s="8">
        <v>-42797000</v>
      </c>
      <c r="AD54" s="8" t="s">
        <v>46</v>
      </c>
      <c r="AE54" s="8" t="s">
        <v>46</v>
      </c>
      <c r="AF54" s="8" t="s">
        <v>46</v>
      </c>
      <c r="AG54" s="8">
        <v>-737490000</v>
      </c>
      <c r="AH54" s="8"/>
      <c r="AI54" s="8"/>
      <c r="AJ54" s="8"/>
      <c r="AK54" s="8"/>
      <c r="AL54" s="8"/>
      <c r="AM54" s="8"/>
      <c r="AN54" s="8"/>
      <c r="AO54" s="8"/>
      <c r="AP54" s="8"/>
    </row>
    <row r="55" spans="1:42" ht="17">
      <c r="A55" s="8" t="s">
        <v>117</v>
      </c>
      <c r="B55" s="8" t="s">
        <v>45</v>
      </c>
      <c r="C55" s="8">
        <v>758060000</v>
      </c>
      <c r="D55" s="8">
        <v>1329322000</v>
      </c>
      <c r="E55" s="10" t="s">
        <v>68</v>
      </c>
      <c r="F55" s="8">
        <v>571262000</v>
      </c>
      <c r="G55" s="8">
        <v>114057000</v>
      </c>
      <c r="H55" s="8">
        <v>450619000</v>
      </c>
      <c r="I55" s="8" t="s">
        <v>46</v>
      </c>
      <c r="J55" s="8">
        <v>644003000</v>
      </c>
      <c r="K55" s="10" t="s">
        <v>46</v>
      </c>
      <c r="L55" s="8" t="s">
        <v>46</v>
      </c>
      <c r="M55" s="8" t="s">
        <v>46</v>
      </c>
      <c r="N55" s="8">
        <v>455337000</v>
      </c>
      <c r="O55" s="10" t="s">
        <v>46</v>
      </c>
      <c r="P55" s="10" t="s">
        <v>46</v>
      </c>
      <c r="Q55" s="8" t="s">
        <v>46</v>
      </c>
      <c r="R55" s="10">
        <v>146106000</v>
      </c>
      <c r="S55" s="8">
        <v>-356896000</v>
      </c>
      <c r="T55" s="8">
        <v>30684000</v>
      </c>
      <c r="U55" s="8" t="s">
        <v>46</v>
      </c>
      <c r="V55" s="10">
        <v>-388457000</v>
      </c>
      <c r="W55" s="10" t="s">
        <v>46</v>
      </c>
      <c r="X55" s="10">
        <v>98441000</v>
      </c>
      <c r="Y55" s="8">
        <v>244547000</v>
      </c>
      <c r="Z55" s="8">
        <v>-388215000</v>
      </c>
      <c r="AA55" s="10" t="s">
        <v>46</v>
      </c>
      <c r="AB55" s="10" t="s">
        <v>46</v>
      </c>
      <c r="AC55" s="8">
        <v>-48750000</v>
      </c>
      <c r="AD55" s="8" t="s">
        <v>46</v>
      </c>
      <c r="AE55" s="8" t="s">
        <v>46</v>
      </c>
      <c r="AF55" s="8" t="s">
        <v>46</v>
      </c>
      <c r="AG55" s="8">
        <v>-762158000</v>
      </c>
      <c r="AH55" s="8"/>
      <c r="AI55" s="8"/>
      <c r="AJ55" s="8"/>
      <c r="AK55" s="8"/>
      <c r="AL55" s="8"/>
      <c r="AM55" s="8"/>
      <c r="AN55" s="8"/>
      <c r="AO55" s="8"/>
      <c r="AP55" s="8"/>
    </row>
    <row r="56" spans="1:42" ht="17">
      <c r="A56" s="8" t="s">
        <v>57</v>
      </c>
      <c r="B56" s="8" t="s">
        <v>45</v>
      </c>
      <c r="C56" s="8">
        <v>1090024000</v>
      </c>
      <c r="D56" s="8">
        <v>1721118000</v>
      </c>
      <c r="E56" s="10" t="s">
        <v>68</v>
      </c>
      <c r="F56" s="8">
        <v>631094000</v>
      </c>
      <c r="G56" s="8">
        <v>531871000</v>
      </c>
      <c r="H56" s="8">
        <v>444050000</v>
      </c>
      <c r="I56" s="8" t="s">
        <v>46</v>
      </c>
      <c r="J56" s="8">
        <v>558153000</v>
      </c>
      <c r="K56" s="10" t="s">
        <v>46</v>
      </c>
      <c r="L56" s="8" t="s">
        <v>46</v>
      </c>
      <c r="M56" s="8" t="s">
        <v>46</v>
      </c>
      <c r="N56" s="8">
        <v>460189000</v>
      </c>
      <c r="O56" s="10" t="s">
        <v>46</v>
      </c>
      <c r="P56" s="10" t="s">
        <v>46</v>
      </c>
      <c r="Q56" s="8" t="s">
        <v>46</v>
      </c>
      <c r="R56" s="10">
        <v>159174000</v>
      </c>
      <c r="S56" s="8">
        <v>30687000</v>
      </c>
      <c r="T56" s="8">
        <v>-92717000</v>
      </c>
      <c r="U56" s="8" t="s">
        <v>46</v>
      </c>
      <c r="V56" s="10">
        <v>90272000</v>
      </c>
      <c r="W56" s="10" t="s">
        <v>46</v>
      </c>
      <c r="X56" s="10">
        <v>415764000</v>
      </c>
      <c r="Y56" s="8">
        <v>574938000</v>
      </c>
      <c r="Z56" s="8">
        <v>106042000</v>
      </c>
      <c r="AA56" s="10" t="s">
        <v>46</v>
      </c>
      <c r="AB56" s="10" t="s">
        <v>46</v>
      </c>
      <c r="AC56" s="8" t="s">
        <v>46</v>
      </c>
      <c r="AD56" s="8" t="s">
        <v>46</v>
      </c>
      <c r="AE56" s="8" t="s">
        <v>46</v>
      </c>
      <c r="AF56" s="8" t="s">
        <v>46</v>
      </c>
      <c r="AG56" s="8">
        <v>-583517000</v>
      </c>
      <c r="AH56" s="8"/>
      <c r="AI56" s="8"/>
      <c r="AJ56" s="8"/>
      <c r="AK56" s="8"/>
      <c r="AL56" s="8"/>
      <c r="AM56" s="8"/>
      <c r="AN56" s="8"/>
      <c r="AO56" s="8"/>
      <c r="AP56" s="8"/>
    </row>
    <row r="57" spans="1:42" ht="17">
      <c r="A57" s="8" t="s">
        <v>118</v>
      </c>
      <c r="B57" s="8" t="s">
        <v>45</v>
      </c>
      <c r="C57" s="8">
        <v>974842000</v>
      </c>
      <c r="D57" s="8">
        <v>1570418000</v>
      </c>
      <c r="E57" s="10" t="s">
        <v>68</v>
      </c>
      <c r="F57" s="8">
        <v>595576000</v>
      </c>
      <c r="G57" s="8">
        <v>299405000</v>
      </c>
      <c r="H57" s="8">
        <v>421700000</v>
      </c>
      <c r="I57" s="8" t="s">
        <v>46</v>
      </c>
      <c r="J57" s="8">
        <v>667437000</v>
      </c>
      <c r="K57" s="10" t="s">
        <v>46</v>
      </c>
      <c r="L57" s="8" t="s">
        <v>46</v>
      </c>
      <c r="M57" s="8" t="s">
        <v>46</v>
      </c>
      <c r="N57" s="8">
        <v>459852000</v>
      </c>
      <c r="O57" s="10" t="s">
        <v>46</v>
      </c>
      <c r="P57" s="10" t="s">
        <v>46</v>
      </c>
      <c r="Q57" s="8" t="s">
        <v>46</v>
      </c>
      <c r="R57" s="10">
        <v>158453000</v>
      </c>
      <c r="S57" s="8">
        <v>-22864000</v>
      </c>
      <c r="T57" s="8">
        <v>5613000</v>
      </c>
      <c r="U57" s="8" t="s">
        <v>46</v>
      </c>
      <c r="V57" s="10" t="s">
        <v>46</v>
      </c>
      <c r="W57" s="10" t="s">
        <v>46</v>
      </c>
      <c r="X57" s="10">
        <v>313857000</v>
      </c>
      <c r="Y57" s="8">
        <v>472310000</v>
      </c>
      <c r="Z57" s="8">
        <v>-34951000</v>
      </c>
      <c r="AA57" s="10" t="s">
        <v>46</v>
      </c>
      <c r="AB57" s="10" t="s">
        <v>46</v>
      </c>
      <c r="AC57" s="8" t="s">
        <v>46</v>
      </c>
      <c r="AD57" s="8" t="s">
        <v>46</v>
      </c>
      <c r="AE57" s="8" t="s">
        <v>46</v>
      </c>
      <c r="AF57" s="8" t="s">
        <v>46</v>
      </c>
      <c r="AG57" s="8">
        <v>-411190000</v>
      </c>
      <c r="AH57" s="8"/>
      <c r="AI57" s="8"/>
      <c r="AJ57" s="8"/>
      <c r="AK57" s="8"/>
      <c r="AL57" s="8"/>
      <c r="AM57" s="8"/>
      <c r="AN57" s="8"/>
      <c r="AO57" s="8"/>
      <c r="AP57" s="8"/>
    </row>
    <row r="58" spans="1:42" ht="17">
      <c r="A58" s="8" t="s">
        <v>119</v>
      </c>
      <c r="B58" s="8" t="s">
        <v>45</v>
      </c>
      <c r="C58" s="8">
        <v>1001286000</v>
      </c>
      <c r="D58" s="8">
        <v>1618532000</v>
      </c>
      <c r="E58" s="10" t="s">
        <v>68</v>
      </c>
      <c r="F58" s="8">
        <v>617246000</v>
      </c>
      <c r="G58" s="8">
        <v>252721000</v>
      </c>
      <c r="H58" s="8">
        <v>434581000</v>
      </c>
      <c r="I58" s="8" t="s">
        <v>46</v>
      </c>
      <c r="J58" s="8">
        <v>748565000</v>
      </c>
      <c r="K58" s="10" t="s">
        <v>46</v>
      </c>
      <c r="L58" s="8" t="s">
        <v>46</v>
      </c>
      <c r="M58" s="8" t="s">
        <v>46</v>
      </c>
      <c r="N58" s="8">
        <v>465991000</v>
      </c>
      <c r="O58" s="10" t="s">
        <v>46</v>
      </c>
      <c r="P58" s="10" t="s">
        <v>46</v>
      </c>
      <c r="Q58" s="8" t="s">
        <v>46</v>
      </c>
      <c r="R58" s="10">
        <v>162144000</v>
      </c>
      <c r="S58" s="8">
        <v>-248899000</v>
      </c>
      <c r="T58" s="8">
        <v>27137000</v>
      </c>
      <c r="U58" s="8" t="s">
        <v>46</v>
      </c>
      <c r="V58" s="10" t="s">
        <v>46</v>
      </c>
      <c r="W58" s="10" t="s">
        <v>46</v>
      </c>
      <c r="X58" s="10">
        <v>316214000</v>
      </c>
      <c r="Y58" s="8">
        <v>478358000</v>
      </c>
      <c r="Z58" s="8">
        <v>-278894000</v>
      </c>
      <c r="AA58" s="10" t="s">
        <v>46</v>
      </c>
      <c r="AB58" s="10" t="s">
        <v>46</v>
      </c>
      <c r="AC58" s="8" t="s">
        <v>46</v>
      </c>
      <c r="AD58" s="8" t="s">
        <v>46</v>
      </c>
      <c r="AE58" s="8" t="s">
        <v>46</v>
      </c>
      <c r="AF58" s="8" t="s">
        <v>46</v>
      </c>
      <c r="AG58" s="8">
        <v>-268029000</v>
      </c>
      <c r="AH58" s="8"/>
      <c r="AI58" s="8"/>
      <c r="AJ58" s="8"/>
      <c r="AK58" s="8"/>
      <c r="AL58" s="8"/>
      <c r="AM58" s="8"/>
      <c r="AN58" s="8"/>
      <c r="AO58" s="8"/>
      <c r="AP58" s="8"/>
    </row>
    <row r="59" spans="1:42" ht="17">
      <c r="A59" s="8" t="s">
        <v>120</v>
      </c>
      <c r="B59" s="8" t="s">
        <v>45</v>
      </c>
      <c r="C59" s="8">
        <v>795134000</v>
      </c>
      <c r="D59" s="8">
        <v>1363505000</v>
      </c>
      <c r="E59" s="10" t="s">
        <v>68</v>
      </c>
      <c r="F59" s="8">
        <v>568371000</v>
      </c>
      <c r="G59" s="8">
        <v>420694000</v>
      </c>
      <c r="H59" s="8">
        <v>425568000</v>
      </c>
      <c r="I59" s="8" t="s">
        <v>46</v>
      </c>
      <c r="J59" s="8">
        <v>374440000</v>
      </c>
      <c r="K59" s="10" t="s">
        <v>46</v>
      </c>
      <c r="L59" s="8" t="s">
        <v>46</v>
      </c>
      <c r="M59" s="8" t="s">
        <v>46</v>
      </c>
      <c r="N59" s="8">
        <v>463950000</v>
      </c>
      <c r="O59" s="10" t="s">
        <v>46</v>
      </c>
      <c r="P59" s="10" t="s">
        <v>46</v>
      </c>
      <c r="Q59" s="8" t="s">
        <v>46</v>
      </c>
      <c r="R59" s="10">
        <v>155456000</v>
      </c>
      <c r="S59" s="8">
        <v>-49401000</v>
      </c>
      <c r="T59" s="8">
        <v>9493000</v>
      </c>
      <c r="U59" s="8" t="s">
        <v>46</v>
      </c>
      <c r="V59" s="10" t="s">
        <v>46</v>
      </c>
      <c r="W59" s="10" t="s">
        <v>46</v>
      </c>
      <c r="X59" s="10">
        <v>148914000</v>
      </c>
      <c r="Y59" s="8">
        <v>304370000</v>
      </c>
      <c r="Z59" s="8">
        <v>-88515000</v>
      </c>
      <c r="AA59" s="10" t="s">
        <v>46</v>
      </c>
      <c r="AB59" s="10" t="s">
        <v>46</v>
      </c>
      <c r="AC59" s="8" t="s">
        <v>46</v>
      </c>
      <c r="AD59" s="8" t="s">
        <v>46</v>
      </c>
      <c r="AE59" s="8" t="s">
        <v>46</v>
      </c>
      <c r="AF59" s="8" t="s">
        <v>46</v>
      </c>
      <c r="AG59" s="8">
        <v>-462853000</v>
      </c>
      <c r="AH59" s="8"/>
      <c r="AI59" s="8"/>
      <c r="AJ59" s="8"/>
      <c r="AK59" s="8"/>
      <c r="AL59" s="8"/>
      <c r="AM59" s="8"/>
      <c r="AN59" s="8"/>
      <c r="AO59" s="8"/>
      <c r="AP59" s="8"/>
    </row>
    <row r="60" spans="1:42" ht="17">
      <c r="A60" s="8" t="s">
        <v>58</v>
      </c>
      <c r="B60" s="8" t="s">
        <v>45</v>
      </c>
      <c r="C60" s="8">
        <v>1065860000</v>
      </c>
      <c r="D60" s="8">
        <v>1717579000</v>
      </c>
      <c r="E60" s="10" t="s">
        <v>68</v>
      </c>
      <c r="F60" s="8">
        <v>651719000</v>
      </c>
      <c r="G60" s="8">
        <v>376964000</v>
      </c>
      <c r="H60" s="8">
        <v>432237000</v>
      </c>
      <c r="I60" s="8" t="s">
        <v>46</v>
      </c>
      <c r="J60" s="8">
        <v>688896000</v>
      </c>
      <c r="K60" s="10" t="s">
        <v>46</v>
      </c>
      <c r="L60" s="8" t="s">
        <v>46</v>
      </c>
      <c r="M60" s="8" t="s">
        <v>46</v>
      </c>
      <c r="N60" s="8">
        <v>456847000</v>
      </c>
      <c r="O60" s="10" t="s">
        <v>46</v>
      </c>
      <c r="P60" s="10" t="s">
        <v>46</v>
      </c>
      <c r="Q60" s="8" t="s">
        <v>46</v>
      </c>
      <c r="R60" s="10">
        <v>168824000</v>
      </c>
      <c r="S60" s="8">
        <v>-84639000</v>
      </c>
      <c r="T60" s="8">
        <v>5434000</v>
      </c>
      <c r="U60" s="8" t="s">
        <v>46</v>
      </c>
      <c r="V60" s="10" t="s">
        <v>46</v>
      </c>
      <c r="W60" s="10" t="s">
        <v>46</v>
      </c>
      <c r="X60" s="10">
        <v>386568000</v>
      </c>
      <c r="Y60" s="8">
        <v>555392000</v>
      </c>
      <c r="Z60" s="8">
        <v>-93272000</v>
      </c>
      <c r="AA60" s="10" t="s">
        <v>46</v>
      </c>
      <c r="AB60" s="10" t="s">
        <v>46</v>
      </c>
      <c r="AC60" s="8">
        <v>-184000</v>
      </c>
      <c r="AD60" s="8" t="s">
        <v>46</v>
      </c>
      <c r="AE60" s="8" t="s">
        <v>46</v>
      </c>
      <c r="AF60" s="8" t="s">
        <v>46</v>
      </c>
      <c r="AG60" s="9">
        <v>-4049000000</v>
      </c>
      <c r="AH60" s="8"/>
      <c r="AI60" s="8"/>
      <c r="AJ60" s="8"/>
      <c r="AK60" s="8"/>
      <c r="AL60" s="8"/>
      <c r="AM60" s="8"/>
      <c r="AN60" s="8"/>
      <c r="AO60" s="8"/>
      <c r="AP60" s="8"/>
    </row>
    <row r="61" spans="1:42" ht="17">
      <c r="A61" s="8" t="s">
        <v>121</v>
      </c>
      <c r="B61" s="8" t="s">
        <v>45</v>
      </c>
      <c r="C61" s="8">
        <v>951672000</v>
      </c>
      <c r="D61" s="8">
        <v>1579514000</v>
      </c>
      <c r="E61" s="10" t="s">
        <v>68</v>
      </c>
      <c r="F61" s="8">
        <v>627842000</v>
      </c>
      <c r="G61" s="8">
        <v>267126000</v>
      </c>
      <c r="H61" s="8">
        <v>428967000</v>
      </c>
      <c r="I61" s="8" t="s">
        <v>46</v>
      </c>
      <c r="J61" s="8">
        <v>662915000</v>
      </c>
      <c r="K61" s="10" t="s">
        <v>46</v>
      </c>
      <c r="L61" s="8" t="s">
        <v>46</v>
      </c>
      <c r="M61" s="8" t="s">
        <v>46</v>
      </c>
      <c r="N61" s="8">
        <v>453921000</v>
      </c>
      <c r="O61" s="10" t="s">
        <v>46</v>
      </c>
      <c r="P61" s="10" t="s">
        <v>46</v>
      </c>
      <c r="Q61" s="8" t="s">
        <v>46</v>
      </c>
      <c r="R61" s="10">
        <v>166320000</v>
      </c>
      <c r="S61" s="8">
        <v>-210628000</v>
      </c>
      <c r="T61" s="8">
        <v>2841000</v>
      </c>
      <c r="U61" s="8" t="s">
        <v>46</v>
      </c>
      <c r="V61" s="10" t="s">
        <v>46</v>
      </c>
      <c r="W61" s="10" t="s">
        <v>46</v>
      </c>
      <c r="X61" s="10">
        <v>298843000</v>
      </c>
      <c r="Y61" s="8">
        <v>465163000</v>
      </c>
      <c r="Z61" s="8">
        <v>-221917000</v>
      </c>
      <c r="AA61" s="10" t="s">
        <v>46</v>
      </c>
      <c r="AB61" s="10" t="s">
        <v>46</v>
      </c>
      <c r="AC61" s="8">
        <v>-3828000</v>
      </c>
      <c r="AD61" s="8" t="s">
        <v>46</v>
      </c>
      <c r="AE61" s="8" t="s">
        <v>46</v>
      </c>
      <c r="AF61" s="8" t="s">
        <v>46</v>
      </c>
      <c r="AG61" s="9">
        <v>-4627000000</v>
      </c>
      <c r="AH61" s="8"/>
      <c r="AI61" s="8"/>
      <c r="AJ61" s="8"/>
      <c r="AK61" s="8"/>
      <c r="AL61" s="8"/>
      <c r="AM61" s="8"/>
      <c r="AN61" s="8"/>
      <c r="AO61" s="8"/>
      <c r="AP61" s="8"/>
    </row>
    <row r="62" spans="1:42" ht="17">
      <c r="A62" s="8" t="s">
        <v>122</v>
      </c>
      <c r="B62" s="8" t="s">
        <v>45</v>
      </c>
      <c r="C62" s="8">
        <v>984594000</v>
      </c>
      <c r="D62" s="8">
        <v>1599859000</v>
      </c>
      <c r="E62" s="10">
        <v>615265000</v>
      </c>
      <c r="F62" s="8">
        <v>615265000</v>
      </c>
      <c r="G62" s="8">
        <v>412199000</v>
      </c>
      <c r="H62" s="8">
        <v>424163000</v>
      </c>
      <c r="I62" s="8" t="s">
        <v>46</v>
      </c>
      <c r="J62" s="8">
        <v>572395000</v>
      </c>
      <c r="K62" s="10" t="s">
        <v>46</v>
      </c>
      <c r="L62" s="8" t="s">
        <v>46</v>
      </c>
      <c r="M62" s="8" t="s">
        <v>46</v>
      </c>
      <c r="N62" s="8">
        <v>452957000</v>
      </c>
      <c r="O62" s="10" t="s">
        <v>46</v>
      </c>
      <c r="P62" s="10" t="s">
        <v>46</v>
      </c>
      <c r="Q62" s="8" t="s">
        <v>46</v>
      </c>
      <c r="R62" s="10">
        <v>168394000</v>
      </c>
      <c r="S62" s="8">
        <v>-25237000</v>
      </c>
      <c r="T62" s="8">
        <v>22077000</v>
      </c>
      <c r="U62" s="8" t="s">
        <v>46</v>
      </c>
      <c r="V62" s="10" t="s">
        <v>46</v>
      </c>
      <c r="W62" s="10" t="s">
        <v>46</v>
      </c>
      <c r="X62" s="10">
        <v>318445000</v>
      </c>
      <c r="Y62" s="8">
        <v>486839000</v>
      </c>
      <c r="Z62" s="8">
        <v>-54466000</v>
      </c>
      <c r="AA62" s="10"/>
      <c r="AB62" s="10"/>
      <c r="AC62" s="8"/>
      <c r="AD62" s="8"/>
      <c r="AE62" s="8"/>
      <c r="AF62" s="8"/>
      <c r="AG62" s="8"/>
      <c r="AH62" s="8"/>
      <c r="AI62" s="8"/>
      <c r="AJ62" s="8"/>
      <c r="AK62" s="8"/>
      <c r="AL62" s="8"/>
      <c r="AM62" s="8"/>
      <c r="AN62" s="8"/>
      <c r="AO62" s="8"/>
      <c r="AP62" s="8"/>
    </row>
    <row r="63" spans="1:42" ht="17">
      <c r="A63" s="8" t="s">
        <v>123</v>
      </c>
      <c r="B63" s="8" t="s">
        <v>45</v>
      </c>
      <c r="C63" s="8">
        <v>766045000</v>
      </c>
      <c r="D63" s="8">
        <v>1344564000</v>
      </c>
      <c r="E63" s="10">
        <v>578519000</v>
      </c>
      <c r="F63" s="8">
        <v>578519000</v>
      </c>
      <c r="G63" s="8">
        <v>93142000</v>
      </c>
      <c r="H63" s="8">
        <v>416188000</v>
      </c>
      <c r="I63" s="8" t="s">
        <v>46</v>
      </c>
      <c r="J63" s="8">
        <v>672903000</v>
      </c>
      <c r="K63" s="10" t="s">
        <v>46</v>
      </c>
      <c r="L63" s="8" t="s">
        <v>46</v>
      </c>
      <c r="M63" s="8" t="s">
        <v>46</v>
      </c>
      <c r="N63" s="8">
        <v>441771000</v>
      </c>
      <c r="O63" s="10" t="s">
        <v>46</v>
      </c>
      <c r="P63" s="10" t="s">
        <v>46</v>
      </c>
      <c r="Q63" s="8" t="s">
        <v>46</v>
      </c>
      <c r="R63" s="10">
        <v>170453000</v>
      </c>
      <c r="S63" s="8">
        <v>-330029000</v>
      </c>
      <c r="T63" s="8">
        <v>56605000</v>
      </c>
      <c r="U63" s="8" t="s">
        <v>46</v>
      </c>
      <c r="V63" s="10" t="s">
        <v>46</v>
      </c>
      <c r="W63" s="10" t="s">
        <v>46</v>
      </c>
      <c r="X63" s="10">
        <v>103242000</v>
      </c>
      <c r="Y63" s="8">
        <v>273695000</v>
      </c>
      <c r="Z63" s="8">
        <v>-384966000</v>
      </c>
      <c r="AA63" s="10"/>
      <c r="AB63" s="10"/>
      <c r="AC63" s="8"/>
      <c r="AD63" s="8"/>
      <c r="AE63" s="8"/>
      <c r="AF63" s="8"/>
      <c r="AG63" s="8"/>
      <c r="AH63" s="8"/>
      <c r="AI63" s="8"/>
      <c r="AJ63" s="8"/>
      <c r="AK63" s="8"/>
      <c r="AL63" s="8"/>
      <c r="AM63" s="8"/>
      <c r="AN63" s="8"/>
      <c r="AO63" s="8"/>
      <c r="AP63" s="8"/>
    </row>
    <row r="64" spans="1:42" ht="17">
      <c r="A64" s="8" t="s">
        <v>59</v>
      </c>
      <c r="B64" s="8" t="s">
        <v>45</v>
      </c>
      <c r="C64" s="8">
        <v>1067130000</v>
      </c>
      <c r="D64" s="8">
        <v>1715797000</v>
      </c>
      <c r="E64" s="10">
        <v>648667000</v>
      </c>
      <c r="F64" s="8">
        <v>648667000</v>
      </c>
      <c r="G64" s="8">
        <v>347770000</v>
      </c>
      <c r="H64" s="8">
        <v>421116000</v>
      </c>
      <c r="I64" s="8" t="s">
        <v>46</v>
      </c>
      <c r="J64" s="8">
        <v>700121000</v>
      </c>
      <c r="K64" s="10" t="s">
        <v>46</v>
      </c>
      <c r="L64" s="8" t="s">
        <v>46</v>
      </c>
      <c r="M64" s="8" t="s">
        <v>46</v>
      </c>
      <c r="N64" s="8">
        <v>437261000</v>
      </c>
      <c r="O64" s="10" t="s">
        <v>46</v>
      </c>
      <c r="P64" s="10" t="s">
        <v>46</v>
      </c>
      <c r="Q64" s="8" t="s">
        <v>46</v>
      </c>
      <c r="R64" s="10">
        <v>186100000</v>
      </c>
      <c r="S64" s="8">
        <v>-83818000</v>
      </c>
      <c r="T64" s="8">
        <v>-33653000</v>
      </c>
      <c r="U64" s="8" t="s">
        <v>46</v>
      </c>
      <c r="V64" s="10" t="s">
        <v>46</v>
      </c>
      <c r="W64" s="10" t="s">
        <v>46</v>
      </c>
      <c r="X64" s="10">
        <v>380906000</v>
      </c>
      <c r="Y64" s="8">
        <v>567006000</v>
      </c>
      <c r="Z64" s="8">
        <v>-68089000</v>
      </c>
      <c r="AA64" s="10"/>
      <c r="AB64" s="10"/>
      <c r="AC64" s="8"/>
      <c r="AD64" s="8"/>
      <c r="AE64" s="8"/>
      <c r="AF64" s="8"/>
      <c r="AG64" s="8"/>
      <c r="AH64" s="8"/>
      <c r="AI64" s="8"/>
      <c r="AJ64" s="8"/>
      <c r="AK64" s="8"/>
      <c r="AL64" s="8"/>
      <c r="AM64" s="8"/>
      <c r="AN64" s="8"/>
      <c r="AO64" s="8"/>
      <c r="AP64" s="8"/>
    </row>
    <row r="65" spans="1:42" ht="17">
      <c r="A65" s="8" t="s">
        <v>124</v>
      </c>
      <c r="B65" s="8" t="s">
        <v>45</v>
      </c>
      <c r="C65" s="8">
        <v>984053000</v>
      </c>
      <c r="D65" s="8">
        <v>1630034000</v>
      </c>
      <c r="E65" s="10">
        <v>645981000</v>
      </c>
      <c r="F65" s="8">
        <v>645981000</v>
      </c>
      <c r="G65" s="8">
        <v>347436000</v>
      </c>
      <c r="H65" s="8">
        <v>429687000</v>
      </c>
      <c r="I65" s="8" t="s">
        <v>46</v>
      </c>
      <c r="J65" s="8">
        <v>636582000</v>
      </c>
      <c r="K65" s="10" t="s">
        <v>46</v>
      </c>
      <c r="L65" s="8" t="s">
        <v>46</v>
      </c>
      <c r="M65" s="8" t="s">
        <v>46</v>
      </c>
      <c r="N65" s="8">
        <v>432616000</v>
      </c>
      <c r="O65" s="10" t="s">
        <v>46</v>
      </c>
      <c r="P65" s="10" t="s">
        <v>46</v>
      </c>
      <c r="Q65" s="8" t="s">
        <v>46</v>
      </c>
      <c r="R65" s="10">
        <v>175865000</v>
      </c>
      <c r="S65" s="8">
        <v>-83448000</v>
      </c>
      <c r="T65" s="8">
        <v>24376000</v>
      </c>
      <c r="U65" s="8" t="s">
        <v>46</v>
      </c>
      <c r="V65" s="10" t="s">
        <v>46</v>
      </c>
      <c r="W65" s="10" t="s">
        <v>46</v>
      </c>
      <c r="X65" s="10">
        <v>321771000</v>
      </c>
      <c r="Y65" s="8">
        <v>497636000</v>
      </c>
      <c r="Z65" s="8">
        <v>-114852000</v>
      </c>
      <c r="AA65" s="10"/>
      <c r="AB65" s="10"/>
      <c r="AC65" s="8"/>
      <c r="AD65" s="8"/>
      <c r="AE65" s="8"/>
      <c r="AF65" s="8"/>
      <c r="AG65" s="8"/>
      <c r="AH65" s="8"/>
      <c r="AI65" s="8"/>
      <c r="AJ65" s="8"/>
      <c r="AK65" s="8"/>
      <c r="AL65" s="8"/>
      <c r="AM65" s="8"/>
      <c r="AN65" s="8"/>
      <c r="AO65" s="8"/>
      <c r="AP65" s="8"/>
    </row>
    <row r="66" spans="1:42" ht="17">
      <c r="A66" s="8" t="s">
        <v>125</v>
      </c>
      <c r="B66" s="8" t="s">
        <v>45</v>
      </c>
      <c r="C66" s="8">
        <v>986932000</v>
      </c>
      <c r="D66" s="8">
        <v>1630154000</v>
      </c>
      <c r="E66" s="10">
        <v>643222000</v>
      </c>
      <c r="F66" s="8">
        <v>643222000</v>
      </c>
      <c r="G66" s="8">
        <v>303567000</v>
      </c>
      <c r="H66" s="8">
        <v>420577000</v>
      </c>
      <c r="I66" s="8" t="s">
        <v>46</v>
      </c>
      <c r="J66" s="8">
        <v>678463000</v>
      </c>
      <c r="K66" s="10" t="s">
        <v>46</v>
      </c>
      <c r="L66" s="8" t="s">
        <v>46</v>
      </c>
      <c r="M66" s="8" t="s">
        <v>46</v>
      </c>
      <c r="N66" s="8">
        <v>440605000</v>
      </c>
      <c r="O66" s="10" t="s">
        <v>46</v>
      </c>
      <c r="P66" s="10" t="s">
        <v>46</v>
      </c>
      <c r="Q66" s="8" t="s">
        <v>46</v>
      </c>
      <c r="R66" s="10">
        <v>174062000</v>
      </c>
      <c r="S66" s="8">
        <v>-172400000</v>
      </c>
      <c r="T66" s="8">
        <v>-621000</v>
      </c>
      <c r="U66" s="8" t="s">
        <v>46</v>
      </c>
      <c r="V66" s="10" t="s">
        <v>46</v>
      </c>
      <c r="W66" s="10" t="s">
        <v>46</v>
      </c>
      <c r="X66" s="10">
        <v>330597000</v>
      </c>
      <c r="Y66" s="8">
        <v>504659000</v>
      </c>
      <c r="Z66" s="8">
        <v>-186631000</v>
      </c>
      <c r="AA66" s="10"/>
      <c r="AB66" s="10"/>
      <c r="AC66" s="8"/>
      <c r="AD66" s="8"/>
      <c r="AE66" s="8"/>
      <c r="AF66" s="8"/>
      <c r="AG66" s="8"/>
      <c r="AH66" s="8"/>
      <c r="AI66" s="8"/>
      <c r="AJ66" s="8"/>
      <c r="AK66" s="8"/>
      <c r="AL66" s="8"/>
      <c r="AM66" s="8"/>
      <c r="AN66" s="8"/>
      <c r="AO66" s="8"/>
      <c r="AP66" s="8"/>
    </row>
    <row r="67" spans="1:42" ht="17">
      <c r="A67" s="8" t="s">
        <v>126</v>
      </c>
      <c r="B67" s="8" t="s">
        <v>45</v>
      </c>
      <c r="C67" s="8">
        <v>746052000</v>
      </c>
      <c r="D67" s="8">
        <v>1342548000</v>
      </c>
      <c r="E67" s="10">
        <v>596496000</v>
      </c>
      <c r="F67" s="8">
        <v>596496000</v>
      </c>
      <c r="G67" s="8">
        <v>82813000</v>
      </c>
      <c r="H67" s="8">
        <v>415828000</v>
      </c>
      <c r="I67" s="8" t="s">
        <v>46</v>
      </c>
      <c r="J67" s="8">
        <v>663239000</v>
      </c>
      <c r="K67" s="10" t="s">
        <v>46</v>
      </c>
      <c r="L67" s="8" t="s">
        <v>46</v>
      </c>
      <c r="M67" s="8" t="s">
        <v>46</v>
      </c>
      <c r="N67" s="8">
        <v>431114000</v>
      </c>
      <c r="O67" s="10" t="s">
        <v>46</v>
      </c>
      <c r="P67" s="10" t="s">
        <v>46</v>
      </c>
      <c r="Q67" s="8" t="s">
        <v>46</v>
      </c>
      <c r="R67" s="10">
        <v>174871000</v>
      </c>
      <c r="S67" s="8">
        <v>-364002000</v>
      </c>
      <c r="T67" s="8">
        <v>68388000</v>
      </c>
      <c r="U67" s="8" t="s">
        <v>46</v>
      </c>
      <c r="V67" s="10" t="s">
        <v>46</v>
      </c>
      <c r="W67" s="10" t="s">
        <v>46</v>
      </c>
      <c r="X67" s="10">
        <v>93648000</v>
      </c>
      <c r="Y67" s="8">
        <v>268519000</v>
      </c>
      <c r="Z67" s="8">
        <v>-424190000</v>
      </c>
      <c r="AA67" s="10"/>
      <c r="AB67" s="10"/>
      <c r="AC67" s="8"/>
      <c r="AD67" s="8"/>
      <c r="AE67" s="8"/>
      <c r="AF67" s="8"/>
      <c r="AG67" s="8"/>
      <c r="AH67" s="8"/>
      <c r="AI67" s="8"/>
      <c r="AJ67" s="8"/>
      <c r="AK67" s="8"/>
      <c r="AL67" s="8"/>
      <c r="AM67" s="8"/>
      <c r="AN67" s="8"/>
      <c r="AO67" s="8"/>
      <c r="AP67" s="8"/>
    </row>
    <row r="68" spans="1:42" ht="17">
      <c r="A68" s="8" t="s">
        <v>61</v>
      </c>
      <c r="B68" s="8" t="s">
        <v>45</v>
      </c>
      <c r="C68" s="8">
        <v>991069000</v>
      </c>
      <c r="D68" s="8">
        <v>1694367000</v>
      </c>
      <c r="E68" s="10">
        <v>703298000</v>
      </c>
      <c r="F68" s="8">
        <v>703298000</v>
      </c>
      <c r="G68" s="8">
        <v>332526000</v>
      </c>
      <c r="H68" s="8">
        <v>392637000</v>
      </c>
      <c r="I68" s="8" t="s">
        <v>46</v>
      </c>
      <c r="J68" s="8">
        <v>641573000</v>
      </c>
      <c r="K68" s="10" t="s">
        <v>46</v>
      </c>
      <c r="L68" s="8" t="s">
        <v>46</v>
      </c>
      <c r="M68" s="8" t="s">
        <v>46</v>
      </c>
      <c r="N68" s="8">
        <v>418014000</v>
      </c>
      <c r="O68" s="10" t="s">
        <v>46</v>
      </c>
      <c r="P68" s="10" t="s">
        <v>46</v>
      </c>
      <c r="Q68" s="8" t="s">
        <v>46</v>
      </c>
      <c r="R68" s="10">
        <v>191582000</v>
      </c>
      <c r="S68" s="8">
        <v>-265400000</v>
      </c>
      <c r="T68" s="8">
        <v>36833000</v>
      </c>
      <c r="U68" s="8" t="s">
        <v>46</v>
      </c>
      <c r="V68" s="10" t="s">
        <v>46</v>
      </c>
      <c r="W68" s="10" t="s">
        <v>46</v>
      </c>
      <c r="X68" s="10">
        <v>353692000</v>
      </c>
      <c r="Y68" s="8">
        <v>545274000</v>
      </c>
      <c r="Z68" s="8">
        <v>-309227000</v>
      </c>
      <c r="AA68" s="10"/>
      <c r="AB68" s="10"/>
      <c r="AC68" s="8"/>
      <c r="AD68" s="8"/>
      <c r="AE68" s="8"/>
      <c r="AF68" s="8"/>
      <c r="AG68" s="8"/>
      <c r="AH68" s="8"/>
      <c r="AI68" s="8"/>
      <c r="AJ68" s="8"/>
      <c r="AK68" s="8"/>
      <c r="AL68" s="8"/>
      <c r="AM68" s="8"/>
      <c r="AN68" s="8"/>
      <c r="AO68" s="8"/>
      <c r="AP68" s="8"/>
    </row>
    <row r="69" spans="1:42" ht="17">
      <c r="A69" s="8" t="s">
        <v>127</v>
      </c>
      <c r="B69" s="8" t="s">
        <v>45</v>
      </c>
      <c r="C69" s="8">
        <v>963650000</v>
      </c>
      <c r="D69" s="8">
        <v>1587522000</v>
      </c>
      <c r="E69" s="10">
        <v>623872000</v>
      </c>
      <c r="F69" s="8">
        <v>623872000</v>
      </c>
      <c r="G69" s="8">
        <v>266707000</v>
      </c>
      <c r="H69" s="8">
        <v>433595000</v>
      </c>
      <c r="I69" s="8" t="s">
        <v>46</v>
      </c>
      <c r="J69" s="8">
        <v>696943000</v>
      </c>
      <c r="K69" s="10" t="s">
        <v>46</v>
      </c>
      <c r="L69" s="8" t="s">
        <v>46</v>
      </c>
      <c r="M69" s="8" t="s">
        <v>46</v>
      </c>
      <c r="N69" s="8">
        <v>438404000</v>
      </c>
      <c r="O69" s="10" t="s">
        <v>46</v>
      </c>
      <c r="P69" s="10" t="s">
        <v>46</v>
      </c>
      <c r="Q69" s="8" t="s">
        <v>46</v>
      </c>
      <c r="R69" s="10">
        <v>177330000</v>
      </c>
      <c r="S69" s="8">
        <v>-165974000</v>
      </c>
      <c r="T69" s="8">
        <v>-73802000</v>
      </c>
      <c r="U69" s="8" t="s">
        <v>46</v>
      </c>
      <c r="V69" s="10" t="s">
        <v>46</v>
      </c>
      <c r="W69" s="10" t="s">
        <v>46</v>
      </c>
      <c r="X69" s="10">
        <v>292007000</v>
      </c>
      <c r="Y69" s="8">
        <v>469337000</v>
      </c>
      <c r="Z69" s="8">
        <v>-101855000</v>
      </c>
      <c r="AA69" s="10"/>
      <c r="AB69" s="10"/>
      <c r="AC69" s="8"/>
      <c r="AD69" s="8"/>
      <c r="AE69" s="8"/>
      <c r="AF69" s="8"/>
      <c r="AG69" s="8"/>
      <c r="AH69" s="8"/>
      <c r="AI69" s="8"/>
      <c r="AJ69" s="8"/>
      <c r="AK69" s="8"/>
      <c r="AL69" s="8"/>
      <c r="AM69" s="8"/>
      <c r="AN69" s="8"/>
      <c r="AO69" s="8"/>
      <c r="AP69" s="8"/>
    </row>
    <row r="70" spans="1:42" ht="17">
      <c r="A70" s="8" t="s">
        <v>128</v>
      </c>
      <c r="B70" s="8" t="s">
        <v>45</v>
      </c>
      <c r="C70" s="8">
        <v>994819000</v>
      </c>
      <c r="D70" s="8">
        <v>1618097000</v>
      </c>
      <c r="E70" s="10">
        <v>623278000</v>
      </c>
      <c r="F70" s="8">
        <v>623278000</v>
      </c>
      <c r="G70" s="8">
        <v>320221000</v>
      </c>
      <c r="H70" s="8">
        <v>418420000</v>
      </c>
      <c r="I70" s="8" t="s">
        <v>46</v>
      </c>
      <c r="J70" s="8">
        <v>674598000</v>
      </c>
      <c r="K70" s="10" t="s">
        <v>46</v>
      </c>
      <c r="L70" s="8" t="s">
        <v>46</v>
      </c>
      <c r="M70" s="8" t="s">
        <v>46</v>
      </c>
      <c r="N70" s="8">
        <v>407508000</v>
      </c>
      <c r="O70" s="10" t="s">
        <v>46</v>
      </c>
      <c r="P70" s="10" t="s">
        <v>46</v>
      </c>
      <c r="Q70" s="8" t="s">
        <v>46</v>
      </c>
      <c r="R70" s="10">
        <v>179734000</v>
      </c>
      <c r="S70" s="8">
        <v>31484000</v>
      </c>
      <c r="T70" s="8">
        <v>11477000</v>
      </c>
      <c r="U70" s="8" t="s">
        <v>46</v>
      </c>
      <c r="V70" s="10" t="s">
        <v>46</v>
      </c>
      <c r="W70" s="10" t="s">
        <v>46</v>
      </c>
      <c r="X70" s="10">
        <v>438992000</v>
      </c>
      <c r="Y70" s="8">
        <v>618726000</v>
      </c>
      <c r="Z70" s="8">
        <v>7202000</v>
      </c>
      <c r="AA70" s="10"/>
      <c r="AB70" s="10"/>
      <c r="AC70" s="8"/>
      <c r="AD70" s="8"/>
      <c r="AE70" s="8"/>
      <c r="AF70" s="8"/>
      <c r="AG70" s="8"/>
      <c r="AH70" s="8"/>
      <c r="AI70" s="8"/>
      <c r="AJ70" s="8"/>
      <c r="AK70" s="8"/>
      <c r="AL70" s="8"/>
      <c r="AM70" s="8"/>
      <c r="AN70" s="8"/>
      <c r="AO70" s="8"/>
      <c r="AP70" s="8"/>
    </row>
    <row r="71" spans="1:42" ht="17">
      <c r="A71" s="8" t="s">
        <v>129</v>
      </c>
      <c r="B71" s="8" t="s">
        <v>45</v>
      </c>
      <c r="C71" s="8">
        <v>748192000</v>
      </c>
      <c r="D71" s="8">
        <v>1343058000</v>
      </c>
      <c r="E71" s="10">
        <v>594866000</v>
      </c>
      <c r="F71" s="8">
        <v>594866000</v>
      </c>
      <c r="G71" s="8">
        <v>81328000</v>
      </c>
      <c r="H71" s="8">
        <v>406435000</v>
      </c>
      <c r="I71" s="8" t="s">
        <v>46</v>
      </c>
      <c r="J71" s="8">
        <v>666864000</v>
      </c>
      <c r="K71" s="10" t="s">
        <v>46</v>
      </c>
      <c r="L71" s="8" t="s">
        <v>46</v>
      </c>
      <c r="M71" s="8" t="s">
        <v>46</v>
      </c>
      <c r="N71" s="8">
        <v>385525000</v>
      </c>
      <c r="O71" s="10" t="s">
        <v>46</v>
      </c>
      <c r="P71" s="10" t="s">
        <v>46</v>
      </c>
      <c r="Q71" s="8" t="s">
        <v>46</v>
      </c>
      <c r="R71" s="10">
        <v>182182000</v>
      </c>
      <c r="S71" s="8">
        <v>-305444000</v>
      </c>
      <c r="T71" s="8">
        <v>-96325000</v>
      </c>
      <c r="U71" s="8" t="s">
        <v>46</v>
      </c>
      <c r="V71" s="10" t="s">
        <v>46</v>
      </c>
      <c r="W71" s="10" t="s">
        <v>46</v>
      </c>
      <c r="X71" s="10">
        <v>80081000</v>
      </c>
      <c r="Y71" s="8">
        <v>262263000</v>
      </c>
      <c r="Z71" s="8">
        <v>-203003000</v>
      </c>
      <c r="AA71" s="10"/>
      <c r="AB71" s="10"/>
      <c r="AC71" s="8"/>
      <c r="AD71" s="8"/>
      <c r="AE71" s="8"/>
      <c r="AF71" s="8"/>
      <c r="AG71" s="8"/>
      <c r="AH71" s="8"/>
      <c r="AI71" s="8"/>
      <c r="AJ71" s="8"/>
      <c r="AK71" s="8"/>
      <c r="AL71" s="8"/>
      <c r="AM71" s="8"/>
      <c r="AN71" s="8"/>
      <c r="AO71" s="8"/>
      <c r="AP71" s="8"/>
    </row>
    <row r="72" spans="1:42" ht="17">
      <c r="A72" s="8" t="s">
        <v>62</v>
      </c>
      <c r="B72" s="8" t="s">
        <v>45</v>
      </c>
      <c r="C72" s="8">
        <v>1045841000</v>
      </c>
      <c r="D72" s="8">
        <v>1696336000</v>
      </c>
      <c r="E72" s="10">
        <v>650495000</v>
      </c>
      <c r="F72" s="8">
        <v>650495000</v>
      </c>
      <c r="G72" s="8">
        <v>310726000</v>
      </c>
      <c r="H72" s="8">
        <v>220674000</v>
      </c>
      <c r="I72" s="8" t="s">
        <v>46</v>
      </c>
      <c r="J72" s="8">
        <v>697464000</v>
      </c>
      <c r="K72" s="10" t="s">
        <v>46</v>
      </c>
      <c r="L72" s="8" t="s">
        <v>46</v>
      </c>
      <c r="M72" s="8" t="s">
        <v>46</v>
      </c>
      <c r="N72" s="8">
        <v>400930000</v>
      </c>
      <c r="O72" s="10" t="s">
        <v>46</v>
      </c>
      <c r="P72" s="10" t="s">
        <v>46</v>
      </c>
      <c r="Q72" s="8" t="s">
        <v>46</v>
      </c>
      <c r="R72" s="10">
        <v>189730000</v>
      </c>
      <c r="S72" s="8">
        <v>-325768000</v>
      </c>
      <c r="T72" s="8">
        <v>-128986000</v>
      </c>
      <c r="U72" s="8" t="s">
        <v>46</v>
      </c>
      <c r="V72" s="10" t="s">
        <v>46</v>
      </c>
      <c r="W72" s="10" t="s">
        <v>46</v>
      </c>
      <c r="X72" s="10">
        <v>358288000</v>
      </c>
      <c r="Y72" s="8">
        <v>548018000</v>
      </c>
      <c r="Z72" s="8">
        <v>-191264000</v>
      </c>
      <c r="AA72" s="10"/>
      <c r="AB72" s="10"/>
      <c r="AC72" s="8"/>
      <c r="AD72" s="8"/>
      <c r="AE72" s="8"/>
      <c r="AF72" s="8"/>
      <c r="AG72" s="8"/>
      <c r="AH72" s="8"/>
      <c r="AI72" s="8"/>
      <c r="AJ72" s="8"/>
      <c r="AK72" s="8"/>
      <c r="AL72" s="8"/>
      <c r="AM72" s="8"/>
      <c r="AN72" s="8"/>
      <c r="AO72" s="8"/>
      <c r="AP72" s="8"/>
    </row>
    <row r="73" spans="1:42" ht="17">
      <c r="A73" s="8" t="s">
        <v>130</v>
      </c>
      <c r="B73" s="8" t="s">
        <v>45</v>
      </c>
      <c r="C73" s="8">
        <v>962805000</v>
      </c>
      <c r="D73" s="8">
        <v>1587331000</v>
      </c>
      <c r="E73" s="10">
        <v>624526000</v>
      </c>
      <c r="F73" s="8">
        <v>624526000</v>
      </c>
      <c r="G73" s="8">
        <v>331907000</v>
      </c>
      <c r="H73" s="8">
        <v>490666000</v>
      </c>
      <c r="I73" s="8" t="s">
        <v>46</v>
      </c>
      <c r="J73" s="8">
        <v>630898000</v>
      </c>
      <c r="K73" s="10" t="s">
        <v>46</v>
      </c>
      <c r="L73" s="8" t="s">
        <v>46</v>
      </c>
      <c r="M73" s="8" t="s">
        <v>46</v>
      </c>
      <c r="N73" s="8">
        <v>388210000</v>
      </c>
      <c r="O73" s="10" t="s">
        <v>46</v>
      </c>
      <c r="P73" s="10" t="s">
        <v>46</v>
      </c>
      <c r="Q73" s="8" t="s">
        <v>46</v>
      </c>
      <c r="R73" s="10">
        <v>182350000</v>
      </c>
      <c r="S73" s="8">
        <v>-51816000</v>
      </c>
      <c r="T73" s="8">
        <v>-13232000</v>
      </c>
      <c r="U73" s="8" t="s">
        <v>46</v>
      </c>
      <c r="V73" s="10" t="s">
        <v>46</v>
      </c>
      <c r="W73" s="10" t="s">
        <v>46</v>
      </c>
      <c r="X73" s="10">
        <v>336394000</v>
      </c>
      <c r="Y73" s="8">
        <v>518744000</v>
      </c>
      <c r="Z73" s="8">
        <v>-50561000</v>
      </c>
      <c r="AA73" s="10"/>
      <c r="AB73" s="10"/>
      <c r="AC73" s="8"/>
      <c r="AD73" s="8"/>
      <c r="AE73" s="8"/>
      <c r="AF73" s="8"/>
      <c r="AG73" s="8"/>
      <c r="AH73" s="8"/>
      <c r="AI73" s="8"/>
      <c r="AJ73" s="8"/>
      <c r="AK73" s="8"/>
      <c r="AL73" s="8"/>
      <c r="AM73" s="8"/>
      <c r="AN73" s="8"/>
      <c r="AO73" s="8"/>
      <c r="AP73" s="8"/>
    </row>
    <row r="74" spans="1:42" ht="17">
      <c r="A74" s="8" t="s">
        <v>131</v>
      </c>
      <c r="B74" s="8" t="s">
        <v>45</v>
      </c>
      <c r="C74" s="8">
        <v>995399000</v>
      </c>
      <c r="D74" s="8">
        <v>1602494000</v>
      </c>
      <c r="E74" s="10">
        <v>607095000</v>
      </c>
      <c r="F74" s="8">
        <v>607095000</v>
      </c>
      <c r="G74" s="8">
        <v>346196000</v>
      </c>
      <c r="H74" s="8">
        <v>469281000</v>
      </c>
      <c r="I74" s="8" t="s">
        <v>46</v>
      </c>
      <c r="J74" s="8">
        <v>649203000</v>
      </c>
      <c r="K74" s="10" t="s">
        <v>46</v>
      </c>
      <c r="L74" s="8" t="s">
        <v>46</v>
      </c>
      <c r="M74" s="8" t="s">
        <v>46</v>
      </c>
      <c r="N74" s="8">
        <v>385867000</v>
      </c>
      <c r="O74" s="10" t="s">
        <v>46</v>
      </c>
      <c r="P74" s="10" t="s">
        <v>46</v>
      </c>
      <c r="Q74" s="8" t="s">
        <v>46</v>
      </c>
      <c r="R74" s="10">
        <v>181839000</v>
      </c>
      <c r="S74" s="8">
        <v>-36372000</v>
      </c>
      <c r="T74" s="8">
        <v>-8663000</v>
      </c>
      <c r="U74" s="8" t="s">
        <v>46</v>
      </c>
      <c r="V74" s="10" t="s">
        <v>46</v>
      </c>
      <c r="W74" s="10" t="s">
        <v>46</v>
      </c>
      <c r="X74" s="10">
        <v>238814000</v>
      </c>
      <c r="Y74" s="8">
        <v>420653000</v>
      </c>
      <c r="Z74" s="8">
        <v>-39025000</v>
      </c>
      <c r="AA74" s="10"/>
      <c r="AB74" s="10"/>
      <c r="AC74" s="8"/>
      <c r="AD74" s="8"/>
      <c r="AE74" s="8"/>
      <c r="AF74" s="8"/>
      <c r="AG74" s="8"/>
      <c r="AH74" s="8"/>
      <c r="AI74" s="8"/>
      <c r="AJ74" s="8"/>
      <c r="AK74" s="8"/>
      <c r="AL74" s="8"/>
      <c r="AM74" s="8"/>
      <c r="AN74" s="8"/>
      <c r="AO74" s="8"/>
      <c r="AP74" s="8"/>
    </row>
    <row r="75" spans="1:42" ht="17">
      <c r="A75" s="8" t="s">
        <v>132</v>
      </c>
      <c r="B75" s="8" t="s">
        <v>45</v>
      </c>
      <c r="C75" s="8">
        <v>746289000</v>
      </c>
      <c r="D75" s="8">
        <v>1360723000</v>
      </c>
      <c r="E75" s="10">
        <v>614434000</v>
      </c>
      <c r="F75" s="8">
        <v>614434000</v>
      </c>
      <c r="G75" s="8">
        <v>81221000</v>
      </c>
      <c r="H75" s="8">
        <v>492826000</v>
      </c>
      <c r="I75" s="8" t="s">
        <v>46</v>
      </c>
      <c r="J75" s="8">
        <v>665068000</v>
      </c>
      <c r="K75" s="10" t="s">
        <v>46</v>
      </c>
      <c r="L75" s="8" t="s">
        <v>46</v>
      </c>
      <c r="M75" s="8" t="s">
        <v>46</v>
      </c>
      <c r="N75" s="8">
        <v>374016000</v>
      </c>
      <c r="O75" s="10" t="s">
        <v>46</v>
      </c>
      <c r="P75" s="10" t="s">
        <v>46</v>
      </c>
      <c r="Q75" s="8" t="s">
        <v>46</v>
      </c>
      <c r="R75" s="10">
        <v>175366000</v>
      </c>
      <c r="S75" s="8">
        <v>-305513000</v>
      </c>
      <c r="T75" s="8">
        <v>-157398000</v>
      </c>
      <c r="U75" s="8" t="s">
        <v>46</v>
      </c>
      <c r="V75" s="10" t="s">
        <v>46</v>
      </c>
      <c r="W75" s="10" t="s">
        <v>46</v>
      </c>
      <c r="X75" s="10">
        <v>-37665000</v>
      </c>
      <c r="Y75" s="8">
        <v>137701000</v>
      </c>
      <c r="Z75" s="8">
        <v>-143629000</v>
      </c>
      <c r="AA75" s="10"/>
      <c r="AB75" s="10"/>
      <c r="AC75" s="8"/>
      <c r="AD75" s="8"/>
      <c r="AE75" s="8"/>
      <c r="AF75" s="8"/>
      <c r="AG75" s="8"/>
      <c r="AH75" s="8"/>
      <c r="AI75" s="8"/>
      <c r="AJ75" s="8"/>
      <c r="AK75" s="8"/>
      <c r="AL75" s="8"/>
      <c r="AM75" s="8"/>
      <c r="AN75" s="8"/>
      <c r="AO75" s="8"/>
      <c r="AP75" s="8"/>
    </row>
    <row r="76" spans="1:42" ht="17">
      <c r="A76" s="8" t="s">
        <v>63</v>
      </c>
      <c r="B76" s="8" t="s">
        <v>45</v>
      </c>
      <c r="C76" s="8">
        <v>989337000</v>
      </c>
      <c r="D76" s="8">
        <v>1652788000</v>
      </c>
      <c r="E76" s="10">
        <v>663451000</v>
      </c>
      <c r="F76" s="8">
        <v>663451000</v>
      </c>
      <c r="G76" s="8">
        <v>330224000</v>
      </c>
      <c r="H76" s="8">
        <v>458306000</v>
      </c>
      <c r="I76" s="8" t="s">
        <v>46</v>
      </c>
      <c r="J76" s="8">
        <v>676863000</v>
      </c>
      <c r="K76" s="10" t="s">
        <v>46</v>
      </c>
      <c r="L76" s="8" t="s">
        <v>46</v>
      </c>
      <c r="M76" s="8" t="s">
        <v>46</v>
      </c>
      <c r="N76" s="8">
        <v>368397000</v>
      </c>
      <c r="O76" s="10" t="s">
        <v>46</v>
      </c>
      <c r="P76" s="10" t="s">
        <v>46</v>
      </c>
      <c r="Q76" s="8" t="s">
        <v>46</v>
      </c>
      <c r="R76" s="10">
        <v>192422000</v>
      </c>
      <c r="S76" s="8">
        <v>-34868000</v>
      </c>
      <c r="T76" s="8">
        <v>-3468000</v>
      </c>
      <c r="U76" s="8" t="s">
        <v>46</v>
      </c>
      <c r="V76" s="10" t="s">
        <v>46</v>
      </c>
      <c r="W76" s="10" t="s">
        <v>46</v>
      </c>
      <c r="X76" s="10">
        <v>-216137000</v>
      </c>
      <c r="Y76" s="8">
        <v>-23715000</v>
      </c>
      <c r="Z76" s="8">
        <v>-43027000</v>
      </c>
      <c r="AA76" s="10"/>
      <c r="AB76" s="10"/>
      <c r="AC76" s="8"/>
      <c r="AD76" s="8"/>
      <c r="AE76" s="8"/>
      <c r="AF76" s="8"/>
      <c r="AG76" s="8"/>
      <c r="AH76" s="8"/>
      <c r="AI76" s="8"/>
      <c r="AJ76" s="8"/>
      <c r="AK76" s="8"/>
      <c r="AL76" s="8"/>
      <c r="AM76" s="8"/>
      <c r="AN76" s="8"/>
      <c r="AO76" s="8"/>
      <c r="AP76" s="8"/>
    </row>
    <row r="77" spans="1:42" ht="17">
      <c r="A77" s="8" t="s">
        <v>133</v>
      </c>
      <c r="B77" s="8" t="s">
        <v>45</v>
      </c>
      <c r="C77" s="8">
        <v>947289000</v>
      </c>
      <c r="D77" s="8">
        <v>1583352000</v>
      </c>
      <c r="E77" s="10">
        <v>636063000</v>
      </c>
      <c r="F77" s="8">
        <v>636063000</v>
      </c>
      <c r="G77" s="8">
        <v>268760000</v>
      </c>
      <c r="H77" s="8">
        <v>474507000</v>
      </c>
      <c r="I77" s="8" t="s">
        <v>46</v>
      </c>
      <c r="J77" s="8">
        <v>678529000</v>
      </c>
      <c r="K77" s="10" t="s">
        <v>46</v>
      </c>
      <c r="L77" s="8" t="s">
        <v>46</v>
      </c>
      <c r="M77" s="8" t="s">
        <v>46</v>
      </c>
      <c r="N77" s="8">
        <v>369233000</v>
      </c>
      <c r="O77" s="10" t="s">
        <v>46</v>
      </c>
      <c r="P77" s="10" t="s">
        <v>46</v>
      </c>
      <c r="Q77" s="8" t="s">
        <v>46</v>
      </c>
      <c r="R77" s="10">
        <v>197532000</v>
      </c>
      <c r="S77" s="8">
        <v>-87956000</v>
      </c>
      <c r="T77" s="8">
        <v>-20665000</v>
      </c>
      <c r="U77" s="8" t="s">
        <v>46</v>
      </c>
      <c r="V77" s="10" t="s">
        <v>46</v>
      </c>
      <c r="W77" s="10" t="s">
        <v>46</v>
      </c>
      <c r="X77" s="10">
        <v>137992000</v>
      </c>
      <c r="Y77" s="8">
        <v>335524000</v>
      </c>
      <c r="Z77" s="8">
        <v>-74056000</v>
      </c>
      <c r="AA77" s="10"/>
      <c r="AB77" s="10"/>
      <c r="AC77" s="8"/>
      <c r="AD77" s="8"/>
      <c r="AE77" s="8"/>
      <c r="AF77" s="8"/>
      <c r="AG77" s="8"/>
      <c r="AH77" s="8"/>
      <c r="AI77" s="8"/>
      <c r="AJ77" s="8"/>
      <c r="AK77" s="8"/>
      <c r="AL77" s="8"/>
      <c r="AM77" s="8"/>
      <c r="AN77" s="8"/>
      <c r="AO77" s="8"/>
      <c r="AP77" s="8"/>
    </row>
    <row r="78" spans="1:42" ht="17">
      <c r="A78" s="8" t="s">
        <v>134</v>
      </c>
      <c r="B78" s="8" t="s">
        <v>45</v>
      </c>
      <c r="C78" s="8">
        <v>962046000</v>
      </c>
      <c r="D78" s="8">
        <v>1604386000</v>
      </c>
      <c r="E78" s="10">
        <v>642340000</v>
      </c>
      <c r="F78" s="8">
        <v>642340000</v>
      </c>
      <c r="G78" s="8">
        <v>311037000</v>
      </c>
      <c r="H78" s="8">
        <v>464597000</v>
      </c>
      <c r="I78" s="8" t="s">
        <v>46</v>
      </c>
      <c r="J78" s="8">
        <v>651009000</v>
      </c>
      <c r="K78" s="10" t="s">
        <v>46</v>
      </c>
      <c r="L78" s="8" t="s">
        <v>46</v>
      </c>
      <c r="M78" s="8" t="s">
        <v>46</v>
      </c>
      <c r="N78" s="8">
        <v>358950000</v>
      </c>
      <c r="O78" s="10" t="s">
        <v>46</v>
      </c>
      <c r="P78" s="10" t="s">
        <v>46</v>
      </c>
      <c r="Q78" s="8" t="s">
        <v>46</v>
      </c>
      <c r="R78" s="10">
        <v>189641000</v>
      </c>
      <c r="S78" s="8">
        <v>-47159000</v>
      </c>
      <c r="T78" s="8">
        <v>-9184000</v>
      </c>
      <c r="U78" s="8" t="s">
        <v>46</v>
      </c>
      <c r="V78" s="10" t="s">
        <v>46</v>
      </c>
      <c r="W78" s="10" t="s">
        <v>46</v>
      </c>
      <c r="X78" s="10">
        <v>178636000</v>
      </c>
      <c r="Y78" s="8">
        <v>368277000</v>
      </c>
      <c r="Z78" s="8">
        <v>-53179000</v>
      </c>
      <c r="AA78" s="10"/>
      <c r="AB78" s="10"/>
      <c r="AC78" s="8"/>
      <c r="AD78" s="8"/>
      <c r="AE78" s="8"/>
      <c r="AF78" s="8"/>
      <c r="AG78" s="8"/>
      <c r="AH78" s="8"/>
      <c r="AI78" s="8"/>
      <c r="AJ78" s="8"/>
      <c r="AK78" s="8"/>
      <c r="AL78" s="8"/>
      <c r="AM78" s="8"/>
      <c r="AN78" s="8"/>
      <c r="AO78" s="8"/>
      <c r="AP78" s="8"/>
    </row>
    <row r="79" spans="1:42" ht="17">
      <c r="A79" s="8" t="s">
        <v>135</v>
      </c>
      <c r="B79" s="8" t="s">
        <v>45</v>
      </c>
      <c r="C79" s="8">
        <v>672224000</v>
      </c>
      <c r="D79" s="8">
        <v>1320826000</v>
      </c>
      <c r="E79" s="10">
        <v>648602000</v>
      </c>
      <c r="F79" s="8">
        <v>648602000</v>
      </c>
      <c r="G79" s="8">
        <v>144703000</v>
      </c>
      <c r="H79" s="8">
        <v>360524000</v>
      </c>
      <c r="I79" s="8" t="s">
        <v>46</v>
      </c>
      <c r="J79" s="8">
        <v>527521000</v>
      </c>
      <c r="K79" s="10" t="s">
        <v>46</v>
      </c>
      <c r="L79" s="8" t="s">
        <v>46</v>
      </c>
      <c r="M79" s="8" t="s">
        <v>46</v>
      </c>
      <c r="N79" s="8">
        <v>369666000</v>
      </c>
      <c r="O79" s="10" t="s">
        <v>46</v>
      </c>
      <c r="P79" s="10" t="s">
        <v>46</v>
      </c>
      <c r="Q79" s="8" t="s">
        <v>46</v>
      </c>
      <c r="R79" s="10">
        <v>183711000</v>
      </c>
      <c r="S79" s="8">
        <v>-224024000</v>
      </c>
      <c r="T79" s="8">
        <v>-92661000</v>
      </c>
      <c r="U79" s="8" t="s">
        <v>46</v>
      </c>
      <c r="V79" s="10" t="s">
        <v>46</v>
      </c>
      <c r="W79" s="10" t="s">
        <v>46</v>
      </c>
      <c r="X79" s="10">
        <v>14278000</v>
      </c>
      <c r="Y79" s="8">
        <v>197989000</v>
      </c>
      <c r="Z79" s="8">
        <v>-131832000</v>
      </c>
      <c r="AA79" s="10"/>
      <c r="AB79" s="10"/>
      <c r="AC79" s="8"/>
      <c r="AD79" s="8"/>
      <c r="AE79" s="8"/>
      <c r="AF79" s="8"/>
      <c r="AG79" s="8"/>
      <c r="AH79" s="8"/>
      <c r="AI79" s="8"/>
      <c r="AJ79" s="8"/>
      <c r="AK79" s="8"/>
      <c r="AL79" s="8"/>
      <c r="AM79" s="8"/>
      <c r="AN79" s="8"/>
      <c r="AO79" s="8"/>
      <c r="AP79" s="8"/>
    </row>
    <row r="80" spans="1:42" ht="17">
      <c r="A80" s="8" t="s">
        <v>65</v>
      </c>
      <c r="B80" s="8" t="s">
        <v>45</v>
      </c>
      <c r="C80" s="8">
        <v>912268000</v>
      </c>
      <c r="D80" s="8">
        <v>1634551000</v>
      </c>
      <c r="E80" s="10">
        <v>722283000</v>
      </c>
      <c r="F80" s="8">
        <v>722283000</v>
      </c>
      <c r="G80" s="8">
        <v>301235000</v>
      </c>
      <c r="H80" s="8">
        <v>418204000</v>
      </c>
      <c r="I80" s="8" t="s">
        <v>46</v>
      </c>
      <c r="J80" s="8">
        <v>640715000</v>
      </c>
      <c r="K80" s="10" t="s">
        <v>46</v>
      </c>
      <c r="L80" s="8" t="s">
        <v>46</v>
      </c>
      <c r="M80" s="8" t="s">
        <v>46</v>
      </c>
      <c r="N80" s="8">
        <v>372770000</v>
      </c>
      <c r="O80" s="10" t="s">
        <v>46</v>
      </c>
      <c r="P80" s="10" t="s">
        <v>46</v>
      </c>
      <c r="Q80" s="8" t="s">
        <v>46</v>
      </c>
      <c r="R80" s="10">
        <v>183278000</v>
      </c>
      <c r="S80" s="8">
        <v>-86028000</v>
      </c>
      <c r="T80" s="8">
        <v>-30401000</v>
      </c>
      <c r="U80" s="8" t="s">
        <v>46</v>
      </c>
      <c r="V80" s="10" t="s">
        <v>46</v>
      </c>
      <c r="W80" s="10" t="s">
        <v>46</v>
      </c>
      <c r="X80" s="10">
        <v>-159297000</v>
      </c>
      <c r="Y80" s="8">
        <v>23981000</v>
      </c>
      <c r="Z80" s="8">
        <v>-62666000</v>
      </c>
      <c r="AA80" s="10"/>
      <c r="AB80" s="10"/>
      <c r="AC80" s="8"/>
      <c r="AD80" s="8"/>
      <c r="AE80" s="8"/>
      <c r="AF80" s="8"/>
      <c r="AG80" s="8"/>
      <c r="AH80" s="8"/>
      <c r="AI80" s="8"/>
      <c r="AJ80" s="8"/>
      <c r="AK80" s="8"/>
      <c r="AL80" s="8"/>
      <c r="AM80" s="8"/>
      <c r="AN80" s="8"/>
      <c r="AO80" s="8"/>
      <c r="AP80" s="8"/>
    </row>
    <row r="81" spans="1:42" ht="17">
      <c r="A81" s="8" t="s">
        <v>136</v>
      </c>
      <c r="B81" s="8" t="s">
        <v>45</v>
      </c>
      <c r="C81" s="8">
        <v>800289000</v>
      </c>
      <c r="D81" s="8">
        <v>1477347000</v>
      </c>
      <c r="E81" s="10">
        <v>677058000</v>
      </c>
      <c r="F81" s="8">
        <v>677058000</v>
      </c>
      <c r="G81" s="8">
        <v>221096000</v>
      </c>
      <c r="H81" s="8">
        <v>365555000</v>
      </c>
      <c r="I81" s="8" t="s">
        <v>46</v>
      </c>
      <c r="J81" s="8">
        <v>520075000</v>
      </c>
      <c r="K81" s="10" t="s">
        <v>46</v>
      </c>
      <c r="L81" s="8" t="s">
        <v>46</v>
      </c>
      <c r="M81" s="8" t="s">
        <v>46</v>
      </c>
      <c r="N81" s="8">
        <v>389197000</v>
      </c>
      <c r="O81" s="10" t="s">
        <v>46</v>
      </c>
      <c r="P81" s="10" t="s">
        <v>46</v>
      </c>
      <c r="Q81" s="8" t="s">
        <v>46</v>
      </c>
      <c r="R81" s="10">
        <v>184079000</v>
      </c>
      <c r="S81" s="8">
        <v>-170807000</v>
      </c>
      <c r="T81" s="8">
        <v>-20415000</v>
      </c>
      <c r="U81" s="8" t="s">
        <v>46</v>
      </c>
      <c r="V81" s="10" t="s">
        <v>46</v>
      </c>
      <c r="W81" s="10" t="s">
        <v>46</v>
      </c>
      <c r="X81" s="10">
        <v>218390000</v>
      </c>
      <c r="Y81" s="8">
        <v>402469000</v>
      </c>
      <c r="Z81" s="8">
        <v>-154685000</v>
      </c>
      <c r="AA81" s="10"/>
      <c r="AB81" s="10"/>
      <c r="AC81" s="8"/>
      <c r="AD81" s="8"/>
      <c r="AE81" s="8"/>
      <c r="AF81" s="8"/>
      <c r="AG81" s="8"/>
      <c r="AH81" s="8"/>
      <c r="AI81" s="8"/>
      <c r="AJ81" s="8"/>
      <c r="AK81" s="8"/>
      <c r="AL81" s="8"/>
      <c r="AM81" s="8"/>
      <c r="AN81" s="8"/>
      <c r="AO81" s="8"/>
      <c r="AP81" s="8"/>
    </row>
    <row r="82" spans="1:42" ht="17">
      <c r="A82" s="8" t="s">
        <v>137</v>
      </c>
      <c r="B82" s="8" t="s">
        <v>45</v>
      </c>
      <c r="C82" s="8">
        <v>824984000</v>
      </c>
      <c r="D82" s="8">
        <v>1490009000</v>
      </c>
      <c r="E82" s="10">
        <v>665025000</v>
      </c>
      <c r="F82" s="8">
        <v>665025000</v>
      </c>
      <c r="G82" s="8">
        <v>267433000</v>
      </c>
      <c r="H82" s="8">
        <v>376637000</v>
      </c>
      <c r="I82" s="8" t="s">
        <v>46</v>
      </c>
      <c r="J82" s="8">
        <v>564079000</v>
      </c>
      <c r="K82" s="10" t="s">
        <v>46</v>
      </c>
      <c r="L82" s="8" t="s">
        <v>46</v>
      </c>
      <c r="M82" s="8" t="s">
        <v>46</v>
      </c>
      <c r="N82" s="8">
        <v>385579000</v>
      </c>
      <c r="O82" s="10" t="s">
        <v>46</v>
      </c>
      <c r="P82" s="10" t="s">
        <v>46</v>
      </c>
      <c r="Q82" s="8" t="s">
        <v>46</v>
      </c>
      <c r="R82" s="10">
        <v>184178000</v>
      </c>
      <c r="S82" s="8">
        <v>-115186000</v>
      </c>
      <c r="T82" s="8">
        <v>-37979000</v>
      </c>
      <c r="U82" s="8" t="s">
        <v>46</v>
      </c>
      <c r="V82" s="10" t="s">
        <v>46</v>
      </c>
      <c r="W82" s="10" t="s">
        <v>46</v>
      </c>
      <c r="X82" s="10">
        <v>150324000</v>
      </c>
      <c r="Y82" s="8">
        <v>334502000</v>
      </c>
      <c r="Z82" s="8">
        <v>-86324000</v>
      </c>
      <c r="AA82" s="10"/>
      <c r="AB82" s="10"/>
      <c r="AC82" s="8"/>
      <c r="AD82" s="8"/>
      <c r="AE82" s="8"/>
      <c r="AF82" s="8"/>
      <c r="AG82" s="8"/>
      <c r="AH82" s="8"/>
      <c r="AI82" s="8"/>
      <c r="AJ82" s="8"/>
      <c r="AK82" s="8"/>
      <c r="AL82" s="8"/>
      <c r="AM82" s="8"/>
      <c r="AN82" s="8"/>
      <c r="AO82" s="8"/>
      <c r="AP82" s="8"/>
    </row>
    <row r="83" spans="1:42" ht="17">
      <c r="A83" s="8" t="s">
        <v>138</v>
      </c>
      <c r="B83" s="8" t="s">
        <v>45</v>
      </c>
      <c r="C83" s="8">
        <v>601935000</v>
      </c>
      <c r="D83" s="8">
        <v>1263778000</v>
      </c>
      <c r="E83" s="10">
        <v>661843000</v>
      </c>
      <c r="F83" s="8">
        <v>661843000</v>
      </c>
      <c r="G83" s="8">
        <v>75077000</v>
      </c>
      <c r="H83" s="8">
        <v>349296000</v>
      </c>
      <c r="I83" s="8" t="s">
        <v>46</v>
      </c>
      <c r="J83" s="8">
        <v>534402000</v>
      </c>
      <c r="K83" s="10" t="s">
        <v>46</v>
      </c>
      <c r="L83" s="8" t="s">
        <v>46</v>
      </c>
      <c r="M83" s="8" t="s">
        <v>46</v>
      </c>
      <c r="N83" s="8">
        <v>385795000</v>
      </c>
      <c r="O83" s="10" t="s">
        <v>46</v>
      </c>
      <c r="P83" s="10" t="s">
        <v>46</v>
      </c>
      <c r="Q83" s="8" t="s">
        <v>46</v>
      </c>
      <c r="R83" s="10">
        <v>181334000</v>
      </c>
      <c r="S83" s="8">
        <v>-250812000</v>
      </c>
      <c r="T83" s="8">
        <v>-71185000</v>
      </c>
      <c r="U83" s="8" t="s">
        <v>46</v>
      </c>
      <c r="V83" s="10" t="s">
        <v>46</v>
      </c>
      <c r="W83" s="10" t="s">
        <v>46</v>
      </c>
      <c r="X83" s="10">
        <v>134983000</v>
      </c>
      <c r="Y83" s="8">
        <v>316317000</v>
      </c>
      <c r="Z83" s="8">
        <v>-175414000</v>
      </c>
      <c r="AA83" s="10"/>
      <c r="AB83" s="10"/>
      <c r="AC83" s="8"/>
      <c r="AD83" s="8"/>
      <c r="AE83" s="8"/>
      <c r="AF83" s="8"/>
      <c r="AG83" s="8"/>
      <c r="AH83" s="8"/>
      <c r="AI83" s="8"/>
      <c r="AJ83" s="8"/>
      <c r="AK83" s="8"/>
      <c r="AL83" s="8"/>
      <c r="AM83" s="8"/>
      <c r="AN83" s="8"/>
      <c r="AO83" s="8"/>
      <c r="AP83" s="8"/>
    </row>
    <row r="84" spans="1:42" ht="17">
      <c r="A84" s="8" t="s">
        <v>66</v>
      </c>
      <c r="B84" s="8" t="s">
        <v>45</v>
      </c>
      <c r="C84" s="8">
        <v>563060000</v>
      </c>
      <c r="D84" s="8">
        <v>1512084000</v>
      </c>
      <c r="E84" s="10">
        <v>949024000</v>
      </c>
      <c r="F84" s="8">
        <v>949024000</v>
      </c>
      <c r="G84" s="8">
        <v>62079000</v>
      </c>
      <c r="H84" s="8">
        <v>213999000</v>
      </c>
      <c r="I84" s="8" t="s">
        <v>46</v>
      </c>
      <c r="J84" s="8">
        <v>387649000</v>
      </c>
      <c r="K84" s="10" t="s">
        <v>46</v>
      </c>
      <c r="L84" s="8" t="s">
        <v>46</v>
      </c>
      <c r="M84" s="8" t="s">
        <v>46</v>
      </c>
      <c r="N84" s="8">
        <v>359874000</v>
      </c>
      <c r="O84" s="10" t="s">
        <v>46</v>
      </c>
      <c r="P84" s="10" t="s">
        <v>46</v>
      </c>
      <c r="Q84" s="8" t="s">
        <v>46</v>
      </c>
      <c r="R84" s="10">
        <v>191480000</v>
      </c>
      <c r="S84" s="8">
        <v>-267811000</v>
      </c>
      <c r="T84" s="8">
        <v>-417478000</v>
      </c>
      <c r="U84" s="8" t="s">
        <v>46</v>
      </c>
      <c r="V84" s="10" t="s">
        <v>46</v>
      </c>
      <c r="W84" s="10" t="s">
        <v>46</v>
      </c>
      <c r="X84" s="10">
        <v>90837000</v>
      </c>
      <c r="Y84" s="8">
        <v>282317000</v>
      </c>
      <c r="Z84" s="8">
        <v>147390000</v>
      </c>
      <c r="AA84" s="10"/>
      <c r="AB84" s="10"/>
      <c r="AC84" s="8"/>
      <c r="AD84" s="8"/>
      <c r="AE84" s="8"/>
      <c r="AF84" s="8"/>
      <c r="AG84" s="8"/>
      <c r="AH84" s="8"/>
      <c r="AI84" s="8"/>
      <c r="AJ84" s="8"/>
      <c r="AK84" s="8"/>
      <c r="AL84" s="8"/>
      <c r="AM84" s="8"/>
      <c r="AN84" s="8"/>
      <c r="AO84" s="8"/>
      <c r="AP84" s="8"/>
    </row>
    <row r="85" spans="1:42" ht="17">
      <c r="A85" s="8" t="s">
        <v>139</v>
      </c>
      <c r="B85" s="8" t="s">
        <v>45</v>
      </c>
      <c r="C85" s="8">
        <v>761195000</v>
      </c>
      <c r="D85" s="8">
        <v>1393973000</v>
      </c>
      <c r="E85" s="10">
        <v>632778000</v>
      </c>
      <c r="F85" s="8">
        <v>632778000</v>
      </c>
      <c r="G85" s="8">
        <v>155631000</v>
      </c>
      <c r="H85" s="8">
        <v>79723000</v>
      </c>
      <c r="I85" s="8" t="s">
        <v>46</v>
      </c>
      <c r="J85" s="8">
        <v>608370000</v>
      </c>
      <c r="K85" s="10" t="s">
        <v>46</v>
      </c>
      <c r="L85" s="8" t="s">
        <v>46</v>
      </c>
      <c r="M85" s="8" t="s">
        <v>46</v>
      </c>
      <c r="N85" s="8">
        <v>369314000</v>
      </c>
      <c r="O85" s="10" t="s">
        <v>46</v>
      </c>
      <c r="P85" s="10" t="s">
        <v>46</v>
      </c>
      <c r="Q85" s="8" t="s">
        <v>46</v>
      </c>
      <c r="R85" s="10">
        <v>190189000</v>
      </c>
      <c r="S85" s="8">
        <v>-3553000</v>
      </c>
      <c r="T85" s="8">
        <v>89118000</v>
      </c>
      <c r="U85" s="8" t="s">
        <v>46</v>
      </c>
      <c r="V85" s="10" t="s">
        <v>46</v>
      </c>
      <c r="W85" s="10" t="s">
        <v>46</v>
      </c>
      <c r="X85" s="10">
        <v>365761000</v>
      </c>
      <c r="Y85" s="8">
        <v>555950000</v>
      </c>
      <c r="Z85" s="8">
        <v>-89855000</v>
      </c>
      <c r="AA85" s="10"/>
      <c r="AB85" s="10"/>
      <c r="AC85" s="8"/>
      <c r="AD85" s="8"/>
      <c r="AE85" s="8"/>
      <c r="AF85" s="8"/>
      <c r="AG85" s="8"/>
      <c r="AH85" s="8"/>
      <c r="AI85" s="8"/>
      <c r="AJ85" s="8"/>
      <c r="AK85" s="8"/>
      <c r="AL85" s="8"/>
      <c r="AM85" s="8"/>
      <c r="AN85" s="8"/>
      <c r="AO85" s="8"/>
      <c r="AP85" s="8"/>
    </row>
    <row r="86" spans="1:42" ht="17">
      <c r="A86" s="8" t="s">
        <v>140</v>
      </c>
      <c r="B86" s="8" t="s">
        <v>45</v>
      </c>
      <c r="C86" s="8">
        <v>750702000</v>
      </c>
      <c r="D86" s="8">
        <v>1437865000</v>
      </c>
      <c r="E86" s="10">
        <v>687163000</v>
      </c>
      <c r="F86" s="8">
        <v>687163000</v>
      </c>
      <c r="G86" s="9">
        <v>-3891000000</v>
      </c>
      <c r="H86" s="8">
        <v>360558000</v>
      </c>
      <c r="I86" s="8" t="s">
        <v>46</v>
      </c>
      <c r="J86" s="8">
        <v>600320000</v>
      </c>
      <c r="K86" s="10" t="s">
        <v>46</v>
      </c>
      <c r="L86" s="8" t="s">
        <v>46</v>
      </c>
      <c r="M86" s="8" t="s">
        <v>46</v>
      </c>
      <c r="N86" s="8">
        <v>384625000</v>
      </c>
      <c r="O86" s="10" t="s">
        <v>46</v>
      </c>
      <c r="P86" s="10" t="s">
        <v>46</v>
      </c>
      <c r="Q86" s="8" t="s">
        <v>46</v>
      </c>
      <c r="R86" s="10">
        <v>208246000</v>
      </c>
      <c r="S86" s="9">
        <v>-3863000000</v>
      </c>
      <c r="T86" s="8">
        <v>-184552000</v>
      </c>
      <c r="U86" s="8" t="s">
        <v>46</v>
      </c>
      <c r="V86" s="10" t="s">
        <v>46</v>
      </c>
      <c r="W86" s="10" t="s">
        <v>46</v>
      </c>
      <c r="X86" s="11">
        <v>-3478000000</v>
      </c>
      <c r="Y86" s="9">
        <v>-3270000000</v>
      </c>
      <c r="Z86" s="9">
        <v>-3673000000</v>
      </c>
      <c r="AA86" s="10"/>
      <c r="AB86" s="10"/>
      <c r="AC86" s="8"/>
      <c r="AD86" s="8"/>
      <c r="AE86" s="8"/>
      <c r="AF86" s="8"/>
      <c r="AG86" s="8"/>
      <c r="AH86" s="8"/>
      <c r="AI86" s="8"/>
      <c r="AJ86" s="8"/>
      <c r="AK86" s="8"/>
      <c r="AL86" s="8"/>
      <c r="AM86" s="8"/>
      <c r="AN86" s="8"/>
      <c r="AO86" s="8"/>
      <c r="AP86" s="8"/>
    </row>
    <row r="87" spans="1:42" ht="17">
      <c r="A87" s="8" t="s">
        <v>141</v>
      </c>
      <c r="B87" s="8" t="s">
        <v>45</v>
      </c>
      <c r="C87" s="8">
        <v>542003000</v>
      </c>
      <c r="D87" s="8">
        <v>1207987000</v>
      </c>
      <c r="E87" s="10">
        <v>665984000</v>
      </c>
      <c r="F87" s="8">
        <v>665984000</v>
      </c>
      <c r="G87" s="8">
        <v>-13986000</v>
      </c>
      <c r="H87" s="8">
        <v>377536000</v>
      </c>
      <c r="I87" s="8" t="s">
        <v>46</v>
      </c>
      <c r="J87" s="8">
        <v>555989000</v>
      </c>
      <c r="K87" s="10" t="s">
        <v>46</v>
      </c>
      <c r="L87" s="8" t="s">
        <v>46</v>
      </c>
      <c r="M87" s="8" t="s">
        <v>46</v>
      </c>
      <c r="N87" s="8">
        <v>387053000</v>
      </c>
      <c r="O87" s="10" t="s">
        <v>46</v>
      </c>
      <c r="P87" s="10" t="s">
        <v>46</v>
      </c>
      <c r="Q87" s="8" t="s">
        <v>46</v>
      </c>
      <c r="R87" s="10">
        <v>175559000</v>
      </c>
      <c r="S87" s="8">
        <v>-408407000</v>
      </c>
      <c r="T87" s="8">
        <v>19592000</v>
      </c>
      <c r="U87" s="8" t="s">
        <v>46</v>
      </c>
      <c r="V87" s="10" t="s">
        <v>46</v>
      </c>
      <c r="W87" s="10" t="s">
        <v>46</v>
      </c>
      <c r="X87" s="10">
        <v>-50756000</v>
      </c>
      <c r="Y87" s="8">
        <v>124803000</v>
      </c>
      <c r="Z87" s="8">
        <v>-418217000</v>
      </c>
      <c r="AA87" s="10"/>
      <c r="AB87" s="10"/>
      <c r="AC87" s="8"/>
      <c r="AD87" s="8"/>
      <c r="AE87" s="8"/>
      <c r="AF87" s="8"/>
      <c r="AG87" s="8"/>
      <c r="AH87" s="8"/>
      <c r="AI87" s="8"/>
      <c r="AJ87" s="8"/>
      <c r="AK87" s="8"/>
      <c r="AL87" s="8"/>
      <c r="AM87" s="8"/>
      <c r="AN87" s="8"/>
      <c r="AO87" s="8"/>
      <c r="AP87" s="8"/>
    </row>
    <row r="88" spans="1:42" ht="17">
      <c r="A88" s="8" t="s">
        <v>67</v>
      </c>
      <c r="B88" s="8" t="s">
        <v>45</v>
      </c>
      <c r="C88" s="8">
        <v>656253000</v>
      </c>
      <c r="D88" s="8">
        <v>1608805000</v>
      </c>
      <c r="E88" s="10">
        <v>952552000</v>
      </c>
      <c r="F88" s="8">
        <v>952552000</v>
      </c>
      <c r="G88" s="9">
        <v>-5264000000</v>
      </c>
      <c r="H88" s="8">
        <v>64787000</v>
      </c>
      <c r="I88" s="8" t="s">
        <v>46</v>
      </c>
      <c r="J88" s="8">
        <v>608518000</v>
      </c>
      <c r="K88" s="10" t="s">
        <v>46</v>
      </c>
      <c r="L88" s="8" t="s">
        <v>46</v>
      </c>
      <c r="M88" s="8" t="s">
        <v>46</v>
      </c>
      <c r="N88" s="8">
        <v>434289000</v>
      </c>
      <c r="O88" s="10" t="s">
        <v>46</v>
      </c>
      <c r="P88" s="10" t="s">
        <v>46</v>
      </c>
      <c r="Q88" s="8" t="s">
        <v>46</v>
      </c>
      <c r="R88" s="10">
        <v>239901000</v>
      </c>
      <c r="S88" s="9">
        <v>-5669000000</v>
      </c>
      <c r="T88" s="8">
        <v>-663414000</v>
      </c>
      <c r="U88" s="8" t="s">
        <v>46</v>
      </c>
      <c r="V88" s="10" t="s">
        <v>46</v>
      </c>
      <c r="W88" s="10" t="s">
        <v>46</v>
      </c>
      <c r="X88" s="11">
        <v>-5235000000</v>
      </c>
      <c r="Y88" s="9">
        <v>-4995000000</v>
      </c>
      <c r="Z88" s="9">
        <v>-4997000000</v>
      </c>
      <c r="AA88" s="10"/>
      <c r="AB88" s="10"/>
      <c r="AC88" s="8"/>
      <c r="AD88" s="8"/>
      <c r="AE88" s="8"/>
      <c r="AF88" s="8"/>
      <c r="AG88" s="8"/>
      <c r="AH88" s="8"/>
      <c r="AI88" s="8"/>
      <c r="AJ88" s="8"/>
      <c r="AK88" s="8"/>
      <c r="AL88" s="8"/>
      <c r="AM88" s="8"/>
      <c r="AN88" s="8"/>
      <c r="AO88" s="8"/>
      <c r="AP88" s="8"/>
    </row>
    <row r="89" spans="1:42" ht="17">
      <c r="A89" s="8" t="s">
        <v>142</v>
      </c>
      <c r="B89" s="8" t="s">
        <v>45</v>
      </c>
      <c r="C89" s="8">
        <v>954188000</v>
      </c>
      <c r="D89" s="8">
        <v>1684593000</v>
      </c>
      <c r="E89" s="10">
        <v>730405000</v>
      </c>
      <c r="F89" s="8">
        <v>730405000</v>
      </c>
      <c r="G89" s="8">
        <v>201504000</v>
      </c>
      <c r="H89" s="8">
        <v>64787000</v>
      </c>
      <c r="I89" s="8" t="s">
        <v>46</v>
      </c>
      <c r="J89" s="8">
        <v>665281000</v>
      </c>
      <c r="K89" s="10" t="s">
        <v>46</v>
      </c>
      <c r="L89" s="8" t="s">
        <v>46</v>
      </c>
      <c r="M89" s="8" t="s">
        <v>46</v>
      </c>
      <c r="N89" s="8">
        <v>312511000</v>
      </c>
      <c r="O89" s="10" t="s">
        <v>46</v>
      </c>
      <c r="P89" s="10" t="s">
        <v>46</v>
      </c>
      <c r="Q89" s="8" t="s">
        <v>46</v>
      </c>
      <c r="R89" s="10">
        <v>162463000</v>
      </c>
      <c r="S89" s="8">
        <v>-128457000</v>
      </c>
      <c r="T89" s="8">
        <v>-52344000</v>
      </c>
      <c r="U89" s="8" t="s">
        <v>46</v>
      </c>
      <c r="V89" s="10" t="s">
        <v>46</v>
      </c>
      <c r="W89" s="10" t="s">
        <v>46</v>
      </c>
      <c r="X89" s="10">
        <v>184054000</v>
      </c>
      <c r="Y89" s="8">
        <v>346517000</v>
      </c>
      <c r="Z89" s="8">
        <v>-90187000</v>
      </c>
      <c r="AA89" s="10"/>
      <c r="AB89" s="10"/>
      <c r="AC89" s="8"/>
      <c r="AD89" s="8"/>
      <c r="AE89" s="8"/>
      <c r="AF89" s="8"/>
      <c r="AG89" s="8"/>
      <c r="AH89" s="8"/>
      <c r="AI89" s="8"/>
      <c r="AJ89" s="8"/>
      <c r="AK89" s="8"/>
      <c r="AL89" s="8"/>
      <c r="AM89" s="8"/>
      <c r="AN89" s="8"/>
      <c r="AO89" s="8"/>
      <c r="AP89" s="8"/>
    </row>
    <row r="90" spans="1:42" ht="17">
      <c r="A90" s="8" t="s">
        <v>143</v>
      </c>
      <c r="B90" s="8" t="s">
        <v>45</v>
      </c>
      <c r="C90" s="8">
        <v>1087593000</v>
      </c>
      <c r="D90" s="8">
        <v>1831078000</v>
      </c>
      <c r="E90" s="10">
        <v>743485000</v>
      </c>
      <c r="F90" s="8">
        <v>743485000</v>
      </c>
      <c r="G90" s="8">
        <v>461595000</v>
      </c>
      <c r="H90" s="8" t="s">
        <v>46</v>
      </c>
      <c r="I90" s="8" t="s">
        <v>46</v>
      </c>
      <c r="J90" s="8">
        <v>653250000</v>
      </c>
      <c r="K90" s="10" t="s">
        <v>46</v>
      </c>
      <c r="L90" s="8" t="s">
        <v>46</v>
      </c>
      <c r="M90" s="8" t="s">
        <v>46</v>
      </c>
      <c r="N90" s="8">
        <v>82175000</v>
      </c>
      <c r="O90" s="10" t="s">
        <v>46</v>
      </c>
      <c r="P90" s="10" t="s">
        <v>46</v>
      </c>
      <c r="Q90" s="8" t="s">
        <v>46</v>
      </c>
      <c r="R90" s="10">
        <v>142188000</v>
      </c>
      <c r="S90" s="8">
        <v>410060000</v>
      </c>
      <c r="T90" s="8">
        <v>125137000</v>
      </c>
      <c r="U90" s="8" t="s">
        <v>46</v>
      </c>
      <c r="V90" s="10" t="s">
        <v>46</v>
      </c>
      <c r="W90" s="10" t="s">
        <v>46</v>
      </c>
      <c r="X90" s="10">
        <v>492235000</v>
      </c>
      <c r="Y90" s="8">
        <v>634423000</v>
      </c>
      <c r="Z90" s="8">
        <v>282327000</v>
      </c>
      <c r="AA90" s="10"/>
      <c r="AB90" s="10"/>
      <c r="AC90" s="8"/>
      <c r="AD90" s="8"/>
      <c r="AE90" s="8"/>
      <c r="AF90" s="8"/>
      <c r="AG90" s="8"/>
      <c r="AH90" s="8"/>
      <c r="AI90" s="8"/>
      <c r="AJ90" s="8"/>
      <c r="AK90" s="8"/>
      <c r="AL90" s="8"/>
      <c r="AM90" s="8"/>
      <c r="AN90" s="8"/>
      <c r="AO90" s="8"/>
      <c r="AP90" s="8"/>
    </row>
    <row r="91" spans="1:42" ht="17">
      <c r="A91" s="8" t="s">
        <v>144</v>
      </c>
      <c r="B91" s="8" t="s">
        <v>45</v>
      </c>
      <c r="C91" s="8">
        <v>811957000</v>
      </c>
      <c r="D91" s="8">
        <v>1564207000</v>
      </c>
      <c r="E91" s="10">
        <v>752250000</v>
      </c>
      <c r="F91" s="8">
        <v>752250000</v>
      </c>
      <c r="G91" s="8">
        <v>235006000</v>
      </c>
      <c r="H91" s="8" t="s">
        <v>46</v>
      </c>
      <c r="I91" s="8" t="s">
        <v>46</v>
      </c>
      <c r="J91" s="8">
        <v>576562000</v>
      </c>
      <c r="K91" s="10" t="s">
        <v>46</v>
      </c>
      <c r="L91" s="8" t="s">
        <v>46</v>
      </c>
      <c r="M91" s="8" t="s">
        <v>46</v>
      </c>
      <c r="N91" s="8">
        <v>100003000</v>
      </c>
      <c r="O91" s="10" t="s">
        <v>46</v>
      </c>
      <c r="P91" s="10" t="s">
        <v>46</v>
      </c>
      <c r="Q91" s="8" t="s">
        <v>46</v>
      </c>
      <c r="R91" s="10">
        <v>152278000</v>
      </c>
      <c r="S91" s="8">
        <v>236361000</v>
      </c>
      <c r="T91" s="8">
        <v>66581000</v>
      </c>
      <c r="U91" s="8" t="s">
        <v>46</v>
      </c>
      <c r="V91" s="10" t="s">
        <v>46</v>
      </c>
      <c r="W91" s="10" t="s">
        <v>46</v>
      </c>
      <c r="X91" s="10">
        <v>336364000</v>
      </c>
      <c r="Y91" s="8">
        <v>488642000</v>
      </c>
      <c r="Z91" s="8">
        <v>799653000</v>
      </c>
      <c r="AA91" s="10"/>
      <c r="AB91" s="10"/>
      <c r="AC91" s="8"/>
      <c r="AD91" s="8"/>
      <c r="AE91" s="8"/>
      <c r="AF91" s="8"/>
      <c r="AG91" s="8"/>
      <c r="AH91" s="8"/>
      <c r="AI91" s="8"/>
      <c r="AJ91" s="8"/>
      <c r="AK91" s="8"/>
      <c r="AL91" s="8"/>
      <c r="AM91" s="8"/>
      <c r="AN91" s="8"/>
      <c r="AO91" s="8"/>
      <c r="AP91" s="8"/>
    </row>
    <row r="92" spans="1:42" ht="17">
      <c r="A92" s="8" t="s">
        <v>145</v>
      </c>
      <c r="B92" s="8" t="s">
        <v>45</v>
      </c>
      <c r="C92" s="8">
        <v>1125937000</v>
      </c>
      <c r="D92" s="8">
        <v>1802192000</v>
      </c>
      <c r="E92" s="10">
        <v>676255000</v>
      </c>
      <c r="F92" s="8">
        <v>676255000</v>
      </c>
      <c r="G92" s="8">
        <v>495706000</v>
      </c>
      <c r="H92" s="8">
        <v>43044000</v>
      </c>
      <c r="I92" s="8" t="s">
        <v>46</v>
      </c>
      <c r="J92" s="8">
        <v>635539000</v>
      </c>
      <c r="K92" s="10" t="s">
        <v>46</v>
      </c>
      <c r="L92" s="8" t="s">
        <v>46</v>
      </c>
      <c r="M92" s="8" t="s">
        <v>46</v>
      </c>
      <c r="N92" s="8">
        <v>116422000</v>
      </c>
      <c r="O92" s="10" t="s">
        <v>46</v>
      </c>
      <c r="P92" s="10" t="s">
        <v>46</v>
      </c>
      <c r="Q92" s="8" t="s">
        <v>46</v>
      </c>
      <c r="R92" s="10">
        <v>141309000</v>
      </c>
      <c r="S92" s="8">
        <v>390649000</v>
      </c>
      <c r="T92" s="8">
        <v>159786000</v>
      </c>
      <c r="U92" s="8" t="s">
        <v>46</v>
      </c>
      <c r="V92" s="10" t="s">
        <v>46</v>
      </c>
      <c r="W92" s="10" t="s">
        <v>46</v>
      </c>
      <c r="X92" s="10">
        <v>507071000</v>
      </c>
      <c r="Y92" s="8">
        <v>648380000</v>
      </c>
      <c r="Z92" s="8">
        <v>235990000</v>
      </c>
      <c r="AA92" s="10"/>
      <c r="AB92" s="10"/>
      <c r="AC92" s="8"/>
      <c r="AD92" s="8"/>
      <c r="AE92" s="8"/>
      <c r="AF92" s="8"/>
      <c r="AG92" s="8"/>
      <c r="AH92" s="8"/>
      <c r="AI92" s="8"/>
      <c r="AJ92" s="8"/>
      <c r="AK92" s="8"/>
      <c r="AL92" s="8"/>
      <c r="AM92" s="8"/>
      <c r="AN92" s="8"/>
      <c r="AO92" s="8"/>
      <c r="AP92" s="8"/>
    </row>
    <row r="93" spans="1:42" ht="16">
      <c r="A93" s="8"/>
      <c r="B93" s="8"/>
      <c r="C93" s="8"/>
      <c r="D93" s="8"/>
      <c r="E93" s="10"/>
      <c r="F93" s="8"/>
      <c r="G93" s="8"/>
      <c r="H93" s="8"/>
      <c r="I93" s="8"/>
      <c r="J93" s="8"/>
      <c r="K93" s="10"/>
      <c r="L93" s="8"/>
      <c r="M93" s="8"/>
      <c r="N93" s="8"/>
      <c r="O93" s="10"/>
      <c r="P93" s="10"/>
      <c r="Q93" s="8"/>
      <c r="R93" s="10"/>
      <c r="S93" s="8"/>
      <c r="T93" s="8"/>
      <c r="U93" s="8"/>
      <c r="V93" s="10"/>
      <c r="W93" s="10"/>
      <c r="X93" s="10"/>
      <c r="Y93" s="8"/>
      <c r="Z93" s="8"/>
      <c r="AA93" s="10"/>
      <c r="AB93" s="10"/>
      <c r="AC93" s="8"/>
      <c r="AD93" s="8"/>
      <c r="AE93" s="8"/>
      <c r="AF93" s="8"/>
      <c r="AG93" s="8"/>
      <c r="AH93" s="8"/>
      <c r="AI93" s="8"/>
      <c r="AJ93" s="8"/>
      <c r="AK93" s="8"/>
      <c r="AL93" s="8"/>
      <c r="AM93" s="8"/>
      <c r="AN93" s="8"/>
      <c r="AO93" s="8"/>
      <c r="AP93" s="8"/>
    </row>
    <row r="94" spans="1:42" ht="16">
      <c r="A94" s="8" t="s">
        <v>52</v>
      </c>
      <c r="B94" s="8"/>
      <c r="C94" s="8"/>
      <c r="D94" s="8"/>
      <c r="E94" s="10"/>
      <c r="F94" s="8"/>
      <c r="G94" s="8"/>
      <c r="H94" s="8"/>
      <c r="I94" s="8"/>
      <c r="J94" s="8"/>
      <c r="K94" s="10"/>
      <c r="L94" s="8"/>
      <c r="M94" s="8"/>
      <c r="N94" s="8"/>
      <c r="O94" s="10"/>
      <c r="P94" s="10"/>
      <c r="Q94" s="8"/>
      <c r="R94" s="10"/>
      <c r="S94" s="8"/>
      <c r="T94" s="8"/>
      <c r="U94" s="8"/>
      <c r="V94" s="10"/>
      <c r="W94" s="10"/>
      <c r="X94" s="10"/>
      <c r="Y94" s="8"/>
      <c r="Z94" s="8"/>
      <c r="AA94" s="10"/>
      <c r="AB94" s="10"/>
      <c r="AC94" s="8"/>
      <c r="AD94" s="8"/>
      <c r="AE94" s="8"/>
      <c r="AF94" s="8"/>
      <c r="AG94" s="8"/>
      <c r="AH94" s="8"/>
      <c r="AI94" s="8"/>
      <c r="AJ94" s="8"/>
      <c r="AK94" s="8"/>
      <c r="AL94" s="8"/>
      <c r="AM94" s="8"/>
      <c r="AN94" s="8"/>
      <c r="AO94" s="8"/>
      <c r="AP94" s="8"/>
    </row>
    <row r="95" spans="1:42" ht="17">
      <c r="A95" s="8" t="s">
        <v>17</v>
      </c>
      <c r="B95" s="8" t="s">
        <v>18</v>
      </c>
      <c r="C95" s="8" t="s">
        <v>146</v>
      </c>
      <c r="D95" s="8" t="s">
        <v>147</v>
      </c>
      <c r="E95" s="10" t="s">
        <v>148</v>
      </c>
      <c r="F95" s="8" t="s">
        <v>149</v>
      </c>
      <c r="G95" s="8" t="s">
        <v>150</v>
      </c>
      <c r="H95" s="8" t="s">
        <v>151</v>
      </c>
      <c r="I95" s="8" t="s">
        <v>152</v>
      </c>
      <c r="J95" s="8" t="s">
        <v>153</v>
      </c>
      <c r="K95" s="10" t="s">
        <v>154</v>
      </c>
      <c r="L95" s="8" t="s">
        <v>155</v>
      </c>
      <c r="M95" s="8" t="s">
        <v>156</v>
      </c>
      <c r="N95" s="8" t="s">
        <v>157</v>
      </c>
      <c r="O95" s="10" t="s">
        <v>158</v>
      </c>
      <c r="P95" s="10" t="s">
        <v>159</v>
      </c>
      <c r="Q95" s="8" t="s">
        <v>160</v>
      </c>
      <c r="R95" s="10" t="s">
        <v>161</v>
      </c>
      <c r="S95" s="8" t="s">
        <v>162</v>
      </c>
      <c r="T95" s="8" t="s">
        <v>163</v>
      </c>
      <c r="U95" s="8" t="s">
        <v>164</v>
      </c>
      <c r="V95" s="10" t="s">
        <v>165</v>
      </c>
      <c r="W95" s="10" t="s">
        <v>72</v>
      </c>
      <c r="X95" s="10" t="s">
        <v>73</v>
      </c>
      <c r="Y95" s="8" t="s">
        <v>74</v>
      </c>
      <c r="Z95" s="8" t="s">
        <v>75</v>
      </c>
      <c r="AA95" s="10" t="s">
        <v>76</v>
      </c>
      <c r="AB95" s="10" t="s">
        <v>77</v>
      </c>
      <c r="AC95" s="8" t="s">
        <v>78</v>
      </c>
      <c r="AD95" s="8" t="s">
        <v>79</v>
      </c>
      <c r="AE95" s="8" t="s">
        <v>80</v>
      </c>
      <c r="AF95" s="8" t="s">
        <v>81</v>
      </c>
      <c r="AG95" s="8" t="s">
        <v>82</v>
      </c>
      <c r="AH95" s="8" t="s">
        <v>83</v>
      </c>
      <c r="AI95" s="8" t="s">
        <v>84</v>
      </c>
      <c r="AJ95" s="8" t="s">
        <v>85</v>
      </c>
      <c r="AK95" s="8" t="s">
        <v>86</v>
      </c>
      <c r="AL95" s="8" t="s">
        <v>87</v>
      </c>
      <c r="AM95" s="8"/>
      <c r="AN95" s="8"/>
      <c r="AO95" s="8"/>
      <c r="AP95" s="8"/>
    </row>
    <row r="96" spans="1:42" ht="17">
      <c r="A96" s="8" t="s">
        <v>44</v>
      </c>
      <c r="B96" s="8" t="s">
        <v>45</v>
      </c>
      <c r="C96" s="8">
        <v>5571696000</v>
      </c>
      <c r="D96" s="8">
        <v>1361842000</v>
      </c>
      <c r="E96" s="10">
        <v>259580000</v>
      </c>
      <c r="F96" s="8">
        <v>259580000</v>
      </c>
      <c r="G96" s="8" t="s">
        <v>46</v>
      </c>
      <c r="H96" s="8">
        <v>993328000</v>
      </c>
      <c r="I96" s="8">
        <v>4209854000</v>
      </c>
      <c r="J96" s="8" t="s">
        <v>46</v>
      </c>
      <c r="K96" s="10" t="s">
        <v>46</v>
      </c>
      <c r="L96" s="8">
        <v>809928000</v>
      </c>
      <c r="M96" s="8">
        <v>809928000</v>
      </c>
      <c r="N96" s="8">
        <v>1105156000</v>
      </c>
      <c r="O96" s="10" t="s">
        <v>46</v>
      </c>
      <c r="P96" s="10" t="s">
        <v>46</v>
      </c>
      <c r="Q96" s="8" t="s">
        <v>46</v>
      </c>
      <c r="R96" s="10">
        <v>108934000</v>
      </c>
      <c r="S96" s="8" t="s">
        <v>46</v>
      </c>
      <c r="T96" s="8">
        <v>6943476000</v>
      </c>
      <c r="U96" s="8">
        <v>870280000</v>
      </c>
      <c r="V96" s="10">
        <v>253264000</v>
      </c>
      <c r="W96" s="10" t="s">
        <v>46</v>
      </c>
      <c r="X96" s="10" t="s">
        <v>46</v>
      </c>
      <c r="Y96" s="8">
        <v>92017000</v>
      </c>
      <c r="Z96" s="8">
        <v>6073196000</v>
      </c>
      <c r="AA96" s="10">
        <v>786102000</v>
      </c>
      <c r="AB96" s="10">
        <v>5048968000</v>
      </c>
      <c r="AC96" s="8">
        <v>22501000</v>
      </c>
      <c r="AD96" s="8" t="s">
        <v>46</v>
      </c>
      <c r="AE96" s="8">
        <v>5857571000</v>
      </c>
      <c r="AF96" s="8">
        <v>370654000</v>
      </c>
      <c r="AG96" s="8">
        <v>204744000</v>
      </c>
      <c r="AH96" s="9">
        <v>-1377000000</v>
      </c>
      <c r="AI96" s="8" t="s">
        <v>46</v>
      </c>
      <c r="AJ96" s="9">
        <v>-4340000000</v>
      </c>
      <c r="AK96" s="8">
        <v>149000</v>
      </c>
      <c r="AL96" s="8">
        <v>151272000</v>
      </c>
      <c r="AM96" s="8"/>
      <c r="AN96" s="8"/>
      <c r="AO96" s="8"/>
      <c r="AP96" s="8"/>
    </row>
    <row r="97" spans="1:42" ht="17">
      <c r="A97" s="8" t="s">
        <v>47</v>
      </c>
      <c r="B97" s="8" t="s">
        <v>45</v>
      </c>
      <c r="C97" s="8">
        <v>6952611000</v>
      </c>
      <c r="D97" s="8">
        <v>1506916000</v>
      </c>
      <c r="E97" s="10">
        <v>346382000</v>
      </c>
      <c r="F97" s="8">
        <v>346382000</v>
      </c>
      <c r="G97" s="8">
        <v>1</v>
      </c>
      <c r="H97" s="8">
        <v>1041214000</v>
      </c>
      <c r="I97" s="8">
        <v>5445695000</v>
      </c>
      <c r="J97" s="8" t="s">
        <v>46</v>
      </c>
      <c r="K97" s="10" t="s">
        <v>46</v>
      </c>
      <c r="L97" s="8">
        <v>2287189000</v>
      </c>
      <c r="M97" s="8">
        <v>2287189000</v>
      </c>
      <c r="N97" s="8">
        <v>1721483000</v>
      </c>
      <c r="O97" s="10" t="s">
        <v>46</v>
      </c>
      <c r="P97" s="10" t="s">
        <v>46</v>
      </c>
      <c r="Q97" s="8">
        <v>-134218001</v>
      </c>
      <c r="R97" s="10">
        <v>119320000</v>
      </c>
      <c r="S97" s="8" t="s">
        <v>46</v>
      </c>
      <c r="T97" s="8">
        <v>7337369000</v>
      </c>
      <c r="U97" s="8">
        <v>848436000</v>
      </c>
      <c r="V97" s="10">
        <v>236162000</v>
      </c>
      <c r="W97" s="10" t="s">
        <v>46</v>
      </c>
      <c r="X97" s="10" t="s">
        <v>46</v>
      </c>
      <c r="Y97" s="8">
        <v>74172000</v>
      </c>
      <c r="Z97" s="8">
        <v>6488933000</v>
      </c>
      <c r="AA97" s="10">
        <v>836652000</v>
      </c>
      <c r="AB97" s="10">
        <v>5214810000</v>
      </c>
      <c r="AC97" s="8">
        <v>340000</v>
      </c>
      <c r="AD97" s="8" t="s">
        <v>46</v>
      </c>
      <c r="AE97" s="8">
        <v>6051802000</v>
      </c>
      <c r="AF97" s="8">
        <v>379562000</v>
      </c>
      <c r="AG97" s="8">
        <v>171535000</v>
      </c>
      <c r="AH97" s="8">
        <v>-394155000</v>
      </c>
      <c r="AI97" s="8" t="s">
        <v>46</v>
      </c>
      <c r="AJ97" s="9">
        <v>-3330000000</v>
      </c>
      <c r="AK97" s="8">
        <v>146000</v>
      </c>
      <c r="AL97" s="8">
        <v>149255000</v>
      </c>
      <c r="AM97" s="8"/>
      <c r="AN97" s="8"/>
      <c r="AO97" s="8"/>
      <c r="AP97" s="8"/>
    </row>
    <row r="98" spans="1:42" ht="17">
      <c r="A98" s="8" t="s">
        <v>49</v>
      </c>
      <c r="B98" s="8" t="s">
        <v>45</v>
      </c>
      <c r="C98" s="8">
        <v>8335900000</v>
      </c>
      <c r="D98" s="8">
        <v>1472800000</v>
      </c>
      <c r="E98" s="10">
        <v>336236000</v>
      </c>
      <c r="F98" s="8">
        <v>336236000</v>
      </c>
      <c r="G98" s="8">
        <v>79119000</v>
      </c>
      <c r="H98" s="8">
        <v>1037827000</v>
      </c>
      <c r="I98" s="8">
        <v>6863100000</v>
      </c>
      <c r="J98" s="8">
        <v>1483122000</v>
      </c>
      <c r="K98" s="10" t="s">
        <v>46</v>
      </c>
      <c r="L98" s="8">
        <v>2895989000</v>
      </c>
      <c r="M98" s="8">
        <v>2895989000</v>
      </c>
      <c r="N98" s="8">
        <v>2313403000</v>
      </c>
      <c r="O98" s="10" t="s">
        <v>46</v>
      </c>
      <c r="P98" s="10" t="s">
        <v>46</v>
      </c>
      <c r="Q98" s="8" t="s">
        <v>46</v>
      </c>
      <c r="R98" s="10">
        <v>98716000</v>
      </c>
      <c r="S98" s="8" t="s">
        <v>46</v>
      </c>
      <c r="T98" s="8">
        <v>7651400000</v>
      </c>
      <c r="U98" s="8">
        <v>831200000</v>
      </c>
      <c r="V98" s="10">
        <v>240454000</v>
      </c>
      <c r="W98" s="10" t="s">
        <v>46</v>
      </c>
      <c r="X98" s="10" t="s">
        <v>46</v>
      </c>
      <c r="Y98" s="8">
        <v>140712000</v>
      </c>
      <c r="Z98" s="8">
        <v>6820200000</v>
      </c>
      <c r="AA98" s="10">
        <v>918942000</v>
      </c>
      <c r="AB98" s="10">
        <v>5413503000</v>
      </c>
      <c r="AC98" s="8">
        <v>664000</v>
      </c>
      <c r="AD98" s="8" t="s">
        <v>46</v>
      </c>
      <c r="AE98" s="8">
        <v>6333109000</v>
      </c>
      <c r="AF98" s="8">
        <v>249544000</v>
      </c>
      <c r="AG98" s="8">
        <v>73332000</v>
      </c>
      <c r="AH98" s="8">
        <v>684500000</v>
      </c>
      <c r="AI98" s="8" t="s">
        <v>46</v>
      </c>
      <c r="AJ98" s="9">
        <v>-2227000000</v>
      </c>
      <c r="AK98" s="8">
        <v>144000</v>
      </c>
      <c r="AL98" s="8">
        <v>148058000</v>
      </c>
      <c r="AM98" s="8"/>
      <c r="AN98" s="8"/>
      <c r="AO98" s="8"/>
      <c r="AP98" s="8"/>
    </row>
    <row r="99" spans="1:42" ht="17">
      <c r="A99" s="8" t="s">
        <v>50</v>
      </c>
      <c r="B99" s="8" t="s">
        <v>45</v>
      </c>
      <c r="C99" s="8">
        <v>8881300000</v>
      </c>
      <c r="D99" s="8">
        <v>1472900000</v>
      </c>
      <c r="E99" s="10">
        <v>352129000</v>
      </c>
      <c r="F99" s="8">
        <v>352129000</v>
      </c>
      <c r="G99" s="8">
        <v>3154000</v>
      </c>
      <c r="H99" s="8">
        <v>1030380000</v>
      </c>
      <c r="I99" s="8">
        <v>7408400000</v>
      </c>
      <c r="J99" s="8">
        <v>782093000</v>
      </c>
      <c r="K99" s="10" t="s">
        <v>46</v>
      </c>
      <c r="L99" s="8">
        <v>3444645000</v>
      </c>
      <c r="M99" s="8">
        <v>3444645000</v>
      </c>
      <c r="N99" s="8">
        <v>2313581000</v>
      </c>
      <c r="O99" s="10" t="s">
        <v>46</v>
      </c>
      <c r="P99" s="10">
        <v>85925000</v>
      </c>
      <c r="Q99" s="8">
        <v>-29000</v>
      </c>
      <c r="R99" s="10">
        <v>87204000</v>
      </c>
      <c r="S99" s="8" t="s">
        <v>46</v>
      </c>
      <c r="T99" s="8">
        <v>7965500000</v>
      </c>
      <c r="U99" s="8">
        <v>848700000</v>
      </c>
      <c r="V99" s="10">
        <v>206007000</v>
      </c>
      <c r="W99" s="10" t="s">
        <v>46</v>
      </c>
      <c r="X99" s="10" t="s">
        <v>46</v>
      </c>
      <c r="Y99" s="8">
        <v>177843000</v>
      </c>
      <c r="Z99" s="8">
        <v>7116800000</v>
      </c>
      <c r="AA99" s="10">
        <v>827399000</v>
      </c>
      <c r="AB99" s="10">
        <v>5738195000</v>
      </c>
      <c r="AC99" s="8">
        <v>673000</v>
      </c>
      <c r="AD99" s="8" t="s">
        <v>46</v>
      </c>
      <c r="AE99" s="8">
        <v>6566267000</v>
      </c>
      <c r="AF99" s="8">
        <v>243858000</v>
      </c>
      <c r="AG99" s="8">
        <v>80897000</v>
      </c>
      <c r="AH99" s="8">
        <v>915800000</v>
      </c>
      <c r="AI99" s="8">
        <v>-6282000</v>
      </c>
      <c r="AJ99" s="9">
        <v>-1963000000</v>
      </c>
      <c r="AK99" s="8">
        <v>142000</v>
      </c>
      <c r="AL99" s="8">
        <v>146726000</v>
      </c>
      <c r="AM99" s="8"/>
      <c r="AN99" s="8"/>
      <c r="AO99" s="8"/>
      <c r="AP99" s="8"/>
    </row>
    <row r="100" spans="1:42" ht="17">
      <c r="A100" s="8" t="s">
        <v>51</v>
      </c>
      <c r="B100" s="8" t="s">
        <v>45</v>
      </c>
      <c r="C100" s="8">
        <v>9203000000</v>
      </c>
      <c r="D100" s="8">
        <v>1619000000</v>
      </c>
      <c r="E100" s="10">
        <v>720662000</v>
      </c>
      <c r="F100" s="8">
        <v>720662000</v>
      </c>
      <c r="G100" s="8">
        <v>1153000</v>
      </c>
      <c r="H100" s="8">
        <v>813834000</v>
      </c>
      <c r="I100" s="8">
        <v>7584000000</v>
      </c>
      <c r="J100" s="8">
        <v>811702000</v>
      </c>
      <c r="K100" s="10" t="s">
        <v>46</v>
      </c>
      <c r="L100" s="8">
        <v>3694837000</v>
      </c>
      <c r="M100" s="8">
        <v>3694837000</v>
      </c>
      <c r="N100" s="8">
        <v>2145935000</v>
      </c>
      <c r="O100" s="10" t="s">
        <v>46</v>
      </c>
      <c r="P100" s="10">
        <v>70574000</v>
      </c>
      <c r="Q100" s="8">
        <v>2680000</v>
      </c>
      <c r="R100" s="10">
        <v>83327000</v>
      </c>
      <c r="S100" s="8" t="s">
        <v>46</v>
      </c>
      <c r="T100" s="8">
        <v>8152200000</v>
      </c>
      <c r="U100" s="8">
        <v>683000000</v>
      </c>
      <c r="V100" s="10">
        <v>149333000</v>
      </c>
      <c r="W100" s="10" t="s">
        <v>46</v>
      </c>
      <c r="X100" s="10" t="s">
        <v>46</v>
      </c>
      <c r="Y100" s="8">
        <v>187781000</v>
      </c>
      <c r="Z100" s="8">
        <v>7469200000</v>
      </c>
      <c r="AA100" s="10">
        <v>840994000</v>
      </c>
      <c r="AB100" s="10">
        <v>5982155000</v>
      </c>
      <c r="AC100" s="8">
        <v>34775000</v>
      </c>
      <c r="AD100" s="8" t="s">
        <v>46</v>
      </c>
      <c r="AE100" s="8">
        <v>6857924000</v>
      </c>
      <c r="AF100" s="8">
        <v>180699000</v>
      </c>
      <c r="AG100" s="8">
        <v>131217000</v>
      </c>
      <c r="AH100" s="8">
        <v>1050800000</v>
      </c>
      <c r="AI100" s="8">
        <v>-3199000</v>
      </c>
      <c r="AJ100" s="9">
        <v>-1804000000</v>
      </c>
      <c r="AK100" s="8">
        <v>72000</v>
      </c>
      <c r="AL100" s="8">
        <v>145979000</v>
      </c>
      <c r="AM100" s="8"/>
      <c r="AN100" s="8"/>
      <c r="AO100" s="8"/>
      <c r="AP100" s="8"/>
    </row>
    <row r="101" spans="1:42" ht="17">
      <c r="A101" s="8" t="s">
        <v>53</v>
      </c>
      <c r="B101" s="8" t="s">
        <v>45</v>
      </c>
      <c r="C101" s="8">
        <v>11021100000</v>
      </c>
      <c r="D101" s="8">
        <v>1416300000</v>
      </c>
      <c r="E101" s="10">
        <v>400300000</v>
      </c>
      <c r="F101" s="8">
        <v>400300000</v>
      </c>
      <c r="G101" s="8">
        <v>507000</v>
      </c>
      <c r="H101" s="8">
        <v>928714000</v>
      </c>
      <c r="I101" s="8">
        <v>9604800000</v>
      </c>
      <c r="J101" s="8">
        <v>1728638000</v>
      </c>
      <c r="K101" s="10" t="s">
        <v>46</v>
      </c>
      <c r="L101" s="8">
        <v>4454275000</v>
      </c>
      <c r="M101" s="8">
        <v>4454275000</v>
      </c>
      <c r="N101" s="8">
        <v>3325622000</v>
      </c>
      <c r="O101" s="10" t="s">
        <v>46</v>
      </c>
      <c r="P101" s="10">
        <v>30641000</v>
      </c>
      <c r="Q101" s="8">
        <v>2944000</v>
      </c>
      <c r="R101" s="10">
        <v>86827000</v>
      </c>
      <c r="S101" s="8" t="s">
        <v>46</v>
      </c>
      <c r="T101" s="8">
        <v>8075700000</v>
      </c>
      <c r="U101" s="8">
        <v>658500000</v>
      </c>
      <c r="V101" s="10">
        <v>87374000</v>
      </c>
      <c r="W101" s="10" t="s">
        <v>46</v>
      </c>
      <c r="X101" s="10" t="s">
        <v>46</v>
      </c>
      <c r="Y101" s="8">
        <v>164424000</v>
      </c>
      <c r="Z101" s="8">
        <v>7417200000</v>
      </c>
      <c r="AA101" s="10">
        <v>873959000</v>
      </c>
      <c r="AB101" s="10">
        <v>5756504000</v>
      </c>
      <c r="AC101" s="8">
        <v>8912000</v>
      </c>
      <c r="AD101" s="8" t="s">
        <v>46</v>
      </c>
      <c r="AE101" s="8">
        <v>6639375000</v>
      </c>
      <c r="AF101" s="8">
        <v>228223000</v>
      </c>
      <c r="AG101" s="8">
        <v>20457000</v>
      </c>
      <c r="AH101" s="8">
        <v>2945400000</v>
      </c>
      <c r="AI101" s="8" t="s">
        <v>46</v>
      </c>
      <c r="AJ101" s="8">
        <v>112548000</v>
      </c>
      <c r="AK101" s="8">
        <v>65000</v>
      </c>
      <c r="AL101" s="8">
        <v>64553039</v>
      </c>
      <c r="AM101" s="8"/>
      <c r="AN101" s="8"/>
      <c r="AO101" s="8"/>
      <c r="AP101" s="8"/>
    </row>
    <row r="102" spans="1:42" ht="17">
      <c r="A102" s="8" t="s">
        <v>54</v>
      </c>
      <c r="B102" s="8" t="s">
        <v>45</v>
      </c>
      <c r="C102" s="8">
        <v>12269515000</v>
      </c>
      <c r="D102" s="8">
        <v>2235017000</v>
      </c>
      <c r="E102" s="10">
        <v>406493000</v>
      </c>
      <c r="F102" s="8">
        <v>406493000</v>
      </c>
      <c r="G102" s="8">
        <v>18416000</v>
      </c>
      <c r="H102" s="8">
        <v>868861000</v>
      </c>
      <c r="I102" s="9">
        <v>10034000000</v>
      </c>
      <c r="J102" s="8">
        <v>502202000</v>
      </c>
      <c r="K102" s="10" t="s">
        <v>46</v>
      </c>
      <c r="L102" s="8">
        <v>3842362000</v>
      </c>
      <c r="M102" s="8">
        <v>3842362000</v>
      </c>
      <c r="N102" s="8">
        <v>4118756000</v>
      </c>
      <c r="O102" s="10" t="s">
        <v>46</v>
      </c>
      <c r="P102" s="10">
        <v>72805000</v>
      </c>
      <c r="Q102" s="8">
        <v>5243000</v>
      </c>
      <c r="R102" s="10">
        <v>1141764000</v>
      </c>
      <c r="S102" s="8" t="s">
        <v>46</v>
      </c>
      <c r="T102" s="9">
        <v>23830000000</v>
      </c>
      <c r="U102" s="8">
        <v>1247649000</v>
      </c>
      <c r="V102" s="10">
        <v>49435000</v>
      </c>
      <c r="W102" s="10" t="s">
        <v>46</v>
      </c>
      <c r="X102" s="10" t="s">
        <v>46</v>
      </c>
      <c r="Y102" s="8">
        <v>46105000</v>
      </c>
      <c r="Z102" s="9">
        <v>22582000000</v>
      </c>
      <c r="AA102" s="10" t="s">
        <v>46</v>
      </c>
      <c r="AB102" s="10">
        <v>5277108000</v>
      </c>
      <c r="AC102" s="8">
        <v>46332000</v>
      </c>
      <c r="AD102" s="8" t="s">
        <v>46</v>
      </c>
      <c r="AE102" s="8">
        <v>5323440000</v>
      </c>
      <c r="AF102" s="8">
        <v>1152109000</v>
      </c>
      <c r="AG102" s="9">
        <v>16614000000</v>
      </c>
      <c r="AH102" s="9">
        <v>-11590000000</v>
      </c>
      <c r="AI102" s="8" t="s">
        <v>46</v>
      </c>
      <c r="AJ102" s="9">
        <v>-13350000000</v>
      </c>
      <c r="AK102" s="8">
        <v>92000</v>
      </c>
      <c r="AL102" s="8">
        <v>85412000</v>
      </c>
      <c r="AM102" s="8"/>
      <c r="AN102" s="8"/>
      <c r="AO102" s="8"/>
      <c r="AP102" s="8"/>
    </row>
    <row r="103" spans="1:42" ht="17">
      <c r="A103" s="8" t="s">
        <v>55</v>
      </c>
      <c r="B103" s="8" t="s">
        <v>45</v>
      </c>
      <c r="C103" s="8">
        <v>12260431000</v>
      </c>
      <c r="D103" s="8">
        <v>2067347000</v>
      </c>
      <c r="E103" s="10">
        <v>267109000</v>
      </c>
      <c r="F103" s="8">
        <v>267109000</v>
      </c>
      <c r="G103" s="8">
        <v>22470000</v>
      </c>
      <c r="H103" s="8">
        <v>1508370000</v>
      </c>
      <c r="I103" s="9">
        <v>10193000000</v>
      </c>
      <c r="J103" s="8">
        <v>1884714000</v>
      </c>
      <c r="K103" s="10" t="s">
        <v>46</v>
      </c>
      <c r="L103" s="8">
        <v>3979021000</v>
      </c>
      <c r="M103" s="8">
        <v>3979021000</v>
      </c>
      <c r="N103" s="8">
        <v>4051082000</v>
      </c>
      <c r="O103" s="10" t="s">
        <v>46</v>
      </c>
      <c r="P103" s="10">
        <v>104715000</v>
      </c>
      <c r="Q103" s="8">
        <v>7516000</v>
      </c>
      <c r="R103" s="10">
        <v>269398000</v>
      </c>
      <c r="S103" s="8" t="s">
        <v>46</v>
      </c>
      <c r="T103" s="9">
        <v>23588000000</v>
      </c>
      <c r="U103" s="9">
        <v>16355000000</v>
      </c>
      <c r="V103" s="10">
        <v>163449000</v>
      </c>
      <c r="W103" s="10" t="s">
        <v>46</v>
      </c>
      <c r="X103" s="10" t="s">
        <v>46</v>
      </c>
      <c r="Y103" s="9">
        <v>14972000000</v>
      </c>
      <c r="Z103" s="8">
        <v>7233289000</v>
      </c>
      <c r="AA103" s="10" t="s">
        <v>46</v>
      </c>
      <c r="AB103" s="10">
        <v>5676814000</v>
      </c>
      <c r="AC103" s="9">
        <v>14972000000</v>
      </c>
      <c r="AD103" s="8" t="s">
        <v>46</v>
      </c>
      <c r="AE103" s="9">
        <v>20649000000</v>
      </c>
      <c r="AF103" s="8">
        <v>1037230000</v>
      </c>
      <c r="AG103" s="8">
        <v>152598000</v>
      </c>
      <c r="AH103" s="9">
        <v>-11370000000</v>
      </c>
      <c r="AI103" s="8" t="s">
        <v>46</v>
      </c>
      <c r="AJ103" s="9">
        <v>-13130000000</v>
      </c>
      <c r="AK103" s="8">
        <v>92000</v>
      </c>
      <c r="AL103" s="8">
        <v>84967000</v>
      </c>
      <c r="AM103" s="8"/>
      <c r="AN103" s="8"/>
      <c r="AO103" s="8"/>
      <c r="AP103" s="8"/>
    </row>
    <row r="104" spans="1:42" ht="17">
      <c r="A104" s="8" t="s">
        <v>57</v>
      </c>
      <c r="B104" s="8" t="s">
        <v>45</v>
      </c>
      <c r="C104" s="8">
        <v>12862247000</v>
      </c>
      <c r="D104" s="8">
        <v>2504687000</v>
      </c>
      <c r="E104" s="10">
        <v>845030000</v>
      </c>
      <c r="F104" s="8">
        <v>845030000</v>
      </c>
      <c r="G104" s="8">
        <v>22068000</v>
      </c>
      <c r="H104" s="8">
        <v>1364404000</v>
      </c>
      <c r="I104" s="9">
        <v>10358000000</v>
      </c>
      <c r="J104" s="8">
        <v>1948162000</v>
      </c>
      <c r="K104" s="10" t="s">
        <v>46</v>
      </c>
      <c r="L104" s="8">
        <v>4115373000</v>
      </c>
      <c r="M104" s="8">
        <v>4115373000</v>
      </c>
      <c r="N104" s="8">
        <v>4066575000</v>
      </c>
      <c r="O104" s="10" t="s">
        <v>46</v>
      </c>
      <c r="P104" s="10">
        <v>87858000</v>
      </c>
      <c r="Q104" s="8">
        <v>2717000</v>
      </c>
      <c r="R104" s="10">
        <v>273185000</v>
      </c>
      <c r="S104" s="8" t="s">
        <v>46</v>
      </c>
      <c r="T104" s="9">
        <v>23748000000</v>
      </c>
      <c r="U104" s="8">
        <v>1696570000</v>
      </c>
      <c r="V104" s="10">
        <v>142600000</v>
      </c>
      <c r="W104" s="10" t="s">
        <v>46</v>
      </c>
      <c r="X104" s="10" t="s">
        <v>46</v>
      </c>
      <c r="Y104" s="8">
        <v>342908000</v>
      </c>
      <c r="Z104" s="9">
        <v>22051000000</v>
      </c>
      <c r="AA104" s="10" t="s">
        <v>46</v>
      </c>
      <c r="AB104" s="11">
        <v>20022000000</v>
      </c>
      <c r="AC104" s="8">
        <v>342908000</v>
      </c>
      <c r="AD104" s="8" t="s">
        <v>46</v>
      </c>
      <c r="AE104" s="9">
        <v>20365000000</v>
      </c>
      <c r="AF104" s="8">
        <v>988963000</v>
      </c>
      <c r="AG104" s="8">
        <v>154132000</v>
      </c>
      <c r="AH104" s="9">
        <v>-11020000000</v>
      </c>
      <c r="AI104" s="8" t="s">
        <v>46</v>
      </c>
      <c r="AJ104" s="9">
        <v>-12730000000</v>
      </c>
      <c r="AK104" s="8">
        <v>91000</v>
      </c>
      <c r="AL104" s="8">
        <v>84569000</v>
      </c>
      <c r="AM104" s="8"/>
      <c r="AN104" s="8"/>
      <c r="AO104" s="8"/>
      <c r="AP104" s="8"/>
    </row>
    <row r="105" spans="1:42" ht="17">
      <c r="A105" s="8" t="s">
        <v>58</v>
      </c>
      <c r="B105" s="8" t="s">
        <v>45</v>
      </c>
      <c r="C105" s="8">
        <v>13821098000</v>
      </c>
      <c r="D105" s="8">
        <v>2810883000</v>
      </c>
      <c r="E105" s="10">
        <v>772678000</v>
      </c>
      <c r="F105" s="8">
        <v>772678000</v>
      </c>
      <c r="G105" s="8">
        <v>24833000</v>
      </c>
      <c r="H105" s="8">
        <v>1442038000</v>
      </c>
      <c r="I105" s="9">
        <v>11010000000</v>
      </c>
      <c r="J105" s="8">
        <v>2212556000</v>
      </c>
      <c r="K105" s="10" t="s">
        <v>46</v>
      </c>
      <c r="L105" s="8">
        <v>4338470000</v>
      </c>
      <c r="M105" s="8">
        <v>4338470000</v>
      </c>
      <c r="N105" s="8">
        <v>4128887000</v>
      </c>
      <c r="O105" s="10" t="s">
        <v>46</v>
      </c>
      <c r="P105" s="10">
        <v>88838000</v>
      </c>
      <c r="Q105" s="8">
        <v>3184000</v>
      </c>
      <c r="R105" s="10">
        <v>535382000</v>
      </c>
      <c r="S105" s="8" t="s">
        <v>46</v>
      </c>
      <c r="T105" s="9">
        <v>24428000000</v>
      </c>
      <c r="U105" s="8">
        <v>1659228000</v>
      </c>
      <c r="V105" s="10">
        <v>153276000</v>
      </c>
      <c r="W105" s="10" t="s">
        <v>46</v>
      </c>
      <c r="X105" s="10" t="s">
        <v>46</v>
      </c>
      <c r="Y105" s="8">
        <v>-931522000</v>
      </c>
      <c r="Z105" s="9">
        <v>22769000000</v>
      </c>
      <c r="AA105" s="10" t="s">
        <v>46</v>
      </c>
      <c r="AB105" s="11">
        <v>20539000000</v>
      </c>
      <c r="AC105" s="8">
        <v>181512000</v>
      </c>
      <c r="AD105" s="8" t="s">
        <v>46</v>
      </c>
      <c r="AE105" s="9">
        <v>20869000000</v>
      </c>
      <c r="AF105" s="8">
        <v>1113516000</v>
      </c>
      <c r="AG105" s="8" t="s">
        <v>46</v>
      </c>
      <c r="AH105" s="9">
        <v>-10780000000</v>
      </c>
      <c r="AI105" s="8" t="s">
        <v>46</v>
      </c>
      <c r="AJ105" s="9">
        <v>-12440000000</v>
      </c>
      <c r="AK105" s="8">
        <v>90000</v>
      </c>
      <c r="AL105" s="8">
        <v>84278000</v>
      </c>
      <c r="AM105" s="8"/>
      <c r="AN105" s="8"/>
      <c r="AO105" s="8"/>
      <c r="AP105" s="8"/>
    </row>
    <row r="106" spans="1:42" ht="17">
      <c r="A106" s="8" t="s">
        <v>59</v>
      </c>
      <c r="B106" s="8" t="s">
        <v>45</v>
      </c>
      <c r="C106" s="8">
        <v>14040242000</v>
      </c>
      <c r="D106" s="8">
        <v>2180143000</v>
      </c>
      <c r="E106" s="10">
        <v>457024000</v>
      </c>
      <c r="F106" s="8">
        <v>457024000</v>
      </c>
      <c r="G106" s="8">
        <v>23777000</v>
      </c>
      <c r="H106" s="8">
        <v>1395248000</v>
      </c>
      <c r="I106" s="9">
        <v>11860000000</v>
      </c>
      <c r="J106" s="8">
        <v>2699064000</v>
      </c>
      <c r="K106" s="10" t="s">
        <v>46</v>
      </c>
      <c r="L106" s="8">
        <v>4684546000</v>
      </c>
      <c r="M106" s="8">
        <v>4684546000</v>
      </c>
      <c r="N106" s="8">
        <v>4187424000</v>
      </c>
      <c r="O106" s="10" t="s">
        <v>46</v>
      </c>
      <c r="P106" s="10" t="s">
        <v>46</v>
      </c>
      <c r="Q106" s="8">
        <v>4466000</v>
      </c>
      <c r="R106" s="10">
        <v>266301000</v>
      </c>
      <c r="S106" s="8" t="s">
        <v>46</v>
      </c>
      <c r="T106" s="9">
        <v>23705000000</v>
      </c>
      <c r="U106" s="8">
        <v>1364285000</v>
      </c>
      <c r="V106" s="10">
        <v>132258000</v>
      </c>
      <c r="W106" s="10" t="s">
        <v>46</v>
      </c>
      <c r="X106" s="10" t="s">
        <v>46</v>
      </c>
      <c r="Y106" s="9">
        <v>-1046000000</v>
      </c>
      <c r="Z106" s="9">
        <v>22341000000</v>
      </c>
      <c r="AA106" s="10" t="s">
        <v>46</v>
      </c>
      <c r="AB106" s="11">
        <v>20322000000</v>
      </c>
      <c r="AC106" s="8">
        <v>3604000</v>
      </c>
      <c r="AD106" s="8" t="s">
        <v>46</v>
      </c>
      <c r="AE106" s="9">
        <v>20326000000</v>
      </c>
      <c r="AF106" s="8">
        <v>1052375000</v>
      </c>
      <c r="AG106" s="8" t="s">
        <v>46</v>
      </c>
      <c r="AH106" s="9">
        <v>-9889000000</v>
      </c>
      <c r="AI106" s="8" t="s">
        <v>46</v>
      </c>
      <c r="AJ106" s="9">
        <v>-11680000000</v>
      </c>
      <c r="AK106" s="8">
        <v>89000</v>
      </c>
      <c r="AL106" s="8">
        <v>83941000</v>
      </c>
      <c r="AM106" s="8"/>
      <c r="AN106" s="8"/>
      <c r="AO106" s="8"/>
      <c r="AP106" s="8"/>
    </row>
    <row r="107" spans="1:42" ht="17">
      <c r="A107" s="8" t="s">
        <v>61</v>
      </c>
      <c r="B107" s="8" t="s">
        <v>45</v>
      </c>
      <c r="C107" s="8">
        <v>15097302000</v>
      </c>
      <c r="D107" s="8">
        <v>2513294000</v>
      </c>
      <c r="E107" s="10">
        <v>708151000</v>
      </c>
      <c r="F107" s="8">
        <v>708151000</v>
      </c>
      <c r="G107" s="8">
        <v>26872000</v>
      </c>
      <c r="H107" s="8">
        <v>1454346000</v>
      </c>
      <c r="I107" s="9">
        <v>12584000000</v>
      </c>
      <c r="J107" s="8" t="s">
        <v>46</v>
      </c>
      <c r="K107" s="10" t="s">
        <v>46</v>
      </c>
      <c r="L107" s="8">
        <v>4950735000</v>
      </c>
      <c r="M107" s="8">
        <v>4950735000</v>
      </c>
      <c r="N107" s="8">
        <v>4202187000</v>
      </c>
      <c r="O107" s="10" t="s">
        <v>46</v>
      </c>
      <c r="P107" s="10" t="s">
        <v>46</v>
      </c>
      <c r="Q107" s="8">
        <v>5126000</v>
      </c>
      <c r="R107" s="10">
        <v>337770000</v>
      </c>
      <c r="S107" s="8" t="s">
        <v>46</v>
      </c>
      <c r="T107" s="9">
        <v>23794000000</v>
      </c>
      <c r="U107" s="8">
        <v>1759592000</v>
      </c>
      <c r="V107" s="10">
        <v>131370000</v>
      </c>
      <c r="W107" s="10" t="s">
        <v>46</v>
      </c>
      <c r="X107" s="10" t="s">
        <v>46</v>
      </c>
      <c r="Y107" s="8">
        <v>-536465000</v>
      </c>
      <c r="Z107" s="9">
        <v>22034000000</v>
      </c>
      <c r="AA107" s="10" t="s">
        <v>46</v>
      </c>
      <c r="AB107" s="10" t="s">
        <v>46</v>
      </c>
      <c r="AC107" s="8" t="s">
        <v>46</v>
      </c>
      <c r="AD107" s="8" t="s">
        <v>46</v>
      </c>
      <c r="AE107" s="9">
        <v>20484000000</v>
      </c>
      <c r="AF107" s="8">
        <v>1002054000</v>
      </c>
      <c r="AG107" s="8" t="s">
        <v>46</v>
      </c>
      <c r="AH107" s="9">
        <v>-8942000000</v>
      </c>
      <c r="AI107" s="8" t="s">
        <v>46</v>
      </c>
      <c r="AJ107" s="9">
        <v>-10890000000</v>
      </c>
      <c r="AK107" s="8">
        <v>89000</v>
      </c>
      <c r="AL107" s="8">
        <v>83364000</v>
      </c>
      <c r="AM107" s="8"/>
      <c r="AN107" s="8"/>
      <c r="AO107" s="8"/>
      <c r="AP107" s="8"/>
    </row>
    <row r="108" spans="1:42" ht="17">
      <c r="A108" s="8" t="s">
        <v>62</v>
      </c>
      <c r="B108" s="8" t="s">
        <v>45</v>
      </c>
      <c r="C108" s="8">
        <v>16292713000</v>
      </c>
      <c r="D108" s="8">
        <v>2993807000</v>
      </c>
      <c r="E108" s="10">
        <v>1225010000</v>
      </c>
      <c r="F108" s="8">
        <v>1225010000</v>
      </c>
      <c r="G108" s="8">
        <v>23110000</v>
      </c>
      <c r="H108" s="8">
        <v>1423999000</v>
      </c>
      <c r="I108" s="9">
        <v>13299000000</v>
      </c>
      <c r="J108" s="8" t="s">
        <v>46</v>
      </c>
      <c r="K108" s="10" t="s">
        <v>46</v>
      </c>
      <c r="L108" s="8">
        <v>5235491000</v>
      </c>
      <c r="M108" s="8">
        <v>5235491000</v>
      </c>
      <c r="N108" s="8">
        <v>4216085000</v>
      </c>
      <c r="O108" s="10" t="s">
        <v>46</v>
      </c>
      <c r="P108" s="10" t="s">
        <v>46</v>
      </c>
      <c r="Q108" s="8">
        <v>4223000</v>
      </c>
      <c r="R108" s="10">
        <v>291514000</v>
      </c>
      <c r="S108" s="8" t="s">
        <v>46</v>
      </c>
      <c r="T108" s="9">
        <v>24288000000</v>
      </c>
      <c r="U108" s="8">
        <v>1782142000</v>
      </c>
      <c r="V108" s="10">
        <v>133226000</v>
      </c>
      <c r="W108" s="10" t="s">
        <v>46</v>
      </c>
      <c r="X108" s="10" t="s">
        <v>46</v>
      </c>
      <c r="Y108" s="8">
        <v>-571807000</v>
      </c>
      <c r="Z108" s="9">
        <v>22506000000</v>
      </c>
      <c r="AA108" s="10" t="s">
        <v>46</v>
      </c>
      <c r="AB108" s="10" t="s">
        <v>46</v>
      </c>
      <c r="AC108" s="8" t="s">
        <v>46</v>
      </c>
      <c r="AD108" s="8" t="s">
        <v>46</v>
      </c>
      <c r="AE108" s="9">
        <v>20747000000</v>
      </c>
      <c r="AF108" s="8">
        <v>1094516000</v>
      </c>
      <c r="AG108" s="8" t="s">
        <v>46</v>
      </c>
      <c r="AH108" s="9">
        <v>-8299000000</v>
      </c>
      <c r="AI108" s="8" t="s">
        <v>46</v>
      </c>
      <c r="AJ108" s="9">
        <v>-10280000000</v>
      </c>
      <c r="AK108" s="8">
        <v>87000</v>
      </c>
      <c r="AL108" s="8">
        <v>82745000</v>
      </c>
      <c r="AM108" s="8"/>
      <c r="AN108" s="8"/>
      <c r="AO108" s="8"/>
      <c r="AP108" s="8"/>
    </row>
    <row r="109" spans="1:42" ht="17">
      <c r="A109" s="8" t="s">
        <v>63</v>
      </c>
      <c r="B109" s="8" t="s">
        <v>45</v>
      </c>
      <c r="C109" s="8">
        <v>16542039000</v>
      </c>
      <c r="D109" s="8">
        <v>2985285000</v>
      </c>
      <c r="E109" s="10">
        <v>1228682000</v>
      </c>
      <c r="F109" s="8">
        <v>1228682000</v>
      </c>
      <c r="G109" s="8">
        <v>161317000</v>
      </c>
      <c r="H109" s="8">
        <v>1404674000</v>
      </c>
      <c r="I109" s="9">
        <v>13557000000</v>
      </c>
      <c r="J109" s="8" t="s">
        <v>46</v>
      </c>
      <c r="K109" s="10" t="s">
        <v>46</v>
      </c>
      <c r="L109" s="8">
        <v>5534831000</v>
      </c>
      <c r="M109" s="8">
        <v>5534831000</v>
      </c>
      <c r="N109" s="8">
        <v>4186718000</v>
      </c>
      <c r="O109" s="10" t="s">
        <v>46</v>
      </c>
      <c r="P109" s="10" t="s">
        <v>46</v>
      </c>
      <c r="Q109" s="8" t="s">
        <v>46</v>
      </c>
      <c r="R109" s="10">
        <v>292267000</v>
      </c>
      <c r="S109" s="8" t="s">
        <v>46</v>
      </c>
      <c r="T109" s="9">
        <v>24014000000</v>
      </c>
      <c r="U109" s="8">
        <v>1428962000</v>
      </c>
      <c r="V109" s="10">
        <v>121575000</v>
      </c>
      <c r="W109" s="10" t="s">
        <v>46</v>
      </c>
      <c r="X109" s="10" t="s">
        <v>46</v>
      </c>
      <c r="Y109" s="8">
        <v>268638000</v>
      </c>
      <c r="Z109" s="9">
        <v>22585000000</v>
      </c>
      <c r="AA109" s="10" t="s">
        <v>46</v>
      </c>
      <c r="AB109" s="10" t="s">
        <v>46</v>
      </c>
      <c r="AC109" s="8" t="s">
        <v>46</v>
      </c>
      <c r="AD109" s="8" t="s">
        <v>46</v>
      </c>
      <c r="AE109" s="9">
        <v>20207000000</v>
      </c>
      <c r="AF109" s="8">
        <v>895513000</v>
      </c>
      <c r="AG109" s="8" t="s">
        <v>46</v>
      </c>
      <c r="AH109" s="9">
        <v>-7994000000</v>
      </c>
      <c r="AI109" s="8" t="s">
        <v>46</v>
      </c>
      <c r="AJ109" s="9">
        <v>-9857000000</v>
      </c>
      <c r="AK109" s="8">
        <v>83000</v>
      </c>
      <c r="AL109" s="8">
        <v>82487000</v>
      </c>
      <c r="AM109" s="8"/>
      <c r="AN109" s="8"/>
      <c r="AO109" s="8"/>
      <c r="AP109" s="8"/>
    </row>
    <row r="110" spans="1:42" ht="17">
      <c r="A110" s="8" t="s">
        <v>65</v>
      </c>
      <c r="B110" s="8" t="s">
        <v>45</v>
      </c>
      <c r="C110" s="8">
        <v>17479867000</v>
      </c>
      <c r="D110" s="8">
        <v>3622658000</v>
      </c>
      <c r="E110" s="10">
        <v>1920926000</v>
      </c>
      <c r="F110" s="8">
        <v>1920926000</v>
      </c>
      <c r="G110" s="8">
        <v>124114000</v>
      </c>
      <c r="H110" s="8">
        <v>1393365000</v>
      </c>
      <c r="I110" s="9">
        <v>13857000000</v>
      </c>
      <c r="J110" s="8" t="s">
        <v>46</v>
      </c>
      <c r="K110" s="10" t="s">
        <v>46</v>
      </c>
      <c r="L110" s="8">
        <v>5826390000</v>
      </c>
      <c r="M110" s="8">
        <v>5826390000</v>
      </c>
      <c r="N110" s="8">
        <v>4119326000</v>
      </c>
      <c r="O110" s="10" t="s">
        <v>46</v>
      </c>
      <c r="P110" s="10" t="s">
        <v>46</v>
      </c>
      <c r="Q110" s="8" t="s">
        <v>46</v>
      </c>
      <c r="R110" s="10">
        <v>285850000</v>
      </c>
      <c r="S110" s="8" t="s">
        <v>46</v>
      </c>
      <c r="T110" s="9">
        <v>24685000000</v>
      </c>
      <c r="U110" s="8">
        <v>2118064000</v>
      </c>
      <c r="V110" s="10">
        <v>127263000</v>
      </c>
      <c r="W110" s="10" t="s">
        <v>46</v>
      </c>
      <c r="X110" s="10" t="s">
        <v>46</v>
      </c>
      <c r="Y110" s="8">
        <v>867735000</v>
      </c>
      <c r="Z110" s="9">
        <v>22566000000</v>
      </c>
      <c r="AA110" s="10" t="s">
        <v>46</v>
      </c>
      <c r="AB110" s="10" t="s">
        <v>46</v>
      </c>
      <c r="AC110" s="8" t="s">
        <v>46</v>
      </c>
      <c r="AD110" s="8" t="s">
        <v>46</v>
      </c>
      <c r="AE110" s="9">
        <v>20607000000</v>
      </c>
      <c r="AF110" s="8">
        <v>970288000</v>
      </c>
      <c r="AG110" s="8" t="s">
        <v>46</v>
      </c>
      <c r="AH110" s="9">
        <v>-7696000000</v>
      </c>
      <c r="AI110" s="8" t="s">
        <v>46</v>
      </c>
      <c r="AJ110" s="9">
        <v>-9555000000</v>
      </c>
      <c r="AK110" s="8">
        <v>83000</v>
      </c>
      <c r="AL110" s="8">
        <v>81653000</v>
      </c>
      <c r="AM110" s="8"/>
      <c r="AN110" s="8"/>
      <c r="AO110" s="8"/>
      <c r="AP110" s="8"/>
    </row>
    <row r="111" spans="1:42" ht="17">
      <c r="A111" s="8" t="s">
        <v>66</v>
      </c>
      <c r="B111" s="8" t="s">
        <v>45</v>
      </c>
      <c r="C111" s="8">
        <v>18047101000</v>
      </c>
      <c r="D111" s="8">
        <v>3658845000</v>
      </c>
      <c r="E111" s="10">
        <v>1883994000</v>
      </c>
      <c r="F111" s="8">
        <v>1883994000</v>
      </c>
      <c r="G111" s="8">
        <v>81669000</v>
      </c>
      <c r="H111" s="8">
        <v>1437907000</v>
      </c>
      <c r="I111" s="9">
        <v>14388000000</v>
      </c>
      <c r="J111" s="8" t="s">
        <v>46</v>
      </c>
      <c r="K111" s="10" t="s">
        <v>46</v>
      </c>
      <c r="L111" s="8">
        <v>6161301000</v>
      </c>
      <c r="M111" s="8">
        <v>6161301000</v>
      </c>
      <c r="N111" s="8">
        <v>4125005000</v>
      </c>
      <c r="O111" s="10" t="s">
        <v>46</v>
      </c>
      <c r="P111" s="10" t="s">
        <v>46</v>
      </c>
      <c r="Q111" s="8" t="s">
        <v>46</v>
      </c>
      <c r="R111" s="10">
        <v>311106000</v>
      </c>
      <c r="S111" s="8" t="s">
        <v>46</v>
      </c>
      <c r="T111" s="9">
        <v>24436000000</v>
      </c>
      <c r="U111" s="8">
        <v>1544136000</v>
      </c>
      <c r="V111" s="10">
        <v>132193000</v>
      </c>
      <c r="W111" s="10" t="s">
        <v>46</v>
      </c>
      <c r="X111" s="10" t="s">
        <v>46</v>
      </c>
      <c r="Y111" s="8">
        <v>398779000</v>
      </c>
      <c r="Z111" s="9">
        <v>22892000000</v>
      </c>
      <c r="AA111" s="10" t="s">
        <v>46</v>
      </c>
      <c r="AB111" s="10" t="s">
        <v>46</v>
      </c>
      <c r="AC111" s="8" t="s">
        <v>46</v>
      </c>
      <c r="AD111" s="8" t="s">
        <v>46</v>
      </c>
      <c r="AE111" s="9">
        <v>20702000000</v>
      </c>
      <c r="AF111" s="8">
        <v>863547000</v>
      </c>
      <c r="AG111" s="8" t="s">
        <v>46</v>
      </c>
      <c r="AH111" s="9">
        <v>-6845000000</v>
      </c>
      <c r="AI111" s="8" t="s">
        <v>46</v>
      </c>
      <c r="AJ111" s="9">
        <v>-9076000000</v>
      </c>
      <c r="AK111" s="8">
        <v>82000</v>
      </c>
      <c r="AL111" s="8">
        <v>81296000</v>
      </c>
      <c r="AM111" s="8"/>
      <c r="AN111" s="8"/>
      <c r="AO111" s="8"/>
      <c r="AP111" s="8"/>
    </row>
    <row r="112" spans="1:42" ht="17">
      <c r="A112" s="8" t="s">
        <v>67</v>
      </c>
      <c r="B112" s="8" t="s">
        <v>45</v>
      </c>
      <c r="C112" s="8">
        <v>21125463000</v>
      </c>
      <c r="D112" s="8">
        <v>2066555000</v>
      </c>
      <c r="E112" s="10">
        <v>239846000</v>
      </c>
      <c r="F112" s="8">
        <v>239846000</v>
      </c>
      <c r="G112" s="8">
        <v>133217000</v>
      </c>
      <c r="H112" s="8">
        <v>1477919000</v>
      </c>
      <c r="I112" s="9">
        <v>19059000000</v>
      </c>
      <c r="J112" s="8" t="s">
        <v>46</v>
      </c>
      <c r="K112" s="10" t="s">
        <v>46</v>
      </c>
      <c r="L112" s="8">
        <v>7430591000</v>
      </c>
      <c r="M112" s="8">
        <v>7430591000</v>
      </c>
      <c r="N112" s="8">
        <v>7090621000</v>
      </c>
      <c r="O112" s="10" t="s">
        <v>46</v>
      </c>
      <c r="P112" s="10" t="s">
        <v>46</v>
      </c>
      <c r="Q112" s="8" t="s">
        <v>46</v>
      </c>
      <c r="R112" s="10">
        <v>348790000</v>
      </c>
      <c r="S112" s="8" t="s">
        <v>46</v>
      </c>
      <c r="T112" s="9">
        <v>23615000000</v>
      </c>
      <c r="U112" s="8">
        <v>1845946000</v>
      </c>
      <c r="V112" s="10">
        <v>155240000</v>
      </c>
      <c r="W112" s="10" t="s">
        <v>46</v>
      </c>
      <c r="X112" s="10" t="s">
        <v>46</v>
      </c>
      <c r="Y112" s="8">
        <v>562923000</v>
      </c>
      <c r="Z112" s="9">
        <v>21770000000</v>
      </c>
      <c r="AA112" s="10" t="s">
        <v>46</v>
      </c>
      <c r="AB112" s="10" t="s">
        <v>46</v>
      </c>
      <c r="AC112" s="8" t="s">
        <v>46</v>
      </c>
      <c r="AD112" s="8" t="s">
        <v>46</v>
      </c>
      <c r="AE112" s="9">
        <v>19504000000</v>
      </c>
      <c r="AF112" s="8">
        <v>974630000</v>
      </c>
      <c r="AG112" s="8" t="s">
        <v>46</v>
      </c>
      <c r="AH112" s="9">
        <v>-2916000000</v>
      </c>
      <c r="AI112" s="8" t="s">
        <v>46</v>
      </c>
      <c r="AJ112" s="9">
        <v>-5042000000</v>
      </c>
      <c r="AK112" s="8">
        <v>82000</v>
      </c>
      <c r="AL112" s="8">
        <v>323487000</v>
      </c>
      <c r="AM112" s="8"/>
      <c r="AN112" s="8"/>
      <c r="AO112" s="8"/>
      <c r="AP112" s="8"/>
    </row>
    <row r="113" spans="1:42" ht="16">
      <c r="A113" s="8"/>
      <c r="B113" s="8"/>
      <c r="C113" s="8"/>
      <c r="D113" s="8"/>
      <c r="E113" s="10"/>
      <c r="F113" s="8"/>
      <c r="G113" s="8"/>
      <c r="H113" s="8"/>
      <c r="I113" s="8"/>
      <c r="J113" s="8"/>
      <c r="K113" s="10"/>
      <c r="L113" s="8"/>
      <c r="M113" s="8"/>
      <c r="N113" s="8"/>
      <c r="O113" s="10"/>
      <c r="P113" s="10"/>
      <c r="Q113" s="8"/>
      <c r="R113" s="10"/>
      <c r="S113" s="8"/>
      <c r="T113" s="8"/>
      <c r="U113" s="8"/>
      <c r="V113" s="10"/>
      <c r="W113" s="10"/>
      <c r="X113" s="10"/>
      <c r="Y113" s="8"/>
      <c r="Z113" s="8"/>
      <c r="AA113" s="10"/>
      <c r="AB113" s="10"/>
      <c r="AC113" s="8"/>
      <c r="AD113" s="8"/>
      <c r="AE113" s="8"/>
      <c r="AF113" s="8"/>
      <c r="AG113" s="8"/>
      <c r="AH113" s="8"/>
      <c r="AI113" s="8"/>
      <c r="AJ113" s="8"/>
      <c r="AK113" s="8"/>
      <c r="AL113" s="8"/>
      <c r="AM113" s="8"/>
      <c r="AN113" s="8"/>
      <c r="AO113" s="8"/>
      <c r="AP113" s="8"/>
    </row>
    <row r="114" spans="1:42" ht="16">
      <c r="A114" s="8" t="s">
        <v>56</v>
      </c>
      <c r="B114" s="8"/>
      <c r="C114" s="8"/>
      <c r="D114" s="8"/>
      <c r="E114" s="10"/>
      <c r="F114" s="8"/>
      <c r="G114" s="8"/>
      <c r="H114" s="8"/>
      <c r="I114" s="8"/>
      <c r="J114" s="8"/>
      <c r="K114" s="10"/>
      <c r="L114" s="8"/>
      <c r="M114" s="8"/>
      <c r="N114" s="8"/>
      <c r="O114" s="10"/>
      <c r="P114" s="10"/>
      <c r="Q114" s="8"/>
      <c r="R114" s="10"/>
      <c r="S114" s="8"/>
      <c r="T114" s="8"/>
      <c r="U114" s="8"/>
      <c r="V114" s="10"/>
      <c r="W114" s="10"/>
      <c r="X114" s="10"/>
      <c r="Y114" s="8"/>
      <c r="Z114" s="8"/>
      <c r="AA114" s="10"/>
      <c r="AB114" s="10"/>
      <c r="AC114" s="8"/>
      <c r="AD114" s="8"/>
      <c r="AE114" s="8"/>
      <c r="AF114" s="8"/>
      <c r="AG114" s="8"/>
      <c r="AH114" s="8"/>
      <c r="AI114" s="8"/>
      <c r="AJ114" s="8"/>
      <c r="AK114" s="8"/>
      <c r="AL114" s="8"/>
      <c r="AM114" s="8"/>
      <c r="AN114" s="8"/>
      <c r="AO114" s="8"/>
      <c r="AP114" s="8"/>
    </row>
    <row r="115" spans="1:42" ht="17">
      <c r="A115" s="8" t="s">
        <v>17</v>
      </c>
      <c r="B115" s="8" t="s">
        <v>18</v>
      </c>
      <c r="C115" s="8" t="s">
        <v>146</v>
      </c>
      <c r="D115" s="8" t="s">
        <v>147</v>
      </c>
      <c r="E115" s="10" t="s">
        <v>148</v>
      </c>
      <c r="F115" s="8" t="s">
        <v>149</v>
      </c>
      <c r="G115" s="8" t="s">
        <v>150</v>
      </c>
      <c r="H115" s="8" t="s">
        <v>151</v>
      </c>
      <c r="I115" s="8" t="s">
        <v>152</v>
      </c>
      <c r="J115" s="8" t="s">
        <v>153</v>
      </c>
      <c r="K115" s="10" t="s">
        <v>154</v>
      </c>
      <c r="L115" s="8" t="s">
        <v>155</v>
      </c>
      <c r="M115" s="8" t="s">
        <v>156</v>
      </c>
      <c r="N115" s="8" t="s">
        <v>157</v>
      </c>
      <c r="O115" s="10" t="s">
        <v>158</v>
      </c>
      <c r="P115" s="10" t="s">
        <v>159</v>
      </c>
      <c r="Q115" s="8" t="s">
        <v>160</v>
      </c>
      <c r="R115" s="10" t="s">
        <v>161</v>
      </c>
      <c r="S115" s="8" t="s">
        <v>162</v>
      </c>
      <c r="T115" s="8" t="s">
        <v>163</v>
      </c>
      <c r="U115" s="8" t="s">
        <v>164</v>
      </c>
      <c r="V115" s="10" t="s">
        <v>165</v>
      </c>
      <c r="W115" s="10" t="s">
        <v>72</v>
      </c>
      <c r="X115" s="10" t="s">
        <v>73</v>
      </c>
      <c r="Y115" s="8" t="s">
        <v>74</v>
      </c>
      <c r="Z115" s="8" t="s">
        <v>75</v>
      </c>
      <c r="AA115" s="10" t="s">
        <v>76</v>
      </c>
      <c r="AB115" s="10" t="s">
        <v>77</v>
      </c>
      <c r="AC115" s="8" t="s">
        <v>78</v>
      </c>
      <c r="AD115" s="8" t="s">
        <v>79</v>
      </c>
      <c r="AE115" s="8" t="s">
        <v>80</v>
      </c>
      <c r="AF115" s="8" t="s">
        <v>81</v>
      </c>
      <c r="AG115" s="8" t="s">
        <v>82</v>
      </c>
      <c r="AH115" s="8" t="s">
        <v>83</v>
      </c>
      <c r="AI115" s="8" t="s">
        <v>84</v>
      </c>
      <c r="AJ115" s="8" t="s">
        <v>85</v>
      </c>
      <c r="AK115" s="8" t="s">
        <v>86</v>
      </c>
      <c r="AL115" s="8" t="s">
        <v>87</v>
      </c>
      <c r="AM115" s="8"/>
      <c r="AN115" s="8"/>
      <c r="AO115" s="8"/>
      <c r="AP115" s="8"/>
    </row>
    <row r="116" spans="1:42" ht="17">
      <c r="A116" s="8" t="s">
        <v>71</v>
      </c>
      <c r="B116" s="8" t="s">
        <v>45</v>
      </c>
      <c r="C116" s="8">
        <v>5268093000</v>
      </c>
      <c r="D116" s="8">
        <v>1159561000</v>
      </c>
      <c r="E116" s="10">
        <v>167714000</v>
      </c>
      <c r="F116" s="8">
        <v>167714000</v>
      </c>
      <c r="G116" s="8" t="s">
        <v>46</v>
      </c>
      <c r="H116" s="8">
        <v>817533000</v>
      </c>
      <c r="I116" s="8">
        <v>4108532000</v>
      </c>
      <c r="J116" s="8" t="s">
        <v>46</v>
      </c>
      <c r="K116" s="10" t="s">
        <v>46</v>
      </c>
      <c r="L116" s="8">
        <v>809928000</v>
      </c>
      <c r="M116" s="8">
        <v>809928000</v>
      </c>
      <c r="N116" s="8">
        <v>1105270000</v>
      </c>
      <c r="O116" s="10" t="s">
        <v>46</v>
      </c>
      <c r="P116" s="10" t="s">
        <v>46</v>
      </c>
      <c r="Q116" s="8" t="s">
        <v>46</v>
      </c>
      <c r="R116" s="10">
        <v>174314000</v>
      </c>
      <c r="S116" s="8" t="s">
        <v>46</v>
      </c>
      <c r="T116" s="8">
        <v>6706583000</v>
      </c>
      <c r="U116" s="8">
        <v>729832000</v>
      </c>
      <c r="V116" s="10">
        <v>209967000</v>
      </c>
      <c r="W116" s="10" t="s">
        <v>46</v>
      </c>
      <c r="X116" s="10" t="s">
        <v>46</v>
      </c>
      <c r="Y116" s="8">
        <v>91276000</v>
      </c>
      <c r="Z116" s="8">
        <v>5976751000</v>
      </c>
      <c r="AA116" s="10">
        <v>774334000</v>
      </c>
      <c r="AB116" s="10">
        <v>5032066000</v>
      </c>
      <c r="AC116" s="8">
        <v>22511000</v>
      </c>
      <c r="AD116" s="8" t="s">
        <v>46</v>
      </c>
      <c r="AE116" s="8">
        <v>5828911000</v>
      </c>
      <c r="AF116" s="8">
        <v>53072000</v>
      </c>
      <c r="AG116" s="8">
        <v>207633000</v>
      </c>
      <c r="AH116" s="9">
        <v>-1438000000</v>
      </c>
      <c r="AI116" s="8" t="s">
        <v>46</v>
      </c>
      <c r="AJ116" s="9">
        <v>-4621000000</v>
      </c>
      <c r="AK116" s="8">
        <v>149000</v>
      </c>
      <c r="AL116" s="8">
        <v>152480000</v>
      </c>
      <c r="AM116" s="8"/>
      <c r="AN116" s="8"/>
      <c r="AO116" s="8"/>
      <c r="AP116" s="8"/>
    </row>
    <row r="117" spans="1:42" ht="17">
      <c r="A117" s="8" t="s">
        <v>44</v>
      </c>
      <c r="B117" s="8" t="s">
        <v>45</v>
      </c>
      <c r="C117" s="8">
        <v>5571696000</v>
      </c>
      <c r="D117" s="8">
        <v>1361842000</v>
      </c>
      <c r="E117" s="10">
        <v>259580000</v>
      </c>
      <c r="F117" s="8">
        <v>259580000</v>
      </c>
      <c r="G117" s="8" t="s">
        <v>46</v>
      </c>
      <c r="H117" s="8">
        <v>993328000</v>
      </c>
      <c r="I117" s="8">
        <v>4209854000</v>
      </c>
      <c r="J117" s="8" t="s">
        <v>46</v>
      </c>
      <c r="K117" s="10" t="s">
        <v>46</v>
      </c>
      <c r="L117" s="8">
        <v>1737510000</v>
      </c>
      <c r="M117" s="8">
        <v>1737510000</v>
      </c>
      <c r="N117" s="8">
        <v>1105156000</v>
      </c>
      <c r="O117" s="10" t="s">
        <v>46</v>
      </c>
      <c r="P117" s="10" t="s">
        <v>46</v>
      </c>
      <c r="Q117" s="8">
        <v>0</v>
      </c>
      <c r="R117" s="10">
        <v>108934000</v>
      </c>
      <c r="S117" s="8" t="s">
        <v>46</v>
      </c>
      <c r="T117" s="8">
        <v>6943476000</v>
      </c>
      <c r="U117" s="8">
        <v>870280000</v>
      </c>
      <c r="V117" s="10">
        <v>253264000</v>
      </c>
      <c r="W117" s="10" t="s">
        <v>46</v>
      </c>
      <c r="X117" s="10" t="s">
        <v>46</v>
      </c>
      <c r="Y117" s="8">
        <v>92017000</v>
      </c>
      <c r="Z117" s="8">
        <v>6073196000</v>
      </c>
      <c r="AA117" s="10">
        <v>786102000</v>
      </c>
      <c r="AB117" s="10">
        <v>5048968000</v>
      </c>
      <c r="AC117" s="8">
        <v>22501000</v>
      </c>
      <c r="AD117" s="8" t="s">
        <v>46</v>
      </c>
      <c r="AE117" s="8">
        <v>5857571000</v>
      </c>
      <c r="AF117" s="8">
        <v>370654000</v>
      </c>
      <c r="AG117" s="8">
        <v>204744000</v>
      </c>
      <c r="AH117" s="9">
        <v>-1377000000</v>
      </c>
      <c r="AI117" s="8" t="s">
        <v>46</v>
      </c>
      <c r="AJ117" s="9">
        <v>-4340000000</v>
      </c>
      <c r="AK117" s="8">
        <v>149000</v>
      </c>
      <c r="AL117" s="8">
        <v>148759947</v>
      </c>
      <c r="AM117" s="8"/>
      <c r="AN117" s="8"/>
      <c r="AO117" s="8"/>
      <c r="AP117" s="8"/>
    </row>
    <row r="118" spans="1:42" ht="17">
      <c r="A118" s="8" t="s">
        <v>88</v>
      </c>
      <c r="B118" s="8" t="s">
        <v>45</v>
      </c>
      <c r="C118" s="8">
        <v>5779010000</v>
      </c>
      <c r="D118" s="8">
        <v>1508031000</v>
      </c>
      <c r="E118" s="10">
        <v>431764000</v>
      </c>
      <c r="F118" s="8">
        <v>431764000</v>
      </c>
      <c r="G118" s="8" t="s">
        <v>46</v>
      </c>
      <c r="H118" s="8">
        <v>894468000</v>
      </c>
      <c r="I118" s="8">
        <v>4270979000</v>
      </c>
      <c r="J118" s="8" t="s">
        <v>46</v>
      </c>
      <c r="K118" s="10" t="s">
        <v>46</v>
      </c>
      <c r="L118" s="8">
        <v>809928000</v>
      </c>
      <c r="M118" s="8">
        <v>809928000</v>
      </c>
      <c r="N118" s="8">
        <v>1105347000</v>
      </c>
      <c r="O118" s="10" t="s">
        <v>46</v>
      </c>
      <c r="P118" s="10" t="s">
        <v>46</v>
      </c>
      <c r="Q118" s="8" t="s">
        <v>46</v>
      </c>
      <c r="R118" s="10">
        <v>181799000</v>
      </c>
      <c r="S118" s="8" t="s">
        <v>46</v>
      </c>
      <c r="T118" s="8">
        <v>7188431000</v>
      </c>
      <c r="U118" s="8">
        <v>780331000</v>
      </c>
      <c r="V118" s="10">
        <v>235756000</v>
      </c>
      <c r="W118" s="10" t="s">
        <v>46</v>
      </c>
      <c r="X118" s="10" t="s">
        <v>46</v>
      </c>
      <c r="Y118" s="8">
        <v>71419000</v>
      </c>
      <c r="Z118" s="8">
        <v>6408100000</v>
      </c>
      <c r="AA118" s="10">
        <v>792094000</v>
      </c>
      <c r="AB118" s="10">
        <v>5220788000</v>
      </c>
      <c r="AC118" s="8">
        <v>1059000</v>
      </c>
      <c r="AD118" s="8" t="s">
        <v>46</v>
      </c>
      <c r="AE118" s="8">
        <v>6013941000</v>
      </c>
      <c r="AF118" s="8">
        <v>310222000</v>
      </c>
      <c r="AG118" s="8">
        <v>193062000</v>
      </c>
      <c r="AH118" s="8">
        <v>-943843000</v>
      </c>
      <c r="AI118" s="8" t="s">
        <v>46</v>
      </c>
      <c r="AJ118" s="9">
        <v>-4372000000</v>
      </c>
      <c r="AK118" s="8">
        <v>149000</v>
      </c>
      <c r="AL118" s="8">
        <v>147062951</v>
      </c>
      <c r="AM118" s="8"/>
      <c r="AN118" s="8"/>
      <c r="AO118" s="8"/>
      <c r="AP118" s="8"/>
    </row>
    <row r="119" spans="1:42" ht="17">
      <c r="A119" s="8" t="s">
        <v>89</v>
      </c>
      <c r="B119" s="8" t="s">
        <v>45</v>
      </c>
      <c r="C119" s="8">
        <v>5769168000</v>
      </c>
      <c r="D119" s="8">
        <v>1422342000</v>
      </c>
      <c r="E119" s="10">
        <v>364744000</v>
      </c>
      <c r="F119" s="8">
        <v>364744000</v>
      </c>
      <c r="G119" s="8">
        <v>1</v>
      </c>
      <c r="H119" s="8">
        <v>898496000</v>
      </c>
      <c r="I119" s="8">
        <v>4346826000</v>
      </c>
      <c r="J119" s="8" t="s">
        <v>46</v>
      </c>
      <c r="K119" s="10" t="s">
        <v>46</v>
      </c>
      <c r="L119" s="8">
        <v>1860358000</v>
      </c>
      <c r="M119" s="8">
        <v>1860358000</v>
      </c>
      <c r="N119" s="8">
        <v>1105244000</v>
      </c>
      <c r="O119" s="10" t="s">
        <v>46</v>
      </c>
      <c r="P119" s="10" t="s">
        <v>46</v>
      </c>
      <c r="Q119" s="8" t="s">
        <v>46</v>
      </c>
      <c r="R119" s="10">
        <v>159102000</v>
      </c>
      <c r="S119" s="8" t="s">
        <v>46</v>
      </c>
      <c r="T119" s="8">
        <v>7143811000</v>
      </c>
      <c r="U119" s="8">
        <v>739008000</v>
      </c>
      <c r="V119" s="10">
        <v>222115000</v>
      </c>
      <c r="W119" s="10" t="s">
        <v>46</v>
      </c>
      <c r="X119" s="10" t="s">
        <v>46</v>
      </c>
      <c r="Y119" s="8">
        <v>145755000</v>
      </c>
      <c r="Z119" s="8">
        <v>6404803000</v>
      </c>
      <c r="AA119" s="10">
        <v>809837000</v>
      </c>
      <c r="AB119" s="10">
        <v>5218194000</v>
      </c>
      <c r="AC119" s="8">
        <v>621000</v>
      </c>
      <c r="AD119" s="8" t="s">
        <v>46</v>
      </c>
      <c r="AE119" s="8">
        <v>6028652000</v>
      </c>
      <c r="AF119" s="8">
        <v>210853000</v>
      </c>
      <c r="AG119" s="8">
        <v>174589000</v>
      </c>
      <c r="AH119" s="9">
        <v>-1380000000</v>
      </c>
      <c r="AI119" s="8" t="s">
        <v>46</v>
      </c>
      <c r="AJ119" s="9">
        <v>-4330000000</v>
      </c>
      <c r="AK119" s="8">
        <v>148000</v>
      </c>
      <c r="AL119" s="8">
        <v>151137000</v>
      </c>
      <c r="AM119" s="8"/>
      <c r="AN119" s="8"/>
      <c r="AO119" s="8"/>
      <c r="AP119" s="8"/>
    </row>
    <row r="120" spans="1:42" ht="17">
      <c r="A120" s="8" t="s">
        <v>90</v>
      </c>
      <c r="B120" s="8" t="s">
        <v>45</v>
      </c>
      <c r="C120" s="8">
        <v>6758312000</v>
      </c>
      <c r="D120" s="8">
        <v>1413072000</v>
      </c>
      <c r="E120" s="10">
        <v>361403000</v>
      </c>
      <c r="F120" s="8">
        <v>361403000</v>
      </c>
      <c r="G120" s="8">
        <v>1</v>
      </c>
      <c r="H120" s="8">
        <v>878353000</v>
      </c>
      <c r="I120" s="8">
        <v>5345240000</v>
      </c>
      <c r="J120" s="8" t="s">
        <v>46</v>
      </c>
      <c r="K120" s="10" t="s">
        <v>46</v>
      </c>
      <c r="L120" s="8">
        <v>2225715000</v>
      </c>
      <c r="M120" s="8">
        <v>2225715000</v>
      </c>
      <c r="N120" s="8">
        <v>1721349000</v>
      </c>
      <c r="O120" s="10" t="s">
        <v>46</v>
      </c>
      <c r="P120" s="10" t="s">
        <v>46</v>
      </c>
      <c r="Q120" s="8" t="s">
        <v>46</v>
      </c>
      <c r="R120" s="10">
        <v>173316000</v>
      </c>
      <c r="S120" s="8" t="s">
        <v>46</v>
      </c>
      <c r="T120" s="8">
        <v>7156886000</v>
      </c>
      <c r="U120" s="8">
        <v>702058000</v>
      </c>
      <c r="V120" s="10">
        <v>215410000</v>
      </c>
      <c r="W120" s="10" t="s">
        <v>46</v>
      </c>
      <c r="X120" s="10" t="s">
        <v>46</v>
      </c>
      <c r="Y120" s="8">
        <v>74064000</v>
      </c>
      <c r="Z120" s="8">
        <v>6454828000</v>
      </c>
      <c r="AA120" s="10">
        <v>823140000</v>
      </c>
      <c r="AB120" s="10">
        <v>5216503000</v>
      </c>
      <c r="AC120" s="8">
        <v>289000</v>
      </c>
      <c r="AD120" s="8" t="s">
        <v>46</v>
      </c>
      <c r="AE120" s="8">
        <v>6039932000</v>
      </c>
      <c r="AF120" s="8">
        <v>249274000</v>
      </c>
      <c r="AG120" s="8">
        <v>173281000</v>
      </c>
      <c r="AH120" s="8">
        <v>-404974000</v>
      </c>
      <c r="AI120" s="8" t="s">
        <v>46</v>
      </c>
      <c r="AJ120" s="9">
        <v>-3349000000</v>
      </c>
      <c r="AK120" s="8">
        <v>146000</v>
      </c>
      <c r="AL120" s="8">
        <v>149795000</v>
      </c>
      <c r="AM120" s="8"/>
      <c r="AN120" s="8"/>
      <c r="AO120" s="8"/>
      <c r="AP120" s="8"/>
    </row>
    <row r="121" spans="1:42" ht="17">
      <c r="A121" s="8" t="s">
        <v>47</v>
      </c>
      <c r="B121" s="8" t="s">
        <v>45</v>
      </c>
      <c r="C121" s="8">
        <v>7419851000</v>
      </c>
      <c r="D121" s="8">
        <v>1506916000</v>
      </c>
      <c r="E121" s="10">
        <v>346382000</v>
      </c>
      <c r="F121" s="8">
        <v>346382000</v>
      </c>
      <c r="G121" s="8">
        <v>1</v>
      </c>
      <c r="H121" s="8">
        <v>1041214000</v>
      </c>
      <c r="I121" s="8">
        <v>5912935000</v>
      </c>
      <c r="J121" s="8" t="s">
        <v>46</v>
      </c>
      <c r="K121" s="10" t="s">
        <v>46</v>
      </c>
      <c r="L121" s="8">
        <v>2287189000</v>
      </c>
      <c r="M121" s="8">
        <v>2287189000</v>
      </c>
      <c r="N121" s="8">
        <v>1721483000</v>
      </c>
      <c r="O121" s="10" t="s">
        <v>46</v>
      </c>
      <c r="P121" s="10" t="s">
        <v>46</v>
      </c>
      <c r="Q121" s="8" t="s">
        <v>46</v>
      </c>
      <c r="R121" s="10">
        <v>119320000</v>
      </c>
      <c r="S121" s="8" t="s">
        <v>46</v>
      </c>
      <c r="T121" s="8">
        <v>7804609000</v>
      </c>
      <c r="U121" s="8">
        <v>848436000</v>
      </c>
      <c r="V121" s="10">
        <v>236162000</v>
      </c>
      <c r="W121" s="10" t="s">
        <v>46</v>
      </c>
      <c r="X121" s="10" t="s">
        <v>46</v>
      </c>
      <c r="Y121" s="8">
        <v>148004000</v>
      </c>
      <c r="Z121" s="8">
        <v>6956173000</v>
      </c>
      <c r="AA121" s="10">
        <v>836652000</v>
      </c>
      <c r="AB121" s="10">
        <v>5214810000</v>
      </c>
      <c r="AC121" s="8">
        <v>340000</v>
      </c>
      <c r="AD121" s="8" t="s">
        <v>46</v>
      </c>
      <c r="AE121" s="8">
        <v>6051802000</v>
      </c>
      <c r="AF121" s="8">
        <v>305730000</v>
      </c>
      <c r="AG121" s="8">
        <v>171535000</v>
      </c>
      <c r="AH121" s="8">
        <v>-394155000</v>
      </c>
      <c r="AI121" s="8" t="s">
        <v>46</v>
      </c>
      <c r="AJ121" s="9">
        <v>-3330000000</v>
      </c>
      <c r="AK121" s="8">
        <v>146000</v>
      </c>
      <c r="AL121" s="8">
        <v>144663062</v>
      </c>
      <c r="AM121" s="8"/>
      <c r="AN121" s="8"/>
      <c r="AO121" s="8"/>
      <c r="AP121" s="8"/>
    </row>
    <row r="122" spans="1:42" ht="17">
      <c r="A122" s="8" t="s">
        <v>91</v>
      </c>
      <c r="B122" s="8" t="s">
        <v>45</v>
      </c>
      <c r="C122" s="8">
        <v>6877500000</v>
      </c>
      <c r="D122" s="8">
        <v>1349000000</v>
      </c>
      <c r="E122" s="10">
        <v>213479000</v>
      </c>
      <c r="F122" s="8">
        <v>213479000</v>
      </c>
      <c r="G122" s="8">
        <v>136693000</v>
      </c>
      <c r="H122" s="8">
        <v>983927000</v>
      </c>
      <c r="I122" s="8">
        <v>5528500000</v>
      </c>
      <c r="J122" s="8" t="s">
        <v>46</v>
      </c>
      <c r="K122" s="10" t="s">
        <v>46</v>
      </c>
      <c r="L122" s="8">
        <v>2347108000</v>
      </c>
      <c r="M122" s="8">
        <v>2347108000</v>
      </c>
      <c r="N122" s="8">
        <v>1721223000</v>
      </c>
      <c r="O122" s="10" t="s">
        <v>46</v>
      </c>
      <c r="P122" s="10" t="s">
        <v>46</v>
      </c>
      <c r="Q122" s="8" t="s">
        <v>46</v>
      </c>
      <c r="R122" s="10">
        <v>151593000</v>
      </c>
      <c r="S122" s="8" t="s">
        <v>46</v>
      </c>
      <c r="T122" s="8">
        <v>7284300000</v>
      </c>
      <c r="U122" s="8">
        <v>742660000</v>
      </c>
      <c r="V122" s="10">
        <v>179707000</v>
      </c>
      <c r="W122" s="10" t="s">
        <v>46</v>
      </c>
      <c r="X122" s="10" t="s">
        <v>46</v>
      </c>
      <c r="Y122" s="8">
        <v>151508000</v>
      </c>
      <c r="Z122" s="8">
        <v>6541679000</v>
      </c>
      <c r="AA122" s="10">
        <v>847627000</v>
      </c>
      <c r="AB122" s="10">
        <v>5228316000</v>
      </c>
      <c r="AC122" s="8">
        <v>390000</v>
      </c>
      <c r="AD122" s="8" t="s">
        <v>46</v>
      </c>
      <c r="AE122" s="8">
        <v>6076333000</v>
      </c>
      <c r="AF122" s="8">
        <v>239472000</v>
      </c>
      <c r="AG122" s="8">
        <v>164048000</v>
      </c>
      <c r="AH122" s="8">
        <v>-406800000</v>
      </c>
      <c r="AI122" s="8" t="s">
        <v>46</v>
      </c>
      <c r="AJ122" s="9">
        <v>-3343000000</v>
      </c>
      <c r="AK122" s="8">
        <v>146000</v>
      </c>
      <c r="AL122" s="8">
        <v>149695000</v>
      </c>
      <c r="AM122" s="8"/>
      <c r="AN122" s="8"/>
      <c r="AO122" s="8"/>
      <c r="AP122" s="8"/>
    </row>
    <row r="123" spans="1:42" ht="17">
      <c r="A123" s="8" t="s">
        <v>92</v>
      </c>
      <c r="B123" s="8" t="s">
        <v>45</v>
      </c>
      <c r="C123" s="8">
        <v>6983800000</v>
      </c>
      <c r="D123" s="8">
        <v>1336400000</v>
      </c>
      <c r="E123" s="10">
        <v>165325000</v>
      </c>
      <c r="F123" s="8">
        <v>165325000</v>
      </c>
      <c r="G123" s="8">
        <v>127388000</v>
      </c>
      <c r="H123" s="8">
        <v>1004807000</v>
      </c>
      <c r="I123" s="8">
        <v>5647400000</v>
      </c>
      <c r="J123" s="8">
        <v>1350407000</v>
      </c>
      <c r="K123" s="10" t="s">
        <v>46</v>
      </c>
      <c r="L123" s="8">
        <v>2408850000</v>
      </c>
      <c r="M123" s="8">
        <v>2408850000</v>
      </c>
      <c r="N123" s="8">
        <v>1721410000</v>
      </c>
      <c r="O123" s="10" t="s">
        <v>46</v>
      </c>
      <c r="P123" s="10" t="s">
        <v>46</v>
      </c>
      <c r="Q123" s="8" t="s">
        <v>46</v>
      </c>
      <c r="R123" s="10">
        <v>166260000</v>
      </c>
      <c r="S123" s="8" t="s">
        <v>46</v>
      </c>
      <c r="T123" s="8">
        <v>7387300000</v>
      </c>
      <c r="U123" s="8">
        <v>730400000</v>
      </c>
      <c r="V123" s="10">
        <v>199947000</v>
      </c>
      <c r="W123" s="10" t="s">
        <v>46</v>
      </c>
      <c r="X123" s="10" t="s">
        <v>46</v>
      </c>
      <c r="Y123" s="8">
        <v>151938000</v>
      </c>
      <c r="Z123" s="8">
        <v>6656900000</v>
      </c>
      <c r="AA123" s="10">
        <v>838536000</v>
      </c>
      <c r="AB123" s="10">
        <v>5315955000</v>
      </c>
      <c r="AC123" s="8">
        <v>440000</v>
      </c>
      <c r="AD123" s="8" t="s">
        <v>46</v>
      </c>
      <c r="AE123" s="8">
        <v>6154931000</v>
      </c>
      <c r="AF123" s="8">
        <v>143085000</v>
      </c>
      <c r="AG123" s="8">
        <v>152254000</v>
      </c>
      <c r="AH123" s="8">
        <v>-403500000</v>
      </c>
      <c r="AI123" s="8" t="s">
        <v>46</v>
      </c>
      <c r="AJ123" s="9">
        <v>-3334000000</v>
      </c>
      <c r="AK123" s="8">
        <v>145000</v>
      </c>
      <c r="AL123" s="8">
        <v>149179000</v>
      </c>
      <c r="AM123" s="8"/>
      <c r="AN123" s="8"/>
      <c r="AO123" s="8"/>
      <c r="AP123" s="8"/>
    </row>
    <row r="124" spans="1:42" ht="17">
      <c r="A124" s="8" t="s">
        <v>93</v>
      </c>
      <c r="B124" s="8" t="s">
        <v>45</v>
      </c>
      <c r="C124" s="8">
        <v>8035200000</v>
      </c>
      <c r="D124" s="8">
        <v>1271300000</v>
      </c>
      <c r="E124" s="10">
        <v>187933000</v>
      </c>
      <c r="F124" s="8">
        <v>187933000</v>
      </c>
      <c r="G124" s="8">
        <v>-28000</v>
      </c>
      <c r="H124" s="8">
        <v>935233000</v>
      </c>
      <c r="I124" s="8">
        <v>6763900000</v>
      </c>
      <c r="J124" s="8" t="s">
        <v>46</v>
      </c>
      <c r="K124" s="10" t="s">
        <v>46</v>
      </c>
      <c r="L124" s="8">
        <v>1476319000</v>
      </c>
      <c r="M124" s="8">
        <v>1476319000</v>
      </c>
      <c r="N124" s="8">
        <v>2313436000</v>
      </c>
      <c r="O124" s="10" t="s">
        <v>46</v>
      </c>
      <c r="P124" s="10" t="s">
        <v>46</v>
      </c>
      <c r="Q124" s="8" t="s">
        <v>46</v>
      </c>
      <c r="R124" s="10">
        <v>148162000</v>
      </c>
      <c r="S124" s="8" t="s">
        <v>46</v>
      </c>
      <c r="T124" s="8">
        <v>7563300000</v>
      </c>
      <c r="U124" s="8">
        <v>656200000</v>
      </c>
      <c r="V124" s="10">
        <v>177270000</v>
      </c>
      <c r="W124" s="10" t="s">
        <v>46</v>
      </c>
      <c r="X124" s="10" t="s">
        <v>46</v>
      </c>
      <c r="Y124" s="8">
        <v>150773000</v>
      </c>
      <c r="Z124" s="8">
        <v>6907100000</v>
      </c>
      <c r="AA124" s="10">
        <v>907592000</v>
      </c>
      <c r="AB124" s="10">
        <v>5394932000</v>
      </c>
      <c r="AC124" s="8">
        <v>525000</v>
      </c>
      <c r="AD124" s="8" t="s">
        <v>46</v>
      </c>
      <c r="AE124" s="8">
        <v>6303049000</v>
      </c>
      <c r="AF124" s="8">
        <v>108858000</v>
      </c>
      <c r="AG124" s="8">
        <v>122760000</v>
      </c>
      <c r="AH124" s="8">
        <v>471900000</v>
      </c>
      <c r="AI124" s="8" t="s">
        <v>46</v>
      </c>
      <c r="AJ124" s="9">
        <v>-2450000000</v>
      </c>
      <c r="AK124" s="8">
        <v>144000</v>
      </c>
      <c r="AL124" s="8">
        <v>148365000</v>
      </c>
      <c r="AM124" s="8"/>
      <c r="AN124" s="8"/>
      <c r="AO124" s="8"/>
      <c r="AP124" s="8"/>
    </row>
    <row r="125" spans="1:42" ht="17">
      <c r="A125" s="8" t="s">
        <v>49</v>
      </c>
      <c r="B125" s="8" t="s">
        <v>45</v>
      </c>
      <c r="C125" s="8">
        <v>8335900000</v>
      </c>
      <c r="D125" s="8">
        <v>1472800000</v>
      </c>
      <c r="E125" s="10">
        <v>336236000</v>
      </c>
      <c r="F125" s="8">
        <v>336236000</v>
      </c>
      <c r="G125" s="8">
        <v>79119000</v>
      </c>
      <c r="H125" s="8">
        <v>1037827000</v>
      </c>
      <c r="I125" s="8">
        <v>6863100000</v>
      </c>
      <c r="J125" s="8">
        <v>1483122000</v>
      </c>
      <c r="K125" s="10" t="s">
        <v>46</v>
      </c>
      <c r="L125" s="8">
        <v>2895989000</v>
      </c>
      <c r="M125" s="8">
        <v>2895989000</v>
      </c>
      <c r="N125" s="8">
        <v>2313403000</v>
      </c>
      <c r="O125" s="10" t="s">
        <v>46</v>
      </c>
      <c r="P125" s="10" t="s">
        <v>46</v>
      </c>
      <c r="Q125" s="8" t="s">
        <v>46</v>
      </c>
      <c r="R125" s="10">
        <v>98716000</v>
      </c>
      <c r="S125" s="8" t="s">
        <v>46</v>
      </c>
      <c r="T125" s="8">
        <v>7651400000</v>
      </c>
      <c r="U125" s="8">
        <v>831200000</v>
      </c>
      <c r="V125" s="10">
        <v>240454000</v>
      </c>
      <c r="W125" s="10" t="s">
        <v>46</v>
      </c>
      <c r="X125" s="10" t="s">
        <v>46</v>
      </c>
      <c r="Y125" s="8">
        <v>70688000</v>
      </c>
      <c r="Z125" s="8">
        <v>6820200000</v>
      </c>
      <c r="AA125" s="10">
        <v>918942000</v>
      </c>
      <c r="AB125" s="10">
        <v>5413503000</v>
      </c>
      <c r="AC125" s="8">
        <v>664000</v>
      </c>
      <c r="AD125" s="8" t="s">
        <v>46</v>
      </c>
      <c r="AE125" s="8">
        <v>6333109000</v>
      </c>
      <c r="AF125" s="8">
        <v>389592000</v>
      </c>
      <c r="AG125" s="8">
        <v>73332000</v>
      </c>
      <c r="AH125" s="8">
        <v>684500000</v>
      </c>
      <c r="AI125" s="8" t="s">
        <v>46</v>
      </c>
      <c r="AJ125" s="9">
        <v>-2227000000</v>
      </c>
      <c r="AK125" s="8">
        <v>144000</v>
      </c>
      <c r="AL125" s="8">
        <v>143250124</v>
      </c>
      <c r="AM125" s="8"/>
      <c r="AN125" s="8"/>
      <c r="AO125" s="8"/>
      <c r="AP125" s="8"/>
    </row>
    <row r="126" spans="1:42" ht="17">
      <c r="A126" s="8" t="s">
        <v>94</v>
      </c>
      <c r="B126" s="8" t="s">
        <v>45</v>
      </c>
      <c r="C126" s="8">
        <v>8329699000</v>
      </c>
      <c r="D126" s="8">
        <v>1408577000</v>
      </c>
      <c r="E126" s="10">
        <v>295399000</v>
      </c>
      <c r="F126" s="8">
        <v>295399000</v>
      </c>
      <c r="G126" s="8">
        <v>113718000</v>
      </c>
      <c r="H126" s="8">
        <v>981144000</v>
      </c>
      <c r="I126" s="8">
        <v>6921122000</v>
      </c>
      <c r="J126" s="8">
        <v>1484125000</v>
      </c>
      <c r="K126" s="10" t="s">
        <v>46</v>
      </c>
      <c r="L126" s="8">
        <v>2953661000</v>
      </c>
      <c r="M126" s="8">
        <v>2953661000</v>
      </c>
      <c r="N126" s="8">
        <v>2313182000</v>
      </c>
      <c r="O126" s="10" t="s">
        <v>46</v>
      </c>
      <c r="P126" s="10" t="s">
        <v>46</v>
      </c>
      <c r="Q126" s="8" t="s">
        <v>46</v>
      </c>
      <c r="R126" s="10">
        <v>132034000</v>
      </c>
      <c r="S126" s="8" t="s">
        <v>46</v>
      </c>
      <c r="T126" s="8">
        <v>7736889000</v>
      </c>
      <c r="U126" s="8">
        <v>740044000</v>
      </c>
      <c r="V126" s="10">
        <v>204916000</v>
      </c>
      <c r="W126" s="10" t="s">
        <v>46</v>
      </c>
      <c r="X126" s="10" t="s">
        <v>46</v>
      </c>
      <c r="Y126" s="8">
        <v>96841000</v>
      </c>
      <c r="Z126" s="8">
        <v>6996845000</v>
      </c>
      <c r="AA126" s="10">
        <v>898500000</v>
      </c>
      <c r="AB126" s="10">
        <v>5553049000</v>
      </c>
      <c r="AC126" s="8">
        <v>665000</v>
      </c>
      <c r="AD126" s="8" t="s">
        <v>46</v>
      </c>
      <c r="AE126" s="8">
        <v>6452214000</v>
      </c>
      <c r="AF126" s="8">
        <v>287222000</v>
      </c>
      <c r="AG126" s="8">
        <v>66456000</v>
      </c>
      <c r="AH126" s="8">
        <v>583751000</v>
      </c>
      <c r="AI126" s="8" t="s">
        <v>46</v>
      </c>
      <c r="AJ126" s="9">
        <v>-2307000000</v>
      </c>
      <c r="AK126" s="8">
        <v>144000</v>
      </c>
      <c r="AL126" s="8">
        <v>148299000</v>
      </c>
      <c r="AM126" s="8"/>
      <c r="AN126" s="8"/>
      <c r="AO126" s="8"/>
      <c r="AP126" s="8"/>
    </row>
    <row r="127" spans="1:42" ht="17">
      <c r="A127" s="8" t="s">
        <v>95</v>
      </c>
      <c r="B127" s="8" t="s">
        <v>45</v>
      </c>
      <c r="C127" s="8">
        <v>8701117000</v>
      </c>
      <c r="D127" s="8">
        <v>1372117000</v>
      </c>
      <c r="E127" s="10">
        <v>294831000</v>
      </c>
      <c r="F127" s="8">
        <v>294831000</v>
      </c>
      <c r="G127" s="8">
        <v>94099000</v>
      </c>
      <c r="H127" s="8">
        <v>967120000</v>
      </c>
      <c r="I127" s="8">
        <v>7329000000</v>
      </c>
      <c r="J127" s="8">
        <v>1524235000</v>
      </c>
      <c r="K127" s="10" t="s">
        <v>46</v>
      </c>
      <c r="L127" s="8">
        <v>3318497000</v>
      </c>
      <c r="M127" s="8">
        <v>3318497000</v>
      </c>
      <c r="N127" s="8">
        <v>2313349000</v>
      </c>
      <c r="O127" s="10" t="s">
        <v>46</v>
      </c>
      <c r="P127" s="10" t="s">
        <v>46</v>
      </c>
      <c r="Q127" s="8" t="s">
        <v>46</v>
      </c>
      <c r="R127" s="10">
        <v>110166000</v>
      </c>
      <c r="S127" s="8" t="s">
        <v>46</v>
      </c>
      <c r="T127" s="8">
        <v>7807696000</v>
      </c>
      <c r="U127" s="8">
        <v>758180000</v>
      </c>
      <c r="V127" s="10">
        <v>198983000</v>
      </c>
      <c r="W127" s="10" t="s">
        <v>46</v>
      </c>
      <c r="X127" s="10" t="s">
        <v>46</v>
      </c>
      <c r="Y127" s="8">
        <v>84599000</v>
      </c>
      <c r="Z127" s="8">
        <v>7049516000</v>
      </c>
      <c r="AA127" s="10">
        <v>901379000</v>
      </c>
      <c r="AB127" s="10">
        <v>5626744000</v>
      </c>
      <c r="AC127" s="8">
        <v>675000</v>
      </c>
      <c r="AD127" s="8" t="s">
        <v>46</v>
      </c>
      <c r="AE127" s="8">
        <v>6528798000</v>
      </c>
      <c r="AF127" s="8">
        <v>312677000</v>
      </c>
      <c r="AG127" s="8">
        <v>65717000</v>
      </c>
      <c r="AH127" s="8">
        <v>884762000</v>
      </c>
      <c r="AI127" s="8" t="s">
        <v>46</v>
      </c>
      <c r="AJ127" s="9">
        <v>-1997000000</v>
      </c>
      <c r="AK127" s="8">
        <v>143000</v>
      </c>
      <c r="AL127" s="8">
        <v>149131000</v>
      </c>
      <c r="AM127" s="8"/>
      <c r="AN127" s="8"/>
      <c r="AO127" s="8"/>
      <c r="AP127" s="8"/>
    </row>
    <row r="128" spans="1:42" ht="17">
      <c r="A128" s="8" t="s">
        <v>96</v>
      </c>
      <c r="B128" s="8" t="s">
        <v>45</v>
      </c>
      <c r="C128" s="8">
        <v>8627012000</v>
      </c>
      <c r="D128" s="8">
        <v>1315897000</v>
      </c>
      <c r="E128" s="10">
        <v>279683000</v>
      </c>
      <c r="F128" s="8">
        <v>279683000</v>
      </c>
      <c r="G128" s="8">
        <v>86191000</v>
      </c>
      <c r="H128" s="8">
        <v>906901000</v>
      </c>
      <c r="I128" s="8">
        <v>7311115000</v>
      </c>
      <c r="J128" s="8">
        <v>1476244000</v>
      </c>
      <c r="K128" s="10" t="s">
        <v>46</v>
      </c>
      <c r="L128" s="8">
        <v>3381506000</v>
      </c>
      <c r="M128" s="8">
        <v>3381506000</v>
      </c>
      <c r="N128" s="8">
        <v>2313491000</v>
      </c>
      <c r="O128" s="10" t="s">
        <v>46</v>
      </c>
      <c r="P128" s="10" t="s">
        <v>46</v>
      </c>
      <c r="Q128" s="8" t="s">
        <v>46</v>
      </c>
      <c r="R128" s="10">
        <v>129313000</v>
      </c>
      <c r="S128" s="8" t="s">
        <v>46</v>
      </c>
      <c r="T128" s="8">
        <v>7754991000</v>
      </c>
      <c r="U128" s="8">
        <v>687846000</v>
      </c>
      <c r="V128" s="10">
        <v>156875000</v>
      </c>
      <c r="W128" s="10" t="s">
        <v>46</v>
      </c>
      <c r="X128" s="10" t="s">
        <v>46</v>
      </c>
      <c r="Y128" s="8">
        <v>166515000</v>
      </c>
      <c r="Z128" s="8">
        <v>7067145000</v>
      </c>
      <c r="AA128" s="10">
        <v>810041000</v>
      </c>
      <c r="AB128" s="10">
        <v>5739421000</v>
      </c>
      <c r="AC128" s="8">
        <v>719000</v>
      </c>
      <c r="AD128" s="8" t="s">
        <v>46</v>
      </c>
      <c r="AE128" s="8">
        <v>6550181000</v>
      </c>
      <c r="AF128" s="8">
        <v>208057000</v>
      </c>
      <c r="AG128" s="8">
        <v>66149000</v>
      </c>
      <c r="AH128" s="8">
        <v>863955000</v>
      </c>
      <c r="AI128" s="8">
        <v>-6798000</v>
      </c>
      <c r="AJ128" s="9">
        <v>-2011000000</v>
      </c>
      <c r="AK128" s="8">
        <v>143000</v>
      </c>
      <c r="AL128" s="8">
        <v>147513000</v>
      </c>
      <c r="AM128" s="8"/>
      <c r="AN128" s="8"/>
      <c r="AO128" s="8"/>
      <c r="AP128" s="8"/>
    </row>
    <row r="129" spans="1:42" ht="17">
      <c r="A129" s="8" t="s">
        <v>50</v>
      </c>
      <c r="B129" s="8" t="s">
        <v>45</v>
      </c>
      <c r="C129" s="8">
        <v>8881300000</v>
      </c>
      <c r="D129" s="8">
        <v>1472900000</v>
      </c>
      <c r="E129" s="10">
        <v>352129000</v>
      </c>
      <c r="F129" s="8">
        <v>352129000</v>
      </c>
      <c r="G129" s="8">
        <v>3154000</v>
      </c>
      <c r="H129" s="8">
        <v>1030380000</v>
      </c>
      <c r="I129" s="8">
        <v>7408400000</v>
      </c>
      <c r="J129" s="8">
        <v>782093000</v>
      </c>
      <c r="K129" s="10" t="s">
        <v>46</v>
      </c>
      <c r="L129" s="8">
        <v>3444645000</v>
      </c>
      <c r="M129" s="8">
        <v>3444645000</v>
      </c>
      <c r="N129" s="8">
        <v>2313581000</v>
      </c>
      <c r="O129" s="10" t="s">
        <v>46</v>
      </c>
      <c r="P129" s="10">
        <v>85925000</v>
      </c>
      <c r="Q129" s="8">
        <v>-29000</v>
      </c>
      <c r="R129" s="10">
        <v>87204000</v>
      </c>
      <c r="S129" s="8" t="s">
        <v>46</v>
      </c>
      <c r="T129" s="8">
        <v>7965500000</v>
      </c>
      <c r="U129" s="8">
        <v>848700000</v>
      </c>
      <c r="V129" s="10">
        <v>206007000</v>
      </c>
      <c r="W129" s="10" t="s">
        <v>46</v>
      </c>
      <c r="X129" s="10" t="s">
        <v>46</v>
      </c>
      <c r="Y129" s="8">
        <v>89258000</v>
      </c>
      <c r="Z129" s="8">
        <v>7116800000</v>
      </c>
      <c r="AA129" s="10">
        <v>827399000</v>
      </c>
      <c r="AB129" s="10">
        <v>5738195000</v>
      </c>
      <c r="AC129" s="8">
        <v>673000</v>
      </c>
      <c r="AD129" s="8" t="s">
        <v>46</v>
      </c>
      <c r="AE129" s="8">
        <v>6566267000</v>
      </c>
      <c r="AF129" s="8">
        <v>421028000</v>
      </c>
      <c r="AG129" s="8">
        <v>80897000</v>
      </c>
      <c r="AH129" s="8">
        <v>915800000</v>
      </c>
      <c r="AI129" s="8">
        <v>-6282000</v>
      </c>
      <c r="AJ129" s="9">
        <v>-1963000000</v>
      </c>
      <c r="AK129" s="8">
        <v>142000</v>
      </c>
      <c r="AL129" s="8">
        <v>142224129</v>
      </c>
      <c r="AM129" s="8"/>
      <c r="AN129" s="8"/>
      <c r="AO129" s="8"/>
      <c r="AP129" s="8"/>
    </row>
    <row r="130" spans="1:42" ht="17">
      <c r="A130" s="8" t="s">
        <v>97</v>
      </c>
      <c r="B130" s="8" t="s">
        <v>45</v>
      </c>
      <c r="C130" s="8">
        <v>8810614000</v>
      </c>
      <c r="D130" s="8">
        <v>1356016000</v>
      </c>
      <c r="E130" s="10">
        <v>369094000</v>
      </c>
      <c r="F130" s="8">
        <v>369094000</v>
      </c>
      <c r="G130" s="8">
        <v>98204000</v>
      </c>
      <c r="H130" s="8">
        <v>857970000</v>
      </c>
      <c r="I130" s="8">
        <v>7454598000</v>
      </c>
      <c r="J130" s="8">
        <v>1517476000</v>
      </c>
      <c r="K130" s="10" t="s">
        <v>46</v>
      </c>
      <c r="L130" s="8">
        <v>3507410000</v>
      </c>
      <c r="M130" s="8">
        <v>3507410000</v>
      </c>
      <c r="N130" s="8">
        <v>2313824000</v>
      </c>
      <c r="O130" s="10" t="s">
        <v>46</v>
      </c>
      <c r="P130" s="10" t="s">
        <v>46</v>
      </c>
      <c r="Q130" s="8" t="s">
        <v>46</v>
      </c>
      <c r="R130" s="10">
        <v>128952000</v>
      </c>
      <c r="S130" s="8" t="s">
        <v>46</v>
      </c>
      <c r="T130" s="8">
        <v>8012593000</v>
      </c>
      <c r="U130" s="8">
        <v>782287000</v>
      </c>
      <c r="V130" s="10">
        <v>190125000</v>
      </c>
      <c r="W130" s="10" t="s">
        <v>46</v>
      </c>
      <c r="X130" s="10" t="s">
        <v>46</v>
      </c>
      <c r="Y130" s="8">
        <v>194385000</v>
      </c>
      <c r="Z130" s="8">
        <v>7230306000</v>
      </c>
      <c r="AA130" s="10">
        <v>817956000</v>
      </c>
      <c r="AB130" s="10">
        <v>5736650000</v>
      </c>
      <c r="AC130" s="8">
        <v>725000</v>
      </c>
      <c r="AD130" s="8" t="s">
        <v>46</v>
      </c>
      <c r="AE130" s="8">
        <v>6555331000</v>
      </c>
      <c r="AF130" s="8">
        <v>271669000</v>
      </c>
      <c r="AG130" s="8">
        <v>138725000</v>
      </c>
      <c r="AH130" s="8">
        <v>789747000</v>
      </c>
      <c r="AI130" s="8">
        <v>-6147000</v>
      </c>
      <c r="AJ130" s="9">
        <v>-2074000000</v>
      </c>
      <c r="AK130" s="8">
        <v>142000</v>
      </c>
      <c r="AL130" s="8">
        <v>150397000</v>
      </c>
      <c r="AM130" s="8"/>
      <c r="AN130" s="8"/>
      <c r="AO130" s="8"/>
      <c r="AP130" s="8"/>
    </row>
    <row r="131" spans="1:42" ht="17">
      <c r="A131" s="8" t="s">
        <v>98</v>
      </c>
      <c r="B131" s="8" t="s">
        <v>45</v>
      </c>
      <c r="C131" s="8">
        <v>9064126000</v>
      </c>
      <c r="D131" s="8">
        <v>1511039000</v>
      </c>
      <c r="E131" s="10">
        <v>583341000</v>
      </c>
      <c r="F131" s="8">
        <v>583341000</v>
      </c>
      <c r="G131" s="8">
        <v>101529000</v>
      </c>
      <c r="H131" s="8">
        <v>788872000</v>
      </c>
      <c r="I131" s="8">
        <v>7553087000</v>
      </c>
      <c r="J131" s="8">
        <v>1561012000</v>
      </c>
      <c r="K131" s="10" t="s">
        <v>46</v>
      </c>
      <c r="L131" s="8">
        <v>3564635000</v>
      </c>
      <c r="M131" s="8">
        <v>3564635000</v>
      </c>
      <c r="N131" s="8">
        <v>2313425000</v>
      </c>
      <c r="O131" s="10" t="s">
        <v>46</v>
      </c>
      <c r="P131" s="10" t="s">
        <v>46</v>
      </c>
      <c r="Q131" s="8" t="s">
        <v>46</v>
      </c>
      <c r="R131" s="10">
        <v>138826000</v>
      </c>
      <c r="S131" s="8" t="s">
        <v>46</v>
      </c>
      <c r="T131" s="8">
        <v>8275281000</v>
      </c>
      <c r="U131" s="8">
        <v>1019131000</v>
      </c>
      <c r="V131" s="10">
        <v>183241000</v>
      </c>
      <c r="W131" s="10" t="s">
        <v>46</v>
      </c>
      <c r="X131" s="10" t="s">
        <v>46</v>
      </c>
      <c r="Y131" s="8">
        <v>455472000</v>
      </c>
      <c r="Z131" s="8">
        <v>7256150000</v>
      </c>
      <c r="AA131" s="10">
        <v>822833000</v>
      </c>
      <c r="AB131" s="10">
        <v>5721038000</v>
      </c>
      <c r="AC131" s="8">
        <v>278342000</v>
      </c>
      <c r="AD131" s="8" t="s">
        <v>46</v>
      </c>
      <c r="AE131" s="8">
        <v>6822213000</v>
      </c>
      <c r="AF131" s="8">
        <v>252707000</v>
      </c>
      <c r="AG131" s="8">
        <v>72313000</v>
      </c>
      <c r="AH131" s="8">
        <v>780877000</v>
      </c>
      <c r="AI131" s="8">
        <v>-5231000</v>
      </c>
      <c r="AJ131" s="9">
        <v>-2078000000</v>
      </c>
      <c r="AK131" s="8">
        <v>142000</v>
      </c>
      <c r="AL131" s="8">
        <v>146509000</v>
      </c>
      <c r="AM131" s="8"/>
      <c r="AN131" s="8"/>
      <c r="AO131" s="8"/>
      <c r="AP131" s="8"/>
    </row>
    <row r="132" spans="1:42" ht="17">
      <c r="A132" s="8" t="s">
        <v>99</v>
      </c>
      <c r="B132" s="8" t="s">
        <v>45</v>
      </c>
      <c r="C132" s="8">
        <v>9050998000</v>
      </c>
      <c r="D132" s="8">
        <v>1366081000</v>
      </c>
      <c r="E132" s="10">
        <v>529134000</v>
      </c>
      <c r="F132" s="8">
        <v>529134000</v>
      </c>
      <c r="G132" s="8">
        <v>99074000</v>
      </c>
      <c r="H132" s="8">
        <v>704096000</v>
      </c>
      <c r="I132" s="8">
        <v>7684917000</v>
      </c>
      <c r="J132" s="8">
        <v>1606667000</v>
      </c>
      <c r="K132" s="10" t="s">
        <v>46</v>
      </c>
      <c r="L132" s="8">
        <v>3652905000</v>
      </c>
      <c r="M132" s="8">
        <v>3652905000</v>
      </c>
      <c r="N132" s="8">
        <v>2313223000</v>
      </c>
      <c r="O132" s="10" t="s">
        <v>46</v>
      </c>
      <c r="P132" s="10" t="s">
        <v>46</v>
      </c>
      <c r="Q132" s="8" t="s">
        <v>46</v>
      </c>
      <c r="R132" s="10">
        <v>132851000</v>
      </c>
      <c r="S132" s="8" t="s">
        <v>46</v>
      </c>
      <c r="T132" s="8">
        <v>8237047000</v>
      </c>
      <c r="U132" s="8">
        <v>733460000</v>
      </c>
      <c r="V132" s="10">
        <v>157032000</v>
      </c>
      <c r="W132" s="10" t="s">
        <v>46</v>
      </c>
      <c r="X132" s="10" t="s">
        <v>46</v>
      </c>
      <c r="Y132" s="8">
        <v>199112000</v>
      </c>
      <c r="Z132" s="8">
        <v>7503587000</v>
      </c>
      <c r="AA132" s="10">
        <v>834084000</v>
      </c>
      <c r="AB132" s="10">
        <v>5976358000</v>
      </c>
      <c r="AC132" s="8">
        <v>28628000</v>
      </c>
      <c r="AD132" s="8" t="s">
        <v>46</v>
      </c>
      <c r="AE132" s="8">
        <v>6839070000</v>
      </c>
      <c r="AF132" s="8">
        <v>233825000</v>
      </c>
      <c r="AG132" s="8">
        <v>71290000</v>
      </c>
      <c r="AH132" s="8">
        <v>806121000</v>
      </c>
      <c r="AI132" s="8">
        <v>-3302000</v>
      </c>
      <c r="AJ132" s="9">
        <v>-2045000000</v>
      </c>
      <c r="AK132" s="8">
        <v>141000</v>
      </c>
      <c r="AL132" s="8">
        <v>146214000</v>
      </c>
      <c r="AM132" s="8"/>
      <c r="AN132" s="8"/>
      <c r="AO132" s="8"/>
      <c r="AP132" s="8"/>
    </row>
    <row r="133" spans="1:42" ht="17">
      <c r="A133" s="8" t="s">
        <v>51</v>
      </c>
      <c r="B133" s="8" t="s">
        <v>45</v>
      </c>
      <c r="C133" s="8">
        <v>9203000000</v>
      </c>
      <c r="D133" s="8">
        <v>1619000000</v>
      </c>
      <c r="E133" s="10">
        <v>720662000</v>
      </c>
      <c r="F133" s="8">
        <v>720662000</v>
      </c>
      <c r="G133" s="8">
        <v>1153000</v>
      </c>
      <c r="H133" s="8">
        <v>813834000</v>
      </c>
      <c r="I133" s="8">
        <v>7584000000</v>
      </c>
      <c r="J133" s="8">
        <v>811702000</v>
      </c>
      <c r="K133" s="10" t="s">
        <v>46</v>
      </c>
      <c r="L133" s="8">
        <v>3694837000</v>
      </c>
      <c r="M133" s="8">
        <v>3694837000</v>
      </c>
      <c r="N133" s="8">
        <v>2145935000</v>
      </c>
      <c r="O133" s="10" t="s">
        <v>46</v>
      </c>
      <c r="P133" s="10">
        <v>70574000</v>
      </c>
      <c r="Q133" s="8">
        <v>2680000</v>
      </c>
      <c r="R133" s="10">
        <v>83327000</v>
      </c>
      <c r="S133" s="8" t="s">
        <v>46</v>
      </c>
      <c r="T133" s="8">
        <v>8152200000</v>
      </c>
      <c r="U133" s="8">
        <v>683000000</v>
      </c>
      <c r="V133" s="10">
        <v>149333000</v>
      </c>
      <c r="W133" s="10" t="s">
        <v>46</v>
      </c>
      <c r="X133" s="10" t="s">
        <v>46</v>
      </c>
      <c r="Y133" s="8">
        <v>111278000</v>
      </c>
      <c r="Z133" s="8">
        <v>7469200000</v>
      </c>
      <c r="AA133" s="10">
        <v>840994000</v>
      </c>
      <c r="AB133" s="10">
        <v>5982155000</v>
      </c>
      <c r="AC133" s="8">
        <v>34775000</v>
      </c>
      <c r="AD133" s="8" t="s">
        <v>46</v>
      </c>
      <c r="AE133" s="8">
        <v>6857924000</v>
      </c>
      <c r="AF133" s="8">
        <v>333705000</v>
      </c>
      <c r="AG133" s="8">
        <v>131217000</v>
      </c>
      <c r="AH133" s="8">
        <v>1050800000</v>
      </c>
      <c r="AI133" s="8">
        <v>-3199000</v>
      </c>
      <c r="AJ133" s="9">
        <v>-1804000000</v>
      </c>
      <c r="AK133" s="8">
        <v>72000</v>
      </c>
      <c r="AL133" s="8">
        <v>71613789</v>
      </c>
      <c r="AM133" s="8"/>
      <c r="AN133" s="8"/>
      <c r="AO133" s="8"/>
      <c r="AP133" s="8"/>
    </row>
    <row r="134" spans="1:42" ht="17">
      <c r="A134" s="8" t="s">
        <v>100</v>
      </c>
      <c r="B134" s="8" t="s">
        <v>45</v>
      </c>
      <c r="C134" s="8">
        <v>9122110000</v>
      </c>
      <c r="D134" s="8">
        <v>1496517000</v>
      </c>
      <c r="E134" s="10">
        <v>713728000</v>
      </c>
      <c r="F134" s="8">
        <v>713728000</v>
      </c>
      <c r="G134" s="8">
        <v>80931000</v>
      </c>
      <c r="H134" s="8">
        <v>665854000</v>
      </c>
      <c r="I134" s="8">
        <v>7625593000</v>
      </c>
      <c r="J134" s="8">
        <v>1648710000</v>
      </c>
      <c r="K134" s="10" t="s">
        <v>46</v>
      </c>
      <c r="L134" s="8">
        <v>3761967000</v>
      </c>
      <c r="M134" s="8">
        <v>3761967000</v>
      </c>
      <c r="N134" s="8">
        <v>2109486000</v>
      </c>
      <c r="O134" s="10" t="s">
        <v>46</v>
      </c>
      <c r="P134" s="10" t="s">
        <v>46</v>
      </c>
      <c r="Q134" s="8" t="s">
        <v>46</v>
      </c>
      <c r="R134" s="10">
        <v>116935000</v>
      </c>
      <c r="S134" s="8" t="s">
        <v>46</v>
      </c>
      <c r="T134" s="8">
        <v>8082462000</v>
      </c>
      <c r="U134" s="8">
        <v>660374000</v>
      </c>
      <c r="V134" s="10">
        <v>125892000</v>
      </c>
      <c r="W134" s="10" t="s">
        <v>46</v>
      </c>
      <c r="X134" s="10" t="s">
        <v>46</v>
      </c>
      <c r="Y134" s="8">
        <v>197959000</v>
      </c>
      <c r="Z134" s="8">
        <v>7422088000</v>
      </c>
      <c r="AA134" s="10">
        <v>853287000</v>
      </c>
      <c r="AB134" s="10">
        <v>5987446000</v>
      </c>
      <c r="AC134" s="8">
        <v>34379000</v>
      </c>
      <c r="AD134" s="8" t="s">
        <v>46</v>
      </c>
      <c r="AE134" s="8">
        <v>6875112000</v>
      </c>
      <c r="AF134" s="8">
        <v>186366000</v>
      </c>
      <c r="AG134" s="8">
        <v>80779000</v>
      </c>
      <c r="AH134" s="8">
        <v>1030525000</v>
      </c>
      <c r="AI134" s="8" t="s">
        <v>46</v>
      </c>
      <c r="AJ134" s="9">
        <v>-1807000000</v>
      </c>
      <c r="AK134" s="8">
        <v>70000</v>
      </c>
      <c r="AL134" s="8">
        <v>146152000</v>
      </c>
      <c r="AM134" s="8"/>
      <c r="AN134" s="8"/>
      <c r="AO134" s="8"/>
      <c r="AP134" s="8"/>
    </row>
    <row r="135" spans="1:42" ht="17">
      <c r="A135" s="8" t="s">
        <v>101</v>
      </c>
      <c r="B135" s="8" t="s">
        <v>45</v>
      </c>
      <c r="C135" s="8">
        <v>8905859000</v>
      </c>
      <c r="D135" s="8">
        <v>1209549000</v>
      </c>
      <c r="E135" s="10">
        <v>517684000</v>
      </c>
      <c r="F135" s="8">
        <v>517684000</v>
      </c>
      <c r="G135" s="8">
        <v>86003000</v>
      </c>
      <c r="H135" s="8">
        <v>570117000</v>
      </c>
      <c r="I135" s="8">
        <v>7696310000</v>
      </c>
      <c r="J135" s="8">
        <v>1660056000</v>
      </c>
      <c r="K135" s="10" t="s">
        <v>46</v>
      </c>
      <c r="L135" s="8">
        <v>3823677000</v>
      </c>
      <c r="M135" s="8">
        <v>3823677000</v>
      </c>
      <c r="N135" s="8">
        <v>2101657000</v>
      </c>
      <c r="O135" s="10" t="s">
        <v>46</v>
      </c>
      <c r="P135" s="10" t="s">
        <v>46</v>
      </c>
      <c r="Q135" s="8" t="s">
        <v>46</v>
      </c>
      <c r="R135" s="10">
        <v>121748000</v>
      </c>
      <c r="S135" s="8" t="s">
        <v>46</v>
      </c>
      <c r="T135" s="8">
        <v>7840217000</v>
      </c>
      <c r="U135" s="8">
        <v>593079000</v>
      </c>
      <c r="V135" s="10">
        <v>114400000</v>
      </c>
      <c r="W135" s="10" t="s">
        <v>46</v>
      </c>
      <c r="X135" s="10" t="s">
        <v>46</v>
      </c>
      <c r="Y135" s="8">
        <v>194921000</v>
      </c>
      <c r="Z135" s="8">
        <v>7247138000</v>
      </c>
      <c r="AA135" s="10">
        <v>853443000</v>
      </c>
      <c r="AB135" s="10">
        <v>5807061000</v>
      </c>
      <c r="AC135" s="8">
        <v>30061000</v>
      </c>
      <c r="AD135" s="8" t="s">
        <v>46</v>
      </c>
      <c r="AE135" s="8">
        <v>6690565000</v>
      </c>
      <c r="AF135" s="8">
        <v>127711000</v>
      </c>
      <c r="AG135" s="8">
        <v>69770000</v>
      </c>
      <c r="AH135" s="8">
        <v>1056519000</v>
      </c>
      <c r="AI135" s="8" t="s">
        <v>46</v>
      </c>
      <c r="AJ135" s="9">
        <v>-1775000000</v>
      </c>
      <c r="AK135" s="8">
        <v>68000</v>
      </c>
      <c r="AL135" s="8">
        <v>145963000</v>
      </c>
      <c r="AM135" s="8"/>
      <c r="AN135" s="8"/>
      <c r="AO135" s="8"/>
      <c r="AP135" s="8"/>
    </row>
    <row r="136" spans="1:42" ht="17">
      <c r="A136" s="8" t="s">
        <v>102</v>
      </c>
      <c r="B136" s="8" t="s">
        <v>45</v>
      </c>
      <c r="C136" s="8">
        <v>9312060000</v>
      </c>
      <c r="D136" s="8">
        <v>1524961000</v>
      </c>
      <c r="E136" s="10">
        <v>646774000</v>
      </c>
      <c r="F136" s="8">
        <v>646774000</v>
      </c>
      <c r="G136" s="8">
        <v>84844000</v>
      </c>
      <c r="H136" s="8">
        <v>749925000</v>
      </c>
      <c r="I136" s="8">
        <v>7787099000</v>
      </c>
      <c r="J136" s="8">
        <v>1700582000</v>
      </c>
      <c r="K136" s="10" t="s">
        <v>46</v>
      </c>
      <c r="L136" s="8">
        <v>3887234000</v>
      </c>
      <c r="M136" s="8">
        <v>3887234000</v>
      </c>
      <c r="N136" s="8">
        <v>2101204000</v>
      </c>
      <c r="O136" s="10" t="s">
        <v>46</v>
      </c>
      <c r="P136" s="10" t="s">
        <v>46</v>
      </c>
      <c r="Q136" s="8" t="s">
        <v>46</v>
      </c>
      <c r="R136" s="10">
        <v>128262000</v>
      </c>
      <c r="S136" s="8" t="s">
        <v>46</v>
      </c>
      <c r="T136" s="8">
        <v>8052758000</v>
      </c>
      <c r="U136" s="8">
        <v>645844000</v>
      </c>
      <c r="V136" s="10">
        <v>118380000</v>
      </c>
      <c r="W136" s="10" t="s">
        <v>46</v>
      </c>
      <c r="X136" s="10" t="s">
        <v>46</v>
      </c>
      <c r="Y136" s="8">
        <v>195205000</v>
      </c>
      <c r="Z136" s="8">
        <v>7406914000</v>
      </c>
      <c r="AA136" s="10">
        <v>865036000</v>
      </c>
      <c r="AB136" s="10">
        <v>5923666000</v>
      </c>
      <c r="AC136" s="8">
        <v>29969000</v>
      </c>
      <c r="AD136" s="8" t="s">
        <v>46</v>
      </c>
      <c r="AE136" s="8">
        <v>6818671000</v>
      </c>
      <c r="AF136" s="8">
        <v>179477000</v>
      </c>
      <c r="AG136" s="8">
        <v>56059000</v>
      </c>
      <c r="AH136" s="8">
        <v>1250179000</v>
      </c>
      <c r="AI136" s="8" t="s">
        <v>46</v>
      </c>
      <c r="AJ136" s="9">
        <v>-1578000000</v>
      </c>
      <c r="AK136" s="8">
        <v>67000</v>
      </c>
      <c r="AL136" s="8">
        <v>145614000</v>
      </c>
      <c r="AM136" s="8"/>
      <c r="AN136" s="8"/>
      <c r="AO136" s="8"/>
      <c r="AP136" s="8"/>
    </row>
    <row r="137" spans="1:42" ht="17">
      <c r="A137" s="8" t="s">
        <v>53</v>
      </c>
      <c r="B137" s="8" t="s">
        <v>45</v>
      </c>
      <c r="C137" s="8">
        <v>11021100000</v>
      </c>
      <c r="D137" s="8">
        <v>1416300000</v>
      </c>
      <c r="E137" s="10">
        <v>400300000</v>
      </c>
      <c r="F137" s="8">
        <v>400300000</v>
      </c>
      <c r="G137" s="8">
        <v>507000</v>
      </c>
      <c r="H137" s="8">
        <v>928714000</v>
      </c>
      <c r="I137" s="8">
        <v>9604800000</v>
      </c>
      <c r="J137" s="8">
        <v>1728638000</v>
      </c>
      <c r="K137" s="10" t="s">
        <v>46</v>
      </c>
      <c r="L137" s="8">
        <v>4454275000</v>
      </c>
      <c r="M137" s="8">
        <v>4454275000</v>
      </c>
      <c r="N137" s="8">
        <v>3325622000</v>
      </c>
      <c r="O137" s="10" t="s">
        <v>46</v>
      </c>
      <c r="P137" s="10">
        <v>30641000</v>
      </c>
      <c r="Q137" s="8">
        <v>2944000</v>
      </c>
      <c r="R137" s="10">
        <v>86827000</v>
      </c>
      <c r="S137" s="8" t="s">
        <v>46</v>
      </c>
      <c r="T137" s="8">
        <v>8075700000</v>
      </c>
      <c r="U137" s="8">
        <v>658500000</v>
      </c>
      <c r="V137" s="10">
        <v>87374000</v>
      </c>
      <c r="W137" s="10" t="s">
        <v>46</v>
      </c>
      <c r="X137" s="10" t="s">
        <v>46</v>
      </c>
      <c r="Y137" s="8">
        <v>164424000</v>
      </c>
      <c r="Z137" s="8">
        <v>7417200000</v>
      </c>
      <c r="AA137" s="10">
        <v>873959000</v>
      </c>
      <c r="AB137" s="10">
        <v>5756504000</v>
      </c>
      <c r="AC137" s="8">
        <v>8912000</v>
      </c>
      <c r="AD137" s="8" t="s">
        <v>46</v>
      </c>
      <c r="AE137" s="8">
        <v>6639375000</v>
      </c>
      <c r="AF137" s="8">
        <v>228223000</v>
      </c>
      <c r="AG137" s="8">
        <v>20457000</v>
      </c>
      <c r="AH137" s="8">
        <v>2945400000</v>
      </c>
      <c r="AI137" s="8" t="s">
        <v>46</v>
      </c>
      <c r="AJ137" s="8">
        <v>112548000</v>
      </c>
      <c r="AK137" s="8">
        <v>65000</v>
      </c>
      <c r="AL137" s="8">
        <v>64681114</v>
      </c>
      <c r="AM137" s="8"/>
      <c r="AN137" s="8"/>
      <c r="AO137" s="8"/>
      <c r="AP137" s="8"/>
    </row>
    <row r="138" spans="1:42" ht="17">
      <c r="A138" s="8" t="s">
        <v>109</v>
      </c>
      <c r="B138" s="8" t="s">
        <v>45</v>
      </c>
      <c r="C138" s="8">
        <v>10934949000</v>
      </c>
      <c r="D138" s="8">
        <v>1271163000</v>
      </c>
      <c r="E138" s="10">
        <v>277050000</v>
      </c>
      <c r="F138" s="8">
        <v>277050000</v>
      </c>
      <c r="G138" s="8">
        <v>120981000</v>
      </c>
      <c r="H138" s="8">
        <v>843190000</v>
      </c>
      <c r="I138" s="8">
        <v>9663786000</v>
      </c>
      <c r="J138" s="8">
        <v>1720346000</v>
      </c>
      <c r="K138" s="10" t="s">
        <v>46</v>
      </c>
      <c r="L138" s="8">
        <v>4516156000</v>
      </c>
      <c r="M138" s="8">
        <v>4516156000</v>
      </c>
      <c r="N138" s="8">
        <v>3325546000</v>
      </c>
      <c r="O138" s="10" t="s">
        <v>46</v>
      </c>
      <c r="P138" s="10" t="s">
        <v>46</v>
      </c>
      <c r="Q138" s="8" t="s">
        <v>46</v>
      </c>
      <c r="R138" s="10">
        <v>150923000</v>
      </c>
      <c r="S138" s="8" t="s">
        <v>46</v>
      </c>
      <c r="T138" s="8">
        <v>8088032000</v>
      </c>
      <c r="U138" s="8">
        <v>636560000</v>
      </c>
      <c r="V138" s="10">
        <v>61353000</v>
      </c>
      <c r="W138" s="10" t="s">
        <v>46</v>
      </c>
      <c r="X138" s="10" t="s">
        <v>46</v>
      </c>
      <c r="Y138" s="8">
        <v>209163000</v>
      </c>
      <c r="Z138" s="8">
        <v>7451472000</v>
      </c>
      <c r="AA138" s="10">
        <v>872036000</v>
      </c>
      <c r="AB138" s="10">
        <v>5755305000</v>
      </c>
      <c r="AC138" s="8">
        <v>53705000</v>
      </c>
      <c r="AD138" s="8" t="s">
        <v>46</v>
      </c>
      <c r="AE138" s="8">
        <v>6681046000</v>
      </c>
      <c r="AF138" s="8">
        <v>227076000</v>
      </c>
      <c r="AG138" s="8">
        <v>58004000</v>
      </c>
      <c r="AH138" s="8">
        <v>2838545000</v>
      </c>
      <c r="AI138" s="8" t="s">
        <v>46</v>
      </c>
      <c r="AJ138" s="8">
        <v>51167000</v>
      </c>
      <c r="AK138" s="8">
        <v>65000</v>
      </c>
      <c r="AL138" s="8">
        <v>145840000</v>
      </c>
      <c r="AM138" s="8"/>
      <c r="AN138" s="8"/>
      <c r="AO138" s="8"/>
      <c r="AP138" s="8"/>
    </row>
    <row r="139" spans="1:42" ht="17">
      <c r="A139" s="8" t="s">
        <v>110</v>
      </c>
      <c r="B139" s="8" t="s">
        <v>45</v>
      </c>
      <c r="C139" s="8">
        <v>10997824000</v>
      </c>
      <c r="D139" s="8">
        <v>1113685000</v>
      </c>
      <c r="E139" s="10">
        <v>127159000</v>
      </c>
      <c r="F139" s="8">
        <v>127159000</v>
      </c>
      <c r="G139" s="8">
        <v>109101000</v>
      </c>
      <c r="H139" s="8">
        <v>843064000</v>
      </c>
      <c r="I139" s="8">
        <v>9884139000</v>
      </c>
      <c r="J139" s="8">
        <v>1734987000</v>
      </c>
      <c r="K139" s="10" t="s">
        <v>46</v>
      </c>
      <c r="L139" s="8">
        <v>4588104000</v>
      </c>
      <c r="M139" s="8">
        <v>4588104000</v>
      </c>
      <c r="N139" s="8">
        <v>3323207000</v>
      </c>
      <c r="O139" s="10" t="s">
        <v>46</v>
      </c>
      <c r="P139" s="10" t="s">
        <v>46</v>
      </c>
      <c r="Q139" s="8" t="s">
        <v>46</v>
      </c>
      <c r="R139" s="10">
        <v>143462000</v>
      </c>
      <c r="S139" s="8" t="s">
        <v>46</v>
      </c>
      <c r="T139" s="8">
        <v>8177776000</v>
      </c>
      <c r="U139" s="8">
        <v>725593000</v>
      </c>
      <c r="V139" s="10">
        <v>47885000</v>
      </c>
      <c r="W139" s="10" t="s">
        <v>46</v>
      </c>
      <c r="X139" s="10" t="s">
        <v>46</v>
      </c>
      <c r="Y139" s="8">
        <v>130456000</v>
      </c>
      <c r="Z139" s="8">
        <v>7452183000</v>
      </c>
      <c r="AA139" s="10">
        <v>882916000</v>
      </c>
      <c r="AB139" s="10">
        <v>5757097000</v>
      </c>
      <c r="AC139" s="8">
        <v>53406000</v>
      </c>
      <c r="AD139" s="8" t="s">
        <v>46</v>
      </c>
      <c r="AE139" s="8">
        <v>6693419000</v>
      </c>
      <c r="AF139" s="8">
        <v>407871000</v>
      </c>
      <c r="AG139" s="8">
        <v>55396000</v>
      </c>
      <c r="AH139" s="8">
        <v>2811676000</v>
      </c>
      <c r="AI139" s="8" t="s">
        <v>46</v>
      </c>
      <c r="AJ139" s="8">
        <v>38793000</v>
      </c>
      <c r="AK139" s="8">
        <v>64000</v>
      </c>
      <c r="AL139" s="8">
        <v>145720000</v>
      </c>
      <c r="AM139" s="8"/>
      <c r="AN139" s="8"/>
      <c r="AO139" s="8"/>
      <c r="AP139" s="8"/>
    </row>
    <row r="140" spans="1:42" ht="17">
      <c r="A140" s="8" t="s">
        <v>111</v>
      </c>
      <c r="B140" s="8" t="s">
        <v>45</v>
      </c>
      <c r="C140" s="8">
        <v>14285970000</v>
      </c>
      <c r="D140" s="8">
        <v>2090052000</v>
      </c>
      <c r="E140" s="10">
        <v>448130000</v>
      </c>
      <c r="F140" s="8">
        <v>448130000</v>
      </c>
      <c r="G140" s="8">
        <v>179823000</v>
      </c>
      <c r="H140" s="8">
        <v>1387122000</v>
      </c>
      <c r="I140" s="9">
        <v>12196000000</v>
      </c>
      <c r="J140" s="8">
        <v>4100513000</v>
      </c>
      <c r="K140" s="10" t="s">
        <v>46</v>
      </c>
      <c r="L140" s="8">
        <v>3737560000</v>
      </c>
      <c r="M140" s="8">
        <v>3737560000</v>
      </c>
      <c r="N140" s="8">
        <v>4118312000</v>
      </c>
      <c r="O140" s="10" t="s">
        <v>46</v>
      </c>
      <c r="P140" s="10" t="s">
        <v>46</v>
      </c>
      <c r="Q140" s="8" t="s">
        <v>46</v>
      </c>
      <c r="R140" s="10">
        <v>254800000</v>
      </c>
      <c r="S140" s="8" t="s">
        <v>46</v>
      </c>
      <c r="T140" s="9">
        <v>25852000000</v>
      </c>
      <c r="U140" s="8">
        <v>1439572000</v>
      </c>
      <c r="V140" s="10">
        <v>146853000</v>
      </c>
      <c r="W140" s="10" t="s">
        <v>46</v>
      </c>
      <c r="X140" s="10" t="s">
        <v>46</v>
      </c>
      <c r="Y140" s="8">
        <v>780548000</v>
      </c>
      <c r="Z140" s="9">
        <v>24413000000</v>
      </c>
      <c r="AA140" s="10">
        <v>2036349000</v>
      </c>
      <c r="AB140" s="10">
        <v>5293405000</v>
      </c>
      <c r="AC140" s="8">
        <v>46744000</v>
      </c>
      <c r="AD140" s="8" t="s">
        <v>46</v>
      </c>
      <c r="AE140" s="8">
        <v>7376498000</v>
      </c>
      <c r="AF140" s="8">
        <v>277499000</v>
      </c>
      <c r="AG140" s="9">
        <v>17126000000</v>
      </c>
      <c r="AH140" s="9">
        <v>-11580000000</v>
      </c>
      <c r="AI140" s="8" t="s">
        <v>46</v>
      </c>
      <c r="AJ140" s="9">
        <v>-13330000000</v>
      </c>
      <c r="AK140" s="8">
        <v>92000</v>
      </c>
      <c r="AL140" s="8">
        <v>85649000</v>
      </c>
      <c r="AM140" s="8"/>
      <c r="AN140" s="8"/>
      <c r="AO140" s="8"/>
      <c r="AP140" s="8"/>
    </row>
    <row r="141" spans="1:42" ht="17">
      <c r="A141" s="8" t="s">
        <v>54</v>
      </c>
      <c r="B141" s="8" t="s">
        <v>45</v>
      </c>
      <c r="C141" s="8">
        <v>12269515000</v>
      </c>
      <c r="D141" s="8">
        <v>2235017000</v>
      </c>
      <c r="E141" s="10">
        <v>406493000</v>
      </c>
      <c r="F141" s="8">
        <v>406493000</v>
      </c>
      <c r="G141" s="8">
        <v>18416000</v>
      </c>
      <c r="H141" s="8">
        <v>1575170000</v>
      </c>
      <c r="I141" s="9">
        <v>10034000000</v>
      </c>
      <c r="J141" s="8">
        <v>1791140000</v>
      </c>
      <c r="K141" s="10" t="s">
        <v>46</v>
      </c>
      <c r="L141" s="8">
        <v>3842362000</v>
      </c>
      <c r="M141" s="8">
        <v>3842362000</v>
      </c>
      <c r="N141" s="8">
        <v>4118756000</v>
      </c>
      <c r="O141" s="10" t="s">
        <v>46</v>
      </c>
      <c r="P141" s="10">
        <v>72805000</v>
      </c>
      <c r="Q141" s="8">
        <v>5243000</v>
      </c>
      <c r="R141" s="10">
        <v>131555000</v>
      </c>
      <c r="S141" s="8" t="s">
        <v>46</v>
      </c>
      <c r="T141" s="9">
        <v>23830000000</v>
      </c>
      <c r="U141" s="8">
        <v>1247649000</v>
      </c>
      <c r="V141" s="10">
        <v>49435000</v>
      </c>
      <c r="W141" s="10" t="s">
        <v>46</v>
      </c>
      <c r="X141" s="10" t="s">
        <v>46</v>
      </c>
      <c r="Y141" s="8">
        <v>-137804000</v>
      </c>
      <c r="Z141" s="9">
        <v>22582000000</v>
      </c>
      <c r="AA141" s="10" t="s">
        <v>46</v>
      </c>
      <c r="AB141" s="11">
        <v>20427000000</v>
      </c>
      <c r="AC141" s="8">
        <v>46332000</v>
      </c>
      <c r="AD141" s="8" t="s">
        <v>46</v>
      </c>
      <c r="AE141" s="8">
        <v>5323440000</v>
      </c>
      <c r="AF141" s="8">
        <v>943687000</v>
      </c>
      <c r="AG141" s="8" t="s">
        <v>46</v>
      </c>
      <c r="AH141" s="9">
        <v>-11590000000</v>
      </c>
      <c r="AI141" s="8" t="s">
        <v>46</v>
      </c>
      <c r="AJ141" s="9">
        <v>-13350000000</v>
      </c>
      <c r="AK141" s="8">
        <v>92000</v>
      </c>
      <c r="AL141" s="8">
        <v>90957934</v>
      </c>
      <c r="AM141" s="8"/>
      <c r="AN141" s="8"/>
      <c r="AO141" s="8"/>
      <c r="AP141" s="8"/>
    </row>
    <row r="142" spans="1:42" ht="17">
      <c r="A142" s="8" t="s">
        <v>112</v>
      </c>
      <c r="B142" s="8" t="s">
        <v>45</v>
      </c>
      <c r="C142" s="8">
        <v>11959312000</v>
      </c>
      <c r="D142" s="8">
        <v>2078792000</v>
      </c>
      <c r="E142" s="10">
        <v>311162000</v>
      </c>
      <c r="F142" s="8">
        <v>311162000</v>
      </c>
      <c r="G142" s="8">
        <v>240980000</v>
      </c>
      <c r="H142" s="8">
        <v>1466924000</v>
      </c>
      <c r="I142" s="8">
        <v>9880520000</v>
      </c>
      <c r="J142" s="8">
        <v>1719091000</v>
      </c>
      <c r="K142" s="10" t="s">
        <v>46</v>
      </c>
      <c r="L142" s="8">
        <v>3821490000</v>
      </c>
      <c r="M142" s="8">
        <v>3821490000</v>
      </c>
      <c r="N142" s="8">
        <v>4043941000</v>
      </c>
      <c r="O142" s="10" t="s">
        <v>46</v>
      </c>
      <c r="P142" s="10" t="s">
        <v>46</v>
      </c>
      <c r="Q142" s="8" t="s">
        <v>46</v>
      </c>
      <c r="R142" s="10">
        <v>300706000</v>
      </c>
      <c r="S142" s="8" t="s">
        <v>46</v>
      </c>
      <c r="T142" s="9">
        <v>23753000000</v>
      </c>
      <c r="U142" s="8">
        <v>1144213000</v>
      </c>
      <c r="V142" s="10">
        <v>149236000</v>
      </c>
      <c r="W142" s="10" t="s">
        <v>46</v>
      </c>
      <c r="X142" s="10" t="s">
        <v>46</v>
      </c>
      <c r="Y142" s="8">
        <v>-775629000</v>
      </c>
      <c r="Z142" s="9">
        <v>22608000000</v>
      </c>
      <c r="AA142" s="10" t="s">
        <v>46</v>
      </c>
      <c r="AB142" s="11">
        <v>20423000000</v>
      </c>
      <c r="AC142" s="8">
        <v>347000</v>
      </c>
      <c r="AD142" s="8" t="s">
        <v>46</v>
      </c>
      <c r="AE142" s="8">
        <v>5274837000</v>
      </c>
      <c r="AF142" s="8">
        <v>775976000</v>
      </c>
      <c r="AG142" s="8" t="s">
        <v>46</v>
      </c>
      <c r="AH142" s="9">
        <v>-11810000000</v>
      </c>
      <c r="AI142" s="8" t="s">
        <v>46</v>
      </c>
      <c r="AJ142" s="9">
        <v>-13560000000</v>
      </c>
      <c r="AK142" s="8">
        <v>92000</v>
      </c>
      <c r="AL142" s="8">
        <v>85622000</v>
      </c>
      <c r="AM142" s="8"/>
      <c r="AN142" s="8"/>
      <c r="AO142" s="8"/>
      <c r="AP142" s="8"/>
    </row>
    <row r="143" spans="1:42" ht="17">
      <c r="A143" s="8" t="s">
        <v>113</v>
      </c>
      <c r="B143" s="8" t="s">
        <v>45</v>
      </c>
      <c r="C143" s="8">
        <v>11986246000</v>
      </c>
      <c r="D143" s="8">
        <v>2023373000</v>
      </c>
      <c r="E143" s="10">
        <v>261763000</v>
      </c>
      <c r="F143" s="8">
        <v>261763000</v>
      </c>
      <c r="G143" s="8">
        <v>245444000</v>
      </c>
      <c r="H143" s="8">
        <v>1419039000</v>
      </c>
      <c r="I143" s="8">
        <v>9962873000</v>
      </c>
      <c r="J143" s="8">
        <v>1755279000</v>
      </c>
      <c r="K143" s="10" t="s">
        <v>46</v>
      </c>
      <c r="L143" s="8">
        <v>3885491000</v>
      </c>
      <c r="M143" s="8">
        <v>3885491000</v>
      </c>
      <c r="N143" s="8">
        <v>4043910000</v>
      </c>
      <c r="O143" s="10" t="s">
        <v>46</v>
      </c>
      <c r="P143" s="10" t="s">
        <v>46</v>
      </c>
      <c r="Q143" s="8" t="s">
        <v>46</v>
      </c>
      <c r="R143" s="10">
        <v>342571000</v>
      </c>
      <c r="S143" s="8" t="s">
        <v>46</v>
      </c>
      <c r="T143" s="9">
        <v>23849000000</v>
      </c>
      <c r="U143" s="8">
        <v>1243446000</v>
      </c>
      <c r="V143" s="10">
        <v>149978000</v>
      </c>
      <c r="W143" s="10" t="s">
        <v>46</v>
      </c>
      <c r="X143" s="10" t="s">
        <v>46</v>
      </c>
      <c r="Y143" s="8">
        <v>-605792000</v>
      </c>
      <c r="Z143" s="9">
        <v>22605000000</v>
      </c>
      <c r="AA143" s="10" t="s">
        <v>46</v>
      </c>
      <c r="AB143" s="11">
        <v>20421000000</v>
      </c>
      <c r="AC143" s="8">
        <v>125429000</v>
      </c>
      <c r="AD143" s="8" t="s">
        <v>46</v>
      </c>
      <c r="AE143" s="8">
        <v>5397528000</v>
      </c>
      <c r="AF143" s="8">
        <v>731221000</v>
      </c>
      <c r="AG143" s="8" t="s">
        <v>46</v>
      </c>
      <c r="AH143" s="9">
        <v>-11880000000</v>
      </c>
      <c r="AI143" s="8" t="s">
        <v>46</v>
      </c>
      <c r="AJ143" s="9">
        <v>-13630000000</v>
      </c>
      <c r="AK143" s="8">
        <v>92000</v>
      </c>
      <c r="AL143" s="8">
        <v>85280000</v>
      </c>
      <c r="AM143" s="8"/>
      <c r="AN143" s="8"/>
      <c r="AO143" s="8"/>
      <c r="AP143" s="8"/>
    </row>
    <row r="144" spans="1:42" ht="17">
      <c r="A144" s="8" t="s">
        <v>114</v>
      </c>
      <c r="B144" s="8" t="s">
        <v>45</v>
      </c>
      <c r="C144" s="8">
        <v>12192993000</v>
      </c>
      <c r="D144" s="8">
        <v>2082205000</v>
      </c>
      <c r="E144" s="10">
        <v>297407000</v>
      </c>
      <c r="F144" s="8">
        <v>297407000</v>
      </c>
      <c r="G144" s="8">
        <v>269148000</v>
      </c>
      <c r="H144" s="8">
        <v>1367012000</v>
      </c>
      <c r="I144" s="9">
        <v>10111000000</v>
      </c>
      <c r="J144" s="8" t="s">
        <v>46</v>
      </c>
      <c r="K144" s="10" t="s">
        <v>46</v>
      </c>
      <c r="L144" s="8">
        <v>3932096000</v>
      </c>
      <c r="M144" s="8">
        <v>3932096000</v>
      </c>
      <c r="N144" s="8">
        <v>4054100000</v>
      </c>
      <c r="O144" s="10" t="s">
        <v>46</v>
      </c>
      <c r="P144" s="10" t="s">
        <v>46</v>
      </c>
      <c r="Q144" s="8">
        <v>7516000</v>
      </c>
      <c r="R144" s="10">
        <v>417786000</v>
      </c>
      <c r="S144" s="8" t="s">
        <v>46</v>
      </c>
      <c r="T144" s="9">
        <v>23946000000</v>
      </c>
      <c r="U144" s="8">
        <v>982285000</v>
      </c>
      <c r="V144" s="10">
        <v>135947000</v>
      </c>
      <c r="W144" s="10" t="s">
        <v>46</v>
      </c>
      <c r="X144" s="10" t="s">
        <v>46</v>
      </c>
      <c r="Y144" s="8">
        <v>-595606000</v>
      </c>
      <c r="Z144" s="9">
        <v>22963000000</v>
      </c>
      <c r="AA144" s="10" t="s">
        <v>46</v>
      </c>
      <c r="AB144" s="10" t="s">
        <v>46</v>
      </c>
      <c r="AC144" s="8" t="s">
        <v>46</v>
      </c>
      <c r="AD144" s="8" t="s">
        <v>46</v>
      </c>
      <c r="AE144" s="8">
        <v>5637490000</v>
      </c>
      <c r="AF144" s="8">
        <v>596426000</v>
      </c>
      <c r="AG144" s="8" t="s">
        <v>46</v>
      </c>
      <c r="AH144" s="9">
        <v>-11780000000</v>
      </c>
      <c r="AI144" s="8" t="s">
        <v>46</v>
      </c>
      <c r="AJ144" s="9">
        <v>-13540000000</v>
      </c>
      <c r="AK144" s="8">
        <v>92000</v>
      </c>
      <c r="AL144" s="8">
        <v>85215000</v>
      </c>
      <c r="AM144" s="8"/>
      <c r="AN144" s="8"/>
      <c r="AO144" s="8"/>
      <c r="AP144" s="8"/>
    </row>
    <row r="145" spans="1:42" ht="17">
      <c r="A145" s="8" t="s">
        <v>55</v>
      </c>
      <c r="B145" s="8" t="s">
        <v>45</v>
      </c>
      <c r="C145" s="8">
        <v>12260431000</v>
      </c>
      <c r="D145" s="8">
        <v>2067347000</v>
      </c>
      <c r="E145" s="10">
        <v>267109000</v>
      </c>
      <c r="F145" s="8">
        <v>267109000</v>
      </c>
      <c r="G145" s="8">
        <v>22470000</v>
      </c>
      <c r="H145" s="8">
        <v>1508370000</v>
      </c>
      <c r="I145" s="8" t="s">
        <v>46</v>
      </c>
      <c r="J145" s="8" t="s">
        <v>46</v>
      </c>
      <c r="K145" s="10" t="s">
        <v>46</v>
      </c>
      <c r="L145" s="8">
        <v>3979021000</v>
      </c>
      <c r="M145" s="8">
        <v>3979021000</v>
      </c>
      <c r="N145" s="8">
        <v>4051082000</v>
      </c>
      <c r="O145" s="10" t="s">
        <v>46</v>
      </c>
      <c r="P145" s="10" t="s">
        <v>46</v>
      </c>
      <c r="Q145" s="8" t="s">
        <v>46</v>
      </c>
      <c r="R145" s="10" t="s">
        <v>46</v>
      </c>
      <c r="S145" s="8" t="s">
        <v>46</v>
      </c>
      <c r="T145" s="9">
        <v>23588000000</v>
      </c>
      <c r="U145" s="9">
        <v>16355000000</v>
      </c>
      <c r="V145" s="10" t="s">
        <v>46</v>
      </c>
      <c r="W145" s="10" t="s">
        <v>46</v>
      </c>
      <c r="X145" s="10" t="s">
        <v>46</v>
      </c>
      <c r="Y145" s="9">
        <v>14972000000</v>
      </c>
      <c r="Z145" s="8" t="s">
        <v>46</v>
      </c>
      <c r="AA145" s="10" t="s">
        <v>46</v>
      </c>
      <c r="AB145" s="10" t="s">
        <v>46</v>
      </c>
      <c r="AC145" s="8" t="s">
        <v>46</v>
      </c>
      <c r="AD145" s="8" t="s">
        <v>46</v>
      </c>
      <c r="AE145" s="9">
        <v>20649000000</v>
      </c>
      <c r="AF145" s="8" t="s">
        <v>46</v>
      </c>
      <c r="AG145" s="8" t="s">
        <v>46</v>
      </c>
      <c r="AH145" s="8" t="s">
        <v>46</v>
      </c>
      <c r="AI145" s="8" t="s">
        <v>46</v>
      </c>
      <c r="AJ145" s="9">
        <v>-13130000000</v>
      </c>
      <c r="AK145" s="8" t="s">
        <v>46</v>
      </c>
      <c r="AL145" s="8">
        <v>85215000</v>
      </c>
      <c r="AM145" s="8"/>
      <c r="AN145" s="8"/>
      <c r="AO145" s="8"/>
      <c r="AP145" s="8"/>
    </row>
    <row r="146" spans="1:42" ht="17">
      <c r="A146" s="8" t="s">
        <v>115</v>
      </c>
      <c r="B146" s="8" t="s">
        <v>45</v>
      </c>
      <c r="C146" s="8">
        <v>12257260000</v>
      </c>
      <c r="D146" s="8">
        <v>2027474000</v>
      </c>
      <c r="E146" s="10">
        <v>286370000</v>
      </c>
      <c r="F146" s="8">
        <v>286370000</v>
      </c>
      <c r="G146" s="8">
        <v>230209000</v>
      </c>
      <c r="H146" s="8">
        <v>1433019000</v>
      </c>
      <c r="I146" s="9">
        <v>10230000000</v>
      </c>
      <c r="J146" s="8">
        <v>1888063000</v>
      </c>
      <c r="K146" s="10" t="s">
        <v>46</v>
      </c>
      <c r="L146" s="8">
        <v>3981623000</v>
      </c>
      <c r="M146" s="8">
        <v>3981623000</v>
      </c>
      <c r="N146" s="8">
        <v>4083589000</v>
      </c>
      <c r="O146" s="10" t="s">
        <v>46</v>
      </c>
      <c r="P146" s="10" t="s">
        <v>46</v>
      </c>
      <c r="Q146" s="8" t="s">
        <v>46</v>
      </c>
      <c r="R146" s="10">
        <v>308085000</v>
      </c>
      <c r="S146" s="8" t="s">
        <v>46</v>
      </c>
      <c r="T146" s="9">
        <v>23935000000</v>
      </c>
      <c r="U146" s="8">
        <v>1859621000</v>
      </c>
      <c r="V146" s="10">
        <v>157217000</v>
      </c>
      <c r="W146" s="10" t="s">
        <v>46</v>
      </c>
      <c r="X146" s="10" t="s">
        <v>46</v>
      </c>
      <c r="Y146" s="8">
        <v>-248988000</v>
      </c>
      <c r="Z146" s="9">
        <v>22075000000</v>
      </c>
      <c r="AA146" s="10" t="s">
        <v>46</v>
      </c>
      <c r="AB146" s="11">
        <v>19996000000</v>
      </c>
      <c r="AC146" s="8">
        <v>619003000</v>
      </c>
      <c r="AD146" s="8" t="s">
        <v>46</v>
      </c>
      <c r="AE146" s="9">
        <v>20615000000</v>
      </c>
      <c r="AF146" s="8">
        <v>867991000</v>
      </c>
      <c r="AG146" s="8" t="s">
        <v>46</v>
      </c>
      <c r="AH146" s="9">
        <v>-11790000000</v>
      </c>
      <c r="AI146" s="8" t="s">
        <v>46</v>
      </c>
      <c r="AJ146" s="9">
        <v>-13540000000</v>
      </c>
      <c r="AK146" s="8">
        <v>92000</v>
      </c>
      <c r="AL146" s="8">
        <v>85072000</v>
      </c>
      <c r="AM146" s="8"/>
      <c r="AN146" s="8"/>
      <c r="AO146" s="8"/>
      <c r="AP146" s="8"/>
    </row>
    <row r="147" spans="1:42" ht="17">
      <c r="A147" s="8" t="s">
        <v>116</v>
      </c>
      <c r="B147" s="8" t="s">
        <v>45</v>
      </c>
      <c r="C147" s="8">
        <v>12301453000</v>
      </c>
      <c r="D147" s="8">
        <v>1973593000</v>
      </c>
      <c r="E147" s="10">
        <v>260465000</v>
      </c>
      <c r="F147" s="8">
        <v>260465000</v>
      </c>
      <c r="G147" s="8">
        <v>231691000</v>
      </c>
      <c r="H147" s="8">
        <v>1423580000</v>
      </c>
      <c r="I147" s="9">
        <v>10328000000</v>
      </c>
      <c r="J147" s="8">
        <v>1926659000</v>
      </c>
      <c r="K147" s="10" t="s">
        <v>46</v>
      </c>
      <c r="L147" s="8">
        <v>4048722000</v>
      </c>
      <c r="M147" s="8">
        <v>4048722000</v>
      </c>
      <c r="N147" s="8">
        <v>4080926000</v>
      </c>
      <c r="O147" s="10" t="s">
        <v>46</v>
      </c>
      <c r="P147" s="10" t="s">
        <v>46</v>
      </c>
      <c r="Q147" s="8" t="s">
        <v>46</v>
      </c>
      <c r="R147" s="10">
        <v>289548000</v>
      </c>
      <c r="S147" s="8" t="s">
        <v>46</v>
      </c>
      <c r="T147" s="9">
        <v>23744000000</v>
      </c>
      <c r="U147" s="8">
        <v>1876367000</v>
      </c>
      <c r="V147" s="10">
        <v>115380000</v>
      </c>
      <c r="W147" s="10" t="s">
        <v>46</v>
      </c>
      <c r="X147" s="10" t="s">
        <v>46</v>
      </c>
      <c r="Y147" s="8">
        <v>-356875000</v>
      </c>
      <c r="Z147" s="9">
        <v>21867000000</v>
      </c>
      <c r="AA147" s="10" t="s">
        <v>46</v>
      </c>
      <c r="AB147" s="11">
        <v>19795000000</v>
      </c>
      <c r="AC147" s="8">
        <v>585453000</v>
      </c>
      <c r="AD147" s="8" t="s">
        <v>46</v>
      </c>
      <c r="AE147" s="9">
        <v>20381000000</v>
      </c>
      <c r="AF147" s="8">
        <v>942328000</v>
      </c>
      <c r="AG147" s="8" t="s">
        <v>46</v>
      </c>
      <c r="AH147" s="9">
        <v>-11560000000</v>
      </c>
      <c r="AI147" s="8" t="s">
        <v>46</v>
      </c>
      <c r="AJ147" s="9">
        <v>-13300000000</v>
      </c>
      <c r="AK147" s="8">
        <v>91000</v>
      </c>
      <c r="AL147" s="8">
        <v>84869000</v>
      </c>
      <c r="AM147" s="8"/>
      <c r="AN147" s="8"/>
      <c r="AO147" s="8"/>
      <c r="AP147" s="8"/>
    </row>
    <row r="148" spans="1:42" ht="17">
      <c r="A148" s="8" t="s">
        <v>117</v>
      </c>
      <c r="B148" s="8" t="s">
        <v>45</v>
      </c>
      <c r="C148" s="8">
        <v>12273741000</v>
      </c>
      <c r="D148" s="8">
        <v>1942534000</v>
      </c>
      <c r="E148" s="10">
        <v>365042000</v>
      </c>
      <c r="F148" s="8">
        <v>365042000</v>
      </c>
      <c r="G148" s="8">
        <v>264592000</v>
      </c>
      <c r="H148" s="8">
        <v>1244649000</v>
      </c>
      <c r="I148" s="9">
        <v>10331000000</v>
      </c>
      <c r="J148" s="8">
        <v>1922631000</v>
      </c>
      <c r="K148" s="10" t="s">
        <v>46</v>
      </c>
      <c r="L148" s="8">
        <v>4096280000</v>
      </c>
      <c r="M148" s="8">
        <v>4096280000</v>
      </c>
      <c r="N148" s="8">
        <v>4070142000</v>
      </c>
      <c r="O148" s="10" t="s">
        <v>46</v>
      </c>
      <c r="P148" s="10" t="s">
        <v>46</v>
      </c>
      <c r="Q148" s="8" t="s">
        <v>46</v>
      </c>
      <c r="R148" s="10">
        <v>332843000</v>
      </c>
      <c r="S148" s="8" t="s">
        <v>46</v>
      </c>
      <c r="T148" s="9">
        <v>23565000000</v>
      </c>
      <c r="U148" s="8">
        <v>1570005000</v>
      </c>
      <c r="V148" s="10">
        <v>111148000</v>
      </c>
      <c r="W148" s="10" t="s">
        <v>46</v>
      </c>
      <c r="X148" s="10" t="s">
        <v>46</v>
      </c>
      <c r="Y148" s="8">
        <v>-348353000</v>
      </c>
      <c r="Z148" s="9">
        <v>21995000000</v>
      </c>
      <c r="AA148" s="10" t="s">
        <v>46</v>
      </c>
      <c r="AB148" s="11">
        <v>19935000000</v>
      </c>
      <c r="AC148" s="8">
        <v>435876000</v>
      </c>
      <c r="AD148" s="8" t="s">
        <v>46</v>
      </c>
      <c r="AE148" s="9">
        <v>20370000000</v>
      </c>
      <c r="AF148" s="8">
        <v>784229000</v>
      </c>
      <c r="AG148" s="8" t="s">
        <v>46</v>
      </c>
      <c r="AH148" s="9">
        <v>-11400000000</v>
      </c>
      <c r="AI148" s="8" t="s">
        <v>46</v>
      </c>
      <c r="AJ148" s="9">
        <v>-13120000000</v>
      </c>
      <c r="AK148" s="8">
        <v>91000</v>
      </c>
      <c r="AL148" s="8">
        <v>84754000</v>
      </c>
      <c r="AM148" s="8"/>
      <c r="AN148" s="8"/>
      <c r="AO148" s="8"/>
      <c r="AP148" s="8"/>
    </row>
    <row r="149" spans="1:42" ht="17">
      <c r="A149" s="8" t="s">
        <v>57</v>
      </c>
      <c r="B149" s="8" t="s">
        <v>45</v>
      </c>
      <c r="C149" s="8">
        <v>12862247000</v>
      </c>
      <c r="D149" s="8">
        <v>2504687000</v>
      </c>
      <c r="E149" s="10">
        <v>845030000</v>
      </c>
      <c r="F149" s="8">
        <v>845030000</v>
      </c>
      <c r="G149" s="8">
        <v>22068000</v>
      </c>
      <c r="H149" s="8">
        <v>1364404000</v>
      </c>
      <c r="I149" s="9">
        <v>10358000000</v>
      </c>
      <c r="J149" s="8">
        <v>1948162000</v>
      </c>
      <c r="K149" s="10" t="s">
        <v>46</v>
      </c>
      <c r="L149" s="8">
        <v>4115373000</v>
      </c>
      <c r="M149" s="8">
        <v>4115373000</v>
      </c>
      <c r="N149" s="8">
        <v>4066575000</v>
      </c>
      <c r="O149" s="10" t="s">
        <v>46</v>
      </c>
      <c r="P149" s="10" t="s">
        <v>46</v>
      </c>
      <c r="Q149" s="8">
        <v>2717000</v>
      </c>
      <c r="R149" s="10">
        <v>270468000</v>
      </c>
      <c r="S149" s="8" t="s">
        <v>46</v>
      </c>
      <c r="T149" s="9">
        <v>23748000000</v>
      </c>
      <c r="U149" s="8">
        <v>1696570000</v>
      </c>
      <c r="V149" s="10">
        <v>142600000</v>
      </c>
      <c r="W149" s="10" t="s">
        <v>46</v>
      </c>
      <c r="X149" s="10" t="s">
        <v>46</v>
      </c>
      <c r="Y149" s="8">
        <v>-641459000</v>
      </c>
      <c r="Z149" s="9">
        <v>22051000000</v>
      </c>
      <c r="AA149" s="10" t="s">
        <v>46</v>
      </c>
      <c r="AB149" s="11">
        <v>20022000000</v>
      </c>
      <c r="AC149" s="8">
        <v>342908000</v>
      </c>
      <c r="AD149" s="8" t="s">
        <v>46</v>
      </c>
      <c r="AE149" s="9">
        <v>20365000000</v>
      </c>
      <c r="AF149" s="8">
        <v>1010959000</v>
      </c>
      <c r="AG149" s="8" t="s">
        <v>46</v>
      </c>
      <c r="AH149" s="9">
        <v>-11020000000</v>
      </c>
      <c r="AI149" s="8" t="s">
        <v>46</v>
      </c>
      <c r="AJ149" s="9">
        <v>-12730000000</v>
      </c>
      <c r="AK149" s="8">
        <v>91000</v>
      </c>
      <c r="AL149" s="8">
        <v>84754000</v>
      </c>
      <c r="AM149" s="8"/>
      <c r="AN149" s="8"/>
      <c r="AO149" s="8"/>
      <c r="AP149" s="8"/>
    </row>
    <row r="150" spans="1:42" ht="17">
      <c r="A150" s="8" t="s">
        <v>118</v>
      </c>
      <c r="B150" s="8" t="s">
        <v>45</v>
      </c>
      <c r="C150" s="8">
        <v>12824272000</v>
      </c>
      <c r="D150" s="8">
        <v>2276523000</v>
      </c>
      <c r="E150" s="10">
        <v>542910000</v>
      </c>
      <c r="F150" s="8">
        <v>542910000</v>
      </c>
      <c r="G150" s="8">
        <v>260934000</v>
      </c>
      <c r="H150" s="8">
        <v>1392997000</v>
      </c>
      <c r="I150" s="9">
        <v>10548000000</v>
      </c>
      <c r="J150" s="8" t="s">
        <v>46</v>
      </c>
      <c r="K150" s="10" t="s">
        <v>46</v>
      </c>
      <c r="L150" s="8">
        <v>4173977000</v>
      </c>
      <c r="M150" s="8">
        <v>4173977000</v>
      </c>
      <c r="N150" s="8">
        <v>4108950000</v>
      </c>
      <c r="O150" s="10" t="s">
        <v>46</v>
      </c>
      <c r="P150" s="10" t="s">
        <v>46</v>
      </c>
      <c r="Q150" s="8" t="s">
        <v>46</v>
      </c>
      <c r="R150" s="10">
        <v>340616000</v>
      </c>
      <c r="S150" s="8" t="s">
        <v>46</v>
      </c>
      <c r="T150" s="9">
        <v>23787000000</v>
      </c>
      <c r="U150" s="8">
        <v>1438279000</v>
      </c>
      <c r="V150" s="10">
        <v>111066000</v>
      </c>
      <c r="W150" s="10" t="s">
        <v>46</v>
      </c>
      <c r="X150" s="10" t="s">
        <v>46</v>
      </c>
      <c r="Y150" s="8">
        <v>-679268000</v>
      </c>
      <c r="Z150" s="9">
        <v>22349000000</v>
      </c>
      <c r="AA150" s="10" t="s">
        <v>46</v>
      </c>
      <c r="AB150" s="10" t="s">
        <v>46</v>
      </c>
      <c r="AC150" s="8" t="s">
        <v>46</v>
      </c>
      <c r="AD150" s="8" t="s">
        <v>46</v>
      </c>
      <c r="AE150" s="9">
        <v>20454000000</v>
      </c>
      <c r="AF150" s="8">
        <v>883859000</v>
      </c>
      <c r="AG150" s="8" t="s">
        <v>46</v>
      </c>
      <c r="AH150" s="9">
        <v>-11120000000</v>
      </c>
      <c r="AI150" s="8" t="s">
        <v>46</v>
      </c>
      <c r="AJ150" s="9">
        <v>-12840000000</v>
      </c>
      <c r="AK150" s="8">
        <v>91000</v>
      </c>
      <c r="AL150" s="8">
        <v>84650000</v>
      </c>
      <c r="AM150" s="8"/>
      <c r="AN150" s="8"/>
      <c r="AO150" s="8"/>
      <c r="AP150" s="8"/>
    </row>
    <row r="151" spans="1:42" ht="17">
      <c r="A151" s="8" t="s">
        <v>119</v>
      </c>
      <c r="B151" s="8" t="s">
        <v>45</v>
      </c>
      <c r="C151" s="8">
        <v>13341367000</v>
      </c>
      <c r="D151" s="8">
        <v>2702811000</v>
      </c>
      <c r="E151" s="10">
        <v>951853000</v>
      </c>
      <c r="F151" s="8">
        <v>951853000</v>
      </c>
      <c r="G151" s="8">
        <v>270055000</v>
      </c>
      <c r="H151" s="8">
        <v>1400603000</v>
      </c>
      <c r="I151" s="9">
        <v>10639000000</v>
      </c>
      <c r="J151" s="8" t="s">
        <v>46</v>
      </c>
      <c r="K151" s="10" t="s">
        <v>46</v>
      </c>
      <c r="L151" s="8">
        <v>4230559000</v>
      </c>
      <c r="M151" s="8">
        <v>4230559000</v>
      </c>
      <c r="N151" s="8">
        <v>4114333000</v>
      </c>
      <c r="O151" s="10" t="s">
        <v>46</v>
      </c>
      <c r="P151" s="10" t="s">
        <v>46</v>
      </c>
      <c r="Q151" s="8" t="s">
        <v>46</v>
      </c>
      <c r="R151" s="10">
        <v>350355000</v>
      </c>
      <c r="S151" s="8" t="s">
        <v>46</v>
      </c>
      <c r="T151" s="9">
        <v>24272000000</v>
      </c>
      <c r="U151" s="8">
        <v>1970514000</v>
      </c>
      <c r="V151" s="10">
        <v>124931000</v>
      </c>
      <c r="W151" s="10" t="s">
        <v>46</v>
      </c>
      <c r="X151" s="10" t="s">
        <v>46</v>
      </c>
      <c r="Y151" s="8">
        <v>574995000</v>
      </c>
      <c r="Z151" s="9">
        <v>22301000000</v>
      </c>
      <c r="AA151" s="10" t="s">
        <v>46</v>
      </c>
      <c r="AB151" s="10" t="s">
        <v>46</v>
      </c>
      <c r="AC151" s="8" t="s">
        <v>46</v>
      </c>
      <c r="AD151" s="8" t="s">
        <v>46</v>
      </c>
      <c r="AE151" s="9">
        <v>20785000000</v>
      </c>
      <c r="AF151" s="8">
        <v>1015676000</v>
      </c>
      <c r="AG151" s="8" t="s">
        <v>46</v>
      </c>
      <c r="AH151" s="9">
        <v>-11090000000</v>
      </c>
      <c r="AI151" s="8" t="s">
        <v>46</v>
      </c>
      <c r="AJ151" s="9">
        <v>-12800000000</v>
      </c>
      <c r="AK151" s="8">
        <v>91000</v>
      </c>
      <c r="AL151" s="8">
        <v>84469000</v>
      </c>
      <c r="AM151" s="8"/>
      <c r="AN151" s="8"/>
      <c r="AO151" s="8"/>
      <c r="AP151" s="8"/>
    </row>
    <row r="152" spans="1:42" ht="17">
      <c r="A152" s="8" t="s">
        <v>120</v>
      </c>
      <c r="B152" s="8" t="s">
        <v>45</v>
      </c>
      <c r="C152" s="8">
        <v>13382670000</v>
      </c>
      <c r="D152" s="8">
        <v>2618393000</v>
      </c>
      <c r="E152" s="10">
        <v>978536000</v>
      </c>
      <c r="F152" s="8">
        <v>978536000</v>
      </c>
      <c r="G152" s="8">
        <v>294495000</v>
      </c>
      <c r="H152" s="8">
        <v>1274294000</v>
      </c>
      <c r="I152" s="9">
        <v>10764000000</v>
      </c>
      <c r="J152" s="8" t="s">
        <v>46</v>
      </c>
      <c r="K152" s="10" t="s">
        <v>46</v>
      </c>
      <c r="L152" s="8">
        <v>4274448000</v>
      </c>
      <c r="M152" s="8">
        <v>4274448000</v>
      </c>
      <c r="N152" s="8">
        <v>4120240000</v>
      </c>
      <c r="O152" s="10" t="s">
        <v>46</v>
      </c>
      <c r="P152" s="10" t="s">
        <v>46</v>
      </c>
      <c r="Q152" s="8" t="s">
        <v>46</v>
      </c>
      <c r="R152" s="10">
        <v>365563000</v>
      </c>
      <c r="S152" s="8" t="s">
        <v>46</v>
      </c>
      <c r="T152" s="9">
        <v>24073000000</v>
      </c>
      <c r="U152" s="8">
        <v>1409473000</v>
      </c>
      <c r="V152" s="10">
        <v>117171000</v>
      </c>
      <c r="W152" s="10" t="s">
        <v>46</v>
      </c>
      <c r="X152" s="10" t="s">
        <v>46</v>
      </c>
      <c r="Y152" s="8">
        <v>185549000</v>
      </c>
      <c r="Z152" s="9">
        <v>22663000000</v>
      </c>
      <c r="AA152" s="10" t="s">
        <v>46</v>
      </c>
      <c r="AB152" s="10" t="s">
        <v>46</v>
      </c>
      <c r="AC152" s="8" t="s">
        <v>46</v>
      </c>
      <c r="AD152" s="8" t="s">
        <v>46</v>
      </c>
      <c r="AE152" s="9">
        <v>20754000000</v>
      </c>
      <c r="AF152" s="8">
        <v>860444000</v>
      </c>
      <c r="AG152" s="8" t="s">
        <v>46</v>
      </c>
      <c r="AH152" s="9">
        <v>-10850000000</v>
      </c>
      <c r="AI152" s="8" t="s">
        <v>46</v>
      </c>
      <c r="AJ152" s="9">
        <v>-12530000000</v>
      </c>
      <c r="AK152" s="8">
        <v>90000</v>
      </c>
      <c r="AL152" s="8">
        <v>84409000</v>
      </c>
      <c r="AM152" s="8"/>
      <c r="AN152" s="8"/>
      <c r="AO152" s="8"/>
      <c r="AP152" s="8"/>
    </row>
    <row r="153" spans="1:42" ht="17">
      <c r="A153" s="8" t="s">
        <v>58</v>
      </c>
      <c r="B153" s="8" t="s">
        <v>45</v>
      </c>
      <c r="C153" s="8">
        <v>13821098000</v>
      </c>
      <c r="D153" s="8">
        <v>2810883000</v>
      </c>
      <c r="E153" s="10">
        <v>772678000</v>
      </c>
      <c r="F153" s="8">
        <v>772678000</v>
      </c>
      <c r="G153" s="8">
        <v>24833000</v>
      </c>
      <c r="H153" s="8">
        <v>1442038000</v>
      </c>
      <c r="I153" s="9">
        <v>11010000000</v>
      </c>
      <c r="J153" s="8" t="s">
        <v>46</v>
      </c>
      <c r="K153" s="10" t="s">
        <v>46</v>
      </c>
      <c r="L153" s="8">
        <v>4338470000</v>
      </c>
      <c r="M153" s="8">
        <v>4338470000</v>
      </c>
      <c r="N153" s="8">
        <v>4128887000</v>
      </c>
      <c r="O153" s="10" t="s">
        <v>46</v>
      </c>
      <c r="P153" s="10" t="s">
        <v>46</v>
      </c>
      <c r="Q153" s="8">
        <v>3184000</v>
      </c>
      <c r="R153" s="10">
        <v>538566000</v>
      </c>
      <c r="S153" s="8" t="s">
        <v>46</v>
      </c>
      <c r="T153" s="9">
        <v>24428000000</v>
      </c>
      <c r="U153" s="8">
        <v>1659228000</v>
      </c>
      <c r="V153" s="10">
        <v>153276000</v>
      </c>
      <c r="W153" s="10" t="s">
        <v>46</v>
      </c>
      <c r="X153" s="10" t="s">
        <v>46</v>
      </c>
      <c r="Y153" s="8">
        <v>181512000</v>
      </c>
      <c r="Z153" s="9">
        <v>22769000000</v>
      </c>
      <c r="AA153" s="10" t="s">
        <v>46</v>
      </c>
      <c r="AB153" s="10" t="s">
        <v>46</v>
      </c>
      <c r="AC153" s="8" t="s">
        <v>46</v>
      </c>
      <c r="AD153" s="8" t="s">
        <v>46</v>
      </c>
      <c r="AE153" s="9">
        <v>20869000000</v>
      </c>
      <c r="AF153" s="8">
        <v>1113516000</v>
      </c>
      <c r="AG153" s="8" t="s">
        <v>46</v>
      </c>
      <c r="AH153" s="9">
        <v>-10780000000</v>
      </c>
      <c r="AI153" s="8" t="s">
        <v>46</v>
      </c>
      <c r="AJ153" s="9">
        <v>-12440000000</v>
      </c>
      <c r="AK153" s="8">
        <v>90000</v>
      </c>
      <c r="AL153" s="8">
        <v>84409000</v>
      </c>
      <c r="AM153" s="8"/>
      <c r="AN153" s="8"/>
      <c r="AO153" s="8"/>
      <c r="AP153" s="8"/>
    </row>
    <row r="154" spans="1:42" ht="17">
      <c r="A154" s="8" t="s">
        <v>121</v>
      </c>
      <c r="B154" s="8" t="s">
        <v>45</v>
      </c>
      <c r="C154" s="8">
        <v>13459229000</v>
      </c>
      <c r="D154" s="8">
        <v>2165603000</v>
      </c>
      <c r="E154" s="10">
        <v>382846000</v>
      </c>
      <c r="F154" s="8">
        <v>382846000</v>
      </c>
      <c r="G154" s="8">
        <v>217310000</v>
      </c>
      <c r="H154" s="8">
        <v>1433353000</v>
      </c>
      <c r="I154" s="9">
        <v>11294000000</v>
      </c>
      <c r="J154" s="8" t="s">
        <v>46</v>
      </c>
      <c r="K154" s="10" t="s">
        <v>46</v>
      </c>
      <c r="L154" s="8">
        <v>4483578000</v>
      </c>
      <c r="M154" s="8">
        <v>4483578000</v>
      </c>
      <c r="N154" s="8">
        <v>4171354000</v>
      </c>
      <c r="O154" s="10" t="s">
        <v>46</v>
      </c>
      <c r="P154" s="10" t="s">
        <v>46</v>
      </c>
      <c r="Q154" s="8" t="s">
        <v>46</v>
      </c>
      <c r="R154" s="10">
        <v>349404000</v>
      </c>
      <c r="S154" s="8" t="s">
        <v>46</v>
      </c>
      <c r="T154" s="9">
        <v>23933000000</v>
      </c>
      <c r="U154" s="8">
        <v>1219277000</v>
      </c>
      <c r="V154" s="10">
        <v>117020000</v>
      </c>
      <c r="W154" s="10" t="s">
        <v>46</v>
      </c>
      <c r="X154" s="10" t="s">
        <v>46</v>
      </c>
      <c r="Y154" s="8">
        <v>2464000</v>
      </c>
      <c r="Z154" s="9">
        <v>22714000000</v>
      </c>
      <c r="AA154" s="10" t="s">
        <v>46</v>
      </c>
      <c r="AB154" s="10" t="s">
        <v>46</v>
      </c>
      <c r="AC154" s="8" t="s">
        <v>46</v>
      </c>
      <c r="AD154" s="8" t="s">
        <v>46</v>
      </c>
      <c r="AE154" s="9">
        <v>20588000000</v>
      </c>
      <c r="AF154" s="8">
        <v>895616000</v>
      </c>
      <c r="AG154" s="8" t="s">
        <v>46</v>
      </c>
      <c r="AH154" s="9">
        <v>-10670000000</v>
      </c>
      <c r="AI154" s="8" t="s">
        <v>46</v>
      </c>
      <c r="AJ154" s="9">
        <v>-12340000000</v>
      </c>
      <c r="AK154" s="8">
        <v>90000</v>
      </c>
      <c r="AL154" s="8">
        <v>84350000</v>
      </c>
      <c r="AM154" s="8"/>
      <c r="AN154" s="8"/>
      <c r="AO154" s="8"/>
      <c r="AP154" s="8"/>
    </row>
    <row r="155" spans="1:42" ht="17">
      <c r="A155" s="8" t="s">
        <v>122</v>
      </c>
      <c r="B155" s="8" t="s">
        <v>45</v>
      </c>
      <c r="C155" s="8">
        <v>13626945000</v>
      </c>
      <c r="D155" s="8">
        <v>2185836000</v>
      </c>
      <c r="E155" s="10">
        <v>387449000</v>
      </c>
      <c r="F155" s="8">
        <v>387449000</v>
      </c>
      <c r="G155" s="8">
        <v>223044000</v>
      </c>
      <c r="H155" s="8">
        <v>1434232000</v>
      </c>
      <c r="I155" s="9">
        <v>11441000000</v>
      </c>
      <c r="J155" s="8" t="s">
        <v>46</v>
      </c>
      <c r="K155" s="10" t="s">
        <v>46</v>
      </c>
      <c r="L155" s="8">
        <v>4561251000</v>
      </c>
      <c r="M155" s="8">
        <v>4561251000</v>
      </c>
      <c r="N155" s="8">
        <v>4177772000</v>
      </c>
      <c r="O155" s="10" t="s">
        <v>46</v>
      </c>
      <c r="P155" s="10" t="s">
        <v>46</v>
      </c>
      <c r="Q155" s="8" t="s">
        <v>46</v>
      </c>
      <c r="R155" s="10">
        <v>364155000</v>
      </c>
      <c r="S155" s="8" t="s">
        <v>46</v>
      </c>
      <c r="T155" s="9">
        <v>23868000000</v>
      </c>
      <c r="U155" s="8">
        <v>1369299000</v>
      </c>
      <c r="V155" s="10">
        <v>122424000</v>
      </c>
      <c r="W155" s="10" t="s">
        <v>46</v>
      </c>
      <c r="X155" s="10" t="s">
        <v>46</v>
      </c>
      <c r="Y155" s="8">
        <v>2725000</v>
      </c>
      <c r="Z155" s="9">
        <v>22498000000</v>
      </c>
      <c r="AA155" s="10" t="s">
        <v>46</v>
      </c>
      <c r="AB155" s="10" t="s">
        <v>46</v>
      </c>
      <c r="AC155" s="8" t="s">
        <v>46</v>
      </c>
      <c r="AD155" s="8" t="s">
        <v>46</v>
      </c>
      <c r="AE155" s="9">
        <v>20375000000</v>
      </c>
      <c r="AF155" s="8">
        <v>1017108000</v>
      </c>
      <c r="AG155" s="8" t="s">
        <v>46</v>
      </c>
      <c r="AH155" s="9">
        <v>-10440000000</v>
      </c>
      <c r="AI155" s="8" t="s">
        <v>46</v>
      </c>
      <c r="AJ155" s="9">
        <v>-12120000000</v>
      </c>
      <c r="AK155" s="8">
        <v>89000</v>
      </c>
      <c r="AL155" s="8">
        <v>84238000</v>
      </c>
      <c r="AM155" s="8"/>
      <c r="AN155" s="8"/>
      <c r="AO155" s="8"/>
      <c r="AP155" s="8"/>
    </row>
    <row r="156" spans="1:42" ht="17">
      <c r="A156" s="8" t="s">
        <v>123</v>
      </c>
      <c r="B156" s="8" t="s">
        <v>45</v>
      </c>
      <c r="C156" s="8">
        <v>13581933000</v>
      </c>
      <c r="D156" s="8">
        <v>1917553000</v>
      </c>
      <c r="E156" s="10">
        <v>289014000</v>
      </c>
      <c r="F156" s="8">
        <v>289014000</v>
      </c>
      <c r="G156" s="8">
        <v>244840000</v>
      </c>
      <c r="H156" s="8">
        <v>1242075000</v>
      </c>
      <c r="I156" s="9">
        <v>11664000000</v>
      </c>
      <c r="J156" s="8" t="s">
        <v>46</v>
      </c>
      <c r="K156" s="10" t="s">
        <v>46</v>
      </c>
      <c r="L156" s="8">
        <v>4618550000</v>
      </c>
      <c r="M156" s="8">
        <v>4618550000</v>
      </c>
      <c r="N156" s="8">
        <v>4170632000</v>
      </c>
      <c r="O156" s="10" t="s">
        <v>46</v>
      </c>
      <c r="P156" s="10" t="s">
        <v>46</v>
      </c>
      <c r="Q156" s="8" t="s">
        <v>46</v>
      </c>
      <c r="R156" s="10">
        <v>386464000</v>
      </c>
      <c r="S156" s="8" t="s">
        <v>46</v>
      </c>
      <c r="T156" s="9">
        <v>23736000000</v>
      </c>
      <c r="U156" s="8">
        <v>1233661000</v>
      </c>
      <c r="V156" s="10">
        <v>132419000</v>
      </c>
      <c r="W156" s="10" t="s">
        <v>46</v>
      </c>
      <c r="X156" s="10" t="s">
        <v>46</v>
      </c>
      <c r="Y156" s="8">
        <v>2844000</v>
      </c>
      <c r="Z156" s="9">
        <v>22502000000</v>
      </c>
      <c r="AA156" s="10" t="s">
        <v>46</v>
      </c>
      <c r="AB156" s="10" t="s">
        <v>46</v>
      </c>
      <c r="AC156" s="8" t="s">
        <v>46</v>
      </c>
      <c r="AD156" s="8" t="s">
        <v>46</v>
      </c>
      <c r="AE156" s="9">
        <v>20486000000</v>
      </c>
      <c r="AF156" s="8">
        <v>881379000</v>
      </c>
      <c r="AG156" s="8" t="s">
        <v>46</v>
      </c>
      <c r="AH156" s="9">
        <v>-10370000000</v>
      </c>
      <c r="AI156" s="8" t="s">
        <v>46</v>
      </c>
      <c r="AJ156" s="9">
        <v>-12070000000</v>
      </c>
      <c r="AK156" s="8">
        <v>89000</v>
      </c>
      <c r="AL156" s="8">
        <v>84118000</v>
      </c>
      <c r="AM156" s="8"/>
      <c r="AN156" s="8"/>
      <c r="AO156" s="8"/>
      <c r="AP156" s="8"/>
    </row>
    <row r="157" spans="1:42" ht="17">
      <c r="A157" s="8" t="s">
        <v>59</v>
      </c>
      <c r="B157" s="8" t="s">
        <v>45</v>
      </c>
      <c r="C157" s="8">
        <v>14040242000</v>
      </c>
      <c r="D157" s="8">
        <v>2180143000</v>
      </c>
      <c r="E157" s="10">
        <v>457024000</v>
      </c>
      <c r="F157" s="8">
        <v>457024000</v>
      </c>
      <c r="G157" s="8">
        <v>23777000</v>
      </c>
      <c r="H157" s="8">
        <v>1395248000</v>
      </c>
      <c r="I157" s="9">
        <v>11860000000</v>
      </c>
      <c r="J157" s="8" t="s">
        <v>46</v>
      </c>
      <c r="K157" s="10" t="s">
        <v>46</v>
      </c>
      <c r="L157" s="8">
        <v>4684546000</v>
      </c>
      <c r="M157" s="8">
        <v>4684546000</v>
      </c>
      <c r="N157" s="8">
        <v>4187424000</v>
      </c>
      <c r="O157" s="10" t="s">
        <v>46</v>
      </c>
      <c r="P157" s="10" t="s">
        <v>46</v>
      </c>
      <c r="Q157" s="8">
        <v>4466000</v>
      </c>
      <c r="R157" s="10">
        <v>266301000</v>
      </c>
      <c r="S157" s="8" t="s">
        <v>46</v>
      </c>
      <c r="T157" s="9">
        <v>23705000000</v>
      </c>
      <c r="U157" s="8">
        <v>1364285000</v>
      </c>
      <c r="V157" s="10">
        <v>132258000</v>
      </c>
      <c r="W157" s="10" t="s">
        <v>46</v>
      </c>
      <c r="X157" s="10" t="s">
        <v>46</v>
      </c>
      <c r="Y157" s="8">
        <v>3604000</v>
      </c>
      <c r="Z157" s="9">
        <v>22341000000</v>
      </c>
      <c r="AA157" s="10" t="s">
        <v>46</v>
      </c>
      <c r="AB157" s="10" t="s">
        <v>46</v>
      </c>
      <c r="AC157" s="8" t="s">
        <v>46</v>
      </c>
      <c r="AD157" s="8" t="s">
        <v>46</v>
      </c>
      <c r="AE157" s="9">
        <v>20326000000</v>
      </c>
      <c r="AF157" s="8">
        <v>1052375000</v>
      </c>
      <c r="AG157" s="8" t="s">
        <v>46</v>
      </c>
      <c r="AH157" s="9">
        <v>-9889000000</v>
      </c>
      <c r="AI157" s="8" t="s">
        <v>46</v>
      </c>
      <c r="AJ157" s="9">
        <v>-11680000000</v>
      </c>
      <c r="AK157" s="8">
        <v>89000</v>
      </c>
      <c r="AL157" s="8">
        <v>84118000</v>
      </c>
      <c r="AM157" s="8"/>
      <c r="AN157" s="8"/>
      <c r="AO157" s="8"/>
      <c r="AP157" s="8"/>
    </row>
    <row r="158" spans="1:42" ht="17">
      <c r="A158" s="8" t="s">
        <v>124</v>
      </c>
      <c r="B158" s="8" t="s">
        <v>45</v>
      </c>
      <c r="C158" s="8">
        <v>14306035000</v>
      </c>
      <c r="D158" s="8">
        <v>2299519000</v>
      </c>
      <c r="E158" s="10">
        <v>522356000</v>
      </c>
      <c r="F158" s="8">
        <v>522356000</v>
      </c>
      <c r="G158" s="8">
        <v>205906000</v>
      </c>
      <c r="H158" s="8">
        <v>1401451000</v>
      </c>
      <c r="I158" s="9">
        <v>12007000000</v>
      </c>
      <c r="J158" s="8" t="s">
        <v>46</v>
      </c>
      <c r="K158" s="10" t="s">
        <v>46</v>
      </c>
      <c r="L158" s="8">
        <v>4760607000</v>
      </c>
      <c r="M158" s="8">
        <v>4760607000</v>
      </c>
      <c r="N158" s="8">
        <v>4212612000</v>
      </c>
      <c r="O158" s="10" t="s">
        <v>46</v>
      </c>
      <c r="P158" s="10" t="s">
        <v>46</v>
      </c>
      <c r="Q158" s="8" t="s">
        <v>46</v>
      </c>
      <c r="R158" s="10">
        <v>375712000</v>
      </c>
      <c r="S158" s="8" t="s">
        <v>46</v>
      </c>
      <c r="T158" s="9">
        <v>23812000000</v>
      </c>
      <c r="U158" s="8">
        <v>1296360000</v>
      </c>
      <c r="V158" s="10">
        <v>130303000</v>
      </c>
      <c r="W158" s="10" t="s">
        <v>46</v>
      </c>
      <c r="X158" s="10" t="s">
        <v>46</v>
      </c>
      <c r="Y158" s="8">
        <v>3232000</v>
      </c>
      <c r="Z158" s="9">
        <v>22516000000</v>
      </c>
      <c r="AA158" s="10" t="s">
        <v>46</v>
      </c>
      <c r="AB158" s="10" t="s">
        <v>46</v>
      </c>
      <c r="AC158" s="8" t="s">
        <v>46</v>
      </c>
      <c r="AD158" s="8" t="s">
        <v>46</v>
      </c>
      <c r="AE158" s="9">
        <v>20485000000</v>
      </c>
      <c r="AF158" s="8">
        <v>951557000</v>
      </c>
      <c r="AG158" s="8" t="s">
        <v>46</v>
      </c>
      <c r="AH158" s="9">
        <v>-9725000000</v>
      </c>
      <c r="AI158" s="8" t="s">
        <v>46</v>
      </c>
      <c r="AJ158" s="9">
        <v>-11610000000</v>
      </c>
      <c r="AK158" s="8">
        <v>89000</v>
      </c>
      <c r="AL158" s="8">
        <v>83991000</v>
      </c>
      <c r="AM158" s="8"/>
      <c r="AN158" s="8"/>
      <c r="AO158" s="8"/>
      <c r="AP158" s="8"/>
    </row>
    <row r="159" spans="1:42" ht="17">
      <c r="A159" s="8" t="s">
        <v>125</v>
      </c>
      <c r="B159" s="8" t="s">
        <v>45</v>
      </c>
      <c r="C159" s="8">
        <v>14752178000</v>
      </c>
      <c r="D159" s="8">
        <v>2612009000</v>
      </c>
      <c r="E159" s="10">
        <v>798438000</v>
      </c>
      <c r="F159" s="8">
        <v>798438000</v>
      </c>
      <c r="G159" s="8">
        <v>216306000</v>
      </c>
      <c r="H159" s="8">
        <v>1424233000</v>
      </c>
      <c r="I159" s="9">
        <v>12140000000</v>
      </c>
      <c r="J159" s="8" t="s">
        <v>46</v>
      </c>
      <c r="K159" s="10" t="s">
        <v>46</v>
      </c>
      <c r="L159" s="8">
        <v>4820710000</v>
      </c>
      <c r="M159" s="8">
        <v>4820710000</v>
      </c>
      <c r="N159" s="8">
        <v>4203267000</v>
      </c>
      <c r="O159" s="10" t="s">
        <v>46</v>
      </c>
      <c r="P159" s="10" t="s">
        <v>46</v>
      </c>
      <c r="Q159" s="8" t="s">
        <v>46</v>
      </c>
      <c r="R159" s="10">
        <v>389338000</v>
      </c>
      <c r="S159" s="8" t="s">
        <v>46</v>
      </c>
      <c r="T159" s="9">
        <v>24067000000</v>
      </c>
      <c r="U159" s="8">
        <v>1386382000</v>
      </c>
      <c r="V159" s="10">
        <v>113967000</v>
      </c>
      <c r="W159" s="10" t="s">
        <v>46</v>
      </c>
      <c r="X159" s="10" t="s">
        <v>46</v>
      </c>
      <c r="Y159" s="8">
        <v>22020000</v>
      </c>
      <c r="Z159" s="9">
        <v>22681000000</v>
      </c>
      <c r="AA159" s="10" t="s">
        <v>46</v>
      </c>
      <c r="AB159" s="10" t="s">
        <v>46</v>
      </c>
      <c r="AC159" s="8" t="s">
        <v>46</v>
      </c>
      <c r="AD159" s="8" t="s">
        <v>46</v>
      </c>
      <c r="AE159" s="9">
        <v>20672000000</v>
      </c>
      <c r="AF159" s="8">
        <v>1005152000</v>
      </c>
      <c r="AG159" s="8" t="s">
        <v>46</v>
      </c>
      <c r="AH159" s="9">
        <v>-9558000000</v>
      </c>
      <c r="AI159" s="8" t="s">
        <v>46</v>
      </c>
      <c r="AJ159" s="9">
        <v>-11500000000</v>
      </c>
      <c r="AK159" s="8">
        <v>89000</v>
      </c>
      <c r="AL159" s="8">
        <v>83916000</v>
      </c>
      <c r="AM159" s="8"/>
      <c r="AN159" s="8"/>
      <c r="AO159" s="8"/>
      <c r="AP159" s="8"/>
    </row>
    <row r="160" spans="1:42" ht="17">
      <c r="A160" s="8" t="s">
        <v>126</v>
      </c>
      <c r="B160" s="8" t="s">
        <v>45</v>
      </c>
      <c r="C160" s="8">
        <v>14597126000</v>
      </c>
      <c r="D160" s="8">
        <v>2350390000</v>
      </c>
      <c r="E160" s="10">
        <v>660742000</v>
      </c>
      <c r="F160" s="8">
        <v>660742000</v>
      </c>
      <c r="G160" s="8">
        <v>217453000</v>
      </c>
      <c r="H160" s="8">
        <v>1302243000</v>
      </c>
      <c r="I160" s="9">
        <v>12247000000</v>
      </c>
      <c r="J160" s="8" t="s">
        <v>46</v>
      </c>
      <c r="K160" s="10" t="s">
        <v>46</v>
      </c>
      <c r="L160" s="8">
        <v>4883560000</v>
      </c>
      <c r="M160" s="8">
        <v>4883560000</v>
      </c>
      <c r="N160" s="8">
        <v>4204897000</v>
      </c>
      <c r="O160" s="10" t="s">
        <v>46</v>
      </c>
      <c r="P160" s="10" t="s">
        <v>46</v>
      </c>
      <c r="Q160" s="8" t="s">
        <v>46</v>
      </c>
      <c r="R160" s="10">
        <v>387405000</v>
      </c>
      <c r="S160" s="8" t="s">
        <v>46</v>
      </c>
      <c r="T160" s="9">
        <v>23725000000</v>
      </c>
      <c r="U160" s="8">
        <v>1706540000</v>
      </c>
      <c r="V160" s="10">
        <v>141731000</v>
      </c>
      <c r="W160" s="10" t="s">
        <v>46</v>
      </c>
      <c r="X160" s="10" t="s">
        <v>46</v>
      </c>
      <c r="Y160" s="8">
        <v>413882000</v>
      </c>
      <c r="Z160" s="9">
        <v>22019000000</v>
      </c>
      <c r="AA160" s="10" t="s">
        <v>46</v>
      </c>
      <c r="AB160" s="10" t="s">
        <v>46</v>
      </c>
      <c r="AC160" s="8" t="s">
        <v>46</v>
      </c>
      <c r="AD160" s="8" t="s">
        <v>46</v>
      </c>
      <c r="AE160" s="9">
        <v>20424000000</v>
      </c>
      <c r="AF160" s="8">
        <v>908537000</v>
      </c>
      <c r="AG160" s="8" t="s">
        <v>46</v>
      </c>
      <c r="AH160" s="9">
        <v>-9361000000</v>
      </c>
      <c r="AI160" s="8" t="s">
        <v>46</v>
      </c>
      <c r="AJ160" s="9">
        <v>-11310000000</v>
      </c>
      <c r="AK160" s="8">
        <v>89000</v>
      </c>
      <c r="AL160" s="8">
        <v>83800000</v>
      </c>
      <c r="AM160" s="8"/>
      <c r="AN160" s="8"/>
      <c r="AO160" s="8"/>
      <c r="AP160" s="8"/>
    </row>
    <row r="161" spans="1:42" ht="17">
      <c r="A161" s="8" t="s">
        <v>61</v>
      </c>
      <c r="B161" s="8" t="s">
        <v>45</v>
      </c>
      <c r="C161" s="8">
        <v>15097302000</v>
      </c>
      <c r="D161" s="8">
        <v>2513294000</v>
      </c>
      <c r="E161" s="10">
        <v>708151000</v>
      </c>
      <c r="F161" s="8">
        <v>708151000</v>
      </c>
      <c r="G161" s="8">
        <v>26872000</v>
      </c>
      <c r="H161" s="8">
        <v>1440501000</v>
      </c>
      <c r="I161" s="9">
        <v>12584000000</v>
      </c>
      <c r="J161" s="8" t="s">
        <v>46</v>
      </c>
      <c r="K161" s="10" t="s">
        <v>46</v>
      </c>
      <c r="L161" s="8">
        <v>4950735000</v>
      </c>
      <c r="M161" s="8">
        <v>4950735000</v>
      </c>
      <c r="N161" s="8">
        <v>4202187000</v>
      </c>
      <c r="O161" s="10" t="s">
        <v>46</v>
      </c>
      <c r="P161" s="10" t="s">
        <v>46</v>
      </c>
      <c r="Q161" s="8">
        <v>5126000</v>
      </c>
      <c r="R161" s="10">
        <v>337770000</v>
      </c>
      <c r="S161" s="8" t="s">
        <v>46</v>
      </c>
      <c r="T161" s="9">
        <v>23794000000</v>
      </c>
      <c r="U161" s="8">
        <v>1759592000</v>
      </c>
      <c r="V161" s="10">
        <v>131370000</v>
      </c>
      <c r="W161" s="10" t="s">
        <v>46</v>
      </c>
      <c r="X161" s="10" t="s">
        <v>46</v>
      </c>
      <c r="Y161" s="8">
        <v>453734000</v>
      </c>
      <c r="Z161" s="9">
        <v>22034000000</v>
      </c>
      <c r="AA161" s="10" t="s">
        <v>46</v>
      </c>
      <c r="AB161" s="10" t="s">
        <v>46</v>
      </c>
      <c r="AC161" s="8" t="s">
        <v>46</v>
      </c>
      <c r="AD161" s="8" t="s">
        <v>46</v>
      </c>
      <c r="AE161" s="9">
        <v>20484000000</v>
      </c>
      <c r="AF161" s="8">
        <v>1006080000</v>
      </c>
      <c r="AG161" s="8" t="s">
        <v>46</v>
      </c>
      <c r="AH161" s="9">
        <v>-8942000000</v>
      </c>
      <c r="AI161" s="8" t="s">
        <v>46</v>
      </c>
      <c r="AJ161" s="9">
        <v>-10890000000</v>
      </c>
      <c r="AK161" s="8">
        <v>89000</v>
      </c>
      <c r="AL161" s="8">
        <v>83800000</v>
      </c>
      <c r="AM161" s="8"/>
      <c r="AN161" s="8"/>
      <c r="AO161" s="8"/>
      <c r="AP161" s="8"/>
    </row>
    <row r="162" spans="1:42" ht="17">
      <c r="A162" s="8" t="s">
        <v>127</v>
      </c>
      <c r="B162" s="8" t="s">
        <v>45</v>
      </c>
      <c r="C162" s="8">
        <v>15231181000</v>
      </c>
      <c r="D162" s="8">
        <v>2479745000</v>
      </c>
      <c r="E162" s="10">
        <v>711052000</v>
      </c>
      <c r="F162" s="8">
        <v>711052000</v>
      </c>
      <c r="G162" s="8">
        <v>185693000</v>
      </c>
      <c r="H162" s="8">
        <v>1424367000</v>
      </c>
      <c r="I162" s="9">
        <v>12751000000</v>
      </c>
      <c r="J162" s="8" t="s">
        <v>46</v>
      </c>
      <c r="K162" s="10" t="s">
        <v>46</v>
      </c>
      <c r="L162" s="8">
        <v>5021824000</v>
      </c>
      <c r="M162" s="8">
        <v>5021824000</v>
      </c>
      <c r="N162" s="8">
        <v>4212381000</v>
      </c>
      <c r="O162" s="10" t="s">
        <v>46</v>
      </c>
      <c r="P162" s="10" t="s">
        <v>46</v>
      </c>
      <c r="Q162" s="8" t="s">
        <v>46</v>
      </c>
      <c r="R162" s="10">
        <v>344326000</v>
      </c>
      <c r="S162" s="8" t="s">
        <v>46</v>
      </c>
      <c r="T162" s="9">
        <v>23602000000</v>
      </c>
      <c r="U162" s="8">
        <v>1692800000</v>
      </c>
      <c r="V162" s="10">
        <v>121274000</v>
      </c>
      <c r="W162" s="10" t="s">
        <v>46</v>
      </c>
      <c r="X162" s="10" t="s">
        <v>46</v>
      </c>
      <c r="Y162" s="8">
        <v>433458000</v>
      </c>
      <c r="Z162" s="9">
        <v>21909000000</v>
      </c>
      <c r="AA162" s="10" t="s">
        <v>46</v>
      </c>
      <c r="AB162" s="10" t="s">
        <v>46</v>
      </c>
      <c r="AC162" s="8" t="s">
        <v>46</v>
      </c>
      <c r="AD162" s="8" t="s">
        <v>46</v>
      </c>
      <c r="AE162" s="9">
        <v>20411000000</v>
      </c>
      <c r="AF162" s="8">
        <v>944479000</v>
      </c>
      <c r="AG162" s="8" t="s">
        <v>46</v>
      </c>
      <c r="AH162" s="9">
        <v>-8638000000</v>
      </c>
      <c r="AI162" s="8" t="s">
        <v>46</v>
      </c>
      <c r="AJ162" s="9">
        <v>-10580000000</v>
      </c>
      <c r="AK162" s="8">
        <v>89000</v>
      </c>
      <c r="AL162" s="8">
        <v>83455000</v>
      </c>
      <c r="AM162" s="8"/>
      <c r="AN162" s="8"/>
      <c r="AO162" s="8"/>
      <c r="AP162" s="8"/>
    </row>
    <row r="163" spans="1:42" ht="17">
      <c r="A163" s="8" t="s">
        <v>128</v>
      </c>
      <c r="B163" s="8" t="s">
        <v>45</v>
      </c>
      <c r="C163" s="8">
        <v>15296478000</v>
      </c>
      <c r="D163" s="8">
        <v>2461720000</v>
      </c>
      <c r="E163" s="10">
        <v>704166000</v>
      </c>
      <c r="F163" s="8">
        <v>704166000</v>
      </c>
      <c r="G163" s="8">
        <v>187721000</v>
      </c>
      <c r="H163" s="8">
        <v>1389141000</v>
      </c>
      <c r="I163" s="9">
        <v>12835000000</v>
      </c>
      <c r="J163" s="8" t="s">
        <v>46</v>
      </c>
      <c r="K163" s="10" t="s">
        <v>46</v>
      </c>
      <c r="L163" s="8">
        <v>5088208000</v>
      </c>
      <c r="M163" s="8">
        <v>5088208000</v>
      </c>
      <c r="N163" s="8">
        <v>4202933000</v>
      </c>
      <c r="O163" s="10" t="s">
        <v>46</v>
      </c>
      <c r="P163" s="10" t="s">
        <v>46</v>
      </c>
      <c r="Q163" s="8" t="s">
        <v>46</v>
      </c>
      <c r="R163" s="10">
        <v>368413000</v>
      </c>
      <c r="S163" s="8" t="s">
        <v>46</v>
      </c>
      <c r="T163" s="9">
        <v>23586000000</v>
      </c>
      <c r="U163" s="8">
        <v>1202292000</v>
      </c>
      <c r="V163" s="10">
        <v>103661000</v>
      </c>
      <c r="W163" s="10" t="s">
        <v>46</v>
      </c>
      <c r="X163" s="10" t="s">
        <v>46</v>
      </c>
      <c r="Y163" s="8">
        <v>35817000</v>
      </c>
      <c r="Z163" s="9">
        <v>22383000000</v>
      </c>
      <c r="AA163" s="10" t="s">
        <v>46</v>
      </c>
      <c r="AB163" s="10" t="s">
        <v>46</v>
      </c>
      <c r="AC163" s="8" t="s">
        <v>46</v>
      </c>
      <c r="AD163" s="8" t="s">
        <v>46</v>
      </c>
      <c r="AE163" s="9">
        <v>20412000000</v>
      </c>
      <c r="AF163" s="8">
        <v>880274000</v>
      </c>
      <c r="AG163" s="8" t="s">
        <v>46</v>
      </c>
      <c r="AH163" s="9">
        <v>-8584000000</v>
      </c>
      <c r="AI163" s="8" t="s">
        <v>46</v>
      </c>
      <c r="AJ163" s="9">
        <v>-10480000000</v>
      </c>
      <c r="AK163" s="8">
        <v>88000</v>
      </c>
      <c r="AL163" s="8">
        <v>83820000</v>
      </c>
      <c r="AM163" s="8"/>
      <c r="AN163" s="8"/>
      <c r="AO163" s="8"/>
      <c r="AP163" s="8"/>
    </row>
    <row r="164" spans="1:42" ht="17">
      <c r="A164" s="8" t="s">
        <v>129</v>
      </c>
      <c r="B164" s="8" t="s">
        <v>45</v>
      </c>
      <c r="C164" s="8">
        <v>15519151000</v>
      </c>
      <c r="D164" s="8">
        <v>2369154000</v>
      </c>
      <c r="E164" s="10">
        <v>721570000</v>
      </c>
      <c r="F164" s="8">
        <v>721570000</v>
      </c>
      <c r="G164" s="8">
        <v>210334000</v>
      </c>
      <c r="H164" s="8">
        <v>1264529000</v>
      </c>
      <c r="I164" s="9">
        <v>13150000000</v>
      </c>
      <c r="J164" s="8" t="s">
        <v>46</v>
      </c>
      <c r="K164" s="10" t="s">
        <v>46</v>
      </c>
      <c r="L164" s="8">
        <v>5162353000</v>
      </c>
      <c r="M164" s="8">
        <v>5162353000</v>
      </c>
      <c r="N164" s="8">
        <v>4206959000</v>
      </c>
      <c r="O164" s="10" t="s">
        <v>46</v>
      </c>
      <c r="P164" s="10" t="s">
        <v>46</v>
      </c>
      <c r="Q164" s="8" t="s">
        <v>46</v>
      </c>
      <c r="R164" s="10">
        <v>383055000</v>
      </c>
      <c r="S164" s="8" t="s">
        <v>46</v>
      </c>
      <c r="T164" s="9">
        <v>23729000000</v>
      </c>
      <c r="U164" s="8">
        <v>1315692000</v>
      </c>
      <c r="V164" s="10">
        <v>104534000</v>
      </c>
      <c r="W164" s="10" t="s">
        <v>46</v>
      </c>
      <c r="X164" s="10" t="s">
        <v>46</v>
      </c>
      <c r="Y164" s="8">
        <v>68351000</v>
      </c>
      <c r="Z164" s="9">
        <v>22413000000</v>
      </c>
      <c r="AA164" s="10" t="s">
        <v>46</v>
      </c>
      <c r="AB164" s="10" t="s">
        <v>46</v>
      </c>
      <c r="AC164" s="8" t="s">
        <v>46</v>
      </c>
      <c r="AD164" s="8" t="s">
        <v>46</v>
      </c>
      <c r="AE164" s="9">
        <v>20426000000</v>
      </c>
      <c r="AF164" s="8">
        <v>951794000</v>
      </c>
      <c r="AG164" s="8" t="s">
        <v>46</v>
      </c>
      <c r="AH164" s="9">
        <v>-8503000000</v>
      </c>
      <c r="AI164" s="8" t="s">
        <v>46</v>
      </c>
      <c r="AJ164" s="9">
        <v>-10480000000</v>
      </c>
      <c r="AK164" s="8">
        <v>87000</v>
      </c>
      <c r="AL164" s="8">
        <v>83126000</v>
      </c>
      <c r="AM164" s="8"/>
      <c r="AN164" s="8"/>
      <c r="AO164" s="8"/>
      <c r="AP164" s="8"/>
    </row>
    <row r="165" spans="1:42" ht="17">
      <c r="A165" s="8" t="s">
        <v>62</v>
      </c>
      <c r="B165" s="8" t="s">
        <v>45</v>
      </c>
      <c r="C165" s="8">
        <v>16292713000</v>
      </c>
      <c r="D165" s="8">
        <v>2993807000</v>
      </c>
      <c r="E165" s="10">
        <v>1225010000</v>
      </c>
      <c r="F165" s="8">
        <v>1225010000</v>
      </c>
      <c r="G165" s="8">
        <v>23110000</v>
      </c>
      <c r="H165" s="8">
        <v>1440169000</v>
      </c>
      <c r="I165" s="9">
        <v>13299000000</v>
      </c>
      <c r="J165" s="8" t="s">
        <v>46</v>
      </c>
      <c r="K165" s="10" t="s">
        <v>46</v>
      </c>
      <c r="L165" s="8">
        <v>5235491000</v>
      </c>
      <c r="M165" s="8">
        <v>5235491000</v>
      </c>
      <c r="N165" s="8">
        <v>4216085000</v>
      </c>
      <c r="O165" s="10" t="s">
        <v>46</v>
      </c>
      <c r="P165" s="10" t="s">
        <v>46</v>
      </c>
      <c r="Q165" s="8">
        <v>4223000</v>
      </c>
      <c r="R165" s="10">
        <v>299464000</v>
      </c>
      <c r="S165" s="8" t="s">
        <v>46</v>
      </c>
      <c r="T165" s="9">
        <v>24288000000</v>
      </c>
      <c r="U165" s="8">
        <v>1782142000</v>
      </c>
      <c r="V165" s="10">
        <v>133226000</v>
      </c>
      <c r="W165" s="10" t="s">
        <v>46</v>
      </c>
      <c r="X165" s="10" t="s">
        <v>46</v>
      </c>
      <c r="Y165" s="8">
        <v>381728000</v>
      </c>
      <c r="Z165" s="9">
        <v>22506000000</v>
      </c>
      <c r="AA165" s="10" t="s">
        <v>46</v>
      </c>
      <c r="AB165" s="10" t="s">
        <v>46</v>
      </c>
      <c r="AC165" s="8" t="s">
        <v>46</v>
      </c>
      <c r="AD165" s="8" t="s">
        <v>46</v>
      </c>
      <c r="AE165" s="9">
        <v>20747000000</v>
      </c>
      <c r="AF165" s="8">
        <v>1094516000</v>
      </c>
      <c r="AG165" s="8" t="s">
        <v>46</v>
      </c>
      <c r="AH165" s="9">
        <v>-8299000000</v>
      </c>
      <c r="AI165" s="8" t="s">
        <v>46</v>
      </c>
      <c r="AJ165" s="9">
        <v>-10280000000</v>
      </c>
      <c r="AK165" s="8">
        <v>87000</v>
      </c>
      <c r="AL165" s="8">
        <v>83126000</v>
      </c>
      <c r="AM165" s="8"/>
      <c r="AN165" s="8"/>
      <c r="AO165" s="8"/>
      <c r="AP165" s="8"/>
    </row>
    <row r="166" spans="1:42" ht="17">
      <c r="A166" s="8" t="s">
        <v>130</v>
      </c>
      <c r="B166" s="8" t="s">
        <v>45</v>
      </c>
      <c r="C166" s="8">
        <v>16402319000</v>
      </c>
      <c r="D166" s="8">
        <v>3067410000</v>
      </c>
      <c r="E166" s="10">
        <v>1296643000</v>
      </c>
      <c r="F166" s="8">
        <v>1296643000</v>
      </c>
      <c r="G166" s="8" t="s">
        <v>46</v>
      </c>
      <c r="H166" s="8">
        <v>1405259000</v>
      </c>
      <c r="I166" s="9">
        <v>13335000000</v>
      </c>
      <c r="J166" s="8" t="s">
        <v>46</v>
      </c>
      <c r="K166" s="10" t="s">
        <v>46</v>
      </c>
      <c r="L166" s="8">
        <v>5331646000</v>
      </c>
      <c r="M166" s="8">
        <v>5331646000</v>
      </c>
      <c r="N166" s="8">
        <v>4195856000</v>
      </c>
      <c r="O166" s="10" t="s">
        <v>46</v>
      </c>
      <c r="P166" s="10" t="s">
        <v>46</v>
      </c>
      <c r="Q166" s="8" t="s">
        <v>46</v>
      </c>
      <c r="R166" s="10">
        <v>365508000</v>
      </c>
      <c r="S166" s="8" t="s">
        <v>46</v>
      </c>
      <c r="T166" s="9">
        <v>24250000000</v>
      </c>
      <c r="U166" s="8">
        <v>1618106000</v>
      </c>
      <c r="V166" s="10">
        <v>841907000</v>
      </c>
      <c r="W166" s="10" t="s">
        <v>46</v>
      </c>
      <c r="X166" s="10" t="s">
        <v>46</v>
      </c>
      <c r="Y166" s="8">
        <v>419880000</v>
      </c>
      <c r="Z166" s="9">
        <v>22632000000</v>
      </c>
      <c r="AA166" s="10" t="s">
        <v>46</v>
      </c>
      <c r="AB166" s="10" t="s">
        <v>46</v>
      </c>
      <c r="AC166" s="8" t="s">
        <v>46</v>
      </c>
      <c r="AD166" s="8" t="s">
        <v>46</v>
      </c>
      <c r="AE166" s="9">
        <v>20738000000</v>
      </c>
      <c r="AF166" s="8">
        <v>179340000</v>
      </c>
      <c r="AG166" s="8" t="s">
        <v>46</v>
      </c>
      <c r="AH166" s="9">
        <v>-8155000000</v>
      </c>
      <c r="AI166" s="8" t="s">
        <v>46</v>
      </c>
      <c r="AJ166" s="9">
        <v>-10090000000</v>
      </c>
      <c r="AK166" s="8">
        <v>84000</v>
      </c>
      <c r="AL166" s="8">
        <v>82765000</v>
      </c>
      <c r="AM166" s="8"/>
      <c r="AN166" s="8"/>
      <c r="AO166" s="8"/>
      <c r="AP166" s="8"/>
    </row>
    <row r="167" spans="1:42" ht="17">
      <c r="A167" s="8" t="s">
        <v>131</v>
      </c>
      <c r="B167" s="8" t="s">
        <v>45</v>
      </c>
      <c r="C167" s="8">
        <v>16451822000</v>
      </c>
      <c r="D167" s="8">
        <v>3055871000</v>
      </c>
      <c r="E167" s="10">
        <v>1316516000</v>
      </c>
      <c r="F167" s="8">
        <v>1316516000</v>
      </c>
      <c r="G167" s="8" t="s">
        <v>46</v>
      </c>
      <c r="H167" s="8">
        <v>1371276000</v>
      </c>
      <c r="I167" s="9">
        <v>13396000000</v>
      </c>
      <c r="J167" s="8" t="s">
        <v>46</v>
      </c>
      <c r="K167" s="10" t="s">
        <v>46</v>
      </c>
      <c r="L167" s="8">
        <v>5398571000</v>
      </c>
      <c r="M167" s="8">
        <v>5398571000</v>
      </c>
      <c r="N167" s="8">
        <v>4183156000</v>
      </c>
      <c r="O167" s="10" t="s">
        <v>46</v>
      </c>
      <c r="P167" s="10" t="s">
        <v>46</v>
      </c>
      <c r="Q167" s="8" t="s">
        <v>46</v>
      </c>
      <c r="R167" s="10">
        <v>368079000</v>
      </c>
      <c r="S167" s="8" t="s">
        <v>46</v>
      </c>
      <c r="T167" s="9">
        <v>24314000000</v>
      </c>
      <c r="U167" s="8">
        <v>1484937000</v>
      </c>
      <c r="V167" s="10">
        <v>793430000</v>
      </c>
      <c r="W167" s="10" t="s">
        <v>46</v>
      </c>
      <c r="X167" s="10" t="s">
        <v>46</v>
      </c>
      <c r="Y167" s="8">
        <v>323528000</v>
      </c>
      <c r="Z167" s="9">
        <v>22829000000</v>
      </c>
      <c r="AA167" s="10" t="s">
        <v>46</v>
      </c>
      <c r="AB167" s="10" t="s">
        <v>46</v>
      </c>
      <c r="AC167" s="8" t="s">
        <v>46</v>
      </c>
      <c r="AD167" s="8" t="s">
        <v>46</v>
      </c>
      <c r="AE167" s="9">
        <v>20715000000</v>
      </c>
      <c r="AF167" s="8">
        <v>155567000</v>
      </c>
      <c r="AG167" s="8" t="s">
        <v>46</v>
      </c>
      <c r="AH167" s="9">
        <v>-8153000000</v>
      </c>
      <c r="AI167" s="8" t="s">
        <v>46</v>
      </c>
      <c r="AJ167" s="9">
        <v>-10040000000</v>
      </c>
      <c r="AK167" s="8">
        <v>84000</v>
      </c>
      <c r="AL167" s="8">
        <v>82543000</v>
      </c>
      <c r="AM167" s="8"/>
      <c r="AN167" s="8"/>
      <c r="AO167" s="8"/>
      <c r="AP167" s="8"/>
    </row>
    <row r="168" spans="1:42" ht="17">
      <c r="A168" s="8" t="s">
        <v>132</v>
      </c>
      <c r="B168" s="8" t="s">
        <v>45</v>
      </c>
      <c r="C168" s="8">
        <v>16489343000</v>
      </c>
      <c r="D168" s="8">
        <v>2967345000</v>
      </c>
      <c r="E168" s="10">
        <v>1326061000</v>
      </c>
      <c r="F168" s="8">
        <v>1326061000</v>
      </c>
      <c r="G168" s="8" t="s">
        <v>46</v>
      </c>
      <c r="H168" s="8">
        <v>1254938000</v>
      </c>
      <c r="I168" s="9">
        <v>13522000000</v>
      </c>
      <c r="J168" s="8" t="s">
        <v>46</v>
      </c>
      <c r="K168" s="10" t="s">
        <v>46</v>
      </c>
      <c r="L168" s="8">
        <v>5465479000</v>
      </c>
      <c r="M168" s="8">
        <v>5465479000</v>
      </c>
      <c r="N168" s="8">
        <v>4196010000</v>
      </c>
      <c r="O168" s="10" t="s">
        <v>46</v>
      </c>
      <c r="P168" s="10" t="s">
        <v>46</v>
      </c>
      <c r="Q168" s="8" t="s">
        <v>46</v>
      </c>
      <c r="R168" s="10">
        <v>386346000</v>
      </c>
      <c r="S168" s="8" t="s">
        <v>46</v>
      </c>
      <c r="T168" s="9">
        <v>24292000000</v>
      </c>
      <c r="U168" s="8">
        <v>1417252000</v>
      </c>
      <c r="V168" s="10">
        <v>817401000</v>
      </c>
      <c r="W168" s="10" t="s">
        <v>46</v>
      </c>
      <c r="X168" s="10" t="s">
        <v>46</v>
      </c>
      <c r="Y168" s="8">
        <v>311726000</v>
      </c>
      <c r="Z168" s="9">
        <v>22875000000</v>
      </c>
      <c r="AA168" s="10" t="s">
        <v>46</v>
      </c>
      <c r="AB168" s="10" t="s">
        <v>46</v>
      </c>
      <c r="AC168" s="8" t="s">
        <v>46</v>
      </c>
      <c r="AD168" s="8" t="s">
        <v>46</v>
      </c>
      <c r="AE168" s="9">
        <v>20692000000</v>
      </c>
      <c r="AF168" s="8">
        <v>77386000</v>
      </c>
      <c r="AG168" s="8" t="s">
        <v>46</v>
      </c>
      <c r="AH168" s="9">
        <v>-8087000000</v>
      </c>
      <c r="AI168" s="8" t="s">
        <v>46</v>
      </c>
      <c r="AJ168" s="9">
        <v>-10000000000</v>
      </c>
      <c r="AK168" s="8">
        <v>83000</v>
      </c>
      <c r="AL168" s="8">
        <v>82654000</v>
      </c>
      <c r="AM168" s="8"/>
      <c r="AN168" s="8"/>
      <c r="AO168" s="8"/>
      <c r="AP168" s="8"/>
    </row>
    <row r="169" spans="1:42" ht="17">
      <c r="A169" s="8" t="s">
        <v>63</v>
      </c>
      <c r="B169" s="8" t="s">
        <v>45</v>
      </c>
      <c r="C169" s="8">
        <v>16542039000</v>
      </c>
      <c r="D169" s="8">
        <v>2985285000</v>
      </c>
      <c r="E169" s="10">
        <v>1228682000</v>
      </c>
      <c r="F169" s="8">
        <v>1228682000</v>
      </c>
      <c r="G169" s="8">
        <v>161317000</v>
      </c>
      <c r="H169" s="8">
        <v>1399135000</v>
      </c>
      <c r="I169" s="9">
        <v>13557000000</v>
      </c>
      <c r="J169" s="8" t="s">
        <v>46</v>
      </c>
      <c r="K169" s="10" t="s">
        <v>46</v>
      </c>
      <c r="L169" s="8">
        <v>5534831000</v>
      </c>
      <c r="M169" s="8">
        <v>5534831000</v>
      </c>
      <c r="N169" s="8">
        <v>4186718000</v>
      </c>
      <c r="O169" s="10" t="s">
        <v>46</v>
      </c>
      <c r="P169" s="10" t="s">
        <v>46</v>
      </c>
      <c r="Q169" s="8" t="s">
        <v>46</v>
      </c>
      <c r="R169" s="10">
        <v>336311000</v>
      </c>
      <c r="S169" s="8" t="s">
        <v>46</v>
      </c>
      <c r="T169" s="9">
        <v>24014000000</v>
      </c>
      <c r="U169" s="8">
        <v>1428962000</v>
      </c>
      <c r="V169" s="10">
        <v>121575000</v>
      </c>
      <c r="W169" s="10" t="s">
        <v>46</v>
      </c>
      <c r="X169" s="10" t="s">
        <v>46</v>
      </c>
      <c r="Y169" s="8">
        <v>268638000</v>
      </c>
      <c r="Z169" s="9">
        <v>22585000000</v>
      </c>
      <c r="AA169" s="10" t="s">
        <v>46</v>
      </c>
      <c r="AB169" s="10" t="s">
        <v>46</v>
      </c>
      <c r="AC169" s="8" t="s">
        <v>46</v>
      </c>
      <c r="AD169" s="8" t="s">
        <v>46</v>
      </c>
      <c r="AE169" s="9">
        <v>20207000000</v>
      </c>
      <c r="AF169" s="8">
        <v>895513000</v>
      </c>
      <c r="AG169" s="8" t="s">
        <v>46</v>
      </c>
      <c r="AH169" s="9">
        <v>-7994000000</v>
      </c>
      <c r="AI169" s="8" t="s">
        <v>46</v>
      </c>
      <c r="AJ169" s="9">
        <v>-9857000000</v>
      </c>
      <c r="AK169" s="8">
        <v>83000</v>
      </c>
      <c r="AL169" s="8">
        <v>82654000</v>
      </c>
      <c r="AM169" s="8"/>
      <c r="AN169" s="8"/>
      <c r="AO169" s="8"/>
      <c r="AP169" s="8"/>
    </row>
    <row r="170" spans="1:42" ht="17">
      <c r="A170" s="8" t="s">
        <v>133</v>
      </c>
      <c r="B170" s="8" t="s">
        <v>45</v>
      </c>
      <c r="C170" s="8">
        <v>16508946000</v>
      </c>
      <c r="D170" s="8">
        <v>2923592000</v>
      </c>
      <c r="E170" s="10">
        <v>1165381000</v>
      </c>
      <c r="F170" s="8">
        <v>1165381000</v>
      </c>
      <c r="G170" s="8" t="s">
        <v>46</v>
      </c>
      <c r="H170" s="8">
        <v>1382269000</v>
      </c>
      <c r="I170" s="9">
        <v>13585000000</v>
      </c>
      <c r="J170" s="8" t="s">
        <v>46</v>
      </c>
      <c r="K170" s="10" t="s">
        <v>46</v>
      </c>
      <c r="L170" s="8">
        <v>5613226000</v>
      </c>
      <c r="M170" s="8">
        <v>5613226000</v>
      </c>
      <c r="N170" s="8">
        <v>4184573000</v>
      </c>
      <c r="O170" s="10" t="s">
        <v>46</v>
      </c>
      <c r="P170" s="10" t="s">
        <v>46</v>
      </c>
      <c r="Q170" s="8" t="s">
        <v>46</v>
      </c>
      <c r="R170" s="10">
        <v>375942000</v>
      </c>
      <c r="S170" s="8" t="s">
        <v>46</v>
      </c>
      <c r="T170" s="9">
        <v>23965000000</v>
      </c>
      <c r="U170" s="8">
        <v>1392320000</v>
      </c>
      <c r="V170" s="10">
        <v>843458000</v>
      </c>
      <c r="W170" s="10" t="s">
        <v>46</v>
      </c>
      <c r="X170" s="10" t="s">
        <v>46</v>
      </c>
      <c r="Y170" s="8">
        <v>285078000</v>
      </c>
      <c r="Z170" s="9">
        <v>22573000000</v>
      </c>
      <c r="AA170" s="10" t="s">
        <v>46</v>
      </c>
      <c r="AB170" s="10" t="s">
        <v>46</v>
      </c>
      <c r="AC170" s="8" t="s">
        <v>46</v>
      </c>
      <c r="AD170" s="8" t="s">
        <v>46</v>
      </c>
      <c r="AE170" s="9">
        <v>20180000000</v>
      </c>
      <c r="AF170" s="8">
        <v>75765000</v>
      </c>
      <c r="AG170" s="8" t="s">
        <v>46</v>
      </c>
      <c r="AH170" s="9">
        <v>-7967000000</v>
      </c>
      <c r="AI170" s="8" t="s">
        <v>46</v>
      </c>
      <c r="AJ170" s="9">
        <v>-9814000000</v>
      </c>
      <c r="AK170" s="8">
        <v>83000</v>
      </c>
      <c r="AL170" s="8">
        <v>82654000</v>
      </c>
      <c r="AM170" s="8"/>
      <c r="AN170" s="8"/>
      <c r="AO170" s="8"/>
      <c r="AP170" s="8"/>
    </row>
    <row r="171" spans="1:42" ht="17">
      <c r="A171" s="8" t="s">
        <v>134</v>
      </c>
      <c r="B171" s="8" t="s">
        <v>45</v>
      </c>
      <c r="C171" s="8">
        <v>16882051000</v>
      </c>
      <c r="D171" s="8">
        <v>3025016000</v>
      </c>
      <c r="E171" s="10">
        <v>1219156000</v>
      </c>
      <c r="F171" s="8">
        <v>1219156000</v>
      </c>
      <c r="G171" s="8" t="s">
        <v>46</v>
      </c>
      <c r="H171" s="8">
        <v>1453260000</v>
      </c>
      <c r="I171" s="9">
        <v>13857000000</v>
      </c>
      <c r="J171" s="8" t="s">
        <v>46</v>
      </c>
      <c r="K171" s="10" t="s">
        <v>46</v>
      </c>
      <c r="L171" s="8">
        <v>5714241000</v>
      </c>
      <c r="M171" s="8">
        <v>5714241000</v>
      </c>
      <c r="N171" s="8">
        <v>4210765000</v>
      </c>
      <c r="O171" s="10" t="s">
        <v>46</v>
      </c>
      <c r="P171" s="10" t="s">
        <v>46</v>
      </c>
      <c r="Q171" s="8" t="s">
        <v>46</v>
      </c>
      <c r="R171" s="10">
        <v>352600000</v>
      </c>
      <c r="S171" s="8" t="s">
        <v>46</v>
      </c>
      <c r="T171" s="9">
        <v>24152000000</v>
      </c>
      <c r="U171" s="8">
        <v>1524062000</v>
      </c>
      <c r="V171" s="10">
        <v>851536000</v>
      </c>
      <c r="W171" s="10" t="s">
        <v>46</v>
      </c>
      <c r="X171" s="10" t="s">
        <v>46</v>
      </c>
      <c r="Y171" s="8">
        <v>289943000</v>
      </c>
      <c r="Z171" s="9">
        <v>22628000000</v>
      </c>
      <c r="AA171" s="10" t="s">
        <v>46</v>
      </c>
      <c r="AB171" s="10" t="s">
        <v>46</v>
      </c>
      <c r="AC171" s="8" t="s">
        <v>46</v>
      </c>
      <c r="AD171" s="8" t="s">
        <v>46</v>
      </c>
      <c r="AE171" s="9">
        <v>20175000000</v>
      </c>
      <c r="AF171" s="8">
        <v>162279000</v>
      </c>
      <c r="AG171" s="8" t="s">
        <v>46</v>
      </c>
      <c r="AH171" s="9">
        <v>-7792000000</v>
      </c>
      <c r="AI171" s="8" t="s">
        <v>46</v>
      </c>
      <c r="AJ171" s="9">
        <v>-9740000000</v>
      </c>
      <c r="AK171" s="8">
        <v>83000</v>
      </c>
      <c r="AL171" s="8">
        <v>82375000</v>
      </c>
      <c r="AM171" s="8"/>
      <c r="AN171" s="8"/>
      <c r="AO171" s="8"/>
      <c r="AP171" s="8"/>
    </row>
    <row r="172" spans="1:42" ht="17">
      <c r="A172" s="8" t="s">
        <v>135</v>
      </c>
      <c r="B172" s="8" t="s">
        <v>45</v>
      </c>
      <c r="C172" s="8">
        <v>16938645000</v>
      </c>
      <c r="D172" s="8">
        <v>3142629000</v>
      </c>
      <c r="E172" s="10">
        <v>1510804000</v>
      </c>
      <c r="F172" s="8">
        <v>1510804000</v>
      </c>
      <c r="G172" s="8" t="s">
        <v>46</v>
      </c>
      <c r="H172" s="8">
        <v>1259912000</v>
      </c>
      <c r="I172" s="9">
        <v>13796000000</v>
      </c>
      <c r="J172" s="8" t="s">
        <v>46</v>
      </c>
      <c r="K172" s="10" t="s">
        <v>46</v>
      </c>
      <c r="L172" s="8">
        <v>5754396000</v>
      </c>
      <c r="M172" s="8">
        <v>5754396000</v>
      </c>
      <c r="N172" s="8">
        <v>4134629000</v>
      </c>
      <c r="O172" s="10" t="s">
        <v>46</v>
      </c>
      <c r="P172" s="10" t="s">
        <v>46</v>
      </c>
      <c r="Q172" s="8" t="s">
        <v>46</v>
      </c>
      <c r="R172" s="10">
        <v>371913000</v>
      </c>
      <c r="S172" s="8" t="s">
        <v>46</v>
      </c>
      <c r="T172" s="9">
        <v>24219000000</v>
      </c>
      <c r="U172" s="8">
        <v>1498479000</v>
      </c>
      <c r="V172" s="10" t="s">
        <v>46</v>
      </c>
      <c r="W172" s="10" t="s">
        <v>46</v>
      </c>
      <c r="X172" s="10" t="s">
        <v>46</v>
      </c>
      <c r="Y172" s="8">
        <v>404555000</v>
      </c>
      <c r="Z172" s="9">
        <v>22721000000</v>
      </c>
      <c r="AA172" s="10" t="s">
        <v>46</v>
      </c>
      <c r="AB172" s="10" t="s">
        <v>46</v>
      </c>
      <c r="AC172" s="8" t="s">
        <v>46</v>
      </c>
      <c r="AD172" s="8" t="s">
        <v>46</v>
      </c>
      <c r="AE172" s="9">
        <v>20404000000</v>
      </c>
      <c r="AF172" s="8">
        <v>881121000</v>
      </c>
      <c r="AG172" s="8" t="s">
        <v>46</v>
      </c>
      <c r="AH172" s="9">
        <v>-7781000000</v>
      </c>
      <c r="AI172" s="8" t="s">
        <v>46</v>
      </c>
      <c r="AJ172" s="9">
        <v>-9687000000</v>
      </c>
      <c r="AK172" s="8">
        <v>83000</v>
      </c>
      <c r="AL172" s="8">
        <v>82260000</v>
      </c>
      <c r="AM172" s="8"/>
      <c r="AN172" s="8"/>
      <c r="AO172" s="8"/>
      <c r="AP172" s="8"/>
    </row>
    <row r="173" spans="1:42" ht="17">
      <c r="A173" s="8" t="s">
        <v>65</v>
      </c>
      <c r="B173" s="8" t="s">
        <v>45</v>
      </c>
      <c r="C173" s="8">
        <v>17479867000</v>
      </c>
      <c r="D173" s="8">
        <v>3622658000</v>
      </c>
      <c r="E173" s="10">
        <v>1920926000</v>
      </c>
      <c r="F173" s="8">
        <v>1920926000</v>
      </c>
      <c r="G173" s="8">
        <v>124114000</v>
      </c>
      <c r="H173" s="8">
        <v>1393365000</v>
      </c>
      <c r="I173" s="9">
        <v>13857000000</v>
      </c>
      <c r="J173" s="8" t="s">
        <v>46</v>
      </c>
      <c r="K173" s="10" t="s">
        <v>46</v>
      </c>
      <c r="L173" s="8">
        <v>5826390000</v>
      </c>
      <c r="M173" s="8">
        <v>5826390000</v>
      </c>
      <c r="N173" s="8">
        <v>4119326000</v>
      </c>
      <c r="O173" s="10" t="s">
        <v>46</v>
      </c>
      <c r="P173" s="10" t="s">
        <v>46</v>
      </c>
      <c r="Q173" s="8" t="s">
        <v>46</v>
      </c>
      <c r="R173" s="10">
        <v>308367000</v>
      </c>
      <c r="S173" s="8" t="s">
        <v>46</v>
      </c>
      <c r="T173" s="9">
        <v>24685000000</v>
      </c>
      <c r="U173" s="8">
        <v>2118064000</v>
      </c>
      <c r="V173" s="10">
        <v>127263000</v>
      </c>
      <c r="W173" s="10" t="s">
        <v>46</v>
      </c>
      <c r="X173" s="10" t="s">
        <v>46</v>
      </c>
      <c r="Y173" s="8">
        <v>867735000</v>
      </c>
      <c r="Z173" s="9">
        <v>22566000000</v>
      </c>
      <c r="AA173" s="10" t="s">
        <v>46</v>
      </c>
      <c r="AB173" s="10" t="s">
        <v>46</v>
      </c>
      <c r="AC173" s="8" t="s">
        <v>46</v>
      </c>
      <c r="AD173" s="8" t="s">
        <v>46</v>
      </c>
      <c r="AE173" s="9">
        <v>20607000000</v>
      </c>
      <c r="AF173" s="8">
        <v>970288000</v>
      </c>
      <c r="AG173" s="8" t="s">
        <v>46</v>
      </c>
      <c r="AH173" s="9">
        <v>-7696000000</v>
      </c>
      <c r="AI173" s="8" t="s">
        <v>46</v>
      </c>
      <c r="AJ173" s="9">
        <v>-9555000000</v>
      </c>
      <c r="AK173" s="8">
        <v>83000</v>
      </c>
      <c r="AL173" s="8">
        <v>82260000</v>
      </c>
      <c r="AM173" s="8"/>
      <c r="AN173" s="8"/>
      <c r="AO173" s="8"/>
      <c r="AP173" s="8"/>
    </row>
    <row r="174" spans="1:42" ht="17">
      <c r="A174" s="8" t="s">
        <v>136</v>
      </c>
      <c r="B174" s="8" t="s">
        <v>45</v>
      </c>
      <c r="C174" s="8">
        <v>17393491000</v>
      </c>
      <c r="D174" s="8">
        <v>3401676000</v>
      </c>
      <c r="E174" s="10">
        <v>1700834000</v>
      </c>
      <c r="F174" s="8">
        <v>1700834000</v>
      </c>
      <c r="G174" s="8" t="s">
        <v>46</v>
      </c>
      <c r="H174" s="8">
        <v>1357179000</v>
      </c>
      <c r="I174" s="9">
        <v>13992000000</v>
      </c>
      <c r="J174" s="8" t="s">
        <v>46</v>
      </c>
      <c r="K174" s="10" t="s">
        <v>46</v>
      </c>
      <c r="L174" s="8">
        <v>5907695000</v>
      </c>
      <c r="M174" s="8">
        <v>5907695000</v>
      </c>
      <c r="N174" s="8">
        <v>4120633000</v>
      </c>
      <c r="O174" s="10" t="s">
        <v>46</v>
      </c>
      <c r="P174" s="10" t="s">
        <v>46</v>
      </c>
      <c r="Q174" s="8" t="s">
        <v>46</v>
      </c>
      <c r="R174" s="10">
        <v>343663000</v>
      </c>
      <c r="S174" s="8" t="s">
        <v>46</v>
      </c>
      <c r="T174" s="9">
        <v>24613000000</v>
      </c>
      <c r="U174" s="8">
        <v>1991291000</v>
      </c>
      <c r="V174" s="10" t="s">
        <v>46</v>
      </c>
      <c r="W174" s="10" t="s">
        <v>46</v>
      </c>
      <c r="X174" s="10" t="s">
        <v>46</v>
      </c>
      <c r="Y174" s="8">
        <v>847496000</v>
      </c>
      <c r="Z174" s="9">
        <v>22622000000</v>
      </c>
      <c r="AA174" s="10" t="s">
        <v>46</v>
      </c>
      <c r="AB174" s="10" t="s">
        <v>46</v>
      </c>
      <c r="AC174" s="8" t="s">
        <v>46</v>
      </c>
      <c r="AD174" s="8" t="s">
        <v>46</v>
      </c>
      <c r="AE174" s="9">
        <v>20539000000</v>
      </c>
      <c r="AF174" s="8">
        <v>945292000</v>
      </c>
      <c r="AG174" s="8" t="s">
        <v>46</v>
      </c>
      <c r="AH174" s="9">
        <v>-7692000000</v>
      </c>
      <c r="AI174" s="8" t="s">
        <v>46</v>
      </c>
      <c r="AJ174" s="9">
        <v>-9493000000</v>
      </c>
      <c r="AK174" s="8">
        <v>82000</v>
      </c>
      <c r="AL174" s="8">
        <v>81619000</v>
      </c>
      <c r="AM174" s="8"/>
      <c r="AN174" s="8"/>
      <c r="AO174" s="8"/>
      <c r="AP174" s="8"/>
    </row>
    <row r="175" spans="1:42" ht="17">
      <c r="A175" s="8" t="s">
        <v>137</v>
      </c>
      <c r="B175" s="8" t="s">
        <v>45</v>
      </c>
      <c r="C175" s="8">
        <v>17286782000</v>
      </c>
      <c r="D175" s="8">
        <v>3287691000</v>
      </c>
      <c r="E175" s="10">
        <v>1504730000</v>
      </c>
      <c r="F175" s="8">
        <v>1504730000</v>
      </c>
      <c r="G175" s="8" t="s">
        <v>46</v>
      </c>
      <c r="H175" s="8">
        <v>1323697000</v>
      </c>
      <c r="I175" s="9">
        <v>13999000000</v>
      </c>
      <c r="J175" s="8" t="s">
        <v>46</v>
      </c>
      <c r="K175" s="10" t="s">
        <v>46</v>
      </c>
      <c r="L175" s="8">
        <v>5975793000</v>
      </c>
      <c r="M175" s="8">
        <v>5975793000</v>
      </c>
      <c r="N175" s="8">
        <v>4092443000</v>
      </c>
      <c r="O175" s="10" t="s">
        <v>46</v>
      </c>
      <c r="P175" s="10" t="s">
        <v>46</v>
      </c>
      <c r="Q175" s="8" t="s">
        <v>46</v>
      </c>
      <c r="R175" s="10">
        <v>459264000</v>
      </c>
      <c r="S175" s="8" t="s">
        <v>46</v>
      </c>
      <c r="T175" s="9">
        <v>24496000000</v>
      </c>
      <c r="U175" s="8">
        <v>2046853000</v>
      </c>
      <c r="V175" s="10" t="s">
        <v>46</v>
      </c>
      <c r="W175" s="10" t="s">
        <v>46</v>
      </c>
      <c r="X175" s="10" t="s">
        <v>46</v>
      </c>
      <c r="Y175" s="8">
        <v>916043000</v>
      </c>
      <c r="Z175" s="9">
        <v>22449000000</v>
      </c>
      <c r="AA175" s="10" t="s">
        <v>46</v>
      </c>
      <c r="AB175" s="10" t="s">
        <v>46</v>
      </c>
      <c r="AC175" s="8" t="s">
        <v>46</v>
      </c>
      <c r="AD175" s="8" t="s">
        <v>46</v>
      </c>
      <c r="AE175" s="9">
        <v>20451000000</v>
      </c>
      <c r="AF175" s="8">
        <v>943340000</v>
      </c>
      <c r="AG175" s="8" t="s">
        <v>46</v>
      </c>
      <c r="AH175" s="9">
        <v>-7656000000</v>
      </c>
      <c r="AI175" s="8" t="s">
        <v>46</v>
      </c>
      <c r="AJ175" s="9">
        <v>-9338000000</v>
      </c>
      <c r="AK175" s="8">
        <v>82000</v>
      </c>
      <c r="AL175" s="8">
        <v>81540000</v>
      </c>
      <c r="AM175" s="8"/>
      <c r="AN175" s="8"/>
      <c r="AO175" s="8"/>
      <c r="AP175" s="8"/>
    </row>
    <row r="176" spans="1:42" ht="17">
      <c r="A176" s="8" t="s">
        <v>138</v>
      </c>
      <c r="B176" s="8" t="s">
        <v>45</v>
      </c>
      <c r="C176" s="8">
        <v>17399984000</v>
      </c>
      <c r="D176" s="8">
        <v>3168367000</v>
      </c>
      <c r="E176" s="10">
        <v>1482291000</v>
      </c>
      <c r="F176" s="8">
        <v>1482291000</v>
      </c>
      <c r="G176" s="8" t="s">
        <v>46</v>
      </c>
      <c r="H176" s="8">
        <v>1201429000</v>
      </c>
      <c r="I176" s="9">
        <v>14232000000</v>
      </c>
      <c r="J176" s="8" t="s">
        <v>46</v>
      </c>
      <c r="K176" s="10" t="s">
        <v>46</v>
      </c>
      <c r="L176" s="8">
        <v>6080912000</v>
      </c>
      <c r="M176" s="8">
        <v>6080912000</v>
      </c>
      <c r="N176" s="8">
        <v>4114421000</v>
      </c>
      <c r="O176" s="10" t="s">
        <v>46</v>
      </c>
      <c r="P176" s="10" t="s">
        <v>46</v>
      </c>
      <c r="Q176" s="8" t="s">
        <v>46</v>
      </c>
      <c r="R176" s="10">
        <v>484647000</v>
      </c>
      <c r="S176" s="8" t="s">
        <v>46</v>
      </c>
      <c r="T176" s="9">
        <v>24455000000</v>
      </c>
      <c r="U176" s="8">
        <v>1889215000</v>
      </c>
      <c r="V176" s="10" t="s">
        <v>46</v>
      </c>
      <c r="W176" s="10" t="s">
        <v>46</v>
      </c>
      <c r="X176" s="10" t="s">
        <v>46</v>
      </c>
      <c r="Y176" s="8">
        <v>800184000</v>
      </c>
      <c r="Z176" s="9">
        <v>22566000000</v>
      </c>
      <c r="AA176" s="10" t="s">
        <v>46</v>
      </c>
      <c r="AB176" s="10" t="s">
        <v>46</v>
      </c>
      <c r="AC176" s="8" t="s">
        <v>46</v>
      </c>
      <c r="AD176" s="8" t="s">
        <v>46</v>
      </c>
      <c r="AE176" s="9">
        <v>20377000000</v>
      </c>
      <c r="AF176" s="8">
        <v>891621000</v>
      </c>
      <c r="AG176" s="8" t="s">
        <v>46</v>
      </c>
      <c r="AH176" s="9">
        <v>-7505000000</v>
      </c>
      <c r="AI176" s="8" t="s">
        <v>46</v>
      </c>
      <c r="AJ176" s="9">
        <v>-9251000000</v>
      </c>
      <c r="AK176" s="8">
        <v>82000</v>
      </c>
      <c r="AL176" s="8">
        <v>81427000</v>
      </c>
      <c r="AM176" s="8"/>
      <c r="AN176" s="8"/>
      <c r="AO176" s="8"/>
      <c r="AP176" s="8"/>
    </row>
    <row r="177" spans="1:42" ht="17">
      <c r="A177" s="8" t="s">
        <v>66</v>
      </c>
      <c r="B177" s="8" t="s">
        <v>45</v>
      </c>
      <c r="C177" s="8">
        <v>18047101000</v>
      </c>
      <c r="D177" s="8">
        <v>3658845000</v>
      </c>
      <c r="E177" s="10">
        <v>1883994000</v>
      </c>
      <c r="F177" s="8">
        <v>1883994000</v>
      </c>
      <c r="G177" s="8">
        <v>81669000</v>
      </c>
      <c r="H177" s="8">
        <v>1301700000</v>
      </c>
      <c r="I177" s="9">
        <v>14388000000</v>
      </c>
      <c r="J177" s="8" t="s">
        <v>46</v>
      </c>
      <c r="K177" s="10" t="s">
        <v>46</v>
      </c>
      <c r="L177" s="8">
        <v>6161301000</v>
      </c>
      <c r="M177" s="8">
        <v>6161301000</v>
      </c>
      <c r="N177" s="8">
        <v>4125005000</v>
      </c>
      <c r="O177" s="10" t="s">
        <v>46</v>
      </c>
      <c r="P177" s="10" t="s">
        <v>46</v>
      </c>
      <c r="Q177" s="8" t="s">
        <v>46</v>
      </c>
      <c r="R177" s="10">
        <v>473151000</v>
      </c>
      <c r="S177" s="8" t="s">
        <v>46</v>
      </c>
      <c r="T177" s="9">
        <v>24436000000</v>
      </c>
      <c r="U177" s="8">
        <v>1544136000</v>
      </c>
      <c r="V177" s="10">
        <v>132193000</v>
      </c>
      <c r="W177" s="10" t="s">
        <v>46</v>
      </c>
      <c r="X177" s="10" t="s">
        <v>46</v>
      </c>
      <c r="Y177" s="8">
        <v>398779000</v>
      </c>
      <c r="Z177" s="9">
        <v>22892000000</v>
      </c>
      <c r="AA177" s="10" t="s">
        <v>46</v>
      </c>
      <c r="AB177" s="10" t="s">
        <v>46</v>
      </c>
      <c r="AC177" s="8" t="s">
        <v>46</v>
      </c>
      <c r="AD177" s="8" t="s">
        <v>46</v>
      </c>
      <c r="AE177" s="9">
        <v>20702000000</v>
      </c>
      <c r="AF177" s="8">
        <v>863547000</v>
      </c>
      <c r="AG177" s="8" t="s">
        <v>46</v>
      </c>
      <c r="AH177" s="9">
        <v>-6845000000</v>
      </c>
      <c r="AI177" s="8" t="s">
        <v>46</v>
      </c>
      <c r="AJ177" s="9">
        <v>-9076000000</v>
      </c>
      <c r="AK177" s="8">
        <v>82000</v>
      </c>
      <c r="AL177" s="8">
        <v>81427000</v>
      </c>
      <c r="AM177" s="8"/>
      <c r="AN177" s="8"/>
      <c r="AO177" s="8"/>
      <c r="AP177" s="8"/>
    </row>
    <row r="178" spans="1:42" ht="17">
      <c r="A178" s="8" t="s">
        <v>139</v>
      </c>
      <c r="B178" s="8" t="s">
        <v>45</v>
      </c>
      <c r="C178" s="8">
        <v>17696076000</v>
      </c>
      <c r="D178" s="8">
        <v>3065422000</v>
      </c>
      <c r="E178" s="10">
        <v>1374770000</v>
      </c>
      <c r="F178" s="8">
        <v>1374770000</v>
      </c>
      <c r="G178" s="8">
        <v>96253000</v>
      </c>
      <c r="H178" s="8">
        <v>1312295000</v>
      </c>
      <c r="I178" s="9">
        <v>14631000000</v>
      </c>
      <c r="J178" s="8" t="s">
        <v>46</v>
      </c>
      <c r="K178" s="10" t="s">
        <v>46</v>
      </c>
      <c r="L178" s="8">
        <v>6271052000</v>
      </c>
      <c r="M178" s="8">
        <v>6271052000</v>
      </c>
      <c r="N178" s="8">
        <v>4176813000</v>
      </c>
      <c r="O178" s="10" t="s">
        <v>46</v>
      </c>
      <c r="P178" s="10" t="s">
        <v>46</v>
      </c>
      <c r="Q178" s="8" t="s">
        <v>46</v>
      </c>
      <c r="R178" s="10">
        <v>378357000</v>
      </c>
      <c r="S178" s="8" t="s">
        <v>46</v>
      </c>
      <c r="T178" s="9">
        <v>24717000000</v>
      </c>
      <c r="U178" s="8">
        <v>1557463000</v>
      </c>
      <c r="V178" s="10">
        <v>105986000</v>
      </c>
      <c r="W178" s="10" t="s">
        <v>46</v>
      </c>
      <c r="X178" s="10" t="s">
        <v>46</v>
      </c>
      <c r="Y178" s="8">
        <v>443615000</v>
      </c>
      <c r="Z178" s="9">
        <v>23159000000</v>
      </c>
      <c r="AA178" s="10" t="s">
        <v>46</v>
      </c>
      <c r="AB178" s="10" t="s">
        <v>46</v>
      </c>
      <c r="AC178" s="8" t="s">
        <v>46</v>
      </c>
      <c r="AD178" s="8" t="s">
        <v>46</v>
      </c>
      <c r="AE178" s="9">
        <v>20264000000</v>
      </c>
      <c r="AF178" s="8">
        <v>813266000</v>
      </c>
      <c r="AG178" s="8" t="s">
        <v>46</v>
      </c>
      <c r="AH178" s="9">
        <v>-7468000000</v>
      </c>
      <c r="AI178" s="8" t="s">
        <v>46</v>
      </c>
      <c r="AJ178" s="9">
        <v>-9223000000</v>
      </c>
      <c r="AK178" s="8">
        <v>82000</v>
      </c>
      <c r="AL178" s="8">
        <v>81427000</v>
      </c>
      <c r="AM178" s="8"/>
      <c r="AN178" s="8"/>
      <c r="AO178" s="8"/>
      <c r="AP178" s="8"/>
    </row>
    <row r="179" spans="1:42" ht="17">
      <c r="A179" s="8" t="s">
        <v>140</v>
      </c>
      <c r="B179" s="8" t="s">
        <v>45</v>
      </c>
      <c r="C179" s="8">
        <v>17897885000</v>
      </c>
      <c r="D179" s="8">
        <v>3228961000</v>
      </c>
      <c r="E179" s="10">
        <v>1497502000</v>
      </c>
      <c r="F179" s="8">
        <v>1497502000</v>
      </c>
      <c r="G179" s="8">
        <v>104602000</v>
      </c>
      <c r="H179" s="8">
        <v>1348749000</v>
      </c>
      <c r="I179" s="9">
        <v>14669000000</v>
      </c>
      <c r="J179" s="8" t="s">
        <v>46</v>
      </c>
      <c r="K179" s="10" t="s">
        <v>46</v>
      </c>
      <c r="L179" s="8">
        <v>6348590000</v>
      </c>
      <c r="M179" s="8">
        <v>6348590000</v>
      </c>
      <c r="N179" s="8">
        <v>4094910000</v>
      </c>
      <c r="O179" s="10" t="s">
        <v>46</v>
      </c>
      <c r="P179" s="10" t="s">
        <v>46</v>
      </c>
      <c r="Q179" s="8" t="s">
        <v>46</v>
      </c>
      <c r="R179" s="10">
        <v>382710000</v>
      </c>
      <c r="S179" s="8" t="s">
        <v>46</v>
      </c>
      <c r="T179" s="9">
        <v>24868000000</v>
      </c>
      <c r="U179" s="8">
        <v>1489018000</v>
      </c>
      <c r="V179" s="10">
        <v>119742000</v>
      </c>
      <c r="W179" s="10" t="s">
        <v>46</v>
      </c>
      <c r="X179" s="10" t="s">
        <v>46</v>
      </c>
      <c r="Y179" s="8">
        <v>298531000</v>
      </c>
      <c r="Z179" s="9">
        <v>23379000000</v>
      </c>
      <c r="AA179" s="10" t="s">
        <v>46</v>
      </c>
      <c r="AB179" s="10" t="s">
        <v>46</v>
      </c>
      <c r="AC179" s="8" t="s">
        <v>46</v>
      </c>
      <c r="AD179" s="8" t="s">
        <v>46</v>
      </c>
      <c r="AE179" s="9">
        <v>20546000000</v>
      </c>
      <c r="AF179" s="8">
        <v>870011000</v>
      </c>
      <c r="AG179" s="8" t="s">
        <v>46</v>
      </c>
      <c r="AH179" s="9">
        <v>-7429000000</v>
      </c>
      <c r="AI179" s="8" t="s">
        <v>46</v>
      </c>
      <c r="AJ179" s="9">
        <v>-9134000000</v>
      </c>
      <c r="AK179" s="8">
        <v>82000</v>
      </c>
      <c r="AL179" s="8">
        <v>81224000</v>
      </c>
      <c r="AM179" s="8"/>
      <c r="AN179" s="8"/>
      <c r="AO179" s="8"/>
      <c r="AP179" s="8"/>
    </row>
    <row r="180" spans="1:42" ht="17">
      <c r="A180" s="8" t="s">
        <v>141</v>
      </c>
      <c r="B180" s="8" t="s">
        <v>45</v>
      </c>
      <c r="C180" s="8">
        <v>22029059000</v>
      </c>
      <c r="D180" s="8">
        <v>3231932000</v>
      </c>
      <c r="E180" s="10">
        <v>1574800000</v>
      </c>
      <c r="F180" s="8">
        <v>1574800000</v>
      </c>
      <c r="G180" s="8">
        <v>130346000</v>
      </c>
      <c r="H180" s="8">
        <v>1223406000</v>
      </c>
      <c r="I180" s="9">
        <v>18797000000</v>
      </c>
      <c r="J180" s="8" t="s">
        <v>46</v>
      </c>
      <c r="K180" s="10" t="s">
        <v>46</v>
      </c>
      <c r="L180" s="8">
        <v>7210074000</v>
      </c>
      <c r="M180" s="8">
        <v>7210074000</v>
      </c>
      <c r="N180" s="8">
        <v>7191791000</v>
      </c>
      <c r="O180" s="10" t="s">
        <v>46</v>
      </c>
      <c r="P180" s="10" t="s">
        <v>46</v>
      </c>
      <c r="Q180" s="8" t="s">
        <v>46</v>
      </c>
      <c r="R180" s="10">
        <v>433726000</v>
      </c>
      <c r="S180" s="8" t="s">
        <v>46</v>
      </c>
      <c r="T180" s="9">
        <v>25413000000</v>
      </c>
      <c r="U180" s="8">
        <v>1934746000</v>
      </c>
      <c r="V180" s="10">
        <v>109116000</v>
      </c>
      <c r="W180" s="10" t="s">
        <v>46</v>
      </c>
      <c r="X180" s="10" t="s">
        <v>46</v>
      </c>
      <c r="Y180" s="8">
        <v>803438000</v>
      </c>
      <c r="Z180" s="9">
        <v>23478000000</v>
      </c>
      <c r="AA180" s="10" t="s">
        <v>46</v>
      </c>
      <c r="AB180" s="10" t="s">
        <v>46</v>
      </c>
      <c r="AC180" s="8" t="s">
        <v>46</v>
      </c>
      <c r="AD180" s="8" t="s">
        <v>46</v>
      </c>
      <c r="AE180" s="9">
        <v>21017000000</v>
      </c>
      <c r="AF180" s="8">
        <v>816800000</v>
      </c>
      <c r="AG180" s="8" t="s">
        <v>46</v>
      </c>
      <c r="AH180" s="9">
        <v>-3827000000</v>
      </c>
      <c r="AI180" s="8" t="s">
        <v>46</v>
      </c>
      <c r="AJ180" s="9">
        <v>-5460000000</v>
      </c>
      <c r="AK180" s="8">
        <v>82000</v>
      </c>
      <c r="AL180" s="8">
        <v>81242000</v>
      </c>
      <c r="AM180" s="8"/>
      <c r="AN180" s="8"/>
      <c r="AO180" s="8"/>
      <c r="AP180" s="8"/>
    </row>
    <row r="181" spans="1:42" ht="17">
      <c r="A181" s="8" t="s">
        <v>67</v>
      </c>
      <c r="B181" s="8" t="s">
        <v>45</v>
      </c>
      <c r="C181" s="8">
        <v>21125463000</v>
      </c>
      <c r="D181" s="8">
        <v>2066555000</v>
      </c>
      <c r="E181" s="10">
        <v>239846000</v>
      </c>
      <c r="F181" s="8">
        <v>239846000</v>
      </c>
      <c r="G181" s="8">
        <v>133217000</v>
      </c>
      <c r="H181" s="8">
        <v>1477919000</v>
      </c>
      <c r="I181" s="9">
        <v>19059000000</v>
      </c>
      <c r="J181" s="8" t="s">
        <v>46</v>
      </c>
      <c r="K181" s="10" t="s">
        <v>46</v>
      </c>
      <c r="L181" s="8">
        <v>7430591000</v>
      </c>
      <c r="M181" s="8">
        <v>7430591000</v>
      </c>
      <c r="N181" s="8">
        <v>7090621000</v>
      </c>
      <c r="O181" s="10" t="s">
        <v>46</v>
      </c>
      <c r="P181" s="10" t="s">
        <v>46</v>
      </c>
      <c r="Q181" s="8" t="s">
        <v>46</v>
      </c>
      <c r="R181" s="10">
        <v>348790000</v>
      </c>
      <c r="S181" s="8" t="s">
        <v>46</v>
      </c>
      <c r="T181" s="9">
        <v>23615000000</v>
      </c>
      <c r="U181" s="8">
        <v>1845946000</v>
      </c>
      <c r="V181" s="10">
        <v>155240000</v>
      </c>
      <c r="W181" s="10" t="s">
        <v>46</v>
      </c>
      <c r="X181" s="10" t="s">
        <v>46</v>
      </c>
      <c r="Y181" s="8">
        <v>562923000</v>
      </c>
      <c r="Z181" s="9">
        <v>21770000000</v>
      </c>
      <c r="AA181" s="10" t="s">
        <v>46</v>
      </c>
      <c r="AB181" s="10" t="s">
        <v>46</v>
      </c>
      <c r="AC181" s="8" t="s">
        <v>46</v>
      </c>
      <c r="AD181" s="8" t="s">
        <v>46</v>
      </c>
      <c r="AE181" s="9">
        <v>19504000000</v>
      </c>
      <c r="AF181" s="8">
        <v>974630000</v>
      </c>
      <c r="AG181" s="8" t="s">
        <v>46</v>
      </c>
      <c r="AH181" s="9">
        <v>-2916000000</v>
      </c>
      <c r="AI181" s="8" t="s">
        <v>46</v>
      </c>
      <c r="AJ181" s="9">
        <v>-5042000000</v>
      </c>
      <c r="AK181" s="8">
        <v>82000</v>
      </c>
      <c r="AL181" s="8">
        <v>219316000</v>
      </c>
      <c r="AM181" s="8"/>
      <c r="AN181" s="8"/>
      <c r="AO181" s="8"/>
      <c r="AP181" s="8"/>
    </row>
    <row r="182" spans="1:42" ht="17">
      <c r="A182" s="8" t="s">
        <v>142</v>
      </c>
      <c r="B182" s="8" t="s">
        <v>45</v>
      </c>
      <c r="C182" s="8">
        <v>25146094000</v>
      </c>
      <c r="D182" s="8">
        <v>1021987000</v>
      </c>
      <c r="E182" s="10">
        <v>154583000</v>
      </c>
      <c r="F182" s="8">
        <v>154583000</v>
      </c>
      <c r="G182" s="8" t="s">
        <v>46</v>
      </c>
      <c r="H182" s="8">
        <v>712415000</v>
      </c>
      <c r="I182" s="9">
        <v>24124000000</v>
      </c>
      <c r="J182" s="8" t="s">
        <v>46</v>
      </c>
      <c r="K182" s="10" t="s">
        <v>46</v>
      </c>
      <c r="L182" s="8">
        <v>312019000</v>
      </c>
      <c r="M182" s="8">
        <v>312019000</v>
      </c>
      <c r="N182" s="8">
        <v>6375811000</v>
      </c>
      <c r="O182" s="10" t="s">
        <v>46</v>
      </c>
      <c r="P182" s="10" t="s">
        <v>46</v>
      </c>
      <c r="Q182" s="8">
        <v>6942706000</v>
      </c>
      <c r="R182" s="10">
        <v>154989000</v>
      </c>
      <c r="S182" s="8" t="s">
        <v>46</v>
      </c>
      <c r="T182" s="9">
        <v>23287000000</v>
      </c>
      <c r="U182" s="8">
        <v>1307680000</v>
      </c>
      <c r="V182" s="10">
        <v>25191000</v>
      </c>
      <c r="W182" s="10" t="s">
        <v>46</v>
      </c>
      <c r="X182" s="10" t="s">
        <v>46</v>
      </c>
      <c r="Y182" s="8" t="s">
        <v>46</v>
      </c>
      <c r="Z182" s="9">
        <v>21980000000</v>
      </c>
      <c r="AA182" s="10" t="s">
        <v>46</v>
      </c>
      <c r="AB182" s="10" t="s">
        <v>46</v>
      </c>
      <c r="AC182" s="8" t="s">
        <v>46</v>
      </c>
      <c r="AD182" s="8" t="s">
        <v>46</v>
      </c>
      <c r="AE182" s="9">
        <v>19032000000</v>
      </c>
      <c r="AF182" s="8">
        <v>1233668000</v>
      </c>
      <c r="AG182" s="8" t="s">
        <v>46</v>
      </c>
      <c r="AH182" s="8">
        <v>1858698000</v>
      </c>
      <c r="AI182" s="8" t="s">
        <v>46</v>
      </c>
      <c r="AJ182" s="8">
        <v>-45000000</v>
      </c>
      <c r="AK182" s="8" t="s">
        <v>46</v>
      </c>
      <c r="AL182" s="8">
        <v>219316000</v>
      </c>
      <c r="AM182" s="8"/>
      <c r="AN182" s="8"/>
      <c r="AO182" s="8"/>
      <c r="AP182" s="8"/>
    </row>
    <row r="183" spans="1:42" ht="17">
      <c r="A183" s="8" t="s">
        <v>143</v>
      </c>
      <c r="B183" s="8" t="s">
        <v>45</v>
      </c>
      <c r="C183" s="8">
        <v>19078372000</v>
      </c>
      <c r="D183" s="8">
        <v>2908899000</v>
      </c>
      <c r="E183" s="10">
        <v>668093000</v>
      </c>
      <c r="F183" s="8">
        <v>668093000</v>
      </c>
      <c r="G183" s="8">
        <v>138527000</v>
      </c>
      <c r="H183" s="8">
        <v>1773939000</v>
      </c>
      <c r="I183" s="9">
        <v>16169000000</v>
      </c>
      <c r="J183" s="8" t="s">
        <v>46</v>
      </c>
      <c r="K183" s="10" t="s">
        <v>46</v>
      </c>
      <c r="L183" s="8">
        <v>4990330000</v>
      </c>
      <c r="M183" s="8">
        <v>4990330000</v>
      </c>
      <c r="N183" s="8">
        <v>7256252000</v>
      </c>
      <c r="O183" s="10" t="s">
        <v>46</v>
      </c>
      <c r="P183" s="10" t="s">
        <v>46</v>
      </c>
      <c r="Q183" s="8" t="s">
        <v>46</v>
      </c>
      <c r="R183" s="10">
        <v>466867000</v>
      </c>
      <c r="S183" s="8" t="s">
        <v>46</v>
      </c>
      <c r="T183" s="8">
        <v>8731678000</v>
      </c>
      <c r="U183" s="8">
        <v>2657370000</v>
      </c>
      <c r="V183" s="10">
        <v>141301000</v>
      </c>
      <c r="W183" s="10" t="s">
        <v>46</v>
      </c>
      <c r="X183" s="10" t="s">
        <v>46</v>
      </c>
      <c r="Y183" s="8">
        <v>1228415000</v>
      </c>
      <c r="Z183" s="8">
        <v>6074308000</v>
      </c>
      <c r="AA183" s="10" t="s">
        <v>46</v>
      </c>
      <c r="AB183" s="10" t="s">
        <v>46</v>
      </c>
      <c r="AC183" s="8" t="s">
        <v>46</v>
      </c>
      <c r="AD183" s="8" t="s">
        <v>46</v>
      </c>
      <c r="AE183" s="8">
        <v>5963608000</v>
      </c>
      <c r="AF183" s="8">
        <v>920358000</v>
      </c>
      <c r="AG183" s="8" t="s">
        <v>46</v>
      </c>
      <c r="AH183" s="8">
        <v>9876035000</v>
      </c>
      <c r="AI183" s="8" t="s">
        <v>46</v>
      </c>
      <c r="AJ183" s="9">
        <v>-17410000000</v>
      </c>
      <c r="AK183" s="8">
        <v>49837000</v>
      </c>
      <c r="AL183" s="8">
        <v>496887000</v>
      </c>
      <c r="AM183" s="8"/>
      <c r="AN183" s="8"/>
      <c r="AO183" s="8"/>
      <c r="AP183" s="8"/>
    </row>
    <row r="184" spans="1:42" ht="17">
      <c r="A184" s="8" t="s">
        <v>144</v>
      </c>
      <c r="B184" s="8" t="s">
        <v>45</v>
      </c>
      <c r="C184" s="8" t="s">
        <v>46</v>
      </c>
      <c r="D184" s="8" t="s">
        <v>46</v>
      </c>
      <c r="E184" s="10" t="s">
        <v>46</v>
      </c>
      <c r="F184" s="8" t="s">
        <v>46</v>
      </c>
      <c r="G184" s="8" t="s">
        <v>46</v>
      </c>
      <c r="H184" s="8" t="s">
        <v>46</v>
      </c>
      <c r="I184" s="8" t="s">
        <v>46</v>
      </c>
      <c r="J184" s="8" t="s">
        <v>46</v>
      </c>
      <c r="K184" s="10" t="s">
        <v>46</v>
      </c>
      <c r="L184" s="8" t="s">
        <v>46</v>
      </c>
      <c r="M184" s="8" t="s">
        <v>46</v>
      </c>
      <c r="N184" s="8" t="s">
        <v>46</v>
      </c>
      <c r="O184" s="10" t="s">
        <v>46</v>
      </c>
      <c r="P184" s="10" t="s">
        <v>46</v>
      </c>
      <c r="Q184" s="8" t="s">
        <v>46</v>
      </c>
      <c r="R184" s="10" t="s">
        <v>46</v>
      </c>
      <c r="S184" s="8" t="s">
        <v>46</v>
      </c>
      <c r="T184" s="8" t="s">
        <v>46</v>
      </c>
      <c r="U184" s="8" t="s">
        <v>46</v>
      </c>
      <c r="V184" s="10" t="s">
        <v>46</v>
      </c>
      <c r="W184" s="10" t="s">
        <v>46</v>
      </c>
      <c r="X184" s="10" t="s">
        <v>46</v>
      </c>
      <c r="Y184" s="8" t="s">
        <v>46</v>
      </c>
      <c r="Z184" s="8" t="s">
        <v>46</v>
      </c>
      <c r="AA184" s="10" t="s">
        <v>46</v>
      </c>
      <c r="AB184" s="10" t="s">
        <v>46</v>
      </c>
      <c r="AC184" s="8" t="s">
        <v>46</v>
      </c>
      <c r="AD184" s="8" t="s">
        <v>46</v>
      </c>
      <c r="AE184" s="8" t="s">
        <v>46</v>
      </c>
      <c r="AF184" s="8" t="s">
        <v>46</v>
      </c>
      <c r="AG184" s="8" t="s">
        <v>46</v>
      </c>
      <c r="AH184" s="8" t="s">
        <v>46</v>
      </c>
      <c r="AI184" s="8" t="s">
        <v>46</v>
      </c>
      <c r="AJ184" s="8" t="s">
        <v>46</v>
      </c>
      <c r="AK184" s="8" t="s">
        <v>46</v>
      </c>
      <c r="AL184" s="8">
        <v>496388000</v>
      </c>
      <c r="AM184" s="8"/>
      <c r="AN184" s="8"/>
      <c r="AO184" s="8"/>
      <c r="AP184" s="8"/>
    </row>
    <row r="185" spans="1:42" ht="17">
      <c r="A185" s="8" t="s">
        <v>145</v>
      </c>
      <c r="B185" s="8" t="s">
        <v>45</v>
      </c>
      <c r="C185" s="8" t="s">
        <v>46</v>
      </c>
      <c r="D185" s="8" t="s">
        <v>46</v>
      </c>
      <c r="E185" s="10" t="s">
        <v>46</v>
      </c>
      <c r="F185" s="8" t="s">
        <v>46</v>
      </c>
      <c r="G185" s="8" t="s">
        <v>46</v>
      </c>
      <c r="H185" s="8" t="s">
        <v>46</v>
      </c>
      <c r="I185" s="8" t="s">
        <v>46</v>
      </c>
      <c r="J185" s="8" t="s">
        <v>46</v>
      </c>
      <c r="K185" s="10" t="s">
        <v>46</v>
      </c>
      <c r="L185" s="8" t="s">
        <v>46</v>
      </c>
      <c r="M185" s="8" t="s">
        <v>46</v>
      </c>
      <c r="N185" s="8" t="s">
        <v>46</v>
      </c>
      <c r="O185" s="10" t="s">
        <v>46</v>
      </c>
      <c r="P185" s="10" t="s">
        <v>46</v>
      </c>
      <c r="Q185" s="8" t="s">
        <v>46</v>
      </c>
      <c r="R185" s="10" t="s">
        <v>46</v>
      </c>
      <c r="S185" s="8" t="s">
        <v>46</v>
      </c>
      <c r="T185" s="8" t="s">
        <v>46</v>
      </c>
      <c r="U185" s="8" t="s">
        <v>46</v>
      </c>
      <c r="V185" s="10" t="s">
        <v>46</v>
      </c>
      <c r="W185" s="10" t="s">
        <v>46</v>
      </c>
      <c r="X185" s="10" t="s">
        <v>46</v>
      </c>
      <c r="Y185" s="8" t="s">
        <v>46</v>
      </c>
      <c r="Z185" s="8" t="s">
        <v>46</v>
      </c>
      <c r="AA185" s="10" t="s">
        <v>46</v>
      </c>
      <c r="AB185" s="10" t="s">
        <v>46</v>
      </c>
      <c r="AC185" s="8" t="s">
        <v>46</v>
      </c>
      <c r="AD185" s="8" t="s">
        <v>46</v>
      </c>
      <c r="AE185" s="8" t="s">
        <v>46</v>
      </c>
      <c r="AF185" s="8" t="s">
        <v>46</v>
      </c>
      <c r="AG185" s="8" t="s">
        <v>46</v>
      </c>
      <c r="AH185" s="8" t="s">
        <v>46</v>
      </c>
      <c r="AI185" s="8" t="s">
        <v>46</v>
      </c>
      <c r="AJ185" s="8" t="s">
        <v>46</v>
      </c>
      <c r="AK185" s="8" t="s">
        <v>46</v>
      </c>
      <c r="AL185" s="8">
        <v>495688000</v>
      </c>
      <c r="AM185" s="8"/>
      <c r="AN185" s="8"/>
      <c r="AO185" s="8"/>
      <c r="AP185" s="8"/>
    </row>
    <row r="186" spans="1:42" ht="16">
      <c r="A186" s="8"/>
      <c r="B186" s="8"/>
      <c r="C186" s="8"/>
      <c r="D186" s="8"/>
      <c r="E186" s="10"/>
      <c r="F186" s="8"/>
      <c r="G186" s="8"/>
      <c r="H186" s="8"/>
      <c r="I186" s="8"/>
      <c r="J186" s="8"/>
      <c r="K186" s="10"/>
      <c r="L186" s="8"/>
      <c r="M186" s="8"/>
      <c r="N186" s="8"/>
      <c r="O186" s="10"/>
      <c r="P186" s="10"/>
      <c r="Q186" s="8"/>
      <c r="R186" s="10"/>
      <c r="S186" s="8"/>
      <c r="T186" s="8"/>
      <c r="U186" s="8"/>
      <c r="V186" s="10"/>
      <c r="W186" s="10"/>
      <c r="X186" s="10"/>
      <c r="Y186" s="8"/>
      <c r="Z186" s="8"/>
      <c r="AA186" s="10"/>
      <c r="AB186" s="10"/>
      <c r="AC186" s="8"/>
      <c r="AD186" s="8"/>
      <c r="AE186" s="8"/>
      <c r="AF186" s="8"/>
      <c r="AG186" s="8"/>
      <c r="AH186" s="8"/>
      <c r="AI186" s="8"/>
      <c r="AJ186" s="8"/>
      <c r="AK186" s="8"/>
      <c r="AL186" s="8"/>
      <c r="AM186" s="8"/>
      <c r="AN186" s="8"/>
      <c r="AO186" s="8"/>
      <c r="AP186" s="8"/>
    </row>
    <row r="187" spans="1:42" ht="16">
      <c r="A187" s="8" t="s">
        <v>60</v>
      </c>
      <c r="B187" s="8"/>
      <c r="C187" s="8"/>
      <c r="D187" s="8"/>
      <c r="E187" s="10"/>
      <c r="F187" s="8"/>
      <c r="G187" s="8"/>
      <c r="H187" s="8"/>
      <c r="I187" s="8"/>
      <c r="J187" s="8"/>
      <c r="K187" s="10"/>
      <c r="L187" s="8"/>
      <c r="M187" s="8"/>
      <c r="N187" s="8"/>
      <c r="O187" s="10"/>
      <c r="P187" s="10"/>
      <c r="Q187" s="8"/>
      <c r="R187" s="10"/>
      <c r="S187" s="8"/>
      <c r="T187" s="8"/>
      <c r="U187" s="8"/>
      <c r="V187" s="10"/>
      <c r="W187" s="10"/>
      <c r="X187" s="10"/>
      <c r="Y187" s="8"/>
      <c r="Z187" s="8"/>
      <c r="AA187" s="10"/>
      <c r="AB187" s="10"/>
      <c r="AC187" s="8"/>
      <c r="AD187" s="8"/>
      <c r="AE187" s="8"/>
      <c r="AF187" s="8"/>
      <c r="AG187" s="8"/>
      <c r="AH187" s="8"/>
      <c r="AI187" s="8"/>
      <c r="AJ187" s="8"/>
      <c r="AK187" s="8"/>
      <c r="AL187" s="8"/>
      <c r="AM187" s="8"/>
      <c r="AN187" s="8"/>
      <c r="AO187" s="8"/>
      <c r="AP187" s="8"/>
    </row>
    <row r="188" spans="1:42" ht="34">
      <c r="A188" s="8" t="s">
        <v>17</v>
      </c>
      <c r="B188" s="8" t="s">
        <v>18</v>
      </c>
      <c r="C188" s="8" t="s">
        <v>166</v>
      </c>
      <c r="D188" s="8" t="s">
        <v>167</v>
      </c>
      <c r="E188" s="10" t="s">
        <v>168</v>
      </c>
      <c r="F188" s="8" t="s">
        <v>169</v>
      </c>
      <c r="G188" s="8" t="s">
        <v>170</v>
      </c>
      <c r="H188" s="8" t="s">
        <v>171</v>
      </c>
      <c r="I188" s="8" t="s">
        <v>172</v>
      </c>
      <c r="J188" s="8" t="s">
        <v>173</v>
      </c>
      <c r="K188" s="10" t="s">
        <v>174</v>
      </c>
      <c r="L188" s="8" t="s">
        <v>175</v>
      </c>
      <c r="M188" s="8" t="s">
        <v>176</v>
      </c>
      <c r="N188" s="8" t="s">
        <v>177</v>
      </c>
      <c r="O188" s="10" t="s">
        <v>178</v>
      </c>
      <c r="P188" s="10" t="s">
        <v>179</v>
      </c>
      <c r="Q188" s="8" t="s">
        <v>180</v>
      </c>
      <c r="R188" s="10" t="s">
        <v>181</v>
      </c>
      <c r="S188" s="8" t="s">
        <v>182</v>
      </c>
      <c r="T188" s="8" t="s">
        <v>183</v>
      </c>
      <c r="U188" s="8" t="s">
        <v>184</v>
      </c>
      <c r="V188" s="10" t="s">
        <v>185</v>
      </c>
      <c r="W188" s="10" t="s">
        <v>103</v>
      </c>
      <c r="X188" s="10" t="s">
        <v>104</v>
      </c>
      <c r="Y188" s="8" t="s">
        <v>105</v>
      </c>
      <c r="Z188" s="8" t="s">
        <v>106</v>
      </c>
      <c r="AA188" s="10" t="s">
        <v>107</v>
      </c>
      <c r="AB188" s="10" t="s">
        <v>108</v>
      </c>
      <c r="AC188" s="8" t="s">
        <v>42</v>
      </c>
      <c r="AD188" s="8"/>
      <c r="AE188" s="8"/>
      <c r="AF188" s="8"/>
      <c r="AG188" s="8"/>
      <c r="AH188" s="8"/>
      <c r="AI188" s="8"/>
      <c r="AJ188" s="8"/>
      <c r="AK188" s="8"/>
      <c r="AL188" s="8"/>
      <c r="AM188" s="8"/>
      <c r="AN188" s="8"/>
      <c r="AO188" s="8"/>
      <c r="AP188" s="8"/>
    </row>
    <row r="189" spans="1:42" ht="17">
      <c r="A189" s="8" t="s">
        <v>44</v>
      </c>
      <c r="B189" s="8" t="s">
        <v>45</v>
      </c>
      <c r="C189" s="8">
        <v>71429000</v>
      </c>
      <c r="D189" s="8" t="s">
        <v>46</v>
      </c>
      <c r="E189" s="10" t="s">
        <v>46</v>
      </c>
      <c r="F189" s="8" t="s">
        <v>46</v>
      </c>
      <c r="G189" s="8" t="s">
        <v>46</v>
      </c>
      <c r="H189" s="8">
        <v>409582000</v>
      </c>
      <c r="I189" s="8">
        <v>97594000</v>
      </c>
      <c r="J189" s="8" t="s">
        <v>46</v>
      </c>
      <c r="K189" s="10" t="s">
        <v>46</v>
      </c>
      <c r="L189" s="8" t="s">
        <v>46</v>
      </c>
      <c r="M189" s="8" t="s">
        <v>46</v>
      </c>
      <c r="N189" s="8">
        <v>-158345000</v>
      </c>
      <c r="O189" s="10" t="s">
        <v>46</v>
      </c>
      <c r="P189" s="10" t="s">
        <v>46</v>
      </c>
      <c r="Q189" s="8" t="s">
        <v>46</v>
      </c>
      <c r="R189" s="10" t="s">
        <v>46</v>
      </c>
      <c r="S189" s="8">
        <v>4555000</v>
      </c>
      <c r="T189" s="8">
        <v>4555000</v>
      </c>
      <c r="U189" s="8" t="s">
        <v>46</v>
      </c>
      <c r="V189" s="10" t="s">
        <v>46</v>
      </c>
      <c r="W189" s="10" t="s">
        <v>46</v>
      </c>
      <c r="X189" s="10" t="s">
        <v>46</v>
      </c>
      <c r="Y189" s="8" t="s">
        <v>46</v>
      </c>
      <c r="Z189" s="8" t="s">
        <v>46</v>
      </c>
      <c r="AA189" s="10" t="s">
        <v>46</v>
      </c>
      <c r="AB189" s="10" t="s">
        <v>46</v>
      </c>
      <c r="AC189" s="9">
        <v>-1009000000</v>
      </c>
      <c r="AD189" s="8"/>
      <c r="AE189" s="8"/>
      <c r="AF189" s="8"/>
      <c r="AG189" s="8"/>
      <c r="AH189" s="8"/>
      <c r="AI189" s="8"/>
      <c r="AJ189" s="8"/>
      <c r="AK189" s="8"/>
      <c r="AL189" s="8"/>
      <c r="AM189" s="8"/>
      <c r="AN189" s="8"/>
      <c r="AO189" s="8"/>
      <c r="AP189" s="8"/>
    </row>
    <row r="190" spans="1:42" ht="17">
      <c r="A190" s="8" t="s">
        <v>47</v>
      </c>
      <c r="B190" s="8" t="s">
        <v>45</v>
      </c>
      <c r="C190" s="8">
        <v>213062000</v>
      </c>
      <c r="D190" s="8" t="s">
        <v>46</v>
      </c>
      <c r="E190" s="10" t="s">
        <v>46</v>
      </c>
      <c r="F190" s="8" t="s">
        <v>46</v>
      </c>
      <c r="G190" s="8" t="s">
        <v>46</v>
      </c>
      <c r="H190" s="8">
        <v>428483000</v>
      </c>
      <c r="I190" s="8">
        <v>102670000</v>
      </c>
      <c r="J190" s="8" t="s">
        <v>46</v>
      </c>
      <c r="K190" s="10" t="s">
        <v>46</v>
      </c>
      <c r="L190" s="8" t="s">
        <v>46</v>
      </c>
      <c r="M190" s="8" t="s">
        <v>46</v>
      </c>
      <c r="N190" s="8">
        <v>-152158000</v>
      </c>
      <c r="O190" s="10" t="s">
        <v>46</v>
      </c>
      <c r="P190" s="10" t="s">
        <v>46</v>
      </c>
      <c r="Q190" s="8" t="s">
        <v>46</v>
      </c>
      <c r="R190" s="10" t="s">
        <v>46</v>
      </c>
      <c r="S190" s="8" t="s">
        <v>46</v>
      </c>
      <c r="T190" s="8" t="s">
        <v>46</v>
      </c>
      <c r="U190" s="8" t="s">
        <v>46</v>
      </c>
      <c r="V190" s="10" t="s">
        <v>46</v>
      </c>
      <c r="W190" s="10" t="s">
        <v>46</v>
      </c>
      <c r="X190" s="10" t="s">
        <v>46</v>
      </c>
      <c r="Y190" s="8" t="s">
        <v>46</v>
      </c>
      <c r="Z190" s="8" t="s">
        <v>46</v>
      </c>
      <c r="AA190" s="10" t="s">
        <v>46</v>
      </c>
      <c r="AB190" s="10" t="s">
        <v>46</v>
      </c>
      <c r="AC190" s="9">
        <v>-1103000000</v>
      </c>
      <c r="AD190" s="8"/>
      <c r="AE190" s="8"/>
      <c r="AF190" s="8"/>
      <c r="AG190" s="8"/>
      <c r="AH190" s="8"/>
      <c r="AI190" s="8"/>
      <c r="AJ190" s="8"/>
      <c r="AK190" s="8"/>
      <c r="AL190" s="8"/>
      <c r="AM190" s="8"/>
      <c r="AN190" s="8"/>
      <c r="AO190" s="8"/>
      <c r="AP190" s="8"/>
    </row>
    <row r="191" spans="1:42" ht="17">
      <c r="A191" s="8" t="s">
        <v>49</v>
      </c>
      <c r="B191" s="8" t="s">
        <v>45</v>
      </c>
      <c r="C191" s="8">
        <v>420075000</v>
      </c>
      <c r="D191" s="8" t="s">
        <v>46</v>
      </c>
      <c r="E191" s="10" t="s">
        <v>46</v>
      </c>
      <c r="F191" s="8" t="s">
        <v>46</v>
      </c>
      <c r="G191" s="8" t="s">
        <v>46</v>
      </c>
      <c r="H191" s="8">
        <v>445664000</v>
      </c>
      <c r="I191" s="8">
        <v>160969000</v>
      </c>
      <c r="J191" s="8" t="s">
        <v>46</v>
      </c>
      <c r="K191" s="10" t="s">
        <v>46</v>
      </c>
      <c r="L191" s="8" t="s">
        <v>46</v>
      </c>
      <c r="M191" s="8">
        <v>-129226000</v>
      </c>
      <c r="N191" s="8">
        <v>-306108000</v>
      </c>
      <c r="O191" s="10" t="s">
        <v>46</v>
      </c>
      <c r="P191" s="10" t="s">
        <v>46</v>
      </c>
      <c r="Q191" s="8" t="s">
        <v>46</v>
      </c>
      <c r="R191" s="10" t="s">
        <v>46</v>
      </c>
      <c r="S191" s="8" t="s">
        <v>46</v>
      </c>
      <c r="T191" s="8" t="s">
        <v>46</v>
      </c>
      <c r="U191" s="8" t="s">
        <v>46</v>
      </c>
      <c r="V191" s="10" t="s">
        <v>46</v>
      </c>
      <c r="W191" s="10" t="s">
        <v>46</v>
      </c>
      <c r="X191" s="10" t="s">
        <v>46</v>
      </c>
      <c r="Y191" s="8" t="s">
        <v>46</v>
      </c>
      <c r="Z191" s="8" t="s">
        <v>46</v>
      </c>
      <c r="AA191" s="10" t="s">
        <v>46</v>
      </c>
      <c r="AB191" s="10" t="s">
        <v>46</v>
      </c>
      <c r="AC191" s="8">
        <v>-262670000</v>
      </c>
      <c r="AD191" s="8"/>
      <c r="AE191" s="8"/>
      <c r="AF191" s="8"/>
      <c r="AG191" s="8"/>
      <c r="AH191" s="8"/>
      <c r="AI191" s="8"/>
      <c r="AJ191" s="8"/>
      <c r="AK191" s="8"/>
      <c r="AL191" s="8"/>
      <c r="AM191" s="8"/>
      <c r="AN191" s="8"/>
      <c r="AO191" s="8"/>
      <c r="AP191" s="8"/>
    </row>
    <row r="192" spans="1:42" ht="17">
      <c r="A192" s="8" t="s">
        <v>50</v>
      </c>
      <c r="B192" s="8" t="s">
        <v>45</v>
      </c>
      <c r="C192" s="8">
        <v>330573000</v>
      </c>
      <c r="D192" s="8" t="s">
        <v>46</v>
      </c>
      <c r="E192" s="10" t="s">
        <v>46</v>
      </c>
      <c r="F192" s="8" t="s">
        <v>46</v>
      </c>
      <c r="G192" s="8" t="s">
        <v>46</v>
      </c>
      <c r="H192" s="8">
        <v>469417000</v>
      </c>
      <c r="I192" s="8">
        <v>183372000</v>
      </c>
      <c r="J192" s="8">
        <v>-205200000</v>
      </c>
      <c r="K192" s="10">
        <v>1551000</v>
      </c>
      <c r="L192" s="8" t="s">
        <v>46</v>
      </c>
      <c r="M192" s="8">
        <v>-346790000</v>
      </c>
      <c r="N192" s="8">
        <v>-352124000</v>
      </c>
      <c r="O192" s="10" t="s">
        <v>46</v>
      </c>
      <c r="P192" s="10" t="s">
        <v>46</v>
      </c>
      <c r="Q192" s="8" t="s">
        <v>46</v>
      </c>
      <c r="R192" s="10" t="s">
        <v>46</v>
      </c>
      <c r="S192" s="8" t="s">
        <v>46</v>
      </c>
      <c r="T192" s="8" t="s">
        <v>46</v>
      </c>
      <c r="U192" s="8" t="s">
        <v>46</v>
      </c>
      <c r="V192" s="10" t="s">
        <v>46</v>
      </c>
      <c r="W192" s="10" t="s">
        <v>46</v>
      </c>
      <c r="X192" s="10" t="s">
        <v>46</v>
      </c>
      <c r="Y192" s="8" t="s">
        <v>46</v>
      </c>
      <c r="Z192" s="8" t="s">
        <v>46</v>
      </c>
      <c r="AA192" s="10">
        <v>-368341000</v>
      </c>
      <c r="AB192" s="10" t="s">
        <v>46</v>
      </c>
      <c r="AC192" s="8">
        <v>-158389000</v>
      </c>
      <c r="AD192" s="8"/>
      <c r="AE192" s="8"/>
      <c r="AF192" s="8"/>
      <c r="AG192" s="8"/>
      <c r="AH192" s="8"/>
      <c r="AI192" s="8"/>
      <c r="AJ192" s="8"/>
      <c r="AK192" s="8"/>
      <c r="AL192" s="8"/>
      <c r="AM192" s="8"/>
      <c r="AN192" s="8"/>
      <c r="AO192" s="8"/>
      <c r="AP192" s="8"/>
    </row>
    <row r="193" spans="1:42" ht="17">
      <c r="A193" s="8" t="s">
        <v>51</v>
      </c>
      <c r="B193" s="8" t="s">
        <v>45</v>
      </c>
      <c r="C193" s="8">
        <v>215945000</v>
      </c>
      <c r="D193" s="8" t="s">
        <v>46</v>
      </c>
      <c r="E193" s="10" t="s">
        <v>46</v>
      </c>
      <c r="F193" s="8" t="s">
        <v>46</v>
      </c>
      <c r="G193" s="8" t="s">
        <v>46</v>
      </c>
      <c r="H193" s="8">
        <v>402929000</v>
      </c>
      <c r="I193" s="8">
        <v>85205000</v>
      </c>
      <c r="J193" s="8">
        <v>77335000</v>
      </c>
      <c r="K193" s="10">
        <v>-6487000</v>
      </c>
      <c r="L193" s="8" t="s">
        <v>46</v>
      </c>
      <c r="M193" s="8">
        <v>-147813000</v>
      </c>
      <c r="N193" s="8">
        <v>241180000</v>
      </c>
      <c r="O193" s="10" t="s">
        <v>46</v>
      </c>
      <c r="P193" s="10" t="s">
        <v>46</v>
      </c>
      <c r="Q193" s="8" t="s">
        <v>46</v>
      </c>
      <c r="R193" s="10" t="s">
        <v>46</v>
      </c>
      <c r="S193" s="8" t="s">
        <v>46</v>
      </c>
      <c r="T193" s="8" t="s">
        <v>46</v>
      </c>
      <c r="U193" s="8" t="s">
        <v>46</v>
      </c>
      <c r="V193" s="10" t="s">
        <v>46</v>
      </c>
      <c r="W193" s="10" t="s">
        <v>46</v>
      </c>
      <c r="X193" s="10" t="s">
        <v>46</v>
      </c>
      <c r="Y193" s="8" t="s">
        <v>46</v>
      </c>
      <c r="Z193" s="8" t="s">
        <v>46</v>
      </c>
      <c r="AA193" s="10">
        <v>309312000</v>
      </c>
      <c r="AB193" s="10" t="s">
        <v>46</v>
      </c>
      <c r="AC193" s="9">
        <v>-1915000000</v>
      </c>
      <c r="AD193" s="8"/>
      <c r="AE193" s="8"/>
      <c r="AF193" s="8"/>
      <c r="AG193" s="8"/>
      <c r="AH193" s="8"/>
      <c r="AI193" s="8"/>
      <c r="AJ193" s="8"/>
      <c r="AK193" s="8"/>
      <c r="AL193" s="8"/>
      <c r="AM193" s="8"/>
      <c r="AN193" s="8"/>
      <c r="AO193" s="8"/>
      <c r="AP193" s="8"/>
    </row>
    <row r="194" spans="1:42" ht="17">
      <c r="A194" s="8" t="s">
        <v>53</v>
      </c>
      <c r="B194" s="8" t="s">
        <v>45</v>
      </c>
      <c r="C194" s="8">
        <v>428719000</v>
      </c>
      <c r="D194" s="8" t="s">
        <v>46</v>
      </c>
      <c r="E194" s="10" t="s">
        <v>46</v>
      </c>
      <c r="F194" s="8" t="s">
        <v>46</v>
      </c>
      <c r="G194" s="8" t="s">
        <v>46</v>
      </c>
      <c r="H194" s="8">
        <v>302457000</v>
      </c>
      <c r="I194" s="8">
        <v>75993000</v>
      </c>
      <c r="J194" s="8" t="s">
        <v>46</v>
      </c>
      <c r="K194" s="10" t="s">
        <v>46</v>
      </c>
      <c r="L194" s="8" t="s">
        <v>46</v>
      </c>
      <c r="M194" s="8">
        <v>-334422000</v>
      </c>
      <c r="N194" s="8">
        <v>-113590000</v>
      </c>
      <c r="O194" s="10" t="s">
        <v>46</v>
      </c>
      <c r="P194" s="10" t="s">
        <v>46</v>
      </c>
      <c r="Q194" s="8" t="s">
        <v>46</v>
      </c>
      <c r="R194" s="10" t="s">
        <v>46</v>
      </c>
      <c r="S194" s="8">
        <v>571000</v>
      </c>
      <c r="T194" s="8">
        <v>571000</v>
      </c>
      <c r="U194" s="8" t="s">
        <v>46</v>
      </c>
      <c r="V194" s="10" t="s">
        <v>46</v>
      </c>
      <c r="W194" s="10" t="s">
        <v>46</v>
      </c>
      <c r="X194" s="10" t="s">
        <v>46</v>
      </c>
      <c r="Y194" s="8" t="s">
        <v>46</v>
      </c>
      <c r="Z194" s="8" t="s">
        <v>46</v>
      </c>
      <c r="AA194" s="10" t="s">
        <v>46</v>
      </c>
      <c r="AB194" s="10" t="s">
        <v>46</v>
      </c>
      <c r="AC194" s="9">
        <v>11297000000</v>
      </c>
      <c r="AD194" s="8"/>
      <c r="AE194" s="8"/>
      <c r="AF194" s="8"/>
      <c r="AG194" s="8"/>
      <c r="AH194" s="8"/>
      <c r="AI194" s="8"/>
      <c r="AJ194" s="8"/>
      <c r="AK194" s="8"/>
      <c r="AL194" s="8"/>
      <c r="AM194" s="8"/>
      <c r="AN194" s="8"/>
      <c r="AO194" s="8"/>
      <c r="AP194" s="8"/>
    </row>
    <row r="195" spans="1:42" ht="17">
      <c r="A195" s="8" t="s">
        <v>54</v>
      </c>
      <c r="B195" s="8" t="s">
        <v>45</v>
      </c>
      <c r="C195" s="8">
        <v>966672000</v>
      </c>
      <c r="D195" s="8" t="s">
        <v>46</v>
      </c>
      <c r="E195" s="10" t="s">
        <v>46</v>
      </c>
      <c r="F195" s="8" t="s">
        <v>46</v>
      </c>
      <c r="G195" s="8" t="s">
        <v>46</v>
      </c>
      <c r="H195" s="8">
        <v>530903000</v>
      </c>
      <c r="I195" s="8">
        <v>296324000</v>
      </c>
      <c r="J195" s="8" t="s">
        <v>46</v>
      </c>
      <c r="K195" s="10">
        <v>344826000</v>
      </c>
      <c r="L195" s="8" t="s">
        <v>46</v>
      </c>
      <c r="M195" s="8">
        <v>-345478000</v>
      </c>
      <c r="N195" s="8">
        <v>-491799000</v>
      </c>
      <c r="O195" s="10" t="s">
        <v>46</v>
      </c>
      <c r="P195" s="10" t="s">
        <v>46</v>
      </c>
      <c r="Q195" s="8" t="s">
        <v>46</v>
      </c>
      <c r="R195" s="10" t="s">
        <v>46</v>
      </c>
      <c r="S195" s="8" t="s">
        <v>46</v>
      </c>
      <c r="T195" s="8" t="s">
        <v>46</v>
      </c>
      <c r="U195" s="8" t="s">
        <v>46</v>
      </c>
      <c r="V195" s="10" t="s">
        <v>46</v>
      </c>
      <c r="W195" s="10" t="s">
        <v>46</v>
      </c>
      <c r="X195" s="10" t="s">
        <v>46</v>
      </c>
      <c r="Y195" s="8" t="s">
        <v>46</v>
      </c>
      <c r="Z195" s="8" t="s">
        <v>46</v>
      </c>
      <c r="AA195" s="10" t="s">
        <v>46</v>
      </c>
      <c r="AB195" s="10" t="s">
        <v>46</v>
      </c>
      <c r="AC195" s="8">
        <v>-202639000</v>
      </c>
      <c r="AD195" s="8"/>
      <c r="AE195" s="8"/>
      <c r="AF195" s="8"/>
      <c r="AG195" s="8"/>
      <c r="AH195" s="8"/>
      <c r="AI195" s="8"/>
      <c r="AJ195" s="8"/>
      <c r="AK195" s="8"/>
      <c r="AL195" s="8"/>
      <c r="AM195" s="8"/>
      <c r="AN195" s="8"/>
      <c r="AO195" s="8"/>
      <c r="AP195" s="8"/>
    </row>
    <row r="196" spans="1:42" ht="17">
      <c r="A196" s="8" t="s">
        <v>55</v>
      </c>
      <c r="B196" s="8" t="s">
        <v>45</v>
      </c>
      <c r="C196" s="8">
        <v>-503740000</v>
      </c>
      <c r="D196" s="8" t="s">
        <v>46</v>
      </c>
      <c r="E196" s="10" t="s">
        <v>46</v>
      </c>
      <c r="F196" s="8" t="s">
        <v>46</v>
      </c>
      <c r="G196" s="8" t="s">
        <v>46</v>
      </c>
      <c r="H196" s="8">
        <v>601295000</v>
      </c>
      <c r="I196" s="8">
        <v>291966000</v>
      </c>
      <c r="J196" s="8" t="s">
        <v>46</v>
      </c>
      <c r="K196" s="10">
        <v>16706000</v>
      </c>
      <c r="L196" s="8" t="s">
        <v>46</v>
      </c>
      <c r="M196" s="8">
        <v>-214692000</v>
      </c>
      <c r="N196" s="8">
        <v>151335000</v>
      </c>
      <c r="O196" s="10" t="s">
        <v>46</v>
      </c>
      <c r="P196" s="10" t="s">
        <v>46</v>
      </c>
      <c r="Q196" s="8" t="s">
        <v>46</v>
      </c>
      <c r="R196" s="10" t="s">
        <v>46</v>
      </c>
      <c r="S196" s="8">
        <v>46477000</v>
      </c>
      <c r="T196" s="8">
        <v>46477000</v>
      </c>
      <c r="U196" s="8" t="s">
        <v>46</v>
      </c>
      <c r="V196" s="10" t="s">
        <v>46</v>
      </c>
      <c r="W196" s="10" t="s">
        <v>46</v>
      </c>
      <c r="X196" s="10" t="s">
        <v>46</v>
      </c>
      <c r="Y196" s="8" t="s">
        <v>46</v>
      </c>
      <c r="Z196" s="8" t="s">
        <v>46</v>
      </c>
      <c r="AA196" s="10" t="s">
        <v>46</v>
      </c>
      <c r="AB196" s="10" t="s">
        <v>46</v>
      </c>
      <c r="AC196" s="8">
        <v>-460018000</v>
      </c>
      <c r="AD196" s="8"/>
      <c r="AE196" s="8"/>
      <c r="AF196" s="8"/>
      <c r="AG196" s="8"/>
      <c r="AH196" s="8"/>
      <c r="AI196" s="8"/>
      <c r="AJ196" s="8"/>
      <c r="AK196" s="8"/>
      <c r="AL196" s="8"/>
      <c r="AM196" s="8"/>
      <c r="AN196" s="8"/>
      <c r="AO196" s="8"/>
      <c r="AP196" s="8"/>
    </row>
    <row r="197" spans="1:42" ht="17">
      <c r="A197" s="8" t="s">
        <v>57</v>
      </c>
      <c r="B197" s="8" t="s">
        <v>45</v>
      </c>
      <c r="C197" s="8">
        <v>-13982000</v>
      </c>
      <c r="D197" s="8" t="s">
        <v>46</v>
      </c>
      <c r="E197" s="10" t="s">
        <v>46</v>
      </c>
      <c r="F197" s="8" t="s">
        <v>46</v>
      </c>
      <c r="G197" s="8" t="s">
        <v>46</v>
      </c>
      <c r="H197" s="8">
        <v>635227000</v>
      </c>
      <c r="I197" s="8">
        <v>314717000</v>
      </c>
      <c r="J197" s="8" t="s">
        <v>46</v>
      </c>
      <c r="K197" s="10">
        <v>15194000</v>
      </c>
      <c r="L197" s="8" t="s">
        <v>46</v>
      </c>
      <c r="M197" s="8">
        <v>533496000</v>
      </c>
      <c r="N197" s="8">
        <v>-418231000</v>
      </c>
      <c r="O197" s="10" t="s">
        <v>46</v>
      </c>
      <c r="P197" s="10" t="s">
        <v>46</v>
      </c>
      <c r="Q197" s="8" t="s">
        <v>46</v>
      </c>
      <c r="R197" s="10" t="s">
        <v>46</v>
      </c>
      <c r="S197" s="8">
        <v>89631000</v>
      </c>
      <c r="T197" s="8">
        <v>89631000</v>
      </c>
      <c r="U197" s="8" t="s">
        <v>46</v>
      </c>
      <c r="V197" s="10" t="s">
        <v>46</v>
      </c>
      <c r="W197" s="10" t="s">
        <v>46</v>
      </c>
      <c r="X197" s="10" t="s">
        <v>46</v>
      </c>
      <c r="Y197" s="8" t="s">
        <v>46</v>
      </c>
      <c r="Z197" s="8" t="s">
        <v>46</v>
      </c>
      <c r="AA197" s="10" t="s">
        <v>46</v>
      </c>
      <c r="AB197" s="10" t="s">
        <v>46</v>
      </c>
      <c r="AC197" s="8">
        <v>-240003000</v>
      </c>
      <c r="AD197" s="8"/>
      <c r="AE197" s="8"/>
      <c r="AF197" s="8"/>
      <c r="AG197" s="8"/>
      <c r="AH197" s="8"/>
      <c r="AI197" s="8"/>
      <c r="AJ197" s="8"/>
      <c r="AK197" s="8"/>
      <c r="AL197" s="8"/>
      <c r="AM197" s="8"/>
      <c r="AN197" s="8"/>
      <c r="AO197" s="8"/>
      <c r="AP197" s="8"/>
    </row>
    <row r="198" spans="1:42" ht="17">
      <c r="A198" s="8" t="s">
        <v>58</v>
      </c>
      <c r="B198" s="8" t="s">
        <v>45</v>
      </c>
      <c r="C198" s="8">
        <v>-77304000</v>
      </c>
      <c r="D198" s="8" t="s">
        <v>46</v>
      </c>
      <c r="E198" s="10" t="s">
        <v>46</v>
      </c>
      <c r="F198" s="8" t="s">
        <v>46</v>
      </c>
      <c r="G198" s="8" t="s">
        <v>46</v>
      </c>
      <c r="H198" s="8">
        <v>673991000</v>
      </c>
      <c r="I198" s="8">
        <v>296380000</v>
      </c>
      <c r="J198" s="8" t="s">
        <v>46</v>
      </c>
      <c r="K198" s="10">
        <v>23136000</v>
      </c>
      <c r="L198" s="8" t="s">
        <v>46</v>
      </c>
      <c r="M198" s="8">
        <v>30234000</v>
      </c>
      <c r="N198" s="8">
        <v>377410000</v>
      </c>
      <c r="O198" s="10" t="s">
        <v>46</v>
      </c>
      <c r="P198" s="10" t="s">
        <v>46</v>
      </c>
      <c r="Q198" s="8" t="s">
        <v>46</v>
      </c>
      <c r="R198" s="10" t="s">
        <v>46</v>
      </c>
      <c r="S198" s="8">
        <v>30871000</v>
      </c>
      <c r="T198" s="8">
        <v>30871000</v>
      </c>
      <c r="U198" s="8" t="s">
        <v>46</v>
      </c>
      <c r="V198" s="10" t="s">
        <v>46</v>
      </c>
      <c r="W198" s="10" t="s">
        <v>46</v>
      </c>
      <c r="X198" s="10" t="s">
        <v>46</v>
      </c>
      <c r="Y198" s="8">
        <v>-42797000</v>
      </c>
      <c r="Z198" s="8" t="s">
        <v>46</v>
      </c>
      <c r="AA198" s="10" t="s">
        <v>46</v>
      </c>
      <c r="AB198" s="10" t="s">
        <v>46</v>
      </c>
      <c r="AC198" s="8">
        <v>-737490000</v>
      </c>
      <c r="AD198" s="8"/>
      <c r="AE198" s="8"/>
      <c r="AF198" s="8"/>
      <c r="AG198" s="8"/>
      <c r="AH198" s="8"/>
      <c r="AI198" s="8"/>
      <c r="AJ198" s="8"/>
      <c r="AK198" s="8"/>
      <c r="AL198" s="8"/>
      <c r="AM198" s="8"/>
      <c r="AN198" s="8"/>
      <c r="AO198" s="8"/>
      <c r="AP198" s="8"/>
    </row>
    <row r="199" spans="1:42" ht="17">
      <c r="A199" s="8" t="s">
        <v>59</v>
      </c>
      <c r="B199" s="8" t="s">
        <v>45</v>
      </c>
      <c r="C199" s="8">
        <v>245116000</v>
      </c>
      <c r="D199" s="8" t="s">
        <v>46</v>
      </c>
      <c r="E199" s="10" t="s">
        <v>46</v>
      </c>
      <c r="F199" s="8" t="s">
        <v>46</v>
      </c>
      <c r="G199" s="8" t="s">
        <v>46</v>
      </c>
      <c r="H199" s="8">
        <v>710898000</v>
      </c>
      <c r="I199" s="8">
        <v>318164000</v>
      </c>
      <c r="J199" s="8" t="s">
        <v>46</v>
      </c>
      <c r="K199" s="10">
        <v>119609000</v>
      </c>
      <c r="L199" s="8" t="s">
        <v>46</v>
      </c>
      <c r="M199" s="8">
        <v>-88682000</v>
      </c>
      <c r="N199" s="8">
        <v>-398001000</v>
      </c>
      <c r="O199" s="10" t="s">
        <v>46</v>
      </c>
      <c r="P199" s="10" t="s">
        <v>46</v>
      </c>
      <c r="Q199" s="8" t="s">
        <v>46</v>
      </c>
      <c r="R199" s="10" t="s">
        <v>46</v>
      </c>
      <c r="S199" s="8">
        <v>40027000</v>
      </c>
      <c r="T199" s="8">
        <v>40027000</v>
      </c>
      <c r="U199" s="8" t="s">
        <v>46</v>
      </c>
      <c r="V199" s="10" t="s">
        <v>46</v>
      </c>
      <c r="W199" s="10" t="s">
        <v>46</v>
      </c>
      <c r="X199" s="10" t="s">
        <v>46</v>
      </c>
      <c r="Y199" s="8">
        <v>-48750000</v>
      </c>
      <c r="Z199" s="8" t="s">
        <v>46</v>
      </c>
      <c r="AA199" s="10" t="s">
        <v>46</v>
      </c>
      <c r="AB199" s="10" t="s">
        <v>46</v>
      </c>
      <c r="AC199" s="8">
        <v>-762158000</v>
      </c>
      <c r="AD199" s="8"/>
      <c r="AE199" s="8"/>
      <c r="AF199" s="8"/>
      <c r="AG199" s="8"/>
      <c r="AH199" s="8"/>
      <c r="AI199" s="8"/>
      <c r="AJ199" s="8"/>
      <c r="AK199" s="8"/>
      <c r="AL199" s="8"/>
      <c r="AM199" s="8"/>
      <c r="AN199" s="8"/>
      <c r="AO199" s="8"/>
      <c r="AP199" s="8"/>
    </row>
    <row r="200" spans="1:42" ht="17">
      <c r="A200" s="8" t="s">
        <v>61</v>
      </c>
      <c r="B200" s="8" t="s">
        <v>45</v>
      </c>
      <c r="C200" s="8">
        <v>212872000</v>
      </c>
      <c r="D200" s="8" t="s">
        <v>46</v>
      </c>
      <c r="E200" s="10" t="s">
        <v>46</v>
      </c>
      <c r="F200" s="8" t="s">
        <v>46</v>
      </c>
      <c r="G200" s="8" t="s">
        <v>46</v>
      </c>
      <c r="H200" s="8">
        <v>730828000</v>
      </c>
      <c r="I200" s="8">
        <v>324526000</v>
      </c>
      <c r="J200" s="8" t="s">
        <v>46</v>
      </c>
      <c r="K200" s="10">
        <v>42119000</v>
      </c>
      <c r="L200" s="8" t="s">
        <v>46</v>
      </c>
      <c r="M200" s="8" t="s">
        <v>46</v>
      </c>
      <c r="N200" s="8">
        <v>-595882000</v>
      </c>
      <c r="O200" s="10" t="s">
        <v>46</v>
      </c>
      <c r="P200" s="10" t="s">
        <v>46</v>
      </c>
      <c r="Q200" s="8" t="s">
        <v>46</v>
      </c>
      <c r="R200" s="10" t="s">
        <v>46</v>
      </c>
      <c r="S200" s="8">
        <v>91887000</v>
      </c>
      <c r="T200" s="8">
        <v>91887000</v>
      </c>
      <c r="U200" s="8" t="s">
        <v>46</v>
      </c>
      <c r="V200" s="10" t="s">
        <v>46</v>
      </c>
      <c r="W200" s="10" t="s">
        <v>46</v>
      </c>
      <c r="X200" s="10" t="s">
        <v>46</v>
      </c>
      <c r="Y200" s="8" t="s">
        <v>46</v>
      </c>
      <c r="Z200" s="8" t="s">
        <v>46</v>
      </c>
      <c r="AA200" s="10" t="s">
        <v>46</v>
      </c>
      <c r="AB200" s="10" t="s">
        <v>46</v>
      </c>
      <c r="AC200" s="8">
        <v>-583517000</v>
      </c>
      <c r="AD200" s="8"/>
      <c r="AE200" s="8"/>
      <c r="AF200" s="8"/>
      <c r="AG200" s="8"/>
      <c r="AH200" s="8"/>
      <c r="AI200" s="8"/>
      <c r="AJ200" s="8"/>
      <c r="AK200" s="8"/>
      <c r="AL200" s="8"/>
      <c r="AM200" s="8"/>
      <c r="AN200" s="8"/>
      <c r="AO200" s="8"/>
      <c r="AP200" s="8"/>
    </row>
    <row r="201" spans="1:42" ht="17">
      <c r="A201" s="8" t="s">
        <v>62</v>
      </c>
      <c r="B201" s="8" t="s">
        <v>45</v>
      </c>
      <c r="C201" s="8">
        <v>488698000</v>
      </c>
      <c r="D201" s="8" t="s">
        <v>46</v>
      </c>
      <c r="E201" s="10" t="s">
        <v>46</v>
      </c>
      <c r="F201" s="8" t="s">
        <v>46</v>
      </c>
      <c r="G201" s="8" t="s">
        <v>46</v>
      </c>
      <c r="H201" s="8">
        <v>729285000</v>
      </c>
      <c r="I201" s="8">
        <v>390280000</v>
      </c>
      <c r="J201" s="8" t="s">
        <v>46</v>
      </c>
      <c r="K201" s="10">
        <v>55097000</v>
      </c>
      <c r="L201" s="8" t="s">
        <v>46</v>
      </c>
      <c r="M201" s="8" t="s">
        <v>46</v>
      </c>
      <c r="N201" s="8">
        <v>-95349000</v>
      </c>
      <c r="O201" s="10" t="s">
        <v>46</v>
      </c>
      <c r="P201" s="10" t="s">
        <v>46</v>
      </c>
      <c r="Q201" s="8" t="s">
        <v>46</v>
      </c>
      <c r="R201" s="10" t="s">
        <v>46</v>
      </c>
      <c r="S201" s="8">
        <v>244734000</v>
      </c>
      <c r="T201" s="8">
        <v>244734000</v>
      </c>
      <c r="U201" s="8" t="s">
        <v>46</v>
      </c>
      <c r="V201" s="10" t="s">
        <v>46</v>
      </c>
      <c r="W201" s="10" t="s">
        <v>46</v>
      </c>
      <c r="X201" s="10" t="s">
        <v>46</v>
      </c>
      <c r="Y201" s="8" t="s">
        <v>46</v>
      </c>
      <c r="Z201" s="8" t="s">
        <v>46</v>
      </c>
      <c r="AA201" s="10" t="s">
        <v>46</v>
      </c>
      <c r="AB201" s="10" t="s">
        <v>46</v>
      </c>
      <c r="AC201" s="8">
        <v>-411190000</v>
      </c>
      <c r="AD201" s="8"/>
      <c r="AE201" s="8"/>
      <c r="AF201" s="8"/>
      <c r="AG201" s="8"/>
      <c r="AH201" s="8"/>
      <c r="AI201" s="8"/>
      <c r="AJ201" s="8"/>
      <c r="AK201" s="8"/>
      <c r="AL201" s="8"/>
      <c r="AM201" s="8"/>
      <c r="AN201" s="8"/>
      <c r="AO201" s="8"/>
      <c r="AP201" s="8"/>
    </row>
    <row r="202" spans="1:42" ht="17">
      <c r="A202" s="8" t="s">
        <v>63</v>
      </c>
      <c r="B202" s="8" t="s">
        <v>45</v>
      </c>
      <c r="C202" s="8">
        <v>373958000</v>
      </c>
      <c r="D202" s="8" t="s">
        <v>46</v>
      </c>
      <c r="E202" s="10" t="s">
        <v>46</v>
      </c>
      <c r="F202" s="8" t="s">
        <v>46</v>
      </c>
      <c r="G202" s="8" t="s">
        <v>46</v>
      </c>
      <c r="H202" s="8">
        <v>763306000</v>
      </c>
      <c r="I202" s="8">
        <v>362281000</v>
      </c>
      <c r="J202" s="8" t="s">
        <v>46</v>
      </c>
      <c r="K202" s="10">
        <v>-98848000</v>
      </c>
      <c r="L202" s="8" t="s">
        <v>46</v>
      </c>
      <c r="M202" s="8" t="s">
        <v>46</v>
      </c>
      <c r="N202" s="8">
        <v>-698116000</v>
      </c>
      <c r="O202" s="10" t="s">
        <v>46</v>
      </c>
      <c r="P202" s="10" t="s">
        <v>46</v>
      </c>
      <c r="Q202" s="8" t="s">
        <v>46</v>
      </c>
      <c r="R202" s="10" t="s">
        <v>46</v>
      </c>
      <c r="S202" s="8" t="s">
        <v>46</v>
      </c>
      <c r="T202" s="8" t="s">
        <v>46</v>
      </c>
      <c r="U202" s="8" t="s">
        <v>46</v>
      </c>
      <c r="V202" s="10" t="s">
        <v>46</v>
      </c>
      <c r="W202" s="10" t="s">
        <v>46</v>
      </c>
      <c r="X202" s="10" t="s">
        <v>46</v>
      </c>
      <c r="Y202" s="8" t="s">
        <v>46</v>
      </c>
      <c r="Z202" s="8" t="s">
        <v>46</v>
      </c>
      <c r="AA202" s="10" t="s">
        <v>46</v>
      </c>
      <c r="AB202" s="10" t="s">
        <v>46</v>
      </c>
      <c r="AC202" s="8">
        <v>-268029000</v>
      </c>
      <c r="AD202" s="8"/>
      <c r="AE202" s="8"/>
      <c r="AF202" s="8"/>
      <c r="AG202" s="8"/>
      <c r="AH202" s="8"/>
      <c r="AI202" s="8"/>
      <c r="AJ202" s="8"/>
      <c r="AK202" s="8"/>
      <c r="AL202" s="8"/>
      <c r="AM202" s="8"/>
      <c r="AN202" s="8"/>
      <c r="AO202" s="8"/>
      <c r="AP202" s="8"/>
    </row>
    <row r="203" spans="1:42" ht="17">
      <c r="A203" s="8" t="s">
        <v>65</v>
      </c>
      <c r="B203" s="8" t="s">
        <v>45</v>
      </c>
      <c r="C203" s="8">
        <v>582373000</v>
      </c>
      <c r="D203" s="8" t="s">
        <v>46</v>
      </c>
      <c r="E203" s="10" t="s">
        <v>46</v>
      </c>
      <c r="F203" s="8" t="s">
        <v>46</v>
      </c>
      <c r="G203" s="8" t="s">
        <v>46</v>
      </c>
      <c r="H203" s="8">
        <v>732869000</v>
      </c>
      <c r="I203" s="8">
        <v>257574000</v>
      </c>
      <c r="J203" s="8" t="s">
        <v>46</v>
      </c>
      <c r="K203" s="10">
        <v>220158000</v>
      </c>
      <c r="L203" s="8" t="s">
        <v>46</v>
      </c>
      <c r="M203" s="8" t="s">
        <v>46</v>
      </c>
      <c r="N203" s="8">
        <v>-305244000</v>
      </c>
      <c r="O203" s="10" t="s">
        <v>46</v>
      </c>
      <c r="P203" s="10" t="s">
        <v>46</v>
      </c>
      <c r="Q203" s="8" t="s">
        <v>46</v>
      </c>
      <c r="R203" s="10" t="s">
        <v>46</v>
      </c>
      <c r="S203" s="8" t="s">
        <v>46</v>
      </c>
      <c r="T203" s="8" t="s">
        <v>46</v>
      </c>
      <c r="U203" s="8" t="s">
        <v>46</v>
      </c>
      <c r="V203" s="10" t="s">
        <v>46</v>
      </c>
      <c r="W203" s="10" t="s">
        <v>46</v>
      </c>
      <c r="X203" s="10" t="s">
        <v>46</v>
      </c>
      <c r="Y203" s="8" t="s">
        <v>46</v>
      </c>
      <c r="Z203" s="8" t="s">
        <v>46</v>
      </c>
      <c r="AA203" s="10" t="s">
        <v>46</v>
      </c>
      <c r="AB203" s="10" t="s">
        <v>46</v>
      </c>
      <c r="AC203" s="8">
        <v>-462853000</v>
      </c>
      <c r="AD203" s="8"/>
      <c r="AE203" s="8"/>
      <c r="AF203" s="8"/>
      <c r="AG203" s="8"/>
      <c r="AH203" s="8"/>
      <c r="AI203" s="8"/>
      <c r="AJ203" s="8"/>
      <c r="AK203" s="8"/>
      <c r="AL203" s="8"/>
      <c r="AM203" s="8"/>
      <c r="AN203" s="8"/>
      <c r="AO203" s="8"/>
      <c r="AP203" s="8"/>
    </row>
    <row r="204" spans="1:42" ht="17">
      <c r="A204" s="8" t="s">
        <v>66</v>
      </c>
      <c r="B204" s="8" t="s">
        <v>45</v>
      </c>
      <c r="C204" s="8">
        <v>181175000</v>
      </c>
      <c r="D204" s="8" t="s">
        <v>46</v>
      </c>
      <c r="E204" s="10" t="s">
        <v>46</v>
      </c>
      <c r="F204" s="8" t="s">
        <v>46</v>
      </c>
      <c r="G204" s="8" t="s">
        <v>46</v>
      </c>
      <c r="H204" s="8">
        <v>765474000</v>
      </c>
      <c r="I204" s="8">
        <v>223792000</v>
      </c>
      <c r="J204" s="8" t="s">
        <v>46</v>
      </c>
      <c r="K204" s="10">
        <v>27934000</v>
      </c>
      <c r="L204" s="8" t="s">
        <v>46</v>
      </c>
      <c r="M204" s="8" t="s">
        <v>46</v>
      </c>
      <c r="N204" s="8">
        <v>1604722000</v>
      </c>
      <c r="O204" s="10" t="s">
        <v>46</v>
      </c>
      <c r="P204" s="10" t="s">
        <v>46</v>
      </c>
      <c r="Q204" s="8" t="s">
        <v>46</v>
      </c>
      <c r="R204" s="10" t="s">
        <v>46</v>
      </c>
      <c r="S204" s="8" t="s">
        <v>46</v>
      </c>
      <c r="T204" s="8" t="s">
        <v>46</v>
      </c>
      <c r="U204" s="8" t="s">
        <v>46</v>
      </c>
      <c r="V204" s="10" t="s">
        <v>46</v>
      </c>
      <c r="W204" s="10" t="s">
        <v>46</v>
      </c>
      <c r="X204" s="10" t="s">
        <v>46</v>
      </c>
      <c r="Y204" s="8">
        <v>-184000</v>
      </c>
      <c r="Z204" s="8" t="s">
        <v>46</v>
      </c>
      <c r="AA204" s="10" t="s">
        <v>46</v>
      </c>
      <c r="AB204" s="10" t="s">
        <v>46</v>
      </c>
      <c r="AC204" s="9">
        <v>-4049000000</v>
      </c>
      <c r="AD204" s="8"/>
      <c r="AE204" s="8"/>
      <c r="AF204" s="8"/>
      <c r="AG204" s="8"/>
      <c r="AH204" s="8"/>
      <c r="AI204" s="8"/>
      <c r="AJ204" s="8"/>
      <c r="AK204" s="8"/>
      <c r="AL204" s="8"/>
      <c r="AM204" s="8"/>
      <c r="AN204" s="8"/>
      <c r="AO204" s="8"/>
      <c r="AP204" s="8"/>
    </row>
    <row r="205" spans="1:42" ht="17">
      <c r="A205" s="8" t="s">
        <v>67</v>
      </c>
      <c r="B205" s="8" t="s">
        <v>45</v>
      </c>
      <c r="C205" s="8">
        <v>1215962000</v>
      </c>
      <c r="D205" s="8" t="s">
        <v>46</v>
      </c>
      <c r="E205" s="10" t="s">
        <v>46</v>
      </c>
      <c r="F205" s="8" t="s">
        <v>46</v>
      </c>
      <c r="G205" s="8" t="s">
        <v>46</v>
      </c>
      <c r="H205" s="8">
        <v>696830000</v>
      </c>
      <c r="I205" s="8">
        <v>430455000</v>
      </c>
      <c r="J205" s="8" t="s">
        <v>46</v>
      </c>
      <c r="K205" s="10" t="s">
        <v>46</v>
      </c>
      <c r="L205" s="8" t="s">
        <v>46</v>
      </c>
      <c r="M205" s="8" t="s">
        <v>46</v>
      </c>
      <c r="N205" s="9">
        <v>15908000000</v>
      </c>
      <c r="O205" s="10" t="s">
        <v>46</v>
      </c>
      <c r="P205" s="10" t="s">
        <v>46</v>
      </c>
      <c r="Q205" s="8" t="s">
        <v>46</v>
      </c>
      <c r="R205" s="10" t="s">
        <v>46</v>
      </c>
      <c r="S205" s="8">
        <v>93367000</v>
      </c>
      <c r="T205" s="8">
        <v>93367000</v>
      </c>
      <c r="U205" s="8" t="s">
        <v>46</v>
      </c>
      <c r="V205" s="10" t="s">
        <v>46</v>
      </c>
      <c r="W205" s="10" t="s">
        <v>46</v>
      </c>
      <c r="X205" s="10" t="s">
        <v>46</v>
      </c>
      <c r="Y205" s="8">
        <v>-3828000</v>
      </c>
      <c r="Z205" s="8" t="s">
        <v>46</v>
      </c>
      <c r="AA205" s="10" t="s">
        <v>46</v>
      </c>
      <c r="AB205" s="10" t="s">
        <v>46</v>
      </c>
      <c r="AC205" s="9">
        <v>-4627000000</v>
      </c>
      <c r="AD205" s="8"/>
      <c r="AE205" s="8"/>
      <c r="AF205" s="8"/>
      <c r="AG205" s="8"/>
      <c r="AH205" s="8"/>
      <c r="AI205" s="8"/>
      <c r="AJ205" s="8"/>
      <c r="AK205" s="8"/>
      <c r="AL205" s="8"/>
      <c r="AM205" s="8"/>
      <c r="AN205" s="8"/>
      <c r="AO205" s="8"/>
      <c r="AP205" s="8"/>
    </row>
    <row r="206" spans="1:42" ht="16">
      <c r="A206" s="8"/>
      <c r="B206" s="8"/>
      <c r="C206" s="8"/>
      <c r="D206" s="8"/>
      <c r="E206" s="10"/>
      <c r="F206" s="8"/>
      <c r="G206" s="8"/>
      <c r="H206" s="8"/>
      <c r="I206" s="8"/>
      <c r="J206" s="8"/>
      <c r="K206" s="10"/>
      <c r="L206" s="8"/>
      <c r="M206" s="8"/>
      <c r="N206" s="8"/>
      <c r="O206" s="10"/>
      <c r="P206" s="10"/>
      <c r="Q206" s="8"/>
      <c r="R206" s="10"/>
      <c r="S206" s="8"/>
      <c r="T206" s="8"/>
      <c r="U206" s="8"/>
      <c r="V206" s="10"/>
      <c r="W206" s="10"/>
      <c r="X206" s="10"/>
      <c r="Y206" s="8"/>
      <c r="Z206" s="8"/>
      <c r="AA206" s="10"/>
      <c r="AB206" s="10"/>
      <c r="AC206" s="8"/>
      <c r="AD206" s="8"/>
      <c r="AE206" s="8"/>
      <c r="AF206" s="8"/>
      <c r="AG206" s="8"/>
      <c r="AH206" s="8"/>
      <c r="AI206" s="8"/>
      <c r="AJ206" s="8"/>
      <c r="AK206" s="8"/>
      <c r="AL206" s="8"/>
      <c r="AM206" s="8"/>
      <c r="AN206" s="8"/>
      <c r="AO206" s="8"/>
      <c r="AP206" s="8"/>
    </row>
    <row r="207" spans="1:42" ht="16">
      <c r="A207" s="8" t="s">
        <v>64</v>
      </c>
      <c r="B207" s="8"/>
      <c r="C207" s="8"/>
      <c r="D207" s="8"/>
      <c r="E207" s="10"/>
      <c r="F207" s="8"/>
      <c r="G207" s="8"/>
      <c r="H207" s="8"/>
      <c r="I207" s="8"/>
      <c r="J207" s="8"/>
      <c r="K207" s="10"/>
      <c r="L207" s="8"/>
      <c r="M207" s="8"/>
      <c r="N207" s="8"/>
      <c r="O207" s="10"/>
      <c r="P207" s="10"/>
      <c r="Q207" s="8"/>
      <c r="R207" s="10"/>
      <c r="S207" s="8"/>
      <c r="T207" s="8"/>
      <c r="U207" s="8"/>
      <c r="V207" s="10"/>
      <c r="W207" s="10"/>
      <c r="X207" s="10"/>
      <c r="Y207" s="8"/>
      <c r="Z207" s="8"/>
      <c r="AA207" s="10"/>
      <c r="AB207" s="10"/>
      <c r="AC207" s="8"/>
      <c r="AD207" s="8"/>
      <c r="AE207" s="8"/>
      <c r="AF207" s="8"/>
      <c r="AG207" s="8"/>
      <c r="AH207" s="8"/>
      <c r="AI207" s="8"/>
      <c r="AJ207" s="8"/>
      <c r="AK207" s="8"/>
      <c r="AL207" s="8"/>
      <c r="AM207" s="8"/>
      <c r="AN207" s="8"/>
      <c r="AO207" s="8"/>
      <c r="AP207" s="8"/>
    </row>
    <row r="208" spans="1:42" ht="34">
      <c r="A208" s="8" t="s">
        <v>17</v>
      </c>
      <c r="B208" s="8" t="s">
        <v>18</v>
      </c>
      <c r="C208" s="8" t="s">
        <v>166</v>
      </c>
      <c r="D208" s="8" t="s">
        <v>167</v>
      </c>
      <c r="E208" s="10" t="s">
        <v>168</v>
      </c>
      <c r="F208" s="8" t="s">
        <v>169</v>
      </c>
      <c r="G208" s="8" t="s">
        <v>170</v>
      </c>
      <c r="H208" s="8" t="s">
        <v>171</v>
      </c>
      <c r="I208" s="8" t="s">
        <v>172</v>
      </c>
      <c r="J208" s="8" t="s">
        <v>173</v>
      </c>
      <c r="K208" s="10" t="s">
        <v>174</v>
      </c>
      <c r="L208" s="8" t="s">
        <v>175</v>
      </c>
      <c r="M208" s="8" t="s">
        <v>176</v>
      </c>
      <c r="N208" s="8" t="s">
        <v>177</v>
      </c>
      <c r="O208" s="10" t="s">
        <v>178</v>
      </c>
      <c r="P208" s="10" t="s">
        <v>179</v>
      </c>
      <c r="Q208" s="8" t="s">
        <v>180</v>
      </c>
      <c r="R208" s="10" t="s">
        <v>181</v>
      </c>
      <c r="S208" s="8" t="s">
        <v>182</v>
      </c>
      <c r="T208" s="8" t="s">
        <v>183</v>
      </c>
      <c r="U208" s="8" t="s">
        <v>184</v>
      </c>
      <c r="V208" s="10" t="s">
        <v>185</v>
      </c>
      <c r="W208" s="10" t="s">
        <v>103</v>
      </c>
      <c r="X208" s="10" t="s">
        <v>104</v>
      </c>
      <c r="Y208" s="8" t="s">
        <v>105</v>
      </c>
      <c r="Z208" s="8" t="s">
        <v>106</v>
      </c>
      <c r="AA208" s="10" t="s">
        <v>107</v>
      </c>
      <c r="AB208" s="10" t="s">
        <v>108</v>
      </c>
      <c r="AC208" s="8" t="s">
        <v>42</v>
      </c>
      <c r="AD208" s="8"/>
      <c r="AE208" s="8"/>
      <c r="AF208" s="8"/>
      <c r="AG208" s="8"/>
      <c r="AH208" s="8"/>
      <c r="AI208" s="8"/>
      <c r="AJ208" s="8"/>
      <c r="AK208" s="8"/>
      <c r="AL208" s="8"/>
      <c r="AM208" s="8"/>
      <c r="AN208" s="8"/>
      <c r="AO208" s="8"/>
      <c r="AP208" s="8"/>
    </row>
    <row r="209" spans="1:42" ht="17">
      <c r="A209" s="8" t="s">
        <v>71</v>
      </c>
      <c r="B209" s="8" t="s">
        <v>45</v>
      </c>
      <c r="C209" s="8">
        <v>-60944000</v>
      </c>
      <c r="D209" s="8" t="s">
        <v>46</v>
      </c>
      <c r="E209" s="10" t="s">
        <v>46</v>
      </c>
      <c r="F209" s="8" t="s">
        <v>46</v>
      </c>
      <c r="G209" s="8" t="s">
        <v>46</v>
      </c>
      <c r="H209" s="8">
        <v>91901000</v>
      </c>
      <c r="I209" s="8">
        <v>19730000</v>
      </c>
      <c r="J209" s="8" t="s">
        <v>46</v>
      </c>
      <c r="K209" s="10" t="s">
        <v>46</v>
      </c>
      <c r="L209" s="8" t="s">
        <v>46</v>
      </c>
      <c r="M209" s="8" t="s">
        <v>46</v>
      </c>
      <c r="N209" s="8">
        <v>-11038000</v>
      </c>
      <c r="O209" s="10" t="s">
        <v>46</v>
      </c>
      <c r="P209" s="10" t="s">
        <v>46</v>
      </c>
      <c r="Q209" s="8" t="s">
        <v>46</v>
      </c>
      <c r="R209" s="10" t="s">
        <v>46</v>
      </c>
      <c r="S209" s="8">
        <v>385000</v>
      </c>
      <c r="T209" s="8">
        <v>385000</v>
      </c>
      <c r="U209" s="8" t="s">
        <v>46</v>
      </c>
      <c r="V209" s="10" t="s">
        <v>46</v>
      </c>
      <c r="W209" s="10" t="s">
        <v>46</v>
      </c>
      <c r="X209" s="10" t="s">
        <v>46</v>
      </c>
      <c r="Y209" s="8" t="s">
        <v>46</v>
      </c>
      <c r="Z209" s="8" t="s">
        <v>46</v>
      </c>
      <c r="AA209" s="10" t="s">
        <v>46</v>
      </c>
      <c r="AB209" s="10" t="s">
        <v>46</v>
      </c>
      <c r="AC209" s="8">
        <v>-280883000</v>
      </c>
      <c r="AD209" s="8"/>
      <c r="AE209" s="8"/>
      <c r="AF209" s="8"/>
      <c r="AG209" s="8"/>
      <c r="AH209" s="8"/>
      <c r="AI209" s="8"/>
      <c r="AJ209" s="8"/>
      <c r="AK209" s="8"/>
      <c r="AL209" s="8"/>
      <c r="AM209" s="8"/>
      <c r="AN209" s="8"/>
      <c r="AO209" s="8"/>
      <c r="AP209" s="8"/>
    </row>
    <row r="210" spans="1:42" ht="17">
      <c r="A210" s="8" t="s">
        <v>44</v>
      </c>
      <c r="B210" s="8" t="s">
        <v>45</v>
      </c>
      <c r="C210" s="8">
        <v>1212000</v>
      </c>
      <c r="D210" s="8" t="s">
        <v>46</v>
      </c>
      <c r="E210" s="10" t="s">
        <v>46</v>
      </c>
      <c r="F210" s="8" t="s">
        <v>46</v>
      </c>
      <c r="G210" s="8" t="s">
        <v>46</v>
      </c>
      <c r="H210" s="8">
        <v>98733000</v>
      </c>
      <c r="I210" s="8">
        <v>25420000</v>
      </c>
      <c r="J210" s="8" t="s">
        <v>46</v>
      </c>
      <c r="K210" s="10" t="s">
        <v>46</v>
      </c>
      <c r="L210" s="8" t="s">
        <v>46</v>
      </c>
      <c r="M210" s="8" t="s">
        <v>46</v>
      </c>
      <c r="N210" s="8">
        <v>-149902000</v>
      </c>
      <c r="O210" s="10" t="s">
        <v>46</v>
      </c>
      <c r="P210" s="10" t="s">
        <v>46</v>
      </c>
      <c r="Q210" s="8" t="s">
        <v>46</v>
      </c>
      <c r="R210" s="10" t="s">
        <v>46</v>
      </c>
      <c r="S210" s="8" t="s">
        <v>46</v>
      </c>
      <c r="T210" s="8" t="s">
        <v>46</v>
      </c>
      <c r="U210" s="8" t="s">
        <v>46</v>
      </c>
      <c r="V210" s="10" t="s">
        <v>46</v>
      </c>
      <c r="W210" s="10" t="s">
        <v>46</v>
      </c>
      <c r="X210" s="10" t="s">
        <v>46</v>
      </c>
      <c r="Y210" s="8" t="s">
        <v>46</v>
      </c>
      <c r="Z210" s="8" t="s">
        <v>46</v>
      </c>
      <c r="AA210" s="10" t="s">
        <v>46</v>
      </c>
      <c r="AB210" s="10" t="s">
        <v>46</v>
      </c>
      <c r="AC210" s="8">
        <v>31928000</v>
      </c>
      <c r="AD210" s="8"/>
      <c r="AE210" s="8"/>
      <c r="AF210" s="8"/>
      <c r="AG210" s="8"/>
      <c r="AH210" s="8"/>
      <c r="AI210" s="8"/>
      <c r="AJ210" s="8"/>
      <c r="AK210" s="8"/>
      <c r="AL210" s="8"/>
      <c r="AM210" s="8"/>
      <c r="AN210" s="8"/>
      <c r="AO210" s="8"/>
      <c r="AP210" s="8"/>
    </row>
    <row r="211" spans="1:42" ht="17">
      <c r="A211" s="8" t="s">
        <v>88</v>
      </c>
      <c r="B211" s="8" t="s">
        <v>45</v>
      </c>
      <c r="C211" s="8">
        <v>102765000</v>
      </c>
      <c r="D211" s="8" t="s">
        <v>46</v>
      </c>
      <c r="E211" s="10" t="s">
        <v>46</v>
      </c>
      <c r="F211" s="8" t="s">
        <v>46</v>
      </c>
      <c r="G211" s="8" t="s">
        <v>46</v>
      </c>
      <c r="H211" s="8">
        <v>101331000</v>
      </c>
      <c r="I211" s="8">
        <v>29420000</v>
      </c>
      <c r="J211" s="8" t="s">
        <v>46</v>
      </c>
      <c r="K211" s="10" t="s">
        <v>46</v>
      </c>
      <c r="L211" s="8" t="s">
        <v>46</v>
      </c>
      <c r="M211" s="8" t="s">
        <v>46</v>
      </c>
      <c r="N211" s="8">
        <v>-3627000</v>
      </c>
      <c r="O211" s="10" t="s">
        <v>46</v>
      </c>
      <c r="P211" s="10" t="s">
        <v>46</v>
      </c>
      <c r="Q211" s="8" t="s">
        <v>46</v>
      </c>
      <c r="R211" s="10" t="s">
        <v>46</v>
      </c>
      <c r="S211" s="8">
        <v>773000</v>
      </c>
      <c r="T211" s="8">
        <v>773000</v>
      </c>
      <c r="U211" s="8" t="s">
        <v>46</v>
      </c>
      <c r="V211" s="10" t="s">
        <v>46</v>
      </c>
      <c r="W211" s="10" t="s">
        <v>46</v>
      </c>
      <c r="X211" s="10" t="s">
        <v>46</v>
      </c>
      <c r="Y211" s="8" t="s">
        <v>46</v>
      </c>
      <c r="Z211" s="8" t="s">
        <v>46</v>
      </c>
      <c r="AA211" s="10" t="s">
        <v>46</v>
      </c>
      <c r="AB211" s="10" t="s">
        <v>46</v>
      </c>
      <c r="AC211" s="8">
        <v>-41256000</v>
      </c>
      <c r="AD211" s="8"/>
      <c r="AE211" s="8"/>
      <c r="AF211" s="8"/>
      <c r="AG211" s="8"/>
      <c r="AH211" s="8"/>
      <c r="AI211" s="8"/>
      <c r="AJ211" s="8"/>
      <c r="AK211" s="8"/>
      <c r="AL211" s="8"/>
      <c r="AM211" s="8"/>
      <c r="AN211" s="8"/>
      <c r="AO211" s="8"/>
      <c r="AP211" s="8"/>
    </row>
    <row r="212" spans="1:42" ht="17">
      <c r="A212" s="8" t="s">
        <v>89</v>
      </c>
      <c r="B212" s="8" t="s">
        <v>45</v>
      </c>
      <c r="C212" s="8">
        <v>26729000</v>
      </c>
      <c r="D212" s="8" t="s">
        <v>46</v>
      </c>
      <c r="E212" s="10" t="s">
        <v>46</v>
      </c>
      <c r="F212" s="8" t="s">
        <v>46</v>
      </c>
      <c r="G212" s="8" t="s">
        <v>46</v>
      </c>
      <c r="H212" s="8">
        <v>104356000</v>
      </c>
      <c r="I212" s="8">
        <v>21172000</v>
      </c>
      <c r="J212" s="8" t="s">
        <v>46</v>
      </c>
      <c r="K212" s="10" t="s">
        <v>46</v>
      </c>
      <c r="L212" s="8" t="s">
        <v>46</v>
      </c>
      <c r="M212" s="8" t="s">
        <v>46</v>
      </c>
      <c r="N212" s="8">
        <v>-1268000</v>
      </c>
      <c r="O212" s="10" t="s">
        <v>46</v>
      </c>
      <c r="P212" s="10" t="s">
        <v>46</v>
      </c>
      <c r="Q212" s="8" t="s">
        <v>46</v>
      </c>
      <c r="R212" s="10" t="s">
        <v>46</v>
      </c>
      <c r="S212" s="8" t="s">
        <v>46</v>
      </c>
      <c r="T212" s="8" t="s">
        <v>46</v>
      </c>
      <c r="U212" s="8" t="s">
        <v>46</v>
      </c>
      <c r="V212" s="10" t="s">
        <v>46</v>
      </c>
      <c r="W212" s="10" t="s">
        <v>46</v>
      </c>
      <c r="X212" s="10" t="s">
        <v>46</v>
      </c>
      <c r="Y212" s="8" t="s">
        <v>46</v>
      </c>
      <c r="Z212" s="8" t="s">
        <v>46</v>
      </c>
      <c r="AA212" s="10" t="s">
        <v>46</v>
      </c>
      <c r="AB212" s="10" t="s">
        <v>46</v>
      </c>
      <c r="AC212" s="8">
        <v>-981658000</v>
      </c>
      <c r="AD212" s="8"/>
      <c r="AE212" s="8"/>
      <c r="AF212" s="8"/>
      <c r="AG212" s="8"/>
      <c r="AH212" s="8"/>
      <c r="AI212" s="8"/>
      <c r="AJ212" s="8"/>
      <c r="AK212" s="8"/>
      <c r="AL212" s="8"/>
      <c r="AM212" s="8"/>
      <c r="AN212" s="8"/>
      <c r="AO212" s="8"/>
      <c r="AP212" s="8"/>
    </row>
    <row r="213" spans="1:42" ht="17">
      <c r="A213" s="8" t="s">
        <v>90</v>
      </c>
      <c r="B213" s="8" t="s">
        <v>45</v>
      </c>
      <c r="C213" s="8">
        <v>-59277000</v>
      </c>
      <c r="D213" s="8" t="s">
        <v>46</v>
      </c>
      <c r="E213" s="10" t="s">
        <v>46</v>
      </c>
      <c r="F213" s="8" t="s">
        <v>46</v>
      </c>
      <c r="G213" s="8" t="s">
        <v>46</v>
      </c>
      <c r="H213" s="8">
        <v>105162000</v>
      </c>
      <c r="I213" s="8">
        <v>21582000</v>
      </c>
      <c r="J213" s="8" t="s">
        <v>46</v>
      </c>
      <c r="K213" s="10" t="s">
        <v>46</v>
      </c>
      <c r="L213" s="8" t="s">
        <v>46</v>
      </c>
      <c r="M213" s="8" t="s">
        <v>46</v>
      </c>
      <c r="N213" s="8">
        <v>-3548000</v>
      </c>
      <c r="O213" s="10" t="s">
        <v>46</v>
      </c>
      <c r="P213" s="10" t="s">
        <v>46</v>
      </c>
      <c r="Q213" s="8" t="s">
        <v>46</v>
      </c>
      <c r="R213" s="10" t="s">
        <v>46</v>
      </c>
      <c r="S213" s="8">
        <v>3397000</v>
      </c>
      <c r="T213" s="8">
        <v>3397000</v>
      </c>
      <c r="U213" s="8" t="s">
        <v>46</v>
      </c>
      <c r="V213" s="10" t="s">
        <v>46</v>
      </c>
      <c r="W213" s="10" t="s">
        <v>46</v>
      </c>
      <c r="X213" s="10" t="s">
        <v>46</v>
      </c>
      <c r="Y213" s="8" t="s">
        <v>46</v>
      </c>
      <c r="Z213" s="8" t="s">
        <v>46</v>
      </c>
      <c r="AA213" s="10" t="s">
        <v>46</v>
      </c>
      <c r="AB213" s="10" t="s">
        <v>46</v>
      </c>
      <c r="AC213" s="8">
        <v>-18508000</v>
      </c>
      <c r="AD213" s="8"/>
      <c r="AE213" s="8"/>
      <c r="AF213" s="8"/>
      <c r="AG213" s="8"/>
      <c r="AH213" s="8"/>
      <c r="AI213" s="8"/>
      <c r="AJ213" s="8"/>
      <c r="AK213" s="8"/>
      <c r="AL213" s="8"/>
      <c r="AM213" s="8"/>
      <c r="AN213" s="8"/>
      <c r="AO213" s="8"/>
      <c r="AP213" s="8"/>
    </row>
    <row r="214" spans="1:42" ht="17">
      <c r="A214" s="8" t="s">
        <v>47</v>
      </c>
      <c r="B214" s="8" t="s">
        <v>45</v>
      </c>
      <c r="C214" s="8">
        <v>154104000</v>
      </c>
      <c r="D214" s="8" t="s">
        <v>46</v>
      </c>
      <c r="E214" s="10" t="s">
        <v>46</v>
      </c>
      <c r="F214" s="8" t="s">
        <v>46</v>
      </c>
      <c r="G214" s="8" t="s">
        <v>46</v>
      </c>
      <c r="H214" s="8">
        <v>105455000</v>
      </c>
      <c r="I214" s="8">
        <v>12214000</v>
      </c>
      <c r="J214" s="8" t="s">
        <v>46</v>
      </c>
      <c r="K214" s="10">
        <v>-88893000</v>
      </c>
      <c r="L214" s="8" t="s">
        <v>46</v>
      </c>
      <c r="M214" s="8" t="s">
        <v>46</v>
      </c>
      <c r="N214" s="8">
        <v>-10201000</v>
      </c>
      <c r="O214" s="10" t="s">
        <v>46</v>
      </c>
      <c r="P214" s="10" t="s">
        <v>46</v>
      </c>
      <c r="Q214" s="8" t="s">
        <v>46</v>
      </c>
      <c r="R214" s="10" t="s">
        <v>46</v>
      </c>
      <c r="S214" s="8" t="s">
        <v>46</v>
      </c>
      <c r="T214" s="8" t="s">
        <v>46</v>
      </c>
      <c r="U214" s="8" t="s">
        <v>46</v>
      </c>
      <c r="V214" s="10" t="s">
        <v>46</v>
      </c>
      <c r="W214" s="10" t="s">
        <v>46</v>
      </c>
      <c r="X214" s="10" t="s">
        <v>46</v>
      </c>
      <c r="Y214" s="8" t="s">
        <v>46</v>
      </c>
      <c r="Z214" s="8" t="s">
        <v>46</v>
      </c>
      <c r="AA214" s="10" t="s">
        <v>46</v>
      </c>
      <c r="AB214" s="10" t="s">
        <v>46</v>
      </c>
      <c r="AC214" s="8">
        <v>13123000</v>
      </c>
      <c r="AD214" s="8"/>
      <c r="AE214" s="8"/>
      <c r="AF214" s="8"/>
      <c r="AG214" s="8"/>
      <c r="AH214" s="8"/>
      <c r="AI214" s="8"/>
      <c r="AJ214" s="8"/>
      <c r="AK214" s="8"/>
      <c r="AL214" s="8"/>
      <c r="AM214" s="8"/>
      <c r="AN214" s="8"/>
      <c r="AO214" s="8"/>
      <c r="AP214" s="8"/>
    </row>
    <row r="215" spans="1:42" ht="17">
      <c r="A215" s="8" t="s">
        <v>91</v>
      </c>
      <c r="B215" s="8" t="s">
        <v>45</v>
      </c>
      <c r="C215" s="8">
        <v>96169000</v>
      </c>
      <c r="D215" s="8" t="s">
        <v>46</v>
      </c>
      <c r="E215" s="10" t="s">
        <v>46</v>
      </c>
      <c r="F215" s="8" t="s">
        <v>46</v>
      </c>
      <c r="G215" s="8" t="s">
        <v>46</v>
      </c>
      <c r="H215" s="8">
        <v>106451000</v>
      </c>
      <c r="I215" s="8">
        <v>28518000</v>
      </c>
      <c r="J215" s="8" t="s">
        <v>46</v>
      </c>
      <c r="K215" s="10">
        <v>48517000</v>
      </c>
      <c r="L215" s="8" t="s">
        <v>46</v>
      </c>
      <c r="M215" s="8" t="s">
        <v>46</v>
      </c>
      <c r="N215" s="8">
        <v>-67082000</v>
      </c>
      <c r="O215" s="10" t="s">
        <v>46</v>
      </c>
      <c r="P215" s="10" t="s">
        <v>46</v>
      </c>
      <c r="Q215" s="8" t="s">
        <v>46</v>
      </c>
      <c r="R215" s="10" t="s">
        <v>46</v>
      </c>
      <c r="S215" s="8" t="s">
        <v>46</v>
      </c>
      <c r="T215" s="8" t="s">
        <v>46</v>
      </c>
      <c r="U215" s="8" t="s">
        <v>46</v>
      </c>
      <c r="V215" s="10" t="s">
        <v>46</v>
      </c>
      <c r="W215" s="10" t="s">
        <v>46</v>
      </c>
      <c r="X215" s="10" t="s">
        <v>46</v>
      </c>
      <c r="Y215" s="8" t="s">
        <v>46</v>
      </c>
      <c r="Z215" s="8" t="s">
        <v>46</v>
      </c>
      <c r="AA215" s="10" t="s">
        <v>46</v>
      </c>
      <c r="AB215" s="10" t="s">
        <v>46</v>
      </c>
      <c r="AC215" s="8">
        <v>-8969000</v>
      </c>
      <c r="AD215" s="8"/>
      <c r="AE215" s="8"/>
      <c r="AF215" s="8"/>
      <c r="AG215" s="8"/>
      <c r="AH215" s="8"/>
      <c r="AI215" s="8"/>
      <c r="AJ215" s="8"/>
      <c r="AK215" s="8"/>
      <c r="AL215" s="8"/>
      <c r="AM215" s="8"/>
      <c r="AN215" s="8"/>
      <c r="AO215" s="8"/>
      <c r="AP215" s="8"/>
    </row>
    <row r="216" spans="1:42" ht="17">
      <c r="A216" s="8" t="s">
        <v>92</v>
      </c>
      <c r="B216" s="8" t="s">
        <v>45</v>
      </c>
      <c r="C216" s="8">
        <v>56772000</v>
      </c>
      <c r="D216" s="8" t="s">
        <v>46</v>
      </c>
      <c r="E216" s="10" t="s">
        <v>46</v>
      </c>
      <c r="F216" s="8" t="s">
        <v>46</v>
      </c>
      <c r="G216" s="8" t="s">
        <v>46</v>
      </c>
      <c r="H216" s="8">
        <v>108065000</v>
      </c>
      <c r="I216" s="8">
        <v>22773000</v>
      </c>
      <c r="J216" s="8">
        <v>-80698000</v>
      </c>
      <c r="K216" s="10">
        <v>40376000</v>
      </c>
      <c r="L216" s="8" t="s">
        <v>46</v>
      </c>
      <c r="M216" s="8">
        <v>-20839000</v>
      </c>
      <c r="N216" s="8">
        <v>-58937000</v>
      </c>
      <c r="O216" s="10" t="s">
        <v>46</v>
      </c>
      <c r="P216" s="10" t="s">
        <v>46</v>
      </c>
      <c r="Q216" s="8" t="s">
        <v>46</v>
      </c>
      <c r="R216" s="10" t="s">
        <v>46</v>
      </c>
      <c r="S216" s="8" t="s">
        <v>46</v>
      </c>
      <c r="T216" s="8" t="s">
        <v>46</v>
      </c>
      <c r="U216" s="8" t="s">
        <v>46</v>
      </c>
      <c r="V216" s="10" t="s">
        <v>46</v>
      </c>
      <c r="W216" s="10" t="s">
        <v>46</v>
      </c>
      <c r="X216" s="10" t="s">
        <v>46</v>
      </c>
      <c r="Y216" s="8" t="s">
        <v>46</v>
      </c>
      <c r="Z216" s="8" t="s">
        <v>46</v>
      </c>
      <c r="AA216" s="10">
        <v>-23004000</v>
      </c>
      <c r="AB216" s="10" t="s">
        <v>46</v>
      </c>
      <c r="AC216" s="8">
        <v>-882982000</v>
      </c>
      <c r="AD216" s="8"/>
      <c r="AE216" s="8"/>
      <c r="AF216" s="8"/>
      <c r="AG216" s="8"/>
      <c r="AH216" s="8"/>
      <c r="AI216" s="8"/>
      <c r="AJ216" s="8"/>
      <c r="AK216" s="8"/>
      <c r="AL216" s="8"/>
      <c r="AM216" s="8"/>
      <c r="AN216" s="8"/>
      <c r="AO216" s="8"/>
      <c r="AP216" s="8"/>
    </row>
    <row r="217" spans="1:42" ht="17">
      <c r="A217" s="8" t="s">
        <v>93</v>
      </c>
      <c r="B217" s="8" t="s">
        <v>45</v>
      </c>
      <c r="C217" s="8">
        <v>-93983000</v>
      </c>
      <c r="D217" s="8" t="s">
        <v>46</v>
      </c>
      <c r="E217" s="10" t="s">
        <v>46</v>
      </c>
      <c r="F217" s="8" t="s">
        <v>46</v>
      </c>
      <c r="G217" s="8" t="s">
        <v>46</v>
      </c>
      <c r="H217" s="8">
        <v>108512000</v>
      </c>
      <c r="I217" s="8">
        <v>39165000</v>
      </c>
      <c r="J217" s="8">
        <v>94759000</v>
      </c>
      <c r="K217" s="10" t="s">
        <v>46</v>
      </c>
      <c r="L217" s="8" t="s">
        <v>46</v>
      </c>
      <c r="M217" s="8">
        <v>-38421000</v>
      </c>
      <c r="N217" s="8">
        <v>-15938000</v>
      </c>
      <c r="O217" s="10" t="s">
        <v>46</v>
      </c>
      <c r="P217" s="10" t="s">
        <v>46</v>
      </c>
      <c r="Q217" s="8" t="s">
        <v>46</v>
      </c>
      <c r="R217" s="10" t="s">
        <v>46</v>
      </c>
      <c r="S217" s="8" t="s">
        <v>46</v>
      </c>
      <c r="T217" s="8" t="s">
        <v>46</v>
      </c>
      <c r="U217" s="8" t="s">
        <v>46</v>
      </c>
      <c r="V217" s="10" t="s">
        <v>46</v>
      </c>
      <c r="W217" s="10" t="s">
        <v>46</v>
      </c>
      <c r="X217" s="10" t="s">
        <v>46</v>
      </c>
      <c r="Y217" s="8" t="s">
        <v>46</v>
      </c>
      <c r="Z217" s="8" t="s">
        <v>46</v>
      </c>
      <c r="AA217" s="10">
        <v>-148342000</v>
      </c>
      <c r="AB217" s="10" t="s">
        <v>46</v>
      </c>
      <c r="AC217" s="8">
        <v>-222363000</v>
      </c>
      <c r="AD217" s="8"/>
      <c r="AE217" s="8"/>
      <c r="AF217" s="8"/>
      <c r="AG217" s="8"/>
      <c r="AH217" s="8"/>
      <c r="AI217" s="8"/>
      <c r="AJ217" s="8"/>
      <c r="AK217" s="8"/>
      <c r="AL217" s="8"/>
      <c r="AM217" s="8"/>
      <c r="AN217" s="8"/>
      <c r="AO217" s="8"/>
      <c r="AP217" s="8"/>
    </row>
    <row r="218" spans="1:42" ht="17">
      <c r="A218" s="8" t="s">
        <v>49</v>
      </c>
      <c r="B218" s="8" t="s">
        <v>45</v>
      </c>
      <c r="C218" s="8">
        <v>213376000</v>
      </c>
      <c r="D218" s="8" t="s">
        <v>46</v>
      </c>
      <c r="E218" s="10" t="s">
        <v>46</v>
      </c>
      <c r="F218" s="8" t="s">
        <v>46</v>
      </c>
      <c r="G218" s="8" t="s">
        <v>46</v>
      </c>
      <c r="H218" s="8">
        <v>111520000</v>
      </c>
      <c r="I218" s="8">
        <v>48402000</v>
      </c>
      <c r="J218" s="8" t="s">
        <v>46</v>
      </c>
      <c r="K218" s="10" t="s">
        <v>46</v>
      </c>
      <c r="L218" s="8" t="s">
        <v>46</v>
      </c>
      <c r="M218" s="8">
        <v>-46419000</v>
      </c>
      <c r="N218" s="8">
        <v>-126451000</v>
      </c>
      <c r="O218" s="10" t="s">
        <v>46</v>
      </c>
      <c r="P218" s="10" t="s">
        <v>46</v>
      </c>
      <c r="Q218" s="8" t="s">
        <v>46</v>
      </c>
      <c r="R218" s="10" t="s">
        <v>46</v>
      </c>
      <c r="S218" s="8" t="s">
        <v>46</v>
      </c>
      <c r="T218" s="8" t="s">
        <v>46</v>
      </c>
      <c r="U218" s="8" t="s">
        <v>46</v>
      </c>
      <c r="V218" s="10" t="s">
        <v>46</v>
      </c>
      <c r="W218" s="10" t="s">
        <v>46</v>
      </c>
      <c r="X218" s="10" t="s">
        <v>46</v>
      </c>
      <c r="Y218" s="8" t="s">
        <v>46</v>
      </c>
      <c r="Z218" s="8" t="s">
        <v>46</v>
      </c>
      <c r="AA218" s="10" t="s">
        <v>46</v>
      </c>
      <c r="AB218" s="10" t="s">
        <v>46</v>
      </c>
      <c r="AC218" s="8">
        <v>80663000</v>
      </c>
      <c r="AD218" s="8"/>
      <c r="AE218" s="8"/>
      <c r="AF218" s="8"/>
      <c r="AG218" s="8"/>
      <c r="AH218" s="8"/>
      <c r="AI218" s="8"/>
      <c r="AJ218" s="8"/>
      <c r="AK218" s="8"/>
      <c r="AL218" s="8"/>
      <c r="AM218" s="8"/>
      <c r="AN218" s="8"/>
      <c r="AO218" s="8"/>
      <c r="AP218" s="8"/>
    </row>
    <row r="219" spans="1:42" ht="17">
      <c r="A219" s="8" t="s">
        <v>94</v>
      </c>
      <c r="B219" s="8" t="s">
        <v>45</v>
      </c>
      <c r="C219" s="8">
        <v>103110000</v>
      </c>
      <c r="D219" s="8" t="s">
        <v>46</v>
      </c>
      <c r="E219" s="10" t="s">
        <v>46</v>
      </c>
      <c r="F219" s="8" t="s">
        <v>46</v>
      </c>
      <c r="G219" s="8" t="s">
        <v>46</v>
      </c>
      <c r="H219" s="8">
        <v>109305000</v>
      </c>
      <c r="I219" s="8">
        <v>40357000</v>
      </c>
      <c r="J219" s="8">
        <v>-15555000</v>
      </c>
      <c r="K219" s="10" t="s">
        <v>46</v>
      </c>
      <c r="L219" s="8" t="s">
        <v>46</v>
      </c>
      <c r="M219" s="8">
        <v>-33150000</v>
      </c>
      <c r="N219" s="8">
        <v>-68946000</v>
      </c>
      <c r="O219" s="10" t="s">
        <v>46</v>
      </c>
      <c r="P219" s="10" t="s">
        <v>46</v>
      </c>
      <c r="Q219" s="8" t="s">
        <v>46</v>
      </c>
      <c r="R219" s="10" t="s">
        <v>46</v>
      </c>
      <c r="S219" s="8" t="s">
        <v>46</v>
      </c>
      <c r="T219" s="8" t="s">
        <v>46</v>
      </c>
      <c r="U219" s="8" t="s">
        <v>46</v>
      </c>
      <c r="V219" s="10" t="s">
        <v>46</v>
      </c>
      <c r="W219" s="10" t="s">
        <v>46</v>
      </c>
      <c r="X219" s="10" t="s">
        <v>46</v>
      </c>
      <c r="Y219" s="8" t="s">
        <v>46</v>
      </c>
      <c r="Z219" s="8" t="s">
        <v>46</v>
      </c>
      <c r="AA219" s="10">
        <v>1014000</v>
      </c>
      <c r="AB219" s="10" t="s">
        <v>46</v>
      </c>
      <c r="AC219" s="8">
        <v>-309776000</v>
      </c>
      <c r="AD219" s="8"/>
      <c r="AE219" s="8"/>
      <c r="AF219" s="8"/>
      <c r="AG219" s="8"/>
      <c r="AH219" s="8"/>
      <c r="AI219" s="8"/>
      <c r="AJ219" s="8"/>
      <c r="AK219" s="8"/>
      <c r="AL219" s="8"/>
      <c r="AM219" s="8"/>
      <c r="AN219" s="8"/>
      <c r="AO219" s="8"/>
      <c r="AP219" s="8"/>
    </row>
    <row r="220" spans="1:42" ht="17">
      <c r="A220" s="8" t="s">
        <v>95</v>
      </c>
      <c r="B220" s="8" t="s">
        <v>45</v>
      </c>
      <c r="C220" s="8">
        <v>155801000</v>
      </c>
      <c r="D220" s="8" t="s">
        <v>46</v>
      </c>
      <c r="E220" s="10" t="s">
        <v>46</v>
      </c>
      <c r="F220" s="8" t="s">
        <v>46</v>
      </c>
      <c r="G220" s="8" t="s">
        <v>46</v>
      </c>
      <c r="H220" s="8">
        <v>110788000</v>
      </c>
      <c r="I220" s="8">
        <v>49653000</v>
      </c>
      <c r="J220" s="8">
        <v>-67099000</v>
      </c>
      <c r="K220" s="10" t="s">
        <v>46</v>
      </c>
      <c r="L220" s="8" t="s">
        <v>46</v>
      </c>
      <c r="M220" s="8">
        <v>-29967000</v>
      </c>
      <c r="N220" s="8">
        <v>-110250000</v>
      </c>
      <c r="O220" s="10" t="s">
        <v>46</v>
      </c>
      <c r="P220" s="10" t="s">
        <v>46</v>
      </c>
      <c r="Q220" s="8" t="s">
        <v>46</v>
      </c>
      <c r="R220" s="10" t="s">
        <v>46</v>
      </c>
      <c r="S220" s="8" t="s">
        <v>46</v>
      </c>
      <c r="T220" s="8" t="s">
        <v>46</v>
      </c>
      <c r="U220" s="8" t="s">
        <v>46</v>
      </c>
      <c r="V220" s="10" t="s">
        <v>46</v>
      </c>
      <c r="W220" s="10" t="s">
        <v>46</v>
      </c>
      <c r="X220" s="10" t="s">
        <v>46</v>
      </c>
      <c r="Y220" s="8" t="s">
        <v>46</v>
      </c>
      <c r="Z220" s="8" t="s">
        <v>46</v>
      </c>
      <c r="AA220" s="10">
        <v>15584000</v>
      </c>
      <c r="AB220" s="10" t="s">
        <v>46</v>
      </c>
      <c r="AC220" s="8">
        <v>15182000</v>
      </c>
      <c r="AD220" s="8"/>
      <c r="AE220" s="8"/>
      <c r="AF220" s="8"/>
      <c r="AG220" s="8"/>
      <c r="AH220" s="8"/>
      <c r="AI220" s="8"/>
      <c r="AJ220" s="8"/>
      <c r="AK220" s="8"/>
      <c r="AL220" s="8"/>
      <c r="AM220" s="8"/>
      <c r="AN220" s="8"/>
      <c r="AO220" s="8"/>
      <c r="AP220" s="8"/>
    </row>
    <row r="221" spans="1:42" ht="17">
      <c r="A221" s="8" t="s">
        <v>96</v>
      </c>
      <c r="B221" s="8" t="s">
        <v>45</v>
      </c>
      <c r="C221" s="8">
        <v>-52212000</v>
      </c>
      <c r="D221" s="8" t="s">
        <v>46</v>
      </c>
      <c r="E221" s="10" t="s">
        <v>46</v>
      </c>
      <c r="F221" s="8" t="s">
        <v>46</v>
      </c>
      <c r="G221" s="8" t="s">
        <v>46</v>
      </c>
      <c r="H221" s="8">
        <v>114051000</v>
      </c>
      <c r="I221" s="8">
        <v>22557000</v>
      </c>
      <c r="J221" s="8">
        <v>121339000</v>
      </c>
      <c r="K221" s="10" t="s">
        <v>46</v>
      </c>
      <c r="L221" s="8" t="s">
        <v>46</v>
      </c>
      <c r="M221" s="8">
        <v>-19690000</v>
      </c>
      <c r="N221" s="8">
        <v>-461000</v>
      </c>
      <c r="O221" s="10" t="s">
        <v>46</v>
      </c>
      <c r="P221" s="10" t="s">
        <v>46</v>
      </c>
      <c r="Q221" s="8" t="s">
        <v>46</v>
      </c>
      <c r="R221" s="10" t="s">
        <v>46</v>
      </c>
      <c r="S221" s="8" t="s">
        <v>46</v>
      </c>
      <c r="T221" s="8" t="s">
        <v>46</v>
      </c>
      <c r="U221" s="8" t="s">
        <v>46</v>
      </c>
      <c r="V221" s="10" t="s">
        <v>46</v>
      </c>
      <c r="W221" s="10" t="s">
        <v>46</v>
      </c>
      <c r="X221" s="10" t="s">
        <v>46</v>
      </c>
      <c r="Y221" s="8" t="s">
        <v>46</v>
      </c>
      <c r="Z221" s="8" t="s">
        <v>46</v>
      </c>
      <c r="AA221" s="10">
        <v>-72363000</v>
      </c>
      <c r="AB221" s="10" t="s">
        <v>46</v>
      </c>
      <c r="AC221" s="8">
        <v>-48739000</v>
      </c>
      <c r="AD221" s="8"/>
      <c r="AE221" s="8"/>
      <c r="AF221" s="8"/>
      <c r="AG221" s="8"/>
      <c r="AH221" s="8"/>
      <c r="AI221" s="8"/>
      <c r="AJ221" s="8"/>
      <c r="AK221" s="8"/>
      <c r="AL221" s="8"/>
      <c r="AM221" s="8"/>
      <c r="AN221" s="8"/>
      <c r="AO221" s="8"/>
      <c r="AP221" s="8"/>
    </row>
    <row r="222" spans="1:42" ht="17">
      <c r="A222" s="8" t="s">
        <v>50</v>
      </c>
      <c r="B222" s="8" t="s">
        <v>45</v>
      </c>
      <c r="C222" s="8">
        <v>133980000</v>
      </c>
      <c r="D222" s="8" t="s">
        <v>46</v>
      </c>
      <c r="E222" s="10" t="s">
        <v>46</v>
      </c>
      <c r="F222" s="8" t="s">
        <v>46</v>
      </c>
      <c r="G222" s="8" t="s">
        <v>46</v>
      </c>
      <c r="H222" s="8">
        <v>126009000</v>
      </c>
      <c r="I222" s="8">
        <v>82037000</v>
      </c>
      <c r="J222" s="8">
        <v>-167424000</v>
      </c>
      <c r="K222" s="10">
        <v>39860000</v>
      </c>
      <c r="L222" s="8" t="s">
        <v>46</v>
      </c>
      <c r="M222" s="8">
        <v>-86892000</v>
      </c>
      <c r="N222" s="8">
        <v>-64006000</v>
      </c>
      <c r="O222" s="10" t="s">
        <v>46</v>
      </c>
      <c r="P222" s="10" t="s">
        <v>46</v>
      </c>
      <c r="Q222" s="8" t="s">
        <v>46</v>
      </c>
      <c r="R222" s="10" t="s">
        <v>46</v>
      </c>
      <c r="S222" s="8" t="s">
        <v>46</v>
      </c>
      <c r="T222" s="8" t="s">
        <v>46</v>
      </c>
      <c r="U222" s="8" t="s">
        <v>46</v>
      </c>
      <c r="V222" s="10" t="s">
        <v>46</v>
      </c>
      <c r="W222" s="10" t="s">
        <v>46</v>
      </c>
      <c r="X222" s="10" t="s">
        <v>46</v>
      </c>
      <c r="Y222" s="8" t="s">
        <v>46</v>
      </c>
      <c r="Z222" s="8" t="s">
        <v>46</v>
      </c>
      <c r="AA222" s="10">
        <v>-16918000</v>
      </c>
      <c r="AB222" s="10" t="s">
        <v>46</v>
      </c>
      <c r="AC222" s="8">
        <v>111954000</v>
      </c>
      <c r="AD222" s="8"/>
      <c r="AE222" s="8"/>
      <c r="AF222" s="8"/>
      <c r="AG222" s="8"/>
      <c r="AH222" s="8"/>
      <c r="AI222" s="8"/>
      <c r="AJ222" s="8"/>
      <c r="AK222" s="8"/>
      <c r="AL222" s="8"/>
      <c r="AM222" s="8"/>
      <c r="AN222" s="8"/>
      <c r="AO222" s="8"/>
      <c r="AP222" s="8"/>
    </row>
    <row r="223" spans="1:42" ht="17">
      <c r="A223" s="8" t="s">
        <v>97</v>
      </c>
      <c r="B223" s="8" t="s">
        <v>45</v>
      </c>
      <c r="C223" s="8">
        <v>95736000</v>
      </c>
      <c r="D223" s="8" t="s">
        <v>46</v>
      </c>
      <c r="E223" s="10" t="s">
        <v>46</v>
      </c>
      <c r="F223" s="8" t="s">
        <v>46</v>
      </c>
      <c r="G223" s="8" t="s">
        <v>46</v>
      </c>
      <c r="H223" s="8">
        <v>108100000</v>
      </c>
      <c r="I223" s="8">
        <v>50274000</v>
      </c>
      <c r="J223" s="8">
        <v>-74065000</v>
      </c>
      <c r="K223" s="10">
        <v>8582000</v>
      </c>
      <c r="L223" s="8" t="s">
        <v>46</v>
      </c>
      <c r="M223" s="8">
        <v>-41635000</v>
      </c>
      <c r="N223" s="8">
        <v>-268236000</v>
      </c>
      <c r="O223" s="10" t="s">
        <v>46</v>
      </c>
      <c r="P223" s="10" t="s">
        <v>46</v>
      </c>
      <c r="Q223" s="8" t="s">
        <v>46</v>
      </c>
      <c r="R223" s="10" t="s">
        <v>46</v>
      </c>
      <c r="S223" s="8" t="s">
        <v>46</v>
      </c>
      <c r="T223" s="8" t="s">
        <v>46</v>
      </c>
      <c r="U223" s="8" t="s">
        <v>46</v>
      </c>
      <c r="V223" s="10" t="s">
        <v>46</v>
      </c>
      <c r="W223" s="10" t="s">
        <v>46</v>
      </c>
      <c r="X223" s="10" t="s">
        <v>46</v>
      </c>
      <c r="Y223" s="8" t="s">
        <v>46</v>
      </c>
      <c r="Z223" s="8" t="s">
        <v>46</v>
      </c>
      <c r="AA223" s="10">
        <v>-214135000</v>
      </c>
      <c r="AB223" s="10" t="s">
        <v>46</v>
      </c>
      <c r="AC223" s="8">
        <v>3673000</v>
      </c>
      <c r="AD223" s="8"/>
      <c r="AE223" s="8"/>
      <c r="AF223" s="8"/>
      <c r="AG223" s="8"/>
      <c r="AH223" s="8"/>
      <c r="AI223" s="8"/>
      <c r="AJ223" s="8"/>
      <c r="AK223" s="8"/>
      <c r="AL223" s="8"/>
      <c r="AM223" s="8"/>
      <c r="AN223" s="8"/>
      <c r="AO223" s="8"/>
      <c r="AP223" s="8"/>
    </row>
    <row r="224" spans="1:42" ht="17">
      <c r="A224" s="8" t="s">
        <v>98</v>
      </c>
      <c r="B224" s="8" t="s">
        <v>45</v>
      </c>
      <c r="C224" s="8">
        <v>29129000</v>
      </c>
      <c r="D224" s="8" t="s">
        <v>46</v>
      </c>
      <c r="E224" s="10" t="s">
        <v>46</v>
      </c>
      <c r="F224" s="8" t="s">
        <v>46</v>
      </c>
      <c r="G224" s="8" t="s">
        <v>46</v>
      </c>
      <c r="H224" s="8">
        <v>127945000</v>
      </c>
      <c r="I224" s="8">
        <v>32111000</v>
      </c>
      <c r="J224" s="8">
        <v>-76881000</v>
      </c>
      <c r="K224" s="10">
        <v>-10260000</v>
      </c>
      <c r="L224" s="8" t="s">
        <v>46</v>
      </c>
      <c r="M224" s="8">
        <v>31061000</v>
      </c>
      <c r="N224" s="8">
        <v>-6071000</v>
      </c>
      <c r="O224" s="10" t="s">
        <v>46</v>
      </c>
      <c r="P224" s="10" t="s">
        <v>46</v>
      </c>
      <c r="Q224" s="8" t="s">
        <v>46</v>
      </c>
      <c r="R224" s="10" t="s">
        <v>46</v>
      </c>
      <c r="S224" s="8" t="s">
        <v>46</v>
      </c>
      <c r="T224" s="8" t="s">
        <v>46</v>
      </c>
      <c r="U224" s="8" t="s">
        <v>46</v>
      </c>
      <c r="V224" s="10" t="s">
        <v>46</v>
      </c>
      <c r="W224" s="10" t="s">
        <v>46</v>
      </c>
      <c r="X224" s="10" t="s">
        <v>46</v>
      </c>
      <c r="Y224" s="8" t="s">
        <v>46</v>
      </c>
      <c r="Z224" s="8" t="s">
        <v>46</v>
      </c>
      <c r="AA224" s="10">
        <v>54119000</v>
      </c>
      <c r="AB224" s="10" t="s">
        <v>46</v>
      </c>
      <c r="AC224" s="8">
        <v>-31960000</v>
      </c>
      <c r="AD224" s="8"/>
      <c r="AE224" s="8"/>
      <c r="AF224" s="8"/>
      <c r="AG224" s="8"/>
      <c r="AH224" s="8"/>
      <c r="AI224" s="8"/>
      <c r="AJ224" s="8"/>
      <c r="AK224" s="8"/>
      <c r="AL224" s="8"/>
      <c r="AM224" s="8"/>
      <c r="AN224" s="8"/>
      <c r="AO224" s="8"/>
      <c r="AP224" s="8"/>
    </row>
    <row r="225" spans="1:42" ht="17">
      <c r="A225" s="8" t="s">
        <v>99</v>
      </c>
      <c r="B225" s="8" t="s">
        <v>45</v>
      </c>
      <c r="C225" s="8">
        <v>71728000</v>
      </c>
      <c r="D225" s="8" t="s">
        <v>46</v>
      </c>
      <c r="E225" s="10" t="s">
        <v>46</v>
      </c>
      <c r="F225" s="8" t="s">
        <v>46</v>
      </c>
      <c r="G225" s="8" t="s">
        <v>46</v>
      </c>
      <c r="H225" s="8">
        <v>107363000</v>
      </c>
      <c r="I225" s="8">
        <v>18950000</v>
      </c>
      <c r="J225" s="8">
        <v>113170000</v>
      </c>
      <c r="K225" s="10">
        <v>-36631000</v>
      </c>
      <c r="L225" s="8" t="s">
        <v>46</v>
      </c>
      <c r="M225" s="8">
        <v>-249324000</v>
      </c>
      <c r="N225" s="8">
        <v>-13811000</v>
      </c>
      <c r="O225" s="10" t="s">
        <v>46</v>
      </c>
      <c r="P225" s="10" t="s">
        <v>46</v>
      </c>
      <c r="Q225" s="8" t="s">
        <v>46</v>
      </c>
      <c r="R225" s="10" t="s">
        <v>46</v>
      </c>
      <c r="S225" s="8" t="s">
        <v>46</v>
      </c>
      <c r="T225" s="8" t="s">
        <v>46</v>
      </c>
      <c r="U225" s="8" t="s">
        <v>46</v>
      </c>
      <c r="V225" s="10" t="s">
        <v>46</v>
      </c>
      <c r="W225" s="10" t="s">
        <v>46</v>
      </c>
      <c r="X225" s="10" t="s">
        <v>46</v>
      </c>
      <c r="Y225" s="8" t="s">
        <v>46</v>
      </c>
      <c r="Z225" s="8" t="s">
        <v>46</v>
      </c>
      <c r="AA225" s="10">
        <v>-191407000</v>
      </c>
      <c r="AB225" s="10" t="s">
        <v>46</v>
      </c>
      <c r="AC225" s="8">
        <v>-242056000</v>
      </c>
      <c r="AD225" s="8"/>
      <c r="AE225" s="8"/>
      <c r="AF225" s="8"/>
      <c r="AG225" s="8"/>
      <c r="AH225" s="8"/>
      <c r="AI225" s="8"/>
      <c r="AJ225" s="8"/>
      <c r="AK225" s="8"/>
      <c r="AL225" s="8"/>
      <c r="AM225" s="8"/>
      <c r="AN225" s="8"/>
      <c r="AO225" s="8"/>
      <c r="AP225" s="8"/>
    </row>
    <row r="226" spans="1:42" ht="17">
      <c r="A226" s="8" t="s">
        <v>51</v>
      </c>
      <c r="B226" s="8" t="s">
        <v>45</v>
      </c>
      <c r="C226" s="8">
        <v>79784000</v>
      </c>
      <c r="D226" s="8" t="s">
        <v>46</v>
      </c>
      <c r="E226" s="10" t="s">
        <v>46</v>
      </c>
      <c r="F226" s="8" t="s">
        <v>46</v>
      </c>
      <c r="G226" s="8" t="s">
        <v>46</v>
      </c>
      <c r="H226" s="8">
        <v>103435000</v>
      </c>
      <c r="I226" s="8">
        <v>26682000</v>
      </c>
      <c r="J226" s="8" t="s">
        <v>46</v>
      </c>
      <c r="K226" s="10">
        <v>-3858000</v>
      </c>
      <c r="L226" s="8" t="s">
        <v>46</v>
      </c>
      <c r="M226" s="8">
        <v>-76641000</v>
      </c>
      <c r="N226" s="8">
        <v>-7457000</v>
      </c>
      <c r="O226" s="10" t="s">
        <v>46</v>
      </c>
      <c r="P226" s="10" t="s">
        <v>46</v>
      </c>
      <c r="Q226" s="8" t="s">
        <v>46</v>
      </c>
      <c r="R226" s="10" t="s">
        <v>46</v>
      </c>
      <c r="S226" s="8" t="s">
        <v>46</v>
      </c>
      <c r="T226" s="8" t="s">
        <v>46</v>
      </c>
      <c r="U226" s="8" t="s">
        <v>46</v>
      </c>
      <c r="V226" s="10" t="s">
        <v>46</v>
      </c>
      <c r="W226" s="10" t="s">
        <v>46</v>
      </c>
      <c r="X226" s="10" t="s">
        <v>46</v>
      </c>
      <c r="Y226" s="8" t="s">
        <v>46</v>
      </c>
      <c r="Z226" s="8" t="s">
        <v>46</v>
      </c>
      <c r="AA226" s="10" t="s">
        <v>46</v>
      </c>
      <c r="AB226" s="10" t="s">
        <v>46</v>
      </c>
      <c r="AC226" s="8">
        <v>2943000</v>
      </c>
      <c r="AD226" s="8"/>
      <c r="AE226" s="8"/>
      <c r="AF226" s="8"/>
      <c r="AG226" s="8"/>
      <c r="AH226" s="8"/>
      <c r="AI226" s="8"/>
      <c r="AJ226" s="8"/>
      <c r="AK226" s="8"/>
      <c r="AL226" s="8"/>
      <c r="AM226" s="8"/>
      <c r="AN226" s="8"/>
      <c r="AO226" s="8"/>
      <c r="AP226" s="8"/>
    </row>
    <row r="227" spans="1:42" ht="17">
      <c r="A227" s="8" t="s">
        <v>100</v>
      </c>
      <c r="B227" s="8" t="s">
        <v>45</v>
      </c>
      <c r="C227" s="8">
        <v>33252000</v>
      </c>
      <c r="D227" s="8" t="s">
        <v>46</v>
      </c>
      <c r="E227" s="10" t="s">
        <v>46</v>
      </c>
      <c r="F227" s="8" t="s">
        <v>46</v>
      </c>
      <c r="G227" s="8" t="s">
        <v>46</v>
      </c>
      <c r="H227" s="8">
        <v>99379000</v>
      </c>
      <c r="I227" s="8">
        <v>18977000</v>
      </c>
      <c r="J227" s="8" t="s">
        <v>46</v>
      </c>
      <c r="K227" s="10">
        <v>9842000</v>
      </c>
      <c r="L227" s="8" t="s">
        <v>46</v>
      </c>
      <c r="M227" s="8">
        <v>-20491000</v>
      </c>
      <c r="N227" s="8">
        <v>183125000</v>
      </c>
      <c r="O227" s="10" t="s">
        <v>46</v>
      </c>
      <c r="P227" s="10" t="s">
        <v>46</v>
      </c>
      <c r="Q227" s="8" t="s">
        <v>46</v>
      </c>
      <c r="R227" s="10" t="s">
        <v>46</v>
      </c>
      <c r="S227" s="8" t="s">
        <v>46</v>
      </c>
      <c r="T227" s="8" t="s">
        <v>46</v>
      </c>
      <c r="U227" s="8" t="s">
        <v>46</v>
      </c>
      <c r="V227" s="10" t="s">
        <v>46</v>
      </c>
      <c r="W227" s="10" t="s">
        <v>46</v>
      </c>
      <c r="X227" s="10" t="s">
        <v>46</v>
      </c>
      <c r="Y227" s="8" t="s">
        <v>46</v>
      </c>
      <c r="Z227" s="8" t="s">
        <v>46</v>
      </c>
      <c r="AA227" s="10" t="s">
        <v>46</v>
      </c>
      <c r="AB227" s="10" t="s">
        <v>46</v>
      </c>
      <c r="AC227" s="8">
        <v>-32112000</v>
      </c>
      <c r="AD227" s="8"/>
      <c r="AE227" s="8"/>
      <c r="AF227" s="8"/>
      <c r="AG227" s="8"/>
      <c r="AH227" s="8"/>
      <c r="AI227" s="8"/>
      <c r="AJ227" s="8"/>
      <c r="AK227" s="8"/>
      <c r="AL227" s="8"/>
      <c r="AM227" s="8"/>
      <c r="AN227" s="8"/>
      <c r="AO227" s="8"/>
      <c r="AP227" s="8"/>
    </row>
    <row r="228" spans="1:42" ht="17">
      <c r="A228" s="8" t="s">
        <v>101</v>
      </c>
      <c r="B228" s="8" t="s">
        <v>45</v>
      </c>
      <c r="C228" s="8">
        <v>11369000</v>
      </c>
      <c r="D228" s="8" t="s">
        <v>46</v>
      </c>
      <c r="E228" s="10" t="s">
        <v>46</v>
      </c>
      <c r="F228" s="8" t="s">
        <v>46</v>
      </c>
      <c r="G228" s="8" t="s">
        <v>46</v>
      </c>
      <c r="H228" s="8">
        <v>103347000</v>
      </c>
      <c r="I228" s="8">
        <v>17882000</v>
      </c>
      <c r="J228" s="8" t="s">
        <v>46</v>
      </c>
      <c r="K228" s="10">
        <v>13679000</v>
      </c>
      <c r="L228" s="8" t="s">
        <v>46</v>
      </c>
      <c r="M228" s="8">
        <v>-18881000</v>
      </c>
      <c r="N228" s="8">
        <v>-121771000</v>
      </c>
      <c r="O228" s="10" t="s">
        <v>46</v>
      </c>
      <c r="P228" s="10" t="s">
        <v>46</v>
      </c>
      <c r="Q228" s="8" t="s">
        <v>46</v>
      </c>
      <c r="R228" s="10" t="s">
        <v>46</v>
      </c>
      <c r="S228" s="8" t="s">
        <v>46</v>
      </c>
      <c r="T228" s="8" t="s">
        <v>46</v>
      </c>
      <c r="U228" s="8" t="s">
        <v>46</v>
      </c>
      <c r="V228" s="10" t="s">
        <v>46</v>
      </c>
      <c r="W228" s="10" t="s">
        <v>46</v>
      </c>
      <c r="X228" s="10" t="s">
        <v>46</v>
      </c>
      <c r="Y228" s="8" t="s">
        <v>46</v>
      </c>
      <c r="Z228" s="8" t="s">
        <v>46</v>
      </c>
      <c r="AA228" s="10" t="s">
        <v>46</v>
      </c>
      <c r="AB228" s="10" t="s">
        <v>46</v>
      </c>
      <c r="AC228" s="8">
        <v>-197317000</v>
      </c>
      <c r="AD228" s="8"/>
      <c r="AE228" s="8"/>
      <c r="AF228" s="8"/>
      <c r="AG228" s="8"/>
      <c r="AH228" s="8"/>
      <c r="AI228" s="8"/>
      <c r="AJ228" s="8"/>
      <c r="AK228" s="8"/>
      <c r="AL228" s="8"/>
      <c r="AM228" s="8"/>
      <c r="AN228" s="8"/>
      <c r="AO228" s="8"/>
      <c r="AP228" s="8"/>
    </row>
    <row r="229" spans="1:42" ht="17">
      <c r="A229" s="8" t="s">
        <v>102</v>
      </c>
      <c r="B229" s="8" t="s">
        <v>45</v>
      </c>
      <c r="C229" s="8">
        <v>91540000</v>
      </c>
      <c r="D229" s="8" t="s">
        <v>46</v>
      </c>
      <c r="E229" s="10" t="s">
        <v>46</v>
      </c>
      <c r="F229" s="8" t="s">
        <v>46</v>
      </c>
      <c r="G229" s="8" t="s">
        <v>46</v>
      </c>
      <c r="H229" s="8">
        <v>96768000</v>
      </c>
      <c r="I229" s="8">
        <v>21664000</v>
      </c>
      <c r="J229" s="8" t="s">
        <v>46</v>
      </c>
      <c r="K229" s="10">
        <v>-26150000</v>
      </c>
      <c r="L229" s="8" t="s">
        <v>46</v>
      </c>
      <c r="M229" s="8">
        <v>-31800000</v>
      </c>
      <c r="N229" s="8">
        <v>187283000</v>
      </c>
      <c r="O229" s="10" t="s">
        <v>46</v>
      </c>
      <c r="P229" s="10" t="s">
        <v>46</v>
      </c>
      <c r="Q229" s="8" t="s">
        <v>46</v>
      </c>
      <c r="R229" s="10" t="s">
        <v>46</v>
      </c>
      <c r="S229" s="8" t="s">
        <v>46</v>
      </c>
      <c r="T229" s="8" t="s">
        <v>46</v>
      </c>
      <c r="U229" s="8" t="s">
        <v>46</v>
      </c>
      <c r="V229" s="10" t="s">
        <v>46</v>
      </c>
      <c r="W229" s="10" t="s">
        <v>46</v>
      </c>
      <c r="X229" s="10" t="s">
        <v>46</v>
      </c>
      <c r="Y229" s="8" t="s">
        <v>46</v>
      </c>
      <c r="Z229" s="8" t="s">
        <v>46</v>
      </c>
      <c r="AA229" s="10" t="s">
        <v>46</v>
      </c>
      <c r="AB229" s="10" t="s">
        <v>46</v>
      </c>
      <c r="AC229" s="9">
        <v>-1689000000</v>
      </c>
      <c r="AD229" s="8"/>
      <c r="AE229" s="8"/>
      <c r="AF229" s="8"/>
      <c r="AG229" s="8"/>
      <c r="AH229" s="8"/>
      <c r="AI229" s="8"/>
      <c r="AJ229" s="8"/>
      <c r="AK229" s="8"/>
      <c r="AL229" s="8"/>
      <c r="AM229" s="8"/>
      <c r="AN229" s="8"/>
      <c r="AO229" s="8"/>
      <c r="AP229" s="8"/>
    </row>
    <row r="230" spans="1:42" ht="17">
      <c r="A230" s="8" t="s">
        <v>53</v>
      </c>
      <c r="B230" s="8" t="s">
        <v>45</v>
      </c>
      <c r="C230" s="8">
        <v>205363000</v>
      </c>
      <c r="D230" s="8" t="s">
        <v>46</v>
      </c>
      <c r="E230" s="10" t="s">
        <v>46</v>
      </c>
      <c r="F230" s="8" t="s">
        <v>46</v>
      </c>
      <c r="G230" s="8" t="s">
        <v>46</v>
      </c>
      <c r="H230" s="8">
        <v>94972000</v>
      </c>
      <c r="I230" s="8">
        <v>29688000</v>
      </c>
      <c r="J230" s="8" t="s">
        <v>46</v>
      </c>
      <c r="K230" s="10" t="s">
        <v>46</v>
      </c>
      <c r="L230" s="8" t="s">
        <v>46</v>
      </c>
      <c r="M230" s="8">
        <v>-29463000</v>
      </c>
      <c r="N230" s="8">
        <v>-52938000</v>
      </c>
      <c r="O230" s="10" t="s">
        <v>46</v>
      </c>
      <c r="P230" s="10" t="s">
        <v>46</v>
      </c>
      <c r="Q230" s="8" t="s">
        <v>46</v>
      </c>
      <c r="R230" s="10" t="s">
        <v>46</v>
      </c>
      <c r="S230" s="8">
        <v>580000</v>
      </c>
      <c r="T230" s="8">
        <v>580000</v>
      </c>
      <c r="U230" s="8" t="s">
        <v>46</v>
      </c>
      <c r="V230" s="10" t="s">
        <v>46</v>
      </c>
      <c r="W230" s="10" t="s">
        <v>46</v>
      </c>
      <c r="X230" s="10" t="s">
        <v>46</v>
      </c>
      <c r="Y230" s="8" t="s">
        <v>46</v>
      </c>
      <c r="Z230" s="8" t="s">
        <v>46</v>
      </c>
      <c r="AA230" s="10" t="s">
        <v>46</v>
      </c>
      <c r="AB230" s="10" t="s">
        <v>46</v>
      </c>
      <c r="AC230" s="8">
        <v>61381000</v>
      </c>
      <c r="AD230" s="8"/>
      <c r="AE230" s="8"/>
      <c r="AF230" s="8"/>
      <c r="AG230" s="8"/>
      <c r="AH230" s="8"/>
      <c r="AI230" s="8"/>
      <c r="AJ230" s="8"/>
      <c r="AK230" s="8"/>
      <c r="AL230" s="8"/>
      <c r="AM230" s="8"/>
      <c r="AN230" s="8"/>
      <c r="AO230" s="8"/>
      <c r="AP230" s="8"/>
    </row>
    <row r="231" spans="1:42" ht="17">
      <c r="A231" s="8" t="s">
        <v>109</v>
      </c>
      <c r="B231" s="8" t="s">
        <v>45</v>
      </c>
      <c r="C231" s="8">
        <v>180341000</v>
      </c>
      <c r="D231" s="8" t="s">
        <v>46</v>
      </c>
      <c r="E231" s="10" t="s">
        <v>46</v>
      </c>
      <c r="F231" s="8" t="s">
        <v>46</v>
      </c>
      <c r="G231" s="8" t="s">
        <v>46</v>
      </c>
      <c r="H231" s="8">
        <v>95268000</v>
      </c>
      <c r="I231" s="8">
        <v>28870000</v>
      </c>
      <c r="J231" s="8" t="s">
        <v>46</v>
      </c>
      <c r="K231" s="10" t="s">
        <v>46</v>
      </c>
      <c r="L231" s="8" t="s">
        <v>46</v>
      </c>
      <c r="M231" s="8">
        <v>-26028000</v>
      </c>
      <c r="N231" s="8">
        <v>-4411000</v>
      </c>
      <c r="O231" s="10" t="s">
        <v>46</v>
      </c>
      <c r="P231" s="10" t="s">
        <v>46</v>
      </c>
      <c r="Q231" s="8" t="s">
        <v>46</v>
      </c>
      <c r="R231" s="10" t="s">
        <v>46</v>
      </c>
      <c r="S231" s="8" t="s">
        <v>46</v>
      </c>
      <c r="T231" s="8" t="s">
        <v>46</v>
      </c>
      <c r="U231" s="8" t="s">
        <v>46</v>
      </c>
      <c r="V231" s="10" t="s">
        <v>46</v>
      </c>
      <c r="W231" s="10" t="s">
        <v>46</v>
      </c>
      <c r="X231" s="10" t="s">
        <v>46</v>
      </c>
      <c r="Y231" s="8" t="s">
        <v>46</v>
      </c>
      <c r="Z231" s="8" t="s">
        <v>46</v>
      </c>
      <c r="AA231" s="10" t="s">
        <v>46</v>
      </c>
      <c r="AB231" s="10" t="s">
        <v>46</v>
      </c>
      <c r="AC231" s="8">
        <v>12374000</v>
      </c>
      <c r="AD231" s="8"/>
      <c r="AE231" s="8"/>
      <c r="AF231" s="8"/>
      <c r="AG231" s="8"/>
      <c r="AH231" s="8"/>
      <c r="AI231" s="8"/>
      <c r="AJ231" s="8"/>
      <c r="AK231" s="8"/>
      <c r="AL231" s="8"/>
      <c r="AM231" s="8"/>
      <c r="AN231" s="8"/>
      <c r="AO231" s="8"/>
      <c r="AP231" s="8"/>
    </row>
    <row r="232" spans="1:42" ht="17">
      <c r="A232" s="8" t="s">
        <v>110</v>
      </c>
      <c r="B232" s="8" t="s">
        <v>45</v>
      </c>
      <c r="C232" s="8">
        <v>-45972000</v>
      </c>
      <c r="D232" s="8" t="s">
        <v>46</v>
      </c>
      <c r="E232" s="10" t="s">
        <v>46</v>
      </c>
      <c r="F232" s="8" t="s">
        <v>46</v>
      </c>
      <c r="G232" s="8" t="s">
        <v>46</v>
      </c>
      <c r="H232" s="8">
        <v>73927000</v>
      </c>
      <c r="I232" s="8">
        <v>30679000</v>
      </c>
      <c r="J232" s="8" t="s">
        <v>46</v>
      </c>
      <c r="K232" s="10" t="s">
        <v>46</v>
      </c>
      <c r="L232" s="8" t="s">
        <v>46</v>
      </c>
      <c r="M232" s="8">
        <v>-26028000</v>
      </c>
      <c r="N232" s="8">
        <v>-58237000</v>
      </c>
      <c r="O232" s="10" t="s">
        <v>46</v>
      </c>
      <c r="P232" s="10" t="s">
        <v>46</v>
      </c>
      <c r="Q232" s="8" t="s">
        <v>46</v>
      </c>
      <c r="R232" s="10" t="s">
        <v>46</v>
      </c>
      <c r="S232" s="8">
        <v>498000</v>
      </c>
      <c r="T232" s="8">
        <v>498000</v>
      </c>
      <c r="U232" s="8" t="s">
        <v>46</v>
      </c>
      <c r="V232" s="10" t="s">
        <v>46</v>
      </c>
      <c r="W232" s="10" t="s">
        <v>46</v>
      </c>
      <c r="X232" s="10" t="s">
        <v>46</v>
      </c>
      <c r="Y232" s="8" t="s">
        <v>46</v>
      </c>
      <c r="Z232" s="8" t="s">
        <v>46</v>
      </c>
      <c r="AA232" s="10" t="s">
        <v>46</v>
      </c>
      <c r="AB232" s="10" t="s">
        <v>46</v>
      </c>
      <c r="AC232" s="9">
        <v>11337000000</v>
      </c>
      <c r="AD232" s="8"/>
      <c r="AE232" s="8"/>
      <c r="AF232" s="8"/>
      <c r="AG232" s="8"/>
      <c r="AH232" s="8"/>
      <c r="AI232" s="8"/>
      <c r="AJ232" s="8"/>
      <c r="AK232" s="8"/>
      <c r="AL232" s="8"/>
      <c r="AM232" s="8"/>
      <c r="AN232" s="8"/>
      <c r="AO232" s="8"/>
      <c r="AP232" s="8"/>
    </row>
    <row r="233" spans="1:42" ht="17">
      <c r="A233" s="8" t="s">
        <v>111</v>
      </c>
      <c r="B233" s="8" t="s">
        <v>45</v>
      </c>
      <c r="C233" s="8">
        <v>88987000</v>
      </c>
      <c r="D233" s="8" t="s">
        <v>46</v>
      </c>
      <c r="E233" s="10" t="s">
        <v>46</v>
      </c>
      <c r="F233" s="8" t="s">
        <v>46</v>
      </c>
      <c r="G233" s="8" t="s">
        <v>46</v>
      </c>
      <c r="H233" s="8">
        <v>113366000</v>
      </c>
      <c r="I233" s="8">
        <v>51126000</v>
      </c>
      <c r="J233" s="8" t="s">
        <v>46</v>
      </c>
      <c r="K233" s="10">
        <v>-204639000</v>
      </c>
      <c r="L233" s="8" t="s">
        <v>46</v>
      </c>
      <c r="M233" s="8">
        <v>-52411000</v>
      </c>
      <c r="N233" s="8">
        <v>1996000</v>
      </c>
      <c r="O233" s="10" t="s">
        <v>46</v>
      </c>
      <c r="P233" s="10" t="s">
        <v>46</v>
      </c>
      <c r="Q233" s="8" t="s">
        <v>46</v>
      </c>
      <c r="R233" s="10" t="s">
        <v>46</v>
      </c>
      <c r="S233" s="8">
        <v>73000</v>
      </c>
      <c r="T233" s="8">
        <v>73000</v>
      </c>
      <c r="U233" s="8" t="s">
        <v>46</v>
      </c>
      <c r="V233" s="10" t="s">
        <v>46</v>
      </c>
      <c r="W233" s="10" t="s">
        <v>46</v>
      </c>
      <c r="X233" s="10" t="s">
        <v>46</v>
      </c>
      <c r="Y233" s="8" t="s">
        <v>46</v>
      </c>
      <c r="Z233" s="8" t="s">
        <v>46</v>
      </c>
      <c r="AA233" s="10" t="s">
        <v>46</v>
      </c>
      <c r="AB233" s="10" t="s">
        <v>46</v>
      </c>
      <c r="AC233" s="8">
        <v>-135601000</v>
      </c>
      <c r="AD233" s="8"/>
      <c r="AE233" s="8"/>
      <c r="AF233" s="8"/>
      <c r="AG233" s="8"/>
      <c r="AH233" s="8"/>
      <c r="AI233" s="8"/>
      <c r="AJ233" s="8"/>
      <c r="AK233" s="8"/>
      <c r="AL233" s="8"/>
      <c r="AM233" s="8"/>
      <c r="AN233" s="8"/>
      <c r="AO233" s="8"/>
      <c r="AP233" s="8"/>
    </row>
    <row r="234" spans="1:42" ht="17">
      <c r="A234" s="8" t="s">
        <v>54</v>
      </c>
      <c r="B234" s="8" t="s">
        <v>45</v>
      </c>
      <c r="C234" s="8">
        <v>303323000</v>
      </c>
      <c r="D234" s="8" t="s">
        <v>46</v>
      </c>
      <c r="E234" s="10" t="s">
        <v>46</v>
      </c>
      <c r="F234" s="8" t="s">
        <v>46</v>
      </c>
      <c r="G234" s="8" t="s">
        <v>46</v>
      </c>
      <c r="H234" s="8">
        <v>111125000</v>
      </c>
      <c r="I234" s="8">
        <v>138755000</v>
      </c>
      <c r="J234" s="8" t="s">
        <v>46</v>
      </c>
      <c r="K234" s="10">
        <v>101166000</v>
      </c>
      <c r="L234" s="8" t="s">
        <v>46</v>
      </c>
      <c r="M234" s="8">
        <v>-210586000</v>
      </c>
      <c r="N234" s="8">
        <v>1308000</v>
      </c>
      <c r="O234" s="10" t="s">
        <v>46</v>
      </c>
      <c r="P234" s="10" t="s">
        <v>46</v>
      </c>
      <c r="Q234" s="8" t="s">
        <v>46</v>
      </c>
      <c r="R234" s="10" t="s">
        <v>46</v>
      </c>
      <c r="S234" s="8">
        <v>9421000</v>
      </c>
      <c r="T234" s="8">
        <v>9421000</v>
      </c>
      <c r="U234" s="8" t="s">
        <v>46</v>
      </c>
      <c r="V234" s="10" t="s">
        <v>46</v>
      </c>
      <c r="W234" s="10" t="s">
        <v>46</v>
      </c>
      <c r="X234" s="10" t="s">
        <v>46</v>
      </c>
      <c r="Y234" s="8" t="s">
        <v>46</v>
      </c>
      <c r="Z234" s="8" t="s">
        <v>46</v>
      </c>
      <c r="AA234" s="10" t="s">
        <v>46</v>
      </c>
      <c r="AB234" s="10" t="s">
        <v>46</v>
      </c>
      <c r="AC234" s="8">
        <v>224908000</v>
      </c>
      <c r="AD234" s="8"/>
      <c r="AE234" s="8"/>
      <c r="AF234" s="8"/>
      <c r="AG234" s="8"/>
      <c r="AH234" s="8"/>
      <c r="AI234" s="8"/>
      <c r="AJ234" s="8"/>
      <c r="AK234" s="8"/>
      <c r="AL234" s="8"/>
      <c r="AM234" s="8"/>
      <c r="AN234" s="8"/>
      <c r="AO234" s="8"/>
      <c r="AP234" s="8"/>
    </row>
    <row r="235" spans="1:42" ht="17">
      <c r="A235" s="8" t="s">
        <v>112</v>
      </c>
      <c r="B235" s="8" t="s">
        <v>45</v>
      </c>
      <c r="C235" s="8">
        <v>218992000</v>
      </c>
      <c r="D235" s="8" t="s">
        <v>46</v>
      </c>
      <c r="E235" s="10" t="s">
        <v>46</v>
      </c>
      <c r="F235" s="8" t="s">
        <v>46</v>
      </c>
      <c r="G235" s="8" t="s">
        <v>46</v>
      </c>
      <c r="H235" s="8">
        <v>120700000</v>
      </c>
      <c r="I235" s="8">
        <v>68948000</v>
      </c>
      <c r="J235" s="8" t="s">
        <v>46</v>
      </c>
      <c r="K235" s="10">
        <v>43329000</v>
      </c>
      <c r="L235" s="8" t="s">
        <v>46</v>
      </c>
      <c r="M235" s="8">
        <v>-56607000</v>
      </c>
      <c r="N235" s="8">
        <v>-132286000</v>
      </c>
      <c r="O235" s="10" t="s">
        <v>46</v>
      </c>
      <c r="P235" s="10" t="s">
        <v>46</v>
      </c>
      <c r="Q235" s="8" t="s">
        <v>46</v>
      </c>
      <c r="R235" s="10" t="s">
        <v>46</v>
      </c>
      <c r="S235" s="8" t="s">
        <v>46</v>
      </c>
      <c r="T235" s="8" t="s">
        <v>46</v>
      </c>
      <c r="U235" s="8" t="s">
        <v>46</v>
      </c>
      <c r="V235" s="10" t="s">
        <v>46</v>
      </c>
      <c r="W235" s="10" t="s">
        <v>46</v>
      </c>
      <c r="X235" s="10" t="s">
        <v>46</v>
      </c>
      <c r="Y235" s="8" t="s">
        <v>46</v>
      </c>
      <c r="Z235" s="8" t="s">
        <v>46</v>
      </c>
      <c r="AA235" s="10" t="s">
        <v>46</v>
      </c>
      <c r="AB235" s="10" t="s">
        <v>46</v>
      </c>
      <c r="AC235" s="8">
        <v>71783000</v>
      </c>
      <c r="AD235" s="8"/>
      <c r="AE235" s="8"/>
      <c r="AF235" s="8"/>
      <c r="AG235" s="8"/>
      <c r="AH235" s="8"/>
      <c r="AI235" s="8"/>
      <c r="AJ235" s="8"/>
      <c r="AK235" s="8"/>
      <c r="AL235" s="8"/>
      <c r="AM235" s="8"/>
      <c r="AN235" s="8"/>
      <c r="AO235" s="8"/>
      <c r="AP235" s="8"/>
    </row>
    <row r="236" spans="1:42" ht="17">
      <c r="A236" s="8" t="s">
        <v>113</v>
      </c>
      <c r="B236" s="8" t="s">
        <v>45</v>
      </c>
      <c r="C236" s="8">
        <v>268881000</v>
      </c>
      <c r="D236" s="8" t="s">
        <v>46</v>
      </c>
      <c r="E236" s="10" t="s">
        <v>46</v>
      </c>
      <c r="F236" s="8" t="s">
        <v>46</v>
      </c>
      <c r="G236" s="8" t="s">
        <v>46</v>
      </c>
      <c r="H236" s="8">
        <v>147644000</v>
      </c>
      <c r="I236" s="8">
        <v>49918000</v>
      </c>
      <c r="J236" s="8" t="s">
        <v>46</v>
      </c>
      <c r="K236" s="10">
        <v>60400000</v>
      </c>
      <c r="L236" s="8" t="s">
        <v>46</v>
      </c>
      <c r="M236" s="8">
        <v>-41089000</v>
      </c>
      <c r="N236" s="8">
        <v>-268376000</v>
      </c>
      <c r="O236" s="10" t="s">
        <v>46</v>
      </c>
      <c r="P236" s="10" t="s">
        <v>46</v>
      </c>
      <c r="Q236" s="8" t="s">
        <v>46</v>
      </c>
      <c r="R236" s="10" t="s">
        <v>46</v>
      </c>
      <c r="S236" s="8" t="s">
        <v>46</v>
      </c>
      <c r="T236" s="8" t="s">
        <v>46</v>
      </c>
      <c r="U236" s="8" t="s">
        <v>46</v>
      </c>
      <c r="V236" s="10" t="s">
        <v>46</v>
      </c>
      <c r="W236" s="10" t="s">
        <v>46</v>
      </c>
      <c r="X236" s="10" t="s">
        <v>46</v>
      </c>
      <c r="Y236" s="8" t="s">
        <v>46</v>
      </c>
      <c r="Z236" s="8" t="s">
        <v>46</v>
      </c>
      <c r="AA236" s="10" t="s">
        <v>46</v>
      </c>
      <c r="AB236" s="10" t="s">
        <v>46</v>
      </c>
      <c r="AC236" s="8">
        <v>-67780000</v>
      </c>
      <c r="AD236" s="8"/>
      <c r="AE236" s="8"/>
      <c r="AF236" s="8"/>
      <c r="AG236" s="8"/>
      <c r="AH236" s="8"/>
      <c r="AI236" s="8"/>
      <c r="AJ236" s="8"/>
      <c r="AK236" s="8"/>
      <c r="AL236" s="8"/>
      <c r="AM236" s="8"/>
      <c r="AN236" s="8"/>
      <c r="AO236" s="8"/>
      <c r="AP236" s="8"/>
    </row>
    <row r="237" spans="1:42" ht="17">
      <c r="A237" s="8" t="s">
        <v>114</v>
      </c>
      <c r="B237" s="8" t="s">
        <v>45</v>
      </c>
      <c r="C237" s="8">
        <v>175476000</v>
      </c>
      <c r="D237" s="8" t="s">
        <v>46</v>
      </c>
      <c r="E237" s="10" t="s">
        <v>46</v>
      </c>
      <c r="F237" s="8" t="s">
        <v>46</v>
      </c>
      <c r="G237" s="8" t="s">
        <v>46</v>
      </c>
      <c r="H237" s="8">
        <v>151434000</v>
      </c>
      <c r="I237" s="8">
        <v>38703000</v>
      </c>
      <c r="J237" s="8" t="s">
        <v>46</v>
      </c>
      <c r="K237" s="10">
        <v>139931000</v>
      </c>
      <c r="L237" s="8" t="s">
        <v>46</v>
      </c>
      <c r="M237" s="8" t="s">
        <v>46</v>
      </c>
      <c r="N237" s="8">
        <v>-92445000</v>
      </c>
      <c r="O237" s="10" t="s">
        <v>46</v>
      </c>
      <c r="P237" s="10" t="s">
        <v>46</v>
      </c>
      <c r="Q237" s="8" t="s">
        <v>46</v>
      </c>
      <c r="R237" s="10" t="s">
        <v>46</v>
      </c>
      <c r="S237" s="8">
        <v>3166000</v>
      </c>
      <c r="T237" s="8">
        <v>3166000</v>
      </c>
      <c r="U237" s="8" t="s">
        <v>46</v>
      </c>
      <c r="V237" s="10" t="s">
        <v>46</v>
      </c>
      <c r="W237" s="10" t="s">
        <v>46</v>
      </c>
      <c r="X237" s="10" t="s">
        <v>46</v>
      </c>
      <c r="Y237" s="8" t="s">
        <v>46</v>
      </c>
      <c r="Z237" s="8" t="s">
        <v>46</v>
      </c>
      <c r="AA237" s="10" t="s">
        <v>46</v>
      </c>
      <c r="AB237" s="10" t="s">
        <v>46</v>
      </c>
      <c r="AC237" s="8">
        <v>-431550000</v>
      </c>
      <c r="AD237" s="8"/>
      <c r="AE237" s="8"/>
      <c r="AF237" s="8"/>
      <c r="AG237" s="8"/>
      <c r="AH237" s="8"/>
      <c r="AI237" s="8"/>
      <c r="AJ237" s="8"/>
      <c r="AK237" s="8"/>
      <c r="AL237" s="8"/>
      <c r="AM237" s="8"/>
      <c r="AN237" s="8"/>
      <c r="AO237" s="8"/>
      <c r="AP237" s="8"/>
    </row>
    <row r="238" spans="1:42" ht="17">
      <c r="A238" s="8" t="s">
        <v>55</v>
      </c>
      <c r="B238" s="8" t="s">
        <v>45</v>
      </c>
      <c r="C238" s="8">
        <v>54977000</v>
      </c>
      <c r="D238" s="8" t="s">
        <v>46</v>
      </c>
      <c r="E238" s="10" t="s">
        <v>46</v>
      </c>
      <c r="F238" s="8" t="s">
        <v>46</v>
      </c>
      <c r="G238" s="8" t="s">
        <v>46</v>
      </c>
      <c r="H238" s="8">
        <v>157645000</v>
      </c>
      <c r="I238" s="8">
        <v>107022000</v>
      </c>
      <c r="J238" s="8" t="s">
        <v>46</v>
      </c>
      <c r="K238" s="10" t="s">
        <v>46</v>
      </c>
      <c r="L238" s="8" t="s">
        <v>46</v>
      </c>
      <c r="M238" s="8" t="s">
        <v>46</v>
      </c>
      <c r="N238" s="8">
        <v>14269000</v>
      </c>
      <c r="O238" s="10" t="s">
        <v>46</v>
      </c>
      <c r="P238" s="10" t="s">
        <v>46</v>
      </c>
      <c r="Q238" s="8" t="s">
        <v>46</v>
      </c>
      <c r="R238" s="10" t="s">
        <v>46</v>
      </c>
      <c r="S238" s="8" t="s">
        <v>46</v>
      </c>
      <c r="T238" s="8" t="s">
        <v>46</v>
      </c>
      <c r="U238" s="8" t="s">
        <v>46</v>
      </c>
      <c r="V238" s="10" t="s">
        <v>46</v>
      </c>
      <c r="W238" s="10" t="s">
        <v>46</v>
      </c>
      <c r="X238" s="10" t="s">
        <v>46</v>
      </c>
      <c r="Y238" s="8" t="s">
        <v>46</v>
      </c>
      <c r="Z238" s="8" t="s">
        <v>46</v>
      </c>
      <c r="AA238" s="10" t="s">
        <v>46</v>
      </c>
      <c r="AB238" s="10" t="s">
        <v>46</v>
      </c>
      <c r="AC238" s="8">
        <v>341763000</v>
      </c>
      <c r="AD238" s="8"/>
      <c r="AE238" s="8"/>
      <c r="AF238" s="8"/>
      <c r="AG238" s="8"/>
      <c r="AH238" s="8"/>
      <c r="AI238" s="8"/>
      <c r="AJ238" s="8"/>
      <c r="AK238" s="8"/>
      <c r="AL238" s="8"/>
      <c r="AM238" s="8"/>
      <c r="AN238" s="8"/>
      <c r="AO238" s="8"/>
      <c r="AP238" s="8"/>
    </row>
    <row r="239" spans="1:42" ht="17">
      <c r="A239" s="8" t="s">
        <v>115</v>
      </c>
      <c r="B239" s="8" t="s">
        <v>45</v>
      </c>
      <c r="C239" s="8">
        <v>-104343000</v>
      </c>
      <c r="D239" s="8" t="s">
        <v>46</v>
      </c>
      <c r="E239" s="10" t="s">
        <v>46</v>
      </c>
      <c r="F239" s="8" t="s">
        <v>46</v>
      </c>
      <c r="G239" s="8" t="s">
        <v>46</v>
      </c>
      <c r="H239" s="8">
        <v>149749000</v>
      </c>
      <c r="I239" s="8">
        <v>48324000</v>
      </c>
      <c r="J239" s="8" t="s">
        <v>46</v>
      </c>
      <c r="K239" s="10">
        <v>-52734000</v>
      </c>
      <c r="L239" s="8" t="s">
        <v>46</v>
      </c>
      <c r="M239" s="8">
        <v>-63708000</v>
      </c>
      <c r="N239" s="8">
        <v>192645000</v>
      </c>
      <c r="O239" s="10" t="s">
        <v>46</v>
      </c>
      <c r="P239" s="10" t="s">
        <v>46</v>
      </c>
      <c r="Q239" s="8" t="s">
        <v>46</v>
      </c>
      <c r="R239" s="10" t="s">
        <v>46</v>
      </c>
      <c r="S239" s="8">
        <v>12812000</v>
      </c>
      <c r="T239" s="8">
        <v>12812000</v>
      </c>
      <c r="U239" s="8" t="s">
        <v>46</v>
      </c>
      <c r="V239" s="10" t="s">
        <v>46</v>
      </c>
      <c r="W239" s="10" t="s">
        <v>46</v>
      </c>
      <c r="X239" s="10" t="s">
        <v>46</v>
      </c>
      <c r="Y239" s="8">
        <v>-953000</v>
      </c>
      <c r="Z239" s="8" t="s">
        <v>46</v>
      </c>
      <c r="AA239" s="10" t="s">
        <v>46</v>
      </c>
      <c r="AB239" s="10" t="s">
        <v>46</v>
      </c>
      <c r="AC239" s="8">
        <v>-246184000</v>
      </c>
      <c r="AD239" s="8"/>
      <c r="AE239" s="8"/>
      <c r="AF239" s="8"/>
      <c r="AG239" s="8"/>
      <c r="AH239" s="8"/>
      <c r="AI239" s="8"/>
      <c r="AJ239" s="8"/>
      <c r="AK239" s="8"/>
      <c r="AL239" s="8"/>
      <c r="AM239" s="8"/>
      <c r="AN239" s="8"/>
      <c r="AO239" s="8"/>
      <c r="AP239" s="8"/>
    </row>
    <row r="240" spans="1:42" ht="17">
      <c r="A240" s="8" t="s">
        <v>116</v>
      </c>
      <c r="B240" s="8" t="s">
        <v>45</v>
      </c>
      <c r="C240" s="8">
        <v>-25411000</v>
      </c>
      <c r="D240" s="8" t="s">
        <v>46</v>
      </c>
      <c r="E240" s="10" t="s">
        <v>46</v>
      </c>
      <c r="F240" s="8" t="s">
        <v>46</v>
      </c>
      <c r="G240" s="8" t="s">
        <v>46</v>
      </c>
      <c r="H240" s="8">
        <v>147795000</v>
      </c>
      <c r="I240" s="8">
        <v>85593000</v>
      </c>
      <c r="J240" s="8" t="s">
        <v>46</v>
      </c>
      <c r="K240" s="10">
        <v>181051000</v>
      </c>
      <c r="L240" s="8" t="s">
        <v>46</v>
      </c>
      <c r="M240" s="8">
        <v>-80985000</v>
      </c>
      <c r="N240" s="8">
        <v>-1024000</v>
      </c>
      <c r="O240" s="10" t="s">
        <v>46</v>
      </c>
      <c r="P240" s="10" t="s">
        <v>46</v>
      </c>
      <c r="Q240" s="8" t="s">
        <v>46</v>
      </c>
      <c r="R240" s="10" t="s">
        <v>46</v>
      </c>
      <c r="S240" s="8">
        <v>1026000</v>
      </c>
      <c r="T240" s="8">
        <v>1026000</v>
      </c>
      <c r="U240" s="8" t="s">
        <v>46</v>
      </c>
      <c r="V240" s="10" t="s">
        <v>46</v>
      </c>
      <c r="W240" s="10" t="s">
        <v>46</v>
      </c>
      <c r="X240" s="10" t="s">
        <v>46</v>
      </c>
      <c r="Y240" s="8">
        <v>-953000</v>
      </c>
      <c r="Z240" s="8" t="s">
        <v>46</v>
      </c>
      <c r="AA240" s="10" t="s">
        <v>46</v>
      </c>
      <c r="AB240" s="10" t="s">
        <v>46</v>
      </c>
      <c r="AC240" s="8">
        <v>-168017000</v>
      </c>
      <c r="AD240" s="8"/>
      <c r="AE240" s="8"/>
      <c r="AF240" s="8"/>
      <c r="AG240" s="8"/>
      <c r="AH240" s="8"/>
      <c r="AI240" s="8"/>
      <c r="AJ240" s="8"/>
      <c r="AK240" s="8"/>
      <c r="AL240" s="8"/>
      <c r="AM240" s="8"/>
      <c r="AN240" s="8"/>
      <c r="AO240" s="8"/>
      <c r="AP240" s="8"/>
    </row>
    <row r="241" spans="1:42" ht="17">
      <c r="A241" s="8" t="s">
        <v>117</v>
      </c>
      <c r="B241" s="8" t="s">
        <v>45</v>
      </c>
      <c r="C241" s="8">
        <v>-428963000</v>
      </c>
      <c r="D241" s="8" t="s">
        <v>46</v>
      </c>
      <c r="E241" s="10" t="s">
        <v>46</v>
      </c>
      <c r="F241" s="8" t="s">
        <v>46</v>
      </c>
      <c r="G241" s="8" t="s">
        <v>46</v>
      </c>
      <c r="H241" s="8">
        <v>146106000</v>
      </c>
      <c r="I241" s="8">
        <v>51027000</v>
      </c>
      <c r="J241" s="8" t="s">
        <v>46</v>
      </c>
      <c r="K241" s="10">
        <v>-285529000</v>
      </c>
      <c r="L241" s="8" t="s">
        <v>46</v>
      </c>
      <c r="M241" s="8">
        <v>-287000</v>
      </c>
      <c r="N241" s="8">
        <v>-54555000</v>
      </c>
      <c r="O241" s="10" t="s">
        <v>46</v>
      </c>
      <c r="P241" s="10" t="s">
        <v>46</v>
      </c>
      <c r="Q241" s="8" t="s">
        <v>46</v>
      </c>
      <c r="R241" s="10" t="s">
        <v>46</v>
      </c>
      <c r="S241" s="8">
        <v>27245000</v>
      </c>
      <c r="T241" s="8">
        <v>27245000</v>
      </c>
      <c r="U241" s="8" t="s">
        <v>46</v>
      </c>
      <c r="V241" s="10" t="s">
        <v>46</v>
      </c>
      <c r="W241" s="10" t="s">
        <v>46</v>
      </c>
      <c r="X241" s="10" t="s">
        <v>46</v>
      </c>
      <c r="Y241" s="8">
        <v>-953000</v>
      </c>
      <c r="Z241" s="8" t="s">
        <v>46</v>
      </c>
      <c r="AA241" s="10" t="s">
        <v>46</v>
      </c>
      <c r="AB241" s="10" t="s">
        <v>46</v>
      </c>
      <c r="AC241" s="8">
        <v>-387580000</v>
      </c>
      <c r="AD241" s="8"/>
      <c r="AE241" s="8"/>
      <c r="AF241" s="8"/>
      <c r="AG241" s="8"/>
      <c r="AH241" s="8"/>
      <c r="AI241" s="8"/>
      <c r="AJ241" s="8"/>
      <c r="AK241" s="8"/>
      <c r="AL241" s="8"/>
      <c r="AM241" s="8"/>
      <c r="AN241" s="8"/>
      <c r="AO241" s="8"/>
      <c r="AP241" s="8"/>
    </row>
    <row r="242" spans="1:42" ht="17">
      <c r="A242" s="8" t="s">
        <v>57</v>
      </c>
      <c r="B242" s="8" t="s">
        <v>45</v>
      </c>
      <c r="C242" s="8">
        <v>258596000</v>
      </c>
      <c r="D242" s="8" t="s">
        <v>46</v>
      </c>
      <c r="E242" s="10" t="s">
        <v>46</v>
      </c>
      <c r="F242" s="8" t="s">
        <v>46</v>
      </c>
      <c r="G242" s="8" t="s">
        <v>46</v>
      </c>
      <c r="H242" s="8">
        <v>159174000</v>
      </c>
      <c r="I242" s="8">
        <v>113679000</v>
      </c>
      <c r="J242" s="8" t="s">
        <v>46</v>
      </c>
      <c r="K242" s="10">
        <v>186492000</v>
      </c>
      <c r="L242" s="8" t="s">
        <v>46</v>
      </c>
      <c r="M242" s="8">
        <v>144603000</v>
      </c>
      <c r="N242" s="8">
        <v>-95648000</v>
      </c>
      <c r="O242" s="10" t="s">
        <v>46</v>
      </c>
      <c r="P242" s="10" t="s">
        <v>46</v>
      </c>
      <c r="Q242" s="8" t="s">
        <v>46</v>
      </c>
      <c r="R242" s="10" t="s">
        <v>46</v>
      </c>
      <c r="S242" s="8">
        <v>89631000</v>
      </c>
      <c r="T242" s="8">
        <v>89631000</v>
      </c>
      <c r="U242" s="8" t="s">
        <v>46</v>
      </c>
      <c r="V242" s="10" t="s">
        <v>46</v>
      </c>
      <c r="W242" s="10" t="s">
        <v>46</v>
      </c>
      <c r="X242" s="10" t="s">
        <v>46</v>
      </c>
      <c r="Y242" s="8">
        <v>-953000</v>
      </c>
      <c r="Z242" s="8" t="s">
        <v>46</v>
      </c>
      <c r="AA242" s="10" t="s">
        <v>46</v>
      </c>
      <c r="AB242" s="10" t="s">
        <v>46</v>
      </c>
      <c r="AC242" s="8">
        <v>123404000</v>
      </c>
      <c r="AD242" s="8"/>
      <c r="AE242" s="8"/>
      <c r="AF242" s="8"/>
      <c r="AG242" s="8"/>
      <c r="AH242" s="8"/>
      <c r="AI242" s="8"/>
      <c r="AJ242" s="8"/>
      <c r="AK242" s="8"/>
      <c r="AL242" s="8"/>
      <c r="AM242" s="8"/>
      <c r="AN242" s="8"/>
      <c r="AO242" s="8"/>
      <c r="AP242" s="8"/>
    </row>
    <row r="243" spans="1:42" ht="17">
      <c r="A243" s="8" t="s">
        <v>118</v>
      </c>
      <c r="B243" s="8" t="s">
        <v>45</v>
      </c>
      <c r="C243" s="8">
        <v>-90928000</v>
      </c>
      <c r="D243" s="8" t="s">
        <v>46</v>
      </c>
      <c r="E243" s="10" t="s">
        <v>46</v>
      </c>
      <c r="F243" s="8" t="s">
        <v>46</v>
      </c>
      <c r="G243" s="8" t="s">
        <v>46</v>
      </c>
      <c r="H243" s="8">
        <v>158453000</v>
      </c>
      <c r="I243" s="8">
        <v>77333000</v>
      </c>
      <c r="J243" s="8" t="s">
        <v>46</v>
      </c>
      <c r="K243" s="10">
        <v>-87919000</v>
      </c>
      <c r="L243" s="8" t="s">
        <v>46</v>
      </c>
      <c r="M243" s="8" t="s">
        <v>46</v>
      </c>
      <c r="N243" s="8">
        <v>-246270000</v>
      </c>
      <c r="O243" s="10" t="s">
        <v>46</v>
      </c>
      <c r="P243" s="10" t="s">
        <v>46</v>
      </c>
      <c r="Q243" s="8" t="s">
        <v>46</v>
      </c>
      <c r="R243" s="10" t="s">
        <v>46</v>
      </c>
      <c r="S243" s="8" t="s">
        <v>46</v>
      </c>
      <c r="T243" s="8" t="s">
        <v>46</v>
      </c>
      <c r="U243" s="8" t="s">
        <v>46</v>
      </c>
      <c r="V243" s="10" t="s">
        <v>46</v>
      </c>
      <c r="W243" s="10" t="s">
        <v>46</v>
      </c>
      <c r="X243" s="10" t="s">
        <v>46</v>
      </c>
      <c r="Y243" s="8" t="s">
        <v>46</v>
      </c>
      <c r="Z243" s="8" t="s">
        <v>46</v>
      </c>
      <c r="AA243" s="10" t="s">
        <v>46</v>
      </c>
      <c r="AB243" s="10" t="s">
        <v>46</v>
      </c>
      <c r="AC243" s="8">
        <v>-28477000</v>
      </c>
      <c r="AD243" s="8"/>
      <c r="AE243" s="8"/>
      <c r="AF243" s="8"/>
      <c r="AG243" s="8"/>
      <c r="AH243" s="8"/>
      <c r="AI243" s="8"/>
      <c r="AJ243" s="8"/>
      <c r="AK243" s="8"/>
      <c r="AL243" s="8"/>
      <c r="AM243" s="8"/>
      <c r="AN243" s="8"/>
      <c r="AO243" s="8"/>
      <c r="AP243" s="8"/>
    </row>
    <row r="244" spans="1:42" ht="17">
      <c r="A244" s="8" t="s">
        <v>119</v>
      </c>
      <c r="B244" s="8" t="s">
        <v>45</v>
      </c>
      <c r="C244" s="8">
        <v>58842000</v>
      </c>
      <c r="D244" s="8" t="s">
        <v>46</v>
      </c>
      <c r="E244" s="10" t="s">
        <v>46</v>
      </c>
      <c r="F244" s="8" t="s">
        <v>46</v>
      </c>
      <c r="G244" s="8" t="s">
        <v>46</v>
      </c>
      <c r="H244" s="8">
        <v>162144000</v>
      </c>
      <c r="I244" s="8">
        <v>66926000</v>
      </c>
      <c r="J244" s="8" t="s">
        <v>46</v>
      </c>
      <c r="K244" s="10">
        <v>181209000</v>
      </c>
      <c r="L244" s="8" t="s">
        <v>46</v>
      </c>
      <c r="M244" s="8" t="s">
        <v>46</v>
      </c>
      <c r="N244" s="8">
        <v>-1923000</v>
      </c>
      <c r="O244" s="10" t="s">
        <v>46</v>
      </c>
      <c r="P244" s="10" t="s">
        <v>46</v>
      </c>
      <c r="Q244" s="8" t="s">
        <v>46</v>
      </c>
      <c r="R244" s="10" t="s">
        <v>46</v>
      </c>
      <c r="S244" s="8" t="s">
        <v>46</v>
      </c>
      <c r="T244" s="8" t="s">
        <v>46</v>
      </c>
      <c r="U244" s="8" t="s">
        <v>46</v>
      </c>
      <c r="V244" s="10" t="s">
        <v>46</v>
      </c>
      <c r="W244" s="10" t="s">
        <v>46</v>
      </c>
      <c r="X244" s="10" t="s">
        <v>46</v>
      </c>
      <c r="Y244" s="8" t="s">
        <v>46</v>
      </c>
      <c r="Z244" s="8" t="s">
        <v>46</v>
      </c>
      <c r="AA244" s="10" t="s">
        <v>46</v>
      </c>
      <c r="AB244" s="10" t="s">
        <v>46</v>
      </c>
      <c r="AC244" s="8">
        <v>-276036000</v>
      </c>
      <c r="AD244" s="8"/>
      <c r="AE244" s="8"/>
      <c r="AF244" s="8"/>
      <c r="AG244" s="8"/>
      <c r="AH244" s="8"/>
      <c r="AI244" s="8"/>
      <c r="AJ244" s="8"/>
      <c r="AK244" s="8"/>
      <c r="AL244" s="8"/>
      <c r="AM244" s="8"/>
      <c r="AN244" s="8"/>
      <c r="AO244" s="8"/>
      <c r="AP244" s="8"/>
    </row>
    <row r="245" spans="1:42" ht="17">
      <c r="A245" s="8" t="s">
        <v>120</v>
      </c>
      <c r="B245" s="8" t="s">
        <v>45</v>
      </c>
      <c r="C245" s="8">
        <v>-240492000</v>
      </c>
      <c r="D245" s="8" t="s">
        <v>46</v>
      </c>
      <c r="E245" s="10" t="s">
        <v>46</v>
      </c>
      <c r="F245" s="8" t="s">
        <v>46</v>
      </c>
      <c r="G245" s="8" t="s">
        <v>46</v>
      </c>
      <c r="H245" s="8">
        <v>155456000</v>
      </c>
      <c r="I245" s="8">
        <v>56779000</v>
      </c>
      <c r="J245" s="8" t="s">
        <v>46</v>
      </c>
      <c r="K245" s="10">
        <v>-264588000</v>
      </c>
      <c r="L245" s="8" t="s">
        <v>46</v>
      </c>
      <c r="M245" s="8" t="s">
        <v>46</v>
      </c>
      <c r="N245" s="8">
        <v>-74390000</v>
      </c>
      <c r="O245" s="10" t="s">
        <v>46</v>
      </c>
      <c r="P245" s="10" t="s">
        <v>46</v>
      </c>
      <c r="Q245" s="8" t="s">
        <v>46</v>
      </c>
      <c r="R245" s="10" t="s">
        <v>46</v>
      </c>
      <c r="S245" s="8">
        <v>72182000</v>
      </c>
      <c r="T245" s="8">
        <v>72182000</v>
      </c>
      <c r="U245" s="8" t="s">
        <v>46</v>
      </c>
      <c r="V245" s="10" t="s">
        <v>46</v>
      </c>
      <c r="W245" s="10" t="s">
        <v>46</v>
      </c>
      <c r="X245" s="10" t="s">
        <v>46</v>
      </c>
      <c r="Y245" s="8" t="s">
        <v>46</v>
      </c>
      <c r="Z245" s="8" t="s">
        <v>46</v>
      </c>
      <c r="AA245" s="10" t="s">
        <v>46</v>
      </c>
      <c r="AB245" s="10" t="s">
        <v>46</v>
      </c>
      <c r="AC245" s="8">
        <v>-58894000</v>
      </c>
      <c r="AD245" s="8"/>
      <c r="AE245" s="8"/>
      <c r="AF245" s="8"/>
      <c r="AG245" s="8"/>
      <c r="AH245" s="8"/>
      <c r="AI245" s="8"/>
      <c r="AJ245" s="8"/>
      <c r="AK245" s="8"/>
      <c r="AL245" s="8"/>
      <c r="AM245" s="8"/>
      <c r="AN245" s="8"/>
      <c r="AO245" s="8"/>
      <c r="AP245" s="8"/>
    </row>
    <row r="246" spans="1:42" ht="17">
      <c r="A246" s="8" t="s">
        <v>58</v>
      </c>
      <c r="B246" s="8" t="s">
        <v>45</v>
      </c>
      <c r="C246" s="8">
        <v>285845000</v>
      </c>
      <c r="D246" s="8" t="s">
        <v>46</v>
      </c>
      <c r="E246" s="10" t="s">
        <v>46</v>
      </c>
      <c r="F246" s="8" t="s">
        <v>46</v>
      </c>
      <c r="G246" s="8" t="s">
        <v>46</v>
      </c>
      <c r="H246" s="8">
        <v>168824000</v>
      </c>
      <c r="I246" s="8">
        <v>103888000</v>
      </c>
      <c r="J246" s="8" t="s">
        <v>46</v>
      </c>
      <c r="K246" s="10">
        <v>180622000</v>
      </c>
      <c r="L246" s="8" t="s">
        <v>46</v>
      </c>
      <c r="M246" s="8" t="s">
        <v>46</v>
      </c>
      <c r="N246" s="8">
        <v>250706000</v>
      </c>
      <c r="O246" s="10" t="s">
        <v>46</v>
      </c>
      <c r="P246" s="10" t="s">
        <v>46</v>
      </c>
      <c r="Q246" s="8" t="s">
        <v>46</v>
      </c>
      <c r="R246" s="10" t="s">
        <v>46</v>
      </c>
      <c r="S246" s="8">
        <v>30871000</v>
      </c>
      <c r="T246" s="8">
        <v>30871000</v>
      </c>
      <c r="U246" s="8" t="s">
        <v>46</v>
      </c>
      <c r="V246" s="10" t="s">
        <v>46</v>
      </c>
      <c r="W246" s="10" t="s">
        <v>46</v>
      </c>
      <c r="X246" s="10" t="s">
        <v>46</v>
      </c>
      <c r="Y246" s="8" t="s">
        <v>46</v>
      </c>
      <c r="Z246" s="8" t="s">
        <v>46</v>
      </c>
      <c r="AA246" s="10" t="s">
        <v>46</v>
      </c>
      <c r="AB246" s="10" t="s">
        <v>46</v>
      </c>
      <c r="AC246" s="8">
        <v>-90073000</v>
      </c>
      <c r="AD246" s="8"/>
      <c r="AE246" s="8"/>
      <c r="AF246" s="8"/>
      <c r="AG246" s="8"/>
      <c r="AH246" s="8"/>
      <c r="AI246" s="8"/>
      <c r="AJ246" s="8"/>
      <c r="AK246" s="8"/>
      <c r="AL246" s="8"/>
      <c r="AM246" s="8"/>
      <c r="AN246" s="8"/>
      <c r="AO246" s="8"/>
      <c r="AP246" s="8"/>
    </row>
    <row r="247" spans="1:42" ht="17">
      <c r="A247" s="8" t="s">
        <v>121</v>
      </c>
      <c r="B247" s="8" t="s">
        <v>45</v>
      </c>
      <c r="C247" s="8">
        <v>-123543000</v>
      </c>
      <c r="D247" s="8" t="s">
        <v>46</v>
      </c>
      <c r="E247" s="10" t="s">
        <v>46</v>
      </c>
      <c r="F247" s="8" t="s">
        <v>46</v>
      </c>
      <c r="G247" s="8" t="s">
        <v>46</v>
      </c>
      <c r="H247" s="8">
        <v>166320000</v>
      </c>
      <c r="I247" s="8">
        <v>67615000</v>
      </c>
      <c r="J247" s="8" t="s">
        <v>46</v>
      </c>
      <c r="K247" s="10">
        <v>-146764000</v>
      </c>
      <c r="L247" s="8" t="s">
        <v>46</v>
      </c>
      <c r="M247" s="8" t="s">
        <v>46</v>
      </c>
      <c r="N247" s="8">
        <v>188748000</v>
      </c>
      <c r="O247" s="10" t="s">
        <v>46</v>
      </c>
      <c r="P247" s="10" t="s">
        <v>46</v>
      </c>
      <c r="Q247" s="8" t="s">
        <v>46</v>
      </c>
      <c r="R247" s="10" t="s">
        <v>46</v>
      </c>
      <c r="S247" s="8" t="s">
        <v>46</v>
      </c>
      <c r="T247" s="8" t="s">
        <v>46</v>
      </c>
      <c r="U247" s="8" t="s">
        <v>46</v>
      </c>
      <c r="V247" s="10" t="s">
        <v>46</v>
      </c>
      <c r="W247" s="10" t="s">
        <v>46</v>
      </c>
      <c r="X247" s="10" t="s">
        <v>46</v>
      </c>
      <c r="Y247" s="8" t="s">
        <v>46</v>
      </c>
      <c r="Z247" s="8" t="s">
        <v>46</v>
      </c>
      <c r="AA247" s="10" t="s">
        <v>46</v>
      </c>
      <c r="AB247" s="10" t="s">
        <v>46</v>
      </c>
      <c r="AC247" s="8">
        <v>-213469000</v>
      </c>
      <c r="AD247" s="8"/>
      <c r="AE247" s="8"/>
      <c r="AF247" s="8"/>
      <c r="AG247" s="8"/>
      <c r="AH247" s="8"/>
      <c r="AI247" s="8"/>
      <c r="AJ247" s="8"/>
      <c r="AK247" s="8"/>
      <c r="AL247" s="8"/>
      <c r="AM247" s="8"/>
      <c r="AN247" s="8"/>
      <c r="AO247" s="8"/>
      <c r="AP247" s="8"/>
    </row>
    <row r="248" spans="1:42" ht="17">
      <c r="A248" s="8" t="s">
        <v>122</v>
      </c>
      <c r="B248" s="8" t="s">
        <v>45</v>
      </c>
      <c r="C248" s="8">
        <v>-3394000</v>
      </c>
      <c r="D248" s="8" t="s">
        <v>46</v>
      </c>
      <c r="E248" s="10" t="s">
        <v>46</v>
      </c>
      <c r="F248" s="8" t="s">
        <v>46</v>
      </c>
      <c r="G248" s="8" t="s">
        <v>46</v>
      </c>
      <c r="H248" s="8">
        <v>168394000</v>
      </c>
      <c r="I248" s="8">
        <v>68422000</v>
      </c>
      <c r="J248" s="8" t="s">
        <v>46</v>
      </c>
      <c r="K248" s="10">
        <v>126051000</v>
      </c>
      <c r="L248" s="8" t="s">
        <v>46</v>
      </c>
      <c r="M248" s="8" t="s">
        <v>46</v>
      </c>
      <c r="N248" s="8">
        <v>-167025000</v>
      </c>
      <c r="O248" s="10" t="s">
        <v>46</v>
      </c>
      <c r="P248" s="10" t="s">
        <v>46</v>
      </c>
      <c r="Q248" s="8" t="s">
        <v>46</v>
      </c>
      <c r="R248" s="10" t="s">
        <v>46</v>
      </c>
      <c r="S248" s="8" t="s">
        <v>46</v>
      </c>
      <c r="T248" s="8" t="s">
        <v>46</v>
      </c>
      <c r="U248" s="8" t="s">
        <v>46</v>
      </c>
      <c r="V248" s="10" t="s">
        <v>46</v>
      </c>
      <c r="W248" s="10" t="s">
        <v>46</v>
      </c>
      <c r="X248" s="10" t="s">
        <v>46</v>
      </c>
      <c r="Y248" s="8" t="s">
        <v>46</v>
      </c>
      <c r="Z248" s="8" t="s">
        <v>46</v>
      </c>
      <c r="AA248" s="10" t="s">
        <v>46</v>
      </c>
      <c r="AB248" s="10" t="s">
        <v>46</v>
      </c>
      <c r="AC248" s="8">
        <v>-47314000</v>
      </c>
      <c r="AD248" s="8"/>
      <c r="AE248" s="8"/>
      <c r="AF248" s="8"/>
      <c r="AG248" s="8"/>
      <c r="AH248" s="8"/>
      <c r="AI248" s="8"/>
      <c r="AJ248" s="8"/>
      <c r="AK248" s="8"/>
      <c r="AL248" s="8"/>
      <c r="AM248" s="8"/>
      <c r="AN248" s="8"/>
      <c r="AO248" s="8"/>
      <c r="AP248" s="8"/>
    </row>
    <row r="249" spans="1:42" ht="17">
      <c r="A249" s="8" t="s">
        <v>123</v>
      </c>
      <c r="B249" s="8" t="s">
        <v>45</v>
      </c>
      <c r="C249" s="8">
        <v>-236212000</v>
      </c>
      <c r="D249" s="8" t="s">
        <v>46</v>
      </c>
      <c r="E249" s="10" t="s">
        <v>46</v>
      </c>
      <c r="F249" s="8" t="s">
        <v>46</v>
      </c>
      <c r="G249" s="8" t="s">
        <v>46</v>
      </c>
      <c r="H249" s="8">
        <v>170453000</v>
      </c>
      <c r="I249" s="8">
        <v>56455000</v>
      </c>
      <c r="J249" s="8" t="s">
        <v>46</v>
      </c>
      <c r="K249" s="10">
        <v>-136773000</v>
      </c>
      <c r="L249" s="8" t="s">
        <v>46</v>
      </c>
      <c r="M249" s="8" t="s">
        <v>46</v>
      </c>
      <c r="N249" s="8">
        <v>104981000</v>
      </c>
      <c r="O249" s="10" t="s">
        <v>46</v>
      </c>
      <c r="P249" s="10" t="s">
        <v>46</v>
      </c>
      <c r="Q249" s="8" t="s">
        <v>46</v>
      </c>
      <c r="R249" s="10" t="s">
        <v>46</v>
      </c>
      <c r="S249" s="8">
        <v>2119000</v>
      </c>
      <c r="T249" s="8">
        <v>2119000</v>
      </c>
      <c r="U249" s="8" t="s">
        <v>46</v>
      </c>
      <c r="V249" s="10" t="s">
        <v>46</v>
      </c>
      <c r="W249" s="10" t="s">
        <v>46</v>
      </c>
      <c r="X249" s="10" t="s">
        <v>46</v>
      </c>
      <c r="Y249" s="8" t="s">
        <v>46</v>
      </c>
      <c r="Z249" s="8" t="s">
        <v>46</v>
      </c>
      <c r="AA249" s="10" t="s">
        <v>46</v>
      </c>
      <c r="AB249" s="10" t="s">
        <v>46</v>
      </c>
      <c r="AC249" s="8">
        <v>-386634000</v>
      </c>
      <c r="AD249" s="8"/>
      <c r="AE249" s="8"/>
      <c r="AF249" s="8"/>
      <c r="AG249" s="8"/>
      <c r="AH249" s="8"/>
      <c r="AI249" s="8"/>
      <c r="AJ249" s="8"/>
      <c r="AK249" s="8"/>
      <c r="AL249" s="8"/>
      <c r="AM249" s="8"/>
      <c r="AN249" s="8"/>
      <c r="AO249" s="8"/>
      <c r="AP249" s="8"/>
    </row>
    <row r="250" spans="1:42" ht="17">
      <c r="A250" s="8" t="s">
        <v>59</v>
      </c>
      <c r="B250" s="8" t="s">
        <v>45</v>
      </c>
      <c r="C250" s="8">
        <v>273576000</v>
      </c>
      <c r="D250" s="8" t="s">
        <v>46</v>
      </c>
      <c r="E250" s="10" t="s">
        <v>46</v>
      </c>
      <c r="F250" s="8" t="s">
        <v>46</v>
      </c>
      <c r="G250" s="8" t="s">
        <v>46</v>
      </c>
      <c r="H250" s="8">
        <v>186100000</v>
      </c>
      <c r="I250" s="8">
        <v>123156000</v>
      </c>
      <c r="J250" s="8" t="s">
        <v>46</v>
      </c>
      <c r="K250" s="10">
        <v>117379000</v>
      </c>
      <c r="L250" s="8" t="s">
        <v>46</v>
      </c>
      <c r="M250" s="8" t="s">
        <v>46</v>
      </c>
      <c r="N250" s="8">
        <v>-208641000</v>
      </c>
      <c r="O250" s="10" t="s">
        <v>46</v>
      </c>
      <c r="P250" s="10" t="s">
        <v>46</v>
      </c>
      <c r="Q250" s="8" t="s">
        <v>46</v>
      </c>
      <c r="R250" s="10" t="s">
        <v>46</v>
      </c>
      <c r="S250" s="8">
        <v>40027000</v>
      </c>
      <c r="T250" s="8">
        <v>40027000</v>
      </c>
      <c r="U250" s="8" t="s">
        <v>46</v>
      </c>
      <c r="V250" s="10" t="s">
        <v>46</v>
      </c>
      <c r="W250" s="10" t="s">
        <v>46</v>
      </c>
      <c r="X250" s="10" t="s">
        <v>46</v>
      </c>
      <c r="Y250" s="8" t="s">
        <v>46</v>
      </c>
      <c r="Z250" s="8" t="s">
        <v>46</v>
      </c>
      <c r="AA250" s="10" t="s">
        <v>46</v>
      </c>
      <c r="AB250" s="10" t="s">
        <v>46</v>
      </c>
      <c r="AC250" s="8">
        <v>-50165000</v>
      </c>
      <c r="AD250" s="8"/>
      <c r="AE250" s="8"/>
      <c r="AF250" s="8"/>
      <c r="AG250" s="8"/>
      <c r="AH250" s="8"/>
      <c r="AI250" s="8"/>
      <c r="AJ250" s="8"/>
      <c r="AK250" s="8"/>
      <c r="AL250" s="8"/>
      <c r="AM250" s="8"/>
      <c r="AN250" s="8"/>
      <c r="AO250" s="8"/>
      <c r="AP250" s="8"/>
    </row>
    <row r="251" spans="1:42" ht="17">
      <c r="A251" s="8" t="s">
        <v>124</v>
      </c>
      <c r="B251" s="8" t="s">
        <v>45</v>
      </c>
      <c r="C251" s="8">
        <v>17744000</v>
      </c>
      <c r="D251" s="8" t="s">
        <v>46</v>
      </c>
      <c r="E251" s="10" t="s">
        <v>46</v>
      </c>
      <c r="F251" s="8" t="s">
        <v>46</v>
      </c>
      <c r="G251" s="8" t="s">
        <v>46</v>
      </c>
      <c r="H251" s="8">
        <v>175865000</v>
      </c>
      <c r="I251" s="8">
        <v>53587000</v>
      </c>
      <c r="J251" s="8" t="s">
        <v>46</v>
      </c>
      <c r="K251" s="10">
        <v>-13766000</v>
      </c>
      <c r="L251" s="8" t="s">
        <v>46</v>
      </c>
      <c r="M251" s="8" t="s">
        <v>46</v>
      </c>
      <c r="N251" s="8">
        <v>-244862000</v>
      </c>
      <c r="O251" s="10" t="s">
        <v>46</v>
      </c>
      <c r="P251" s="10" t="s">
        <v>46</v>
      </c>
      <c r="Q251" s="8" t="s">
        <v>46</v>
      </c>
      <c r="R251" s="10" t="s">
        <v>46</v>
      </c>
      <c r="S251" s="8" t="s">
        <v>46</v>
      </c>
      <c r="T251" s="8" t="s">
        <v>46</v>
      </c>
      <c r="U251" s="8" t="s">
        <v>46</v>
      </c>
      <c r="V251" s="10" t="s">
        <v>46</v>
      </c>
      <c r="W251" s="10" t="s">
        <v>46</v>
      </c>
      <c r="X251" s="10" t="s">
        <v>46</v>
      </c>
      <c r="Y251" s="8" t="s">
        <v>46</v>
      </c>
      <c r="Z251" s="8" t="s">
        <v>46</v>
      </c>
      <c r="AA251" s="10" t="s">
        <v>46</v>
      </c>
      <c r="AB251" s="10" t="s">
        <v>46</v>
      </c>
      <c r="AC251" s="8">
        <v>-107824000</v>
      </c>
      <c r="AD251" s="8"/>
      <c r="AE251" s="8"/>
      <c r="AF251" s="8"/>
      <c r="AG251" s="8"/>
      <c r="AH251" s="8"/>
      <c r="AI251" s="8"/>
      <c r="AJ251" s="8"/>
      <c r="AK251" s="8"/>
      <c r="AL251" s="8"/>
      <c r="AM251" s="8"/>
      <c r="AN251" s="8"/>
      <c r="AO251" s="8"/>
      <c r="AP251" s="8"/>
    </row>
    <row r="252" spans="1:42" ht="17">
      <c r="A252" s="8" t="s">
        <v>125</v>
      </c>
      <c r="B252" s="8" t="s">
        <v>45</v>
      </c>
      <c r="C252" s="8">
        <v>45444000</v>
      </c>
      <c r="D252" s="8" t="s">
        <v>46</v>
      </c>
      <c r="E252" s="10" t="s">
        <v>46</v>
      </c>
      <c r="F252" s="8" t="s">
        <v>46</v>
      </c>
      <c r="G252" s="8" t="s">
        <v>46</v>
      </c>
      <c r="H252" s="8">
        <v>174062000</v>
      </c>
      <c r="I252" s="8">
        <v>74013000</v>
      </c>
      <c r="J252" s="8" t="s">
        <v>46</v>
      </c>
      <c r="K252" s="10">
        <v>95459000</v>
      </c>
      <c r="L252" s="8" t="s">
        <v>46</v>
      </c>
      <c r="M252" s="8" t="s">
        <v>46</v>
      </c>
      <c r="N252" s="8">
        <v>161486000</v>
      </c>
      <c r="O252" s="10" t="s">
        <v>46</v>
      </c>
      <c r="P252" s="10" t="s">
        <v>46</v>
      </c>
      <c r="Q252" s="8" t="s">
        <v>46</v>
      </c>
      <c r="R252" s="10" t="s">
        <v>46</v>
      </c>
      <c r="S252" s="8" t="s">
        <v>46</v>
      </c>
      <c r="T252" s="8" t="s">
        <v>46</v>
      </c>
      <c r="U252" s="8" t="s">
        <v>46</v>
      </c>
      <c r="V252" s="10" t="s">
        <v>46</v>
      </c>
      <c r="W252" s="10" t="s">
        <v>46</v>
      </c>
      <c r="X252" s="10" t="s">
        <v>46</v>
      </c>
      <c r="Y252" s="8" t="s">
        <v>46</v>
      </c>
      <c r="Z252" s="8" t="s">
        <v>46</v>
      </c>
      <c r="AA252" s="10" t="s">
        <v>46</v>
      </c>
      <c r="AB252" s="10" t="s">
        <v>46</v>
      </c>
      <c r="AC252" s="8">
        <v>-171779000</v>
      </c>
      <c r="AD252" s="8"/>
      <c r="AE252" s="8"/>
      <c r="AF252" s="8"/>
      <c r="AG252" s="8"/>
      <c r="AH252" s="8"/>
      <c r="AI252" s="8"/>
      <c r="AJ252" s="8"/>
      <c r="AK252" s="8"/>
      <c r="AL252" s="8"/>
      <c r="AM252" s="8"/>
      <c r="AN252" s="8"/>
      <c r="AO252" s="8"/>
      <c r="AP252" s="8"/>
    </row>
    <row r="253" spans="1:42" ht="17">
      <c r="A253" s="8" t="s">
        <v>126</v>
      </c>
      <c r="B253" s="8" t="s">
        <v>45</v>
      </c>
      <c r="C253" s="8">
        <v>-91648000</v>
      </c>
      <c r="D253" s="8" t="s">
        <v>46</v>
      </c>
      <c r="E253" s="10" t="s">
        <v>46</v>
      </c>
      <c r="F253" s="8" t="s">
        <v>46</v>
      </c>
      <c r="G253" s="8" t="s">
        <v>46</v>
      </c>
      <c r="H253" s="8">
        <v>174871000</v>
      </c>
      <c r="I253" s="8">
        <v>67408000</v>
      </c>
      <c r="J253" s="8" t="s">
        <v>46</v>
      </c>
      <c r="K253" s="10">
        <v>-79463000</v>
      </c>
      <c r="L253" s="8" t="s">
        <v>46</v>
      </c>
      <c r="M253" s="8" t="s">
        <v>46</v>
      </c>
      <c r="N253" s="8">
        <v>-105984000</v>
      </c>
      <c r="O253" s="10" t="s">
        <v>46</v>
      </c>
      <c r="P253" s="10" t="s">
        <v>46</v>
      </c>
      <c r="Q253" s="8" t="s">
        <v>46</v>
      </c>
      <c r="R253" s="10" t="s">
        <v>46</v>
      </c>
      <c r="S253" s="8">
        <v>3955000</v>
      </c>
      <c r="T253" s="8">
        <v>3955000</v>
      </c>
      <c r="U253" s="8" t="s">
        <v>46</v>
      </c>
      <c r="V253" s="10" t="s">
        <v>46</v>
      </c>
      <c r="W253" s="10" t="s">
        <v>46</v>
      </c>
      <c r="X253" s="10" t="s">
        <v>46</v>
      </c>
      <c r="Y253" s="8" t="s">
        <v>46</v>
      </c>
      <c r="Z253" s="8" t="s">
        <v>46</v>
      </c>
      <c r="AA253" s="10" t="s">
        <v>46</v>
      </c>
      <c r="AB253" s="10" t="s">
        <v>46</v>
      </c>
      <c r="AC253" s="8">
        <v>-432390000</v>
      </c>
      <c r="AD253" s="8"/>
      <c r="AE253" s="8"/>
      <c r="AF253" s="8"/>
      <c r="AG253" s="8"/>
      <c r="AH253" s="8"/>
      <c r="AI253" s="8"/>
      <c r="AJ253" s="8"/>
      <c r="AK253" s="8"/>
      <c r="AL253" s="8"/>
      <c r="AM253" s="8"/>
      <c r="AN253" s="8"/>
      <c r="AO253" s="8"/>
      <c r="AP253" s="8"/>
    </row>
    <row r="254" spans="1:42" ht="17">
      <c r="A254" s="8" t="s">
        <v>61</v>
      </c>
      <c r="B254" s="8" t="s">
        <v>45</v>
      </c>
      <c r="C254" s="8">
        <v>214029000</v>
      </c>
      <c r="D254" s="8" t="s">
        <v>46</v>
      </c>
      <c r="E254" s="10" t="s">
        <v>46</v>
      </c>
      <c r="F254" s="8" t="s">
        <v>46</v>
      </c>
      <c r="G254" s="8" t="s">
        <v>46</v>
      </c>
      <c r="H254" s="8">
        <v>191582000</v>
      </c>
      <c r="I254" s="8">
        <v>127266000</v>
      </c>
      <c r="J254" s="8" t="s">
        <v>46</v>
      </c>
      <c r="K254" s="10">
        <v>104149000</v>
      </c>
      <c r="L254" s="8" t="s">
        <v>46</v>
      </c>
      <c r="M254" s="8" t="s">
        <v>46</v>
      </c>
      <c r="N254" s="8">
        <v>-112781000</v>
      </c>
      <c r="O254" s="10" t="s">
        <v>46</v>
      </c>
      <c r="P254" s="10" t="s">
        <v>46</v>
      </c>
      <c r="Q254" s="8" t="s">
        <v>46</v>
      </c>
      <c r="R254" s="10" t="s">
        <v>46</v>
      </c>
      <c r="S254" s="8">
        <v>91887000</v>
      </c>
      <c r="T254" s="8">
        <v>91887000</v>
      </c>
      <c r="U254" s="8" t="s">
        <v>46</v>
      </c>
      <c r="V254" s="10" t="s">
        <v>46</v>
      </c>
      <c r="W254" s="10" t="s">
        <v>46</v>
      </c>
      <c r="X254" s="10" t="s">
        <v>46</v>
      </c>
      <c r="Y254" s="8" t="s">
        <v>46</v>
      </c>
      <c r="Z254" s="8" t="s">
        <v>46</v>
      </c>
      <c r="AA254" s="10" t="s">
        <v>46</v>
      </c>
      <c r="AB254" s="10" t="s">
        <v>46</v>
      </c>
      <c r="AC254" s="8">
        <v>-302233000</v>
      </c>
      <c r="AD254" s="8"/>
      <c r="AE254" s="8"/>
      <c r="AF254" s="8"/>
      <c r="AG254" s="8"/>
      <c r="AH254" s="8"/>
      <c r="AI254" s="8"/>
      <c r="AJ254" s="8"/>
      <c r="AK254" s="8"/>
      <c r="AL254" s="8"/>
      <c r="AM254" s="8"/>
      <c r="AN254" s="8"/>
      <c r="AO254" s="8"/>
      <c r="AP254" s="8"/>
    </row>
    <row r="255" spans="1:42" ht="17">
      <c r="A255" s="8" t="s">
        <v>127</v>
      </c>
      <c r="B255" s="8" t="s">
        <v>45</v>
      </c>
      <c r="C255" s="8">
        <v>91657000</v>
      </c>
      <c r="D255" s="8" t="s">
        <v>46</v>
      </c>
      <c r="E255" s="10" t="s">
        <v>46</v>
      </c>
      <c r="F255" s="8" t="s">
        <v>46</v>
      </c>
      <c r="G255" s="8" t="s">
        <v>46</v>
      </c>
      <c r="H255" s="8">
        <v>177330000</v>
      </c>
      <c r="I255" s="8">
        <v>64580000</v>
      </c>
      <c r="J255" s="8" t="s">
        <v>46</v>
      </c>
      <c r="K255" s="10">
        <v>35875000</v>
      </c>
      <c r="L255" s="8" t="s">
        <v>46</v>
      </c>
      <c r="M255" s="8" t="s">
        <v>46</v>
      </c>
      <c r="N255" s="8">
        <v>-33568000</v>
      </c>
      <c r="O255" s="10" t="s">
        <v>46</v>
      </c>
      <c r="P255" s="10" t="s">
        <v>46</v>
      </c>
      <c r="Q255" s="8" t="s">
        <v>46</v>
      </c>
      <c r="R255" s="10" t="s">
        <v>46</v>
      </c>
      <c r="S255" s="8" t="s">
        <v>46</v>
      </c>
      <c r="T255" s="8" t="s">
        <v>46</v>
      </c>
      <c r="U255" s="8" t="s">
        <v>46</v>
      </c>
      <c r="V255" s="10" t="s">
        <v>46</v>
      </c>
      <c r="W255" s="10" t="s">
        <v>46</v>
      </c>
      <c r="X255" s="10" t="s">
        <v>46</v>
      </c>
      <c r="Y255" s="8" t="s">
        <v>46</v>
      </c>
      <c r="Z255" s="8" t="s">
        <v>46</v>
      </c>
      <c r="AA255" s="10" t="s">
        <v>46</v>
      </c>
      <c r="AB255" s="10" t="s">
        <v>46</v>
      </c>
      <c r="AC255" s="8">
        <v>-92172000</v>
      </c>
      <c r="AD255" s="8"/>
      <c r="AE255" s="8"/>
      <c r="AF255" s="8"/>
      <c r="AG255" s="8"/>
      <c r="AH255" s="8"/>
      <c r="AI255" s="8"/>
      <c r="AJ255" s="8"/>
      <c r="AK255" s="8"/>
      <c r="AL255" s="8"/>
      <c r="AM255" s="8"/>
      <c r="AN255" s="8"/>
      <c r="AO255" s="8"/>
      <c r="AP255" s="8"/>
    </row>
    <row r="256" spans="1:42" ht="17">
      <c r="A256" s="8" t="s">
        <v>128</v>
      </c>
      <c r="B256" s="8" t="s">
        <v>45</v>
      </c>
      <c r="C256" s="8">
        <v>-6223000</v>
      </c>
      <c r="D256" s="8" t="s">
        <v>46</v>
      </c>
      <c r="E256" s="10" t="s">
        <v>46</v>
      </c>
      <c r="F256" s="8" t="s">
        <v>46</v>
      </c>
      <c r="G256" s="8" t="s">
        <v>46</v>
      </c>
      <c r="H256" s="8">
        <v>179734000</v>
      </c>
      <c r="I256" s="8">
        <v>71060000</v>
      </c>
      <c r="J256" s="8" t="s">
        <v>46</v>
      </c>
      <c r="K256" s="10">
        <v>10819000</v>
      </c>
      <c r="L256" s="8" t="s">
        <v>46</v>
      </c>
      <c r="M256" s="8" t="s">
        <v>46</v>
      </c>
      <c r="N256" s="8">
        <v>-95251000</v>
      </c>
      <c r="O256" s="10" t="s">
        <v>46</v>
      </c>
      <c r="P256" s="10" t="s">
        <v>46</v>
      </c>
      <c r="Q256" s="8" t="s">
        <v>46</v>
      </c>
      <c r="R256" s="10" t="s">
        <v>46</v>
      </c>
      <c r="S256" s="8" t="s">
        <v>46</v>
      </c>
      <c r="T256" s="8" t="s">
        <v>46</v>
      </c>
      <c r="U256" s="8" t="s">
        <v>46</v>
      </c>
      <c r="V256" s="10" t="s">
        <v>46</v>
      </c>
      <c r="W256" s="10" t="s">
        <v>46</v>
      </c>
      <c r="X256" s="10" t="s">
        <v>46</v>
      </c>
      <c r="Y256" s="8" t="s">
        <v>46</v>
      </c>
      <c r="Z256" s="8" t="s">
        <v>46</v>
      </c>
      <c r="AA256" s="10" t="s">
        <v>46</v>
      </c>
      <c r="AB256" s="10" t="s">
        <v>46</v>
      </c>
      <c r="AC256" s="8">
        <v>20007000</v>
      </c>
      <c r="AD256" s="8"/>
      <c r="AE256" s="8"/>
      <c r="AF256" s="8"/>
      <c r="AG256" s="8"/>
      <c r="AH256" s="8"/>
      <c r="AI256" s="8"/>
      <c r="AJ256" s="8"/>
      <c r="AK256" s="8"/>
      <c r="AL256" s="8"/>
      <c r="AM256" s="8"/>
      <c r="AN256" s="8"/>
      <c r="AO256" s="8"/>
      <c r="AP256" s="8"/>
    </row>
    <row r="257" spans="1:42" ht="17">
      <c r="A257" s="8" t="s">
        <v>129</v>
      </c>
      <c r="B257" s="8" t="s">
        <v>45</v>
      </c>
      <c r="C257" s="8">
        <v>-86591000</v>
      </c>
      <c r="D257" s="8" t="s">
        <v>46</v>
      </c>
      <c r="E257" s="10" t="s">
        <v>46</v>
      </c>
      <c r="F257" s="8" t="s">
        <v>46</v>
      </c>
      <c r="G257" s="8" t="s">
        <v>46</v>
      </c>
      <c r="H257" s="8">
        <v>182182000</v>
      </c>
      <c r="I257" s="8">
        <v>61620000</v>
      </c>
      <c r="J257" s="8" t="s">
        <v>46</v>
      </c>
      <c r="K257" s="10">
        <v>-108724000</v>
      </c>
      <c r="L257" s="8" t="s">
        <v>46</v>
      </c>
      <c r="M257" s="8" t="s">
        <v>46</v>
      </c>
      <c r="N257" s="8">
        <v>-354282000</v>
      </c>
      <c r="O257" s="10" t="s">
        <v>46</v>
      </c>
      <c r="P257" s="10" t="s">
        <v>46</v>
      </c>
      <c r="Q257" s="8" t="s">
        <v>46</v>
      </c>
      <c r="R257" s="10" t="s">
        <v>46</v>
      </c>
      <c r="S257" s="8" t="s">
        <v>46</v>
      </c>
      <c r="T257" s="8" t="s">
        <v>46</v>
      </c>
      <c r="U257" s="8" t="s">
        <v>46</v>
      </c>
      <c r="V257" s="10" t="s">
        <v>46</v>
      </c>
      <c r="W257" s="10" t="s">
        <v>46</v>
      </c>
      <c r="X257" s="10" t="s">
        <v>46</v>
      </c>
      <c r="Y257" s="8" t="s">
        <v>46</v>
      </c>
      <c r="Z257" s="8" t="s">
        <v>46</v>
      </c>
      <c r="AA257" s="10" t="s">
        <v>46</v>
      </c>
      <c r="AB257" s="10" t="s">
        <v>46</v>
      </c>
      <c r="AC257" s="8">
        <v>-209119000</v>
      </c>
      <c r="AD257" s="8"/>
      <c r="AE257" s="8"/>
      <c r="AF257" s="8"/>
      <c r="AG257" s="8"/>
      <c r="AH257" s="8"/>
      <c r="AI257" s="8"/>
      <c r="AJ257" s="8"/>
      <c r="AK257" s="8"/>
      <c r="AL257" s="8"/>
      <c r="AM257" s="8"/>
      <c r="AN257" s="8"/>
      <c r="AO257" s="8"/>
      <c r="AP257" s="8"/>
    </row>
    <row r="258" spans="1:42" ht="17">
      <c r="A258" s="8" t="s">
        <v>62</v>
      </c>
      <c r="B258" s="8" t="s">
        <v>45</v>
      </c>
      <c r="C258" s="8">
        <v>332527000</v>
      </c>
      <c r="D258" s="8" t="s">
        <v>46</v>
      </c>
      <c r="E258" s="10" t="s">
        <v>46</v>
      </c>
      <c r="F258" s="8" t="s">
        <v>46</v>
      </c>
      <c r="G258" s="8" t="s">
        <v>46</v>
      </c>
      <c r="H258" s="8">
        <v>189730000</v>
      </c>
      <c r="I258" s="8">
        <v>96061000</v>
      </c>
      <c r="J258" s="8" t="s">
        <v>46</v>
      </c>
      <c r="K258" s="10">
        <v>153231000</v>
      </c>
      <c r="L258" s="8" t="s">
        <v>46</v>
      </c>
      <c r="M258" s="8" t="s">
        <v>46</v>
      </c>
      <c r="N258" s="8">
        <v>-252275000</v>
      </c>
      <c r="O258" s="10" t="s">
        <v>46</v>
      </c>
      <c r="P258" s="10" t="s">
        <v>46</v>
      </c>
      <c r="Q258" s="8" t="s">
        <v>46</v>
      </c>
      <c r="R258" s="10" t="s">
        <v>46</v>
      </c>
      <c r="S258" s="8" t="s">
        <v>46</v>
      </c>
      <c r="T258" s="8" t="s">
        <v>46</v>
      </c>
      <c r="U258" s="8" t="s">
        <v>46</v>
      </c>
      <c r="V258" s="10" t="s">
        <v>46</v>
      </c>
      <c r="W258" s="10" t="s">
        <v>46</v>
      </c>
      <c r="X258" s="10" t="s">
        <v>46</v>
      </c>
      <c r="Y258" s="8" t="s">
        <v>46</v>
      </c>
      <c r="Z258" s="8" t="s">
        <v>46</v>
      </c>
      <c r="AA258" s="10" t="s">
        <v>46</v>
      </c>
      <c r="AB258" s="10" t="s">
        <v>46</v>
      </c>
      <c r="AC258" s="8">
        <v>-196782000</v>
      </c>
      <c r="AD258" s="8"/>
      <c r="AE258" s="8"/>
      <c r="AF258" s="8"/>
      <c r="AG258" s="8"/>
      <c r="AH258" s="8"/>
      <c r="AI258" s="8"/>
      <c r="AJ258" s="8"/>
      <c r="AK258" s="8"/>
      <c r="AL258" s="8"/>
      <c r="AM258" s="8"/>
      <c r="AN258" s="8"/>
      <c r="AO258" s="8"/>
      <c r="AP258" s="8"/>
    </row>
    <row r="259" spans="1:42" ht="17">
      <c r="A259" s="8" t="s">
        <v>130</v>
      </c>
      <c r="B259" s="8" t="s">
        <v>45</v>
      </c>
      <c r="C259" s="8">
        <v>39565000</v>
      </c>
      <c r="D259" s="8" t="s">
        <v>46</v>
      </c>
      <c r="E259" s="10" t="s">
        <v>46</v>
      </c>
      <c r="F259" s="8" t="s">
        <v>46</v>
      </c>
      <c r="G259" s="8" t="s">
        <v>46</v>
      </c>
      <c r="H259" s="8">
        <v>182350000</v>
      </c>
      <c r="I259" s="8">
        <v>101291000</v>
      </c>
      <c r="J259" s="8" t="s">
        <v>46</v>
      </c>
      <c r="K259" s="10">
        <v>-59653000</v>
      </c>
      <c r="L259" s="8" t="s">
        <v>46</v>
      </c>
      <c r="M259" s="8" t="s">
        <v>46</v>
      </c>
      <c r="N259" s="8">
        <v>-5434000</v>
      </c>
      <c r="O259" s="10" t="s">
        <v>46</v>
      </c>
      <c r="P259" s="10" t="s">
        <v>46</v>
      </c>
      <c r="Q259" s="8" t="s">
        <v>46</v>
      </c>
      <c r="R259" s="10" t="s">
        <v>46</v>
      </c>
      <c r="S259" s="8" t="s">
        <v>46</v>
      </c>
      <c r="T259" s="8" t="s">
        <v>46</v>
      </c>
      <c r="U259" s="8" t="s">
        <v>46</v>
      </c>
      <c r="V259" s="10" t="s">
        <v>46</v>
      </c>
      <c r="W259" s="10" t="s">
        <v>46</v>
      </c>
      <c r="X259" s="10" t="s">
        <v>46</v>
      </c>
      <c r="Y259" s="8" t="s">
        <v>46</v>
      </c>
      <c r="Z259" s="8" t="s">
        <v>46</v>
      </c>
      <c r="AA259" s="10" t="s">
        <v>46</v>
      </c>
      <c r="AB259" s="10" t="s">
        <v>46</v>
      </c>
      <c r="AC259" s="8">
        <v>-38584000</v>
      </c>
      <c r="AD259" s="8"/>
      <c r="AE259" s="8"/>
      <c r="AF259" s="8"/>
      <c r="AG259" s="8"/>
      <c r="AH259" s="8"/>
      <c r="AI259" s="8"/>
      <c r="AJ259" s="8"/>
      <c r="AK259" s="8"/>
      <c r="AL259" s="8"/>
      <c r="AM259" s="8"/>
      <c r="AN259" s="8"/>
      <c r="AO259" s="8"/>
      <c r="AP259" s="8"/>
    </row>
    <row r="260" spans="1:42" ht="17">
      <c r="A260" s="8" t="s">
        <v>131</v>
      </c>
      <c r="B260" s="8" t="s">
        <v>45</v>
      </c>
      <c r="C260" s="8">
        <v>120802000</v>
      </c>
      <c r="D260" s="8" t="s">
        <v>46</v>
      </c>
      <c r="E260" s="10" t="s">
        <v>46</v>
      </c>
      <c r="F260" s="8" t="s">
        <v>46</v>
      </c>
      <c r="G260" s="8" t="s">
        <v>46</v>
      </c>
      <c r="H260" s="8">
        <v>181839000</v>
      </c>
      <c r="I260" s="8">
        <v>117370000</v>
      </c>
      <c r="J260" s="8" t="s">
        <v>46</v>
      </c>
      <c r="K260" s="10">
        <v>89395000</v>
      </c>
      <c r="L260" s="8" t="s">
        <v>46</v>
      </c>
      <c r="M260" s="8" t="s">
        <v>46</v>
      </c>
      <c r="N260" s="8">
        <v>-9860000</v>
      </c>
      <c r="O260" s="10" t="s">
        <v>46</v>
      </c>
      <c r="P260" s="10" t="s">
        <v>46</v>
      </c>
      <c r="Q260" s="8" t="s">
        <v>46</v>
      </c>
      <c r="R260" s="10" t="s">
        <v>46</v>
      </c>
      <c r="S260" s="8" t="s">
        <v>46</v>
      </c>
      <c r="T260" s="8" t="s">
        <v>46</v>
      </c>
      <c r="U260" s="8" t="s">
        <v>46</v>
      </c>
      <c r="V260" s="10" t="s">
        <v>46</v>
      </c>
      <c r="W260" s="10" t="s">
        <v>46</v>
      </c>
      <c r="X260" s="10" t="s">
        <v>46</v>
      </c>
      <c r="Y260" s="8" t="s">
        <v>46</v>
      </c>
      <c r="Z260" s="8" t="s">
        <v>46</v>
      </c>
      <c r="AA260" s="10" t="s">
        <v>46</v>
      </c>
      <c r="AB260" s="10" t="s">
        <v>46</v>
      </c>
      <c r="AC260" s="8">
        <v>-27709000</v>
      </c>
      <c r="AD260" s="8"/>
      <c r="AE260" s="8"/>
      <c r="AF260" s="8"/>
      <c r="AG260" s="8"/>
      <c r="AH260" s="8"/>
      <c r="AI260" s="8"/>
      <c r="AJ260" s="8"/>
      <c r="AK260" s="8"/>
      <c r="AL260" s="8"/>
      <c r="AM260" s="8"/>
      <c r="AN260" s="8"/>
      <c r="AO260" s="8"/>
      <c r="AP260" s="8"/>
    </row>
    <row r="261" spans="1:42" ht="17">
      <c r="A261" s="8" t="s">
        <v>132</v>
      </c>
      <c r="B261" s="8" t="s">
        <v>45</v>
      </c>
      <c r="C261" s="8">
        <v>-4196000</v>
      </c>
      <c r="D261" s="8" t="s">
        <v>46</v>
      </c>
      <c r="E261" s="10" t="s">
        <v>46</v>
      </c>
      <c r="F261" s="8" t="s">
        <v>46</v>
      </c>
      <c r="G261" s="8" t="s">
        <v>46</v>
      </c>
      <c r="H261" s="8">
        <v>175366000</v>
      </c>
      <c r="I261" s="8">
        <v>75558000</v>
      </c>
      <c r="J261" s="8" t="s">
        <v>46</v>
      </c>
      <c r="K261" s="10">
        <v>-127876000</v>
      </c>
      <c r="L261" s="8" t="s">
        <v>46</v>
      </c>
      <c r="M261" s="8" t="s">
        <v>46</v>
      </c>
      <c r="N261" s="8">
        <v>172220000</v>
      </c>
      <c r="O261" s="10" t="s">
        <v>46</v>
      </c>
      <c r="P261" s="10" t="s">
        <v>46</v>
      </c>
      <c r="Q261" s="8" t="s">
        <v>46</v>
      </c>
      <c r="R261" s="10" t="s">
        <v>46</v>
      </c>
      <c r="S261" s="8">
        <v>244734000</v>
      </c>
      <c r="T261" s="8">
        <v>244734000</v>
      </c>
      <c r="U261" s="8" t="s">
        <v>46</v>
      </c>
      <c r="V261" s="10" t="s">
        <v>46</v>
      </c>
      <c r="W261" s="10" t="s">
        <v>46</v>
      </c>
      <c r="X261" s="10" t="s">
        <v>46</v>
      </c>
      <c r="Y261" s="8" t="s">
        <v>46</v>
      </c>
      <c r="Z261" s="8" t="s">
        <v>46</v>
      </c>
      <c r="AA261" s="10" t="s">
        <v>46</v>
      </c>
      <c r="AB261" s="10" t="s">
        <v>46</v>
      </c>
      <c r="AC261" s="8">
        <v>-148115000</v>
      </c>
      <c r="AD261" s="8"/>
      <c r="AE261" s="8"/>
      <c r="AF261" s="8"/>
      <c r="AG261" s="8"/>
      <c r="AH261" s="8"/>
      <c r="AI261" s="8"/>
      <c r="AJ261" s="8"/>
      <c r="AK261" s="8"/>
      <c r="AL261" s="8"/>
      <c r="AM261" s="8"/>
      <c r="AN261" s="8"/>
      <c r="AO261" s="8"/>
      <c r="AP261" s="8"/>
    </row>
    <row r="262" spans="1:42" ht="17">
      <c r="A262" s="8" t="s">
        <v>63</v>
      </c>
      <c r="B262" s="8" t="s">
        <v>45</v>
      </c>
      <c r="C262" s="8">
        <v>252576000</v>
      </c>
      <c r="D262" s="8" t="s">
        <v>46</v>
      </c>
      <c r="E262" s="10" t="s">
        <v>46</v>
      </c>
      <c r="F262" s="8" t="s">
        <v>46</v>
      </c>
      <c r="G262" s="8" t="s">
        <v>46</v>
      </c>
      <c r="H262" s="8">
        <v>192422000</v>
      </c>
      <c r="I262" s="8">
        <v>144145000</v>
      </c>
      <c r="J262" s="8" t="s">
        <v>46</v>
      </c>
      <c r="K262" s="10">
        <v>148393000</v>
      </c>
      <c r="L262" s="8" t="s">
        <v>46</v>
      </c>
      <c r="M262" s="8" t="s">
        <v>46</v>
      </c>
      <c r="N262" s="8">
        <v>-33454000</v>
      </c>
      <c r="O262" s="10" t="s">
        <v>46</v>
      </c>
      <c r="P262" s="10" t="s">
        <v>46</v>
      </c>
      <c r="Q262" s="8" t="s">
        <v>46</v>
      </c>
      <c r="R262" s="10" t="s">
        <v>46</v>
      </c>
      <c r="S262" s="8" t="s">
        <v>46</v>
      </c>
      <c r="T262" s="8" t="s">
        <v>46</v>
      </c>
      <c r="U262" s="8" t="s">
        <v>46</v>
      </c>
      <c r="V262" s="10" t="s">
        <v>46</v>
      </c>
      <c r="W262" s="10" t="s">
        <v>46</v>
      </c>
      <c r="X262" s="10" t="s">
        <v>46</v>
      </c>
      <c r="Y262" s="8" t="s">
        <v>46</v>
      </c>
      <c r="Z262" s="8" t="s">
        <v>46</v>
      </c>
      <c r="AA262" s="10" t="s">
        <v>46</v>
      </c>
      <c r="AB262" s="10" t="s">
        <v>46</v>
      </c>
      <c r="AC262" s="8">
        <v>-31400000</v>
      </c>
      <c r="AD262" s="8"/>
      <c r="AE262" s="8"/>
      <c r="AF262" s="8"/>
      <c r="AG262" s="8"/>
      <c r="AH262" s="8"/>
      <c r="AI262" s="8"/>
      <c r="AJ262" s="8"/>
      <c r="AK262" s="8"/>
      <c r="AL262" s="8"/>
      <c r="AM262" s="8"/>
      <c r="AN262" s="8"/>
      <c r="AO262" s="8"/>
      <c r="AP262" s="8"/>
    </row>
    <row r="263" spans="1:42" ht="17">
      <c r="A263" s="8" t="s">
        <v>133</v>
      </c>
      <c r="B263" s="8" t="s">
        <v>45</v>
      </c>
      <c r="C263" s="8">
        <v>57882000</v>
      </c>
      <c r="D263" s="8" t="s">
        <v>46</v>
      </c>
      <c r="E263" s="10" t="s">
        <v>46</v>
      </c>
      <c r="F263" s="8" t="s">
        <v>46</v>
      </c>
      <c r="G263" s="8" t="s">
        <v>46</v>
      </c>
      <c r="H263" s="8">
        <v>197532000</v>
      </c>
      <c r="I263" s="8">
        <v>77684000</v>
      </c>
      <c r="J263" s="8" t="s">
        <v>46</v>
      </c>
      <c r="K263" s="10">
        <v>-146736000</v>
      </c>
      <c r="L263" s="8" t="s">
        <v>46</v>
      </c>
      <c r="M263" s="8" t="s">
        <v>46</v>
      </c>
      <c r="N263" s="8">
        <v>-28834000</v>
      </c>
      <c r="O263" s="10" t="s">
        <v>46</v>
      </c>
      <c r="P263" s="10" t="s">
        <v>46</v>
      </c>
      <c r="Q263" s="8" t="s">
        <v>46</v>
      </c>
      <c r="R263" s="10" t="s">
        <v>46</v>
      </c>
      <c r="S263" s="8" t="s">
        <v>46</v>
      </c>
      <c r="T263" s="8" t="s">
        <v>46</v>
      </c>
      <c r="U263" s="8" t="s">
        <v>46</v>
      </c>
      <c r="V263" s="10" t="s">
        <v>46</v>
      </c>
      <c r="W263" s="10" t="s">
        <v>46</v>
      </c>
      <c r="X263" s="10" t="s">
        <v>46</v>
      </c>
      <c r="Y263" s="8" t="s">
        <v>46</v>
      </c>
      <c r="Z263" s="8" t="s">
        <v>46</v>
      </c>
      <c r="AA263" s="10" t="s">
        <v>46</v>
      </c>
      <c r="AB263" s="10" t="s">
        <v>46</v>
      </c>
      <c r="AC263" s="8">
        <v>-67291000</v>
      </c>
      <c r="AD263" s="8"/>
      <c r="AE263" s="8"/>
      <c r="AF263" s="8"/>
      <c r="AG263" s="8"/>
      <c r="AH263" s="8"/>
      <c r="AI263" s="8"/>
      <c r="AJ263" s="8"/>
      <c r="AK263" s="8"/>
      <c r="AL263" s="8"/>
      <c r="AM263" s="8"/>
      <c r="AN263" s="8"/>
      <c r="AO263" s="8"/>
      <c r="AP263" s="8"/>
    </row>
    <row r="264" spans="1:42" ht="17">
      <c r="A264" s="8" t="s">
        <v>134</v>
      </c>
      <c r="B264" s="8" t="s">
        <v>45</v>
      </c>
      <c r="C264" s="8">
        <v>188809000</v>
      </c>
      <c r="D264" s="8" t="s">
        <v>46</v>
      </c>
      <c r="E264" s="10" t="s">
        <v>46</v>
      </c>
      <c r="F264" s="8" t="s">
        <v>46</v>
      </c>
      <c r="G264" s="8" t="s">
        <v>46</v>
      </c>
      <c r="H264" s="8">
        <v>189641000</v>
      </c>
      <c r="I264" s="8">
        <v>76483000</v>
      </c>
      <c r="J264" s="8" t="s">
        <v>46</v>
      </c>
      <c r="K264" s="10" t="s">
        <v>46</v>
      </c>
      <c r="L264" s="8" t="s">
        <v>46</v>
      </c>
      <c r="M264" s="8" t="s">
        <v>46</v>
      </c>
      <c r="N264" s="8">
        <v>-383783000</v>
      </c>
      <c r="O264" s="10" t="s">
        <v>46</v>
      </c>
      <c r="P264" s="10" t="s">
        <v>46</v>
      </c>
      <c r="Q264" s="8" t="s">
        <v>46</v>
      </c>
      <c r="R264" s="10" t="s">
        <v>46</v>
      </c>
      <c r="S264" s="8" t="s">
        <v>46</v>
      </c>
      <c r="T264" s="8" t="s">
        <v>46</v>
      </c>
      <c r="U264" s="8" t="s">
        <v>46</v>
      </c>
      <c r="V264" s="10" t="s">
        <v>46</v>
      </c>
      <c r="W264" s="10" t="s">
        <v>46</v>
      </c>
      <c r="X264" s="10" t="s">
        <v>46</v>
      </c>
      <c r="Y264" s="8" t="s">
        <v>46</v>
      </c>
      <c r="Z264" s="8" t="s">
        <v>46</v>
      </c>
      <c r="AA264" s="10" t="s">
        <v>46</v>
      </c>
      <c r="AB264" s="10" t="s">
        <v>46</v>
      </c>
      <c r="AC264" s="8">
        <v>-37975000</v>
      </c>
      <c r="AD264" s="8"/>
      <c r="AE264" s="8"/>
      <c r="AF264" s="8"/>
      <c r="AG264" s="8"/>
      <c r="AH264" s="8"/>
      <c r="AI264" s="8"/>
      <c r="AJ264" s="8"/>
      <c r="AK264" s="8"/>
      <c r="AL264" s="8"/>
      <c r="AM264" s="8"/>
      <c r="AN264" s="8"/>
      <c r="AO264" s="8"/>
      <c r="AP264" s="8"/>
    </row>
    <row r="265" spans="1:42" ht="17">
      <c r="A265" s="8" t="s">
        <v>135</v>
      </c>
      <c r="B265" s="8" t="s">
        <v>45</v>
      </c>
      <c r="C265" s="8">
        <v>-125309000</v>
      </c>
      <c r="D265" s="8" t="s">
        <v>46</v>
      </c>
      <c r="E265" s="10" t="s">
        <v>46</v>
      </c>
      <c r="F265" s="8" t="s">
        <v>46</v>
      </c>
      <c r="G265" s="8" t="s">
        <v>46</v>
      </c>
      <c r="H265" s="8">
        <v>183711000</v>
      </c>
      <c r="I265" s="8">
        <v>63969000</v>
      </c>
      <c r="J265" s="8" t="s">
        <v>46</v>
      </c>
      <c r="K265" s="10">
        <v>-206065000</v>
      </c>
      <c r="L265" s="8" t="s">
        <v>46</v>
      </c>
      <c r="M265" s="8" t="s">
        <v>46</v>
      </c>
      <c r="N265" s="8">
        <v>-252045000</v>
      </c>
      <c r="O265" s="10" t="s">
        <v>46</v>
      </c>
      <c r="P265" s="10" t="s">
        <v>46</v>
      </c>
      <c r="Q265" s="8" t="s">
        <v>46</v>
      </c>
      <c r="R265" s="10" t="s">
        <v>46</v>
      </c>
      <c r="S265" s="8" t="s">
        <v>46</v>
      </c>
      <c r="T265" s="8" t="s">
        <v>46</v>
      </c>
      <c r="U265" s="8" t="s">
        <v>46</v>
      </c>
      <c r="V265" s="10" t="s">
        <v>46</v>
      </c>
      <c r="W265" s="10" t="s">
        <v>46</v>
      </c>
      <c r="X265" s="10" t="s">
        <v>46</v>
      </c>
      <c r="Y265" s="8" t="s">
        <v>46</v>
      </c>
      <c r="Z265" s="8" t="s">
        <v>46</v>
      </c>
      <c r="AA265" s="10" t="s">
        <v>46</v>
      </c>
      <c r="AB265" s="10" t="s">
        <v>46</v>
      </c>
      <c r="AC265" s="8">
        <v>-131363000</v>
      </c>
      <c r="AD265" s="8"/>
      <c r="AE265" s="8"/>
      <c r="AF265" s="8"/>
      <c r="AG265" s="8"/>
      <c r="AH265" s="8"/>
      <c r="AI265" s="8"/>
      <c r="AJ265" s="8"/>
      <c r="AK265" s="8"/>
      <c r="AL265" s="8"/>
      <c r="AM265" s="8"/>
      <c r="AN265" s="8"/>
      <c r="AO265" s="8"/>
      <c r="AP265" s="8"/>
    </row>
    <row r="266" spans="1:42" ht="17">
      <c r="A266" s="8" t="s">
        <v>65</v>
      </c>
      <c r="B266" s="8" t="s">
        <v>45</v>
      </c>
      <c r="C266" s="8">
        <v>265831000</v>
      </c>
      <c r="D266" s="8" t="s">
        <v>46</v>
      </c>
      <c r="E266" s="10" t="s">
        <v>46</v>
      </c>
      <c r="F266" s="8" t="s">
        <v>46</v>
      </c>
      <c r="G266" s="8" t="s">
        <v>46</v>
      </c>
      <c r="H266" s="8">
        <v>183278000</v>
      </c>
      <c r="I266" s="8">
        <v>88169000</v>
      </c>
      <c r="J266" s="8" t="s">
        <v>46</v>
      </c>
      <c r="K266" s="10">
        <v>-3474000</v>
      </c>
      <c r="L266" s="8" t="s">
        <v>46</v>
      </c>
      <c r="M266" s="8" t="s">
        <v>46</v>
      </c>
      <c r="N266" s="8">
        <v>29119000</v>
      </c>
      <c r="O266" s="10" t="s">
        <v>46</v>
      </c>
      <c r="P266" s="10" t="s">
        <v>46</v>
      </c>
      <c r="Q266" s="8" t="s">
        <v>46</v>
      </c>
      <c r="R266" s="10" t="s">
        <v>46</v>
      </c>
      <c r="S266" s="8" t="s">
        <v>46</v>
      </c>
      <c r="T266" s="8" t="s">
        <v>46</v>
      </c>
      <c r="U266" s="8" t="s">
        <v>46</v>
      </c>
      <c r="V266" s="10" t="s">
        <v>46</v>
      </c>
      <c r="W266" s="10" t="s">
        <v>46</v>
      </c>
      <c r="X266" s="10" t="s">
        <v>46</v>
      </c>
      <c r="Y266" s="8" t="s">
        <v>46</v>
      </c>
      <c r="Z266" s="8" t="s">
        <v>46</v>
      </c>
      <c r="AA266" s="10" t="s">
        <v>46</v>
      </c>
      <c r="AB266" s="10" t="s">
        <v>46</v>
      </c>
      <c r="AC266" s="8">
        <v>-55627000</v>
      </c>
      <c r="AD266" s="8"/>
      <c r="AE266" s="8"/>
      <c r="AF266" s="8"/>
      <c r="AG266" s="8"/>
      <c r="AH266" s="8"/>
      <c r="AI266" s="8"/>
      <c r="AJ266" s="8"/>
      <c r="AK266" s="8"/>
      <c r="AL266" s="8"/>
      <c r="AM266" s="8"/>
      <c r="AN266" s="8"/>
      <c r="AO266" s="8"/>
      <c r="AP266" s="8"/>
    </row>
    <row r="267" spans="1:42" ht="17">
      <c r="A267" s="8" t="s">
        <v>136</v>
      </c>
      <c r="B267" s="8" t="s">
        <v>45</v>
      </c>
      <c r="C267" s="8">
        <v>263750000</v>
      </c>
      <c r="D267" s="8" t="s">
        <v>46</v>
      </c>
      <c r="E267" s="10" t="s">
        <v>46</v>
      </c>
      <c r="F267" s="8" t="s">
        <v>46</v>
      </c>
      <c r="G267" s="8" t="s">
        <v>46</v>
      </c>
      <c r="H267" s="8">
        <v>184079000</v>
      </c>
      <c r="I267" s="8">
        <v>65996000</v>
      </c>
      <c r="J267" s="8" t="s">
        <v>46</v>
      </c>
      <c r="K267" s="10" t="s">
        <v>46</v>
      </c>
      <c r="L267" s="8" t="s">
        <v>46</v>
      </c>
      <c r="M267" s="8" t="s">
        <v>46</v>
      </c>
      <c r="N267" s="8">
        <v>-7860000</v>
      </c>
      <c r="O267" s="10" t="s">
        <v>46</v>
      </c>
      <c r="P267" s="10" t="s">
        <v>46</v>
      </c>
      <c r="Q267" s="8" t="s">
        <v>46</v>
      </c>
      <c r="R267" s="10" t="s">
        <v>46</v>
      </c>
      <c r="S267" s="8" t="s">
        <v>46</v>
      </c>
      <c r="T267" s="8" t="s">
        <v>46</v>
      </c>
      <c r="U267" s="8" t="s">
        <v>46</v>
      </c>
      <c r="V267" s="10" t="s">
        <v>46</v>
      </c>
      <c r="W267" s="10" t="s">
        <v>46</v>
      </c>
      <c r="X267" s="10" t="s">
        <v>46</v>
      </c>
      <c r="Y267" s="8" t="s">
        <v>46</v>
      </c>
      <c r="Z267" s="8" t="s">
        <v>46</v>
      </c>
      <c r="AA267" s="10" t="s">
        <v>46</v>
      </c>
      <c r="AB267" s="10" t="s">
        <v>46</v>
      </c>
      <c r="AC267" s="8">
        <v>-150392000</v>
      </c>
      <c r="AD267" s="8"/>
      <c r="AE267" s="8"/>
      <c r="AF267" s="8"/>
      <c r="AG267" s="8"/>
      <c r="AH267" s="8"/>
      <c r="AI267" s="8"/>
      <c r="AJ267" s="8"/>
      <c r="AK267" s="8"/>
      <c r="AL267" s="8"/>
      <c r="AM267" s="8"/>
      <c r="AN267" s="8"/>
      <c r="AO267" s="8"/>
      <c r="AP267" s="8"/>
    </row>
    <row r="268" spans="1:42" ht="17">
      <c r="A268" s="8" t="s">
        <v>137</v>
      </c>
      <c r="B268" s="8" t="s">
        <v>45</v>
      </c>
      <c r="C268" s="8">
        <v>22557000</v>
      </c>
      <c r="D268" s="8" t="s">
        <v>46</v>
      </c>
      <c r="E268" s="10" t="s">
        <v>46</v>
      </c>
      <c r="F268" s="8" t="s">
        <v>46</v>
      </c>
      <c r="G268" s="8" t="s">
        <v>46</v>
      </c>
      <c r="H268" s="8">
        <v>184178000</v>
      </c>
      <c r="I268" s="8">
        <v>48085000</v>
      </c>
      <c r="J268" s="8" t="s">
        <v>46</v>
      </c>
      <c r="K268" s="10" t="s">
        <v>46</v>
      </c>
      <c r="L268" s="8" t="s">
        <v>46</v>
      </c>
      <c r="M268" s="8" t="s">
        <v>46</v>
      </c>
      <c r="N268" s="8">
        <v>33775000</v>
      </c>
      <c r="O268" s="10" t="s">
        <v>46</v>
      </c>
      <c r="P268" s="10" t="s">
        <v>46</v>
      </c>
      <c r="Q268" s="8" t="s">
        <v>46</v>
      </c>
      <c r="R268" s="10" t="s">
        <v>46</v>
      </c>
      <c r="S268" s="8" t="s">
        <v>46</v>
      </c>
      <c r="T268" s="8" t="s">
        <v>46</v>
      </c>
      <c r="U268" s="8" t="s">
        <v>46</v>
      </c>
      <c r="V268" s="10" t="s">
        <v>46</v>
      </c>
      <c r="W268" s="10" t="s">
        <v>46</v>
      </c>
      <c r="X268" s="10" t="s">
        <v>46</v>
      </c>
      <c r="Y268" s="8" t="s">
        <v>46</v>
      </c>
      <c r="Z268" s="8" t="s">
        <v>46</v>
      </c>
      <c r="AA268" s="10" t="s">
        <v>46</v>
      </c>
      <c r="AB268" s="10" t="s">
        <v>46</v>
      </c>
      <c r="AC268" s="8">
        <v>-77207000</v>
      </c>
      <c r="AD268" s="8"/>
      <c r="AE268" s="8"/>
      <c r="AF268" s="8"/>
      <c r="AG268" s="8"/>
      <c r="AH268" s="8"/>
      <c r="AI268" s="8"/>
      <c r="AJ268" s="8"/>
      <c r="AK268" s="8"/>
      <c r="AL268" s="8"/>
      <c r="AM268" s="8"/>
      <c r="AN268" s="8"/>
      <c r="AO268" s="8"/>
      <c r="AP268" s="8"/>
    </row>
    <row r="269" spans="1:42" ht="17">
      <c r="A269" s="8" t="s">
        <v>138</v>
      </c>
      <c r="B269" s="8" t="s">
        <v>45</v>
      </c>
      <c r="C269" s="8">
        <v>30235000</v>
      </c>
      <c r="D269" s="8" t="s">
        <v>46</v>
      </c>
      <c r="E269" s="10" t="s">
        <v>46</v>
      </c>
      <c r="F269" s="8" t="s">
        <v>46</v>
      </c>
      <c r="G269" s="8" t="s">
        <v>46</v>
      </c>
      <c r="H269" s="8">
        <v>181334000</v>
      </c>
      <c r="I269" s="8">
        <v>55324000</v>
      </c>
      <c r="J269" s="8" t="s">
        <v>46</v>
      </c>
      <c r="K269" s="10">
        <v>-9959000</v>
      </c>
      <c r="L269" s="8" t="s">
        <v>46</v>
      </c>
      <c r="M269" s="8" t="s">
        <v>46</v>
      </c>
      <c r="N269" s="8">
        <v>-360278000</v>
      </c>
      <c r="O269" s="10" t="s">
        <v>46</v>
      </c>
      <c r="P269" s="10" t="s">
        <v>46</v>
      </c>
      <c r="Q269" s="8" t="s">
        <v>46</v>
      </c>
      <c r="R269" s="10" t="s">
        <v>46</v>
      </c>
      <c r="S269" s="8" t="s">
        <v>46</v>
      </c>
      <c r="T269" s="8" t="s">
        <v>46</v>
      </c>
      <c r="U269" s="8" t="s">
        <v>46</v>
      </c>
      <c r="V269" s="10" t="s">
        <v>46</v>
      </c>
      <c r="W269" s="10" t="s">
        <v>46</v>
      </c>
      <c r="X269" s="10" t="s">
        <v>46</v>
      </c>
      <c r="Y269" s="8">
        <v>36000</v>
      </c>
      <c r="Z269" s="8" t="s">
        <v>46</v>
      </c>
      <c r="AA269" s="10" t="s">
        <v>46</v>
      </c>
      <c r="AB269" s="10" t="s">
        <v>46</v>
      </c>
      <c r="AC269" s="8">
        <v>-179627000</v>
      </c>
      <c r="AD269" s="8"/>
      <c r="AE269" s="8"/>
      <c r="AF269" s="8"/>
      <c r="AG269" s="8"/>
      <c r="AH269" s="8"/>
      <c r="AI269" s="8"/>
      <c r="AJ269" s="8"/>
      <c r="AK269" s="8"/>
      <c r="AL269" s="8"/>
      <c r="AM269" s="8"/>
      <c r="AN269" s="8"/>
      <c r="AO269" s="8"/>
      <c r="AP269" s="8"/>
    </row>
    <row r="270" spans="1:42" ht="17">
      <c r="A270" s="8" t="s">
        <v>66</v>
      </c>
      <c r="B270" s="8" t="s">
        <v>45</v>
      </c>
      <c r="C270" s="8">
        <v>171073000</v>
      </c>
      <c r="D270" s="8" t="s">
        <v>46</v>
      </c>
      <c r="E270" s="10" t="s">
        <v>46</v>
      </c>
      <c r="F270" s="8" t="s">
        <v>46</v>
      </c>
      <c r="G270" s="8" t="s">
        <v>46</v>
      </c>
      <c r="H270" s="8">
        <v>191480000</v>
      </c>
      <c r="I270" s="8">
        <v>72993000</v>
      </c>
      <c r="J270" s="8" t="s">
        <v>46</v>
      </c>
      <c r="K270" s="10">
        <v>-71291000</v>
      </c>
      <c r="L270" s="8" t="s">
        <v>46</v>
      </c>
      <c r="M270" s="8" t="s">
        <v>46</v>
      </c>
      <c r="N270" s="8">
        <v>412881000</v>
      </c>
      <c r="O270" s="10" t="s">
        <v>46</v>
      </c>
      <c r="P270" s="10" t="s">
        <v>46</v>
      </c>
      <c r="Q270" s="8" t="s">
        <v>46</v>
      </c>
      <c r="R270" s="10" t="s">
        <v>46</v>
      </c>
      <c r="S270" s="8" t="s">
        <v>46</v>
      </c>
      <c r="T270" s="8" t="s">
        <v>46</v>
      </c>
      <c r="U270" s="8" t="s">
        <v>46</v>
      </c>
      <c r="V270" s="10" t="s">
        <v>46</v>
      </c>
      <c r="W270" s="10" t="s">
        <v>46</v>
      </c>
      <c r="X270" s="10" t="s">
        <v>46</v>
      </c>
      <c r="Y270" s="8">
        <v>36000</v>
      </c>
      <c r="Z270" s="8" t="s">
        <v>46</v>
      </c>
      <c r="AA270" s="10" t="s">
        <v>46</v>
      </c>
      <c r="AB270" s="10" t="s">
        <v>46</v>
      </c>
      <c r="AC270" s="8">
        <v>149667000</v>
      </c>
      <c r="AD270" s="8"/>
      <c r="AE270" s="8"/>
      <c r="AF270" s="8"/>
      <c r="AG270" s="8"/>
      <c r="AH270" s="8"/>
      <c r="AI270" s="8"/>
      <c r="AJ270" s="8"/>
      <c r="AK270" s="8"/>
      <c r="AL270" s="8"/>
      <c r="AM270" s="8"/>
      <c r="AN270" s="8"/>
      <c r="AO270" s="8"/>
      <c r="AP270" s="8"/>
    </row>
    <row r="271" spans="1:42" ht="17">
      <c r="A271" s="8" t="s">
        <v>139</v>
      </c>
      <c r="B271" s="8" t="s">
        <v>45</v>
      </c>
      <c r="C271" s="8">
        <v>94055000</v>
      </c>
      <c r="D271" s="8" t="s">
        <v>46</v>
      </c>
      <c r="E271" s="10" t="s">
        <v>46</v>
      </c>
      <c r="F271" s="8" t="s">
        <v>46</v>
      </c>
      <c r="G271" s="8" t="s">
        <v>46</v>
      </c>
      <c r="H271" s="8">
        <v>190189000</v>
      </c>
      <c r="I271" s="8">
        <v>51246000</v>
      </c>
      <c r="J271" s="8" t="s">
        <v>46</v>
      </c>
      <c r="K271" s="10" t="s">
        <v>46</v>
      </c>
      <c r="L271" s="8" t="s">
        <v>46</v>
      </c>
      <c r="M271" s="8" t="s">
        <v>46</v>
      </c>
      <c r="N271" s="8">
        <v>-181657000</v>
      </c>
      <c r="O271" s="10" t="s">
        <v>46</v>
      </c>
      <c r="P271" s="10" t="s">
        <v>46</v>
      </c>
      <c r="Q271" s="8" t="s">
        <v>46</v>
      </c>
      <c r="R271" s="10" t="s">
        <v>46</v>
      </c>
      <c r="S271" s="8" t="s">
        <v>46</v>
      </c>
      <c r="T271" s="8" t="s">
        <v>46</v>
      </c>
      <c r="U271" s="8" t="s">
        <v>46</v>
      </c>
      <c r="V271" s="10" t="s">
        <v>46</v>
      </c>
      <c r="W271" s="10" t="s">
        <v>46</v>
      </c>
      <c r="X271" s="10" t="s">
        <v>46</v>
      </c>
      <c r="Y271" s="8">
        <v>-98000</v>
      </c>
      <c r="Z271" s="8" t="s">
        <v>46</v>
      </c>
      <c r="AA271" s="10" t="s">
        <v>46</v>
      </c>
      <c r="AB271" s="10" t="s">
        <v>46</v>
      </c>
      <c r="AC271" s="8">
        <v>-92671000</v>
      </c>
      <c r="AD271" s="8"/>
      <c r="AE271" s="8"/>
      <c r="AF271" s="8"/>
      <c r="AG271" s="8"/>
      <c r="AH271" s="8"/>
      <c r="AI271" s="8"/>
      <c r="AJ271" s="8"/>
      <c r="AK271" s="8"/>
      <c r="AL271" s="8"/>
      <c r="AM271" s="8"/>
      <c r="AN271" s="8"/>
      <c r="AO271" s="8"/>
      <c r="AP271" s="8"/>
    </row>
    <row r="272" spans="1:42" ht="17">
      <c r="A272" s="8" t="s">
        <v>140</v>
      </c>
      <c r="B272" s="8" t="s">
        <v>45</v>
      </c>
      <c r="C272" s="8">
        <v>43066000</v>
      </c>
      <c r="D272" s="8" t="s">
        <v>46</v>
      </c>
      <c r="E272" s="10" t="s">
        <v>46</v>
      </c>
      <c r="F272" s="8" t="s">
        <v>46</v>
      </c>
      <c r="G272" s="8" t="s">
        <v>46</v>
      </c>
      <c r="H272" s="8">
        <v>208246000</v>
      </c>
      <c r="I272" s="8">
        <v>46277000</v>
      </c>
      <c r="J272" s="8" t="s">
        <v>46</v>
      </c>
      <c r="K272" s="10" t="s">
        <v>46</v>
      </c>
      <c r="L272" s="8" t="s">
        <v>46</v>
      </c>
      <c r="M272" s="8" t="s">
        <v>46</v>
      </c>
      <c r="N272" s="8">
        <v>-92569000</v>
      </c>
      <c r="O272" s="10" t="s">
        <v>46</v>
      </c>
      <c r="P272" s="10" t="s">
        <v>46</v>
      </c>
      <c r="Q272" s="8" t="s">
        <v>46</v>
      </c>
      <c r="R272" s="10" t="s">
        <v>46</v>
      </c>
      <c r="S272" s="8" t="s">
        <v>46</v>
      </c>
      <c r="T272" s="8" t="s">
        <v>46</v>
      </c>
      <c r="U272" s="8" t="s">
        <v>46</v>
      </c>
      <c r="V272" s="10" t="s">
        <v>46</v>
      </c>
      <c r="W272" s="10" t="s">
        <v>46</v>
      </c>
      <c r="X272" s="10" t="s">
        <v>46</v>
      </c>
      <c r="Y272" s="8">
        <v>-122000</v>
      </c>
      <c r="Z272" s="8" t="s">
        <v>46</v>
      </c>
      <c r="AA272" s="10" t="s">
        <v>46</v>
      </c>
      <c r="AB272" s="10" t="s">
        <v>46</v>
      </c>
      <c r="AC272" s="9">
        <v>-3678000000</v>
      </c>
      <c r="AD272" s="8"/>
      <c r="AE272" s="8"/>
      <c r="AF272" s="8"/>
      <c r="AG272" s="8"/>
      <c r="AH272" s="8"/>
      <c r="AI272" s="8"/>
      <c r="AJ272" s="8"/>
      <c r="AK272" s="8"/>
      <c r="AL272" s="8"/>
      <c r="AM272" s="8"/>
      <c r="AN272" s="8"/>
      <c r="AO272" s="8"/>
      <c r="AP272" s="8"/>
    </row>
    <row r="273" spans="1:42" ht="17">
      <c r="A273" s="8" t="s">
        <v>141</v>
      </c>
      <c r="B273" s="8" t="s">
        <v>45</v>
      </c>
      <c r="C273" s="8">
        <v>-127019000</v>
      </c>
      <c r="D273" s="8" t="s">
        <v>46</v>
      </c>
      <c r="E273" s="10" t="s">
        <v>46</v>
      </c>
      <c r="F273" s="8" t="s">
        <v>46</v>
      </c>
      <c r="G273" s="8" t="s">
        <v>46</v>
      </c>
      <c r="H273" s="8">
        <v>175559000</v>
      </c>
      <c r="I273" s="8">
        <v>53276000</v>
      </c>
      <c r="J273" s="8" t="s">
        <v>46</v>
      </c>
      <c r="K273" s="10" t="s">
        <v>46</v>
      </c>
      <c r="L273" s="8" t="s">
        <v>46</v>
      </c>
      <c r="M273" s="8" t="s">
        <v>46</v>
      </c>
      <c r="N273" s="8">
        <v>1466067000</v>
      </c>
      <c r="O273" s="10" t="s">
        <v>46</v>
      </c>
      <c r="P273" s="10" t="s">
        <v>46</v>
      </c>
      <c r="Q273" s="8" t="s">
        <v>46</v>
      </c>
      <c r="R273" s="10" t="s">
        <v>46</v>
      </c>
      <c r="S273" s="8" t="s">
        <v>46</v>
      </c>
      <c r="T273" s="8" t="s">
        <v>46</v>
      </c>
      <c r="U273" s="8" t="s">
        <v>46</v>
      </c>
      <c r="V273" s="10" t="s">
        <v>46</v>
      </c>
      <c r="W273" s="10" t="s">
        <v>46</v>
      </c>
      <c r="X273" s="10" t="s">
        <v>46</v>
      </c>
      <c r="Y273" s="8">
        <v>-46000</v>
      </c>
      <c r="Z273" s="8" t="s">
        <v>46</v>
      </c>
      <c r="AA273" s="10" t="s">
        <v>46</v>
      </c>
      <c r="AB273" s="10" t="s">
        <v>46</v>
      </c>
      <c r="AC273" s="8">
        <v>-427999000</v>
      </c>
      <c r="AD273" s="8"/>
      <c r="AE273" s="8"/>
      <c r="AF273" s="8"/>
      <c r="AG273" s="8"/>
      <c r="AH273" s="8"/>
      <c r="AI273" s="8"/>
      <c r="AJ273" s="8"/>
      <c r="AK273" s="8"/>
      <c r="AL273" s="8"/>
      <c r="AM273" s="8"/>
      <c r="AN273" s="8"/>
      <c r="AO273" s="8"/>
      <c r="AP273" s="8"/>
    </row>
    <row r="274" spans="1:42" ht="17">
      <c r="A274" s="8" t="s">
        <v>67</v>
      </c>
      <c r="B274" s="8" t="s">
        <v>45</v>
      </c>
      <c r="C274" s="8">
        <v>205131000</v>
      </c>
      <c r="D274" s="8" t="s">
        <v>46</v>
      </c>
      <c r="E274" s="10" t="s">
        <v>46</v>
      </c>
      <c r="F274" s="8" t="s">
        <v>46</v>
      </c>
      <c r="G274" s="8" t="s">
        <v>46</v>
      </c>
      <c r="H274" s="8">
        <v>239901000</v>
      </c>
      <c r="I274" s="8">
        <v>141316000</v>
      </c>
      <c r="J274" s="8" t="s">
        <v>46</v>
      </c>
      <c r="K274" s="10" t="s">
        <v>46</v>
      </c>
      <c r="L274" s="8" t="s">
        <v>46</v>
      </c>
      <c r="M274" s="8" t="s">
        <v>46</v>
      </c>
      <c r="N274" s="8">
        <v>-5532000</v>
      </c>
      <c r="O274" s="10" t="s">
        <v>46</v>
      </c>
      <c r="P274" s="10" t="s">
        <v>46</v>
      </c>
      <c r="Q274" s="8" t="s">
        <v>46</v>
      </c>
      <c r="R274" s="10" t="s">
        <v>46</v>
      </c>
      <c r="S274" s="8">
        <v>93367000</v>
      </c>
      <c r="T274" s="8">
        <v>93367000</v>
      </c>
      <c r="U274" s="8" t="s">
        <v>46</v>
      </c>
      <c r="V274" s="10" t="s">
        <v>46</v>
      </c>
      <c r="W274" s="10" t="s">
        <v>46</v>
      </c>
      <c r="X274" s="10" t="s">
        <v>46</v>
      </c>
      <c r="Y274" s="8">
        <v>-46000</v>
      </c>
      <c r="Z274" s="8" t="s">
        <v>46</v>
      </c>
      <c r="AA274" s="10" t="s">
        <v>46</v>
      </c>
      <c r="AB274" s="10" t="s">
        <v>46</v>
      </c>
      <c r="AC274" s="9">
        <v>-5006000000</v>
      </c>
      <c r="AD274" s="8"/>
      <c r="AE274" s="8"/>
      <c r="AF274" s="8"/>
      <c r="AG274" s="8"/>
      <c r="AH274" s="8"/>
      <c r="AI274" s="8"/>
      <c r="AJ274" s="8"/>
      <c r="AK274" s="8"/>
      <c r="AL274" s="8"/>
      <c r="AM274" s="8"/>
      <c r="AN274" s="8"/>
      <c r="AO274" s="8"/>
      <c r="AP274" s="8"/>
    </row>
    <row r="275" spans="1:42" ht="17">
      <c r="A275" s="8" t="s">
        <v>142</v>
      </c>
      <c r="B275" s="8" t="s">
        <v>45</v>
      </c>
      <c r="C275" s="8">
        <v>409902000</v>
      </c>
      <c r="D275" s="8" t="s">
        <v>46</v>
      </c>
      <c r="E275" s="10" t="s">
        <v>46</v>
      </c>
      <c r="F275" s="8" t="s">
        <v>46</v>
      </c>
      <c r="G275" s="8" t="s">
        <v>46</v>
      </c>
      <c r="H275" s="8">
        <v>162463000</v>
      </c>
      <c r="I275" s="8">
        <v>77413000</v>
      </c>
      <c r="J275" s="8" t="s">
        <v>46</v>
      </c>
      <c r="K275" s="10" t="s">
        <v>46</v>
      </c>
      <c r="L275" s="8" t="s">
        <v>46</v>
      </c>
      <c r="M275" s="8" t="s">
        <v>46</v>
      </c>
      <c r="N275" s="9">
        <v>16912000000</v>
      </c>
      <c r="O275" s="10" t="s">
        <v>46</v>
      </c>
      <c r="P275" s="10" t="s">
        <v>46</v>
      </c>
      <c r="Q275" s="8" t="s">
        <v>46</v>
      </c>
      <c r="R275" s="10" t="s">
        <v>46</v>
      </c>
      <c r="S275" s="8" t="s">
        <v>46</v>
      </c>
      <c r="T275" s="8" t="s">
        <v>46</v>
      </c>
      <c r="U275" s="8" t="s">
        <v>46</v>
      </c>
      <c r="V275" s="10" t="s">
        <v>46</v>
      </c>
      <c r="W275" s="10" t="s">
        <v>46</v>
      </c>
      <c r="X275" s="10" t="s">
        <v>46</v>
      </c>
      <c r="Y275" s="8">
        <v>-2000</v>
      </c>
      <c r="Z275" s="8" t="s">
        <v>46</v>
      </c>
      <c r="AA275" s="10" t="s">
        <v>46</v>
      </c>
      <c r="AB275" s="10" t="s">
        <v>46</v>
      </c>
      <c r="AC275" s="8">
        <v>-60096000</v>
      </c>
      <c r="AD275" s="8"/>
      <c r="AE275" s="8"/>
      <c r="AF275" s="8"/>
      <c r="AG275" s="8"/>
      <c r="AH275" s="8"/>
      <c r="AI275" s="8"/>
      <c r="AJ275" s="8"/>
      <c r="AK275" s="8"/>
      <c r="AL275" s="8"/>
      <c r="AM275" s="8"/>
      <c r="AN275" s="8"/>
      <c r="AO275" s="8"/>
      <c r="AP275" s="8"/>
    </row>
    <row r="276" spans="1:42" ht="17">
      <c r="A276" s="8" t="s">
        <v>143</v>
      </c>
      <c r="B276" s="8" t="s">
        <v>45</v>
      </c>
      <c r="C276" s="8">
        <v>321278000</v>
      </c>
      <c r="D276" s="8" t="s">
        <v>46</v>
      </c>
      <c r="E276" s="10" t="s">
        <v>46</v>
      </c>
      <c r="F276" s="8" t="s">
        <v>46</v>
      </c>
      <c r="G276" s="8" t="s">
        <v>46</v>
      </c>
      <c r="H276" s="8">
        <v>142188000</v>
      </c>
      <c r="I276" s="8">
        <v>34136000</v>
      </c>
      <c r="J276" s="8" t="s">
        <v>46</v>
      </c>
      <c r="K276" s="10" t="s">
        <v>46</v>
      </c>
      <c r="L276" s="8" t="s">
        <v>46</v>
      </c>
      <c r="M276" s="8" t="s">
        <v>46</v>
      </c>
      <c r="N276" s="8">
        <v>-244292000</v>
      </c>
      <c r="O276" s="10" t="s">
        <v>46</v>
      </c>
      <c r="P276" s="10" t="s">
        <v>46</v>
      </c>
      <c r="Q276" s="8" t="s">
        <v>46</v>
      </c>
      <c r="R276" s="10" t="s">
        <v>46</v>
      </c>
      <c r="S276" s="8" t="s">
        <v>46</v>
      </c>
      <c r="T276" s="8" t="s">
        <v>46</v>
      </c>
      <c r="U276" s="8" t="s">
        <v>46</v>
      </c>
      <c r="V276" s="10" t="s">
        <v>46</v>
      </c>
      <c r="W276" s="10" t="s">
        <v>46</v>
      </c>
      <c r="X276" s="10" t="s">
        <v>46</v>
      </c>
      <c r="Y276" s="8">
        <v>-2523000</v>
      </c>
      <c r="Z276" s="8" t="s">
        <v>46</v>
      </c>
      <c r="AA276" s="10" t="s">
        <v>46</v>
      </c>
      <c r="AB276" s="10" t="s">
        <v>46</v>
      </c>
      <c r="AC276" s="8">
        <v>268906000</v>
      </c>
      <c r="AD276" s="8"/>
      <c r="AE276" s="8"/>
      <c r="AF276" s="8"/>
      <c r="AG276" s="8"/>
      <c r="AH276" s="8"/>
      <c r="AI276" s="8"/>
      <c r="AJ276" s="8"/>
      <c r="AK276" s="8"/>
      <c r="AL276" s="8"/>
      <c r="AM276" s="8"/>
      <c r="AN276" s="8"/>
      <c r="AO276" s="8"/>
      <c r="AP276" s="8"/>
    </row>
    <row r="277" spans="1:42" ht="17">
      <c r="A277" s="8" t="s">
        <v>144</v>
      </c>
      <c r="B277" s="8" t="s">
        <v>45</v>
      </c>
      <c r="C277" s="8">
        <v>279651000</v>
      </c>
      <c r="D277" s="8" t="s">
        <v>46</v>
      </c>
      <c r="E277" s="10" t="s">
        <v>46</v>
      </c>
      <c r="F277" s="8" t="s">
        <v>46</v>
      </c>
      <c r="G277" s="8" t="s">
        <v>46</v>
      </c>
      <c r="H277" s="8">
        <v>152278000</v>
      </c>
      <c r="I277" s="8">
        <v>177590000</v>
      </c>
      <c r="J277" s="8" t="s">
        <v>46</v>
      </c>
      <c r="K277" s="10" t="s">
        <v>46</v>
      </c>
      <c r="L277" s="8" t="s">
        <v>46</v>
      </c>
      <c r="M277" s="8" t="s">
        <v>46</v>
      </c>
      <c r="N277" s="8">
        <v>-754449000</v>
      </c>
      <c r="O277" s="10" t="s">
        <v>46</v>
      </c>
      <c r="P277" s="10" t="s">
        <v>46</v>
      </c>
      <c r="Q277" s="8" t="s">
        <v>46</v>
      </c>
      <c r="R277" s="10" t="s">
        <v>46</v>
      </c>
      <c r="S277" s="8">
        <v>93367000</v>
      </c>
      <c r="T277" s="8">
        <v>93367000</v>
      </c>
      <c r="U277" s="8" t="s">
        <v>46</v>
      </c>
      <c r="V277" s="10" t="s">
        <v>46</v>
      </c>
      <c r="W277" s="10" t="s">
        <v>46</v>
      </c>
      <c r="X277" s="10" t="s">
        <v>46</v>
      </c>
      <c r="Y277" s="8">
        <v>-1257000</v>
      </c>
      <c r="Z277" s="8" t="s">
        <v>46</v>
      </c>
      <c r="AA277" s="10" t="s">
        <v>46</v>
      </c>
      <c r="AB277" s="10" t="s">
        <v>46</v>
      </c>
      <c r="AC277" s="8">
        <v>169780000</v>
      </c>
      <c r="AD277" s="8"/>
      <c r="AE277" s="8"/>
      <c r="AF277" s="8"/>
      <c r="AG277" s="8"/>
      <c r="AH277" s="8"/>
      <c r="AI277" s="8"/>
      <c r="AJ277" s="8"/>
      <c r="AK277" s="8"/>
      <c r="AL277" s="8"/>
      <c r="AM277" s="8"/>
      <c r="AN277" s="8"/>
      <c r="AO277" s="8"/>
      <c r="AP277" s="8"/>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outlinePr summaryBelow="0" summaryRight="0"/>
  </sheetPr>
  <dimension ref="A1:U168"/>
  <sheetViews>
    <sheetView showGridLines="0" tabSelected="1" topLeftCell="A2" zoomScaleNormal="100" workbookViewId="0">
      <selection activeCell="K11" sqref="K11"/>
    </sheetView>
  </sheetViews>
  <sheetFormatPr baseColWidth="10" defaultColWidth="12.5" defaultRowHeight="15.75" customHeight="1"/>
  <cols>
    <col min="1" max="1" width="9.33203125" customWidth="1"/>
    <col min="2" max="2" width="21" customWidth="1"/>
    <col min="3" max="3" width="0" hidden="1" customWidth="1"/>
    <col min="4" max="4" width="28.5" hidden="1" customWidth="1"/>
    <col min="5" max="5" width="18.33203125" customWidth="1"/>
    <col min="6" max="7" width="15.33203125" hidden="1" customWidth="1"/>
    <col min="8" max="8" width="12.6640625" hidden="1" customWidth="1"/>
    <col min="9" max="18" width="18.33203125" style="25" customWidth="1"/>
    <col min="19" max="19" width="12.6640625" style="26" bestFit="1" customWidth="1"/>
    <col min="20" max="20" width="11.6640625" hidden="1" customWidth="1"/>
    <col min="21" max="21" width="0" hidden="1" customWidth="1"/>
  </cols>
  <sheetData>
    <row r="1" spans="1:21" ht="15.75" hidden="1" customHeight="1"/>
    <row r="2" spans="1:21" ht="15.75" customHeight="1">
      <c r="A2" s="23" t="s">
        <v>186</v>
      </c>
      <c r="B2" s="23" t="str" cm="1">
        <f t="array" aca="1" ref="B2" ca="1">_FV(E2,"Ticker symbol",TRUE)</f>
        <v>TSLA</v>
      </c>
      <c r="D2" t="s">
        <v>186</v>
      </c>
      <c r="E2" s="31" t="e" vm="1">
        <v>#VALUE!</v>
      </c>
      <c r="F2" s="32"/>
      <c r="G2" s="32"/>
      <c r="H2" s="33"/>
      <c r="I2" s="273" t="str">
        <f>Ticker!A4</f>
        <v>No description available</v>
      </c>
      <c r="J2" s="273"/>
      <c r="K2" s="273"/>
      <c r="L2" s="273"/>
      <c r="M2" s="273"/>
      <c r="N2" s="273"/>
      <c r="O2" s="273"/>
      <c r="P2" s="273"/>
      <c r="Q2" s="273"/>
      <c r="R2" s="273"/>
    </row>
    <row r="3" spans="1:21" ht="45" customHeight="1" thickBot="1">
      <c r="D3" s="13"/>
      <c r="E3" s="88" t="s">
        <v>0</v>
      </c>
      <c r="F3" s="13"/>
      <c r="G3" s="13"/>
      <c r="H3" s="13"/>
      <c r="I3" s="273"/>
      <c r="J3" s="273"/>
      <c r="K3" s="273"/>
      <c r="L3" s="273"/>
      <c r="M3" s="273"/>
      <c r="N3" s="273"/>
      <c r="O3" s="273"/>
      <c r="P3" s="273"/>
      <c r="Q3" s="273"/>
      <c r="R3" s="273"/>
    </row>
    <row r="4" spans="1:21" ht="15.75" hidden="1" customHeight="1">
      <c r="D4" t="s">
        <v>187</v>
      </c>
      <c r="E4" t="s">
        <v>188</v>
      </c>
      <c r="F4">
        <v>14</v>
      </c>
      <c r="G4">
        <v>13</v>
      </c>
      <c r="H4">
        <v>12</v>
      </c>
      <c r="I4" s="27">
        <v>11</v>
      </c>
      <c r="J4" s="25">
        <v>10</v>
      </c>
      <c r="K4" s="25">
        <v>9</v>
      </c>
      <c r="L4" s="25">
        <v>8</v>
      </c>
      <c r="M4" s="25">
        <v>7</v>
      </c>
      <c r="N4" s="25">
        <v>6</v>
      </c>
      <c r="O4" s="25">
        <v>5</v>
      </c>
      <c r="P4" s="25">
        <v>4</v>
      </c>
      <c r="Q4" s="25">
        <v>3</v>
      </c>
      <c r="R4" s="25">
        <v>2</v>
      </c>
    </row>
    <row r="5" spans="1:21" ht="17" customHeight="1" thickBot="1">
      <c r="D5" s="13" t="s">
        <v>17</v>
      </c>
      <c r="E5" s="77" t="s">
        <v>246</v>
      </c>
      <c r="F5" s="78"/>
      <c r="G5" s="78"/>
      <c r="H5" s="78"/>
      <c r="I5" s="79" t="str">
        <f>IFERROR(
  IF($E$3="Annual",
    IFERROR(HLOOKUP($D$5, Annual!$A$2:$AX$100, $I$4, FALSE), ""),
    IFERROR(HLOOKUP($D$5, Quarterly!$A$2:$AX$100, $I$4, FALSE), "")
  ),
"")</f>
        <v/>
      </c>
      <c r="J5" s="79" t="str">
        <f>IFERROR(
  IF($E$3="Annual",
    IFERROR(HLOOKUP($D$5, Annual!$A$2:$AX$100, $J$4, FALSE), ""),
    IFERROR(HLOOKUP($D$5, Quarterly!$A$2:$AX$100, $J$4, FALSE), "")
  ),
"")</f>
        <v/>
      </c>
      <c r="K5" s="79" t="str">
        <f>IFERROR(
  IF($E$3="Annual",
    IFERROR(HLOOKUP($D$5, Annual!$A$2:$AX$100, $K$4, FALSE), ""),
    IFERROR(HLOOKUP($D$5, Quarterly!$A$2:$AX$100, $K$4, FALSE), "")
  ),
"")</f>
        <v/>
      </c>
      <c r="L5" s="79" t="str">
        <f>IFERROR(
  IF($E$3="Annual",
    IFERROR(HLOOKUP($D$5, Annual!$A$2:$AX$100, $L$4, FALSE), ""),
    IFERROR(HLOOKUP($D$5, Quarterly!$A$2:$AX$100, $L$4, FALSE), "")
  ),
"")</f>
        <v/>
      </c>
      <c r="M5" s="79" t="str">
        <f>IFERROR(
  IF($E$3="Annual",
    IFERROR(HLOOKUP($D$5, Annual!$A$2:$AX$100, $M$4, FALSE), ""),
    IFERROR(HLOOKUP($D$5, Quarterly!$A$2:$AX$100, $M$4, FALSE), "")
  ),
"")</f>
        <v/>
      </c>
      <c r="N5" s="79" t="str">
        <f>IFERROR(
  IF($E$3="Annual",
    IFERROR(HLOOKUP($D$5, Annual!$A$2:$AX$100, $N$4, FALSE), ""),
    IFERROR(HLOOKUP($D$5, Quarterly!$A$2:$AX$100, $N$4, FALSE), "")
  ),
"")</f>
        <v/>
      </c>
      <c r="O5" s="79" t="str">
        <f>IFERROR(
  IF($E$3="Annual",
    IFERROR(HLOOKUP($D$5, Annual!$A$2:$AX$100, $O$4, FALSE), ""),
    IFERROR(HLOOKUP($D$5, Quarterly!$A$2:$AX$100, $O$4, FALSE), "")
  ),
"")</f>
        <v/>
      </c>
      <c r="P5" s="79" t="str">
        <f>IFERROR(
  IF($E$3="Annual",
    IFERROR(HLOOKUP($D$5, Annual!$A$2:$AX$100, $P$4, FALSE), ""),
    IFERROR(HLOOKUP($D$5, Quarterly!$A$2:$AX$100, $P$4, FALSE), "")
  ),
"")</f>
        <v/>
      </c>
      <c r="Q5" s="79" t="str">
        <f>IFERROR(
  IF($E$3="Annual",
    IFERROR(HLOOKUP($D$5, Annual!$A$2:$AX$100, $Q$4, FALSE), ""),
    IFERROR(HLOOKUP($D$5, Quarterly!$A$2:$AX$100, $Q$4, FALSE), "")
  ),
"")</f>
        <v/>
      </c>
      <c r="R5" s="81" t="str">
        <f>IFERROR(
  IF($E$3="Annual",
    IFERROR(HLOOKUP($D$5, Annual!$A$2:$AX$100, $R$4, FALSE), ""),
    IFERROR(HLOOKUP($D$5, Quarterly!$A$2:$AX$100, $R$4, FALSE), "")
  ),
"")</f>
        <v/>
      </c>
      <c r="T5" s="23" t="s">
        <v>272</v>
      </c>
      <c r="U5" s="23" t="s">
        <v>273</v>
      </c>
    </row>
    <row r="6" spans="1:21" ht="15.75" customHeight="1">
      <c r="A6" t="s">
        <v>189</v>
      </c>
      <c r="B6" s="84" cm="1">
        <f t="array" aca="1" ref="B6" ca="1">_FV(E2,"Price")</f>
        <v>315.35000000000002</v>
      </c>
      <c r="D6" s="14" t="s">
        <v>87</v>
      </c>
      <c r="E6" s="70" t="s">
        <v>248</v>
      </c>
      <c r="F6" s="47">
        <f>IFERROR(
  IF($E$3="Annual",
    IFERROR(HLOOKUP(D6, Annual!$A$25:$AX$100, $F$4, FALSE), ""),
    IFERROR(HLOOKUP(D6, Quarterly!$A$86:$AX$100, $F$4, FALSE), "")
  ),
"")</f>
        <v>26469940000</v>
      </c>
      <c r="G6" s="47">
        <f>IFERROR(
  IF($E$3="Annual",
    IFERROR(HLOOKUP($D$6, Annual!$A$25:$AX$100, $G$4, FALSE), ""),
    IFERROR(HLOOKUP($D$6, Quarterly!$A$86:$AX$100, $G$4, FALSE), "")
  ),
"")</f>
        <v>26086536000</v>
      </c>
      <c r="H6" s="47">
        <f>IFERROR(
  IF($E$3="Annual",
    IFERROR(HLOOKUP($D$6, Annual!$A$25:$AX$100, $H$4, FALSE), ""),
    IFERROR(HLOOKUP($D$6, Quarterly!$A$86:$AX$100, $H$4, FALSE), "")
  ),
"")</f>
        <v>24490652000</v>
      </c>
      <c r="I6" s="269">
        <f>IFERROR(
  IF($E$3="Annual",
    IFERROR(HLOOKUP($D$6, Annual!$A$25:$AX$100, $I$4, FALSE), ""),
    IFERROR(HLOOKUP($D$6, Quarterly!$A$86:$AX$100, $I$4, FALSE), "")
  ),
"")</f>
        <v>23172276000</v>
      </c>
      <c r="J6" s="269">
        <f>IFERROR(
  IF($E$3="Annual",
    IFERROR(HLOOKUP($D$6, Annual!$A$25:$AX$100, $J$4, FALSE), ""),
    IFERROR(HLOOKUP($D$6, Quarterly!$A$86:$AX$100, $J$4, FALSE), "")
  ),
"")</f>
        <v>22001124000</v>
      </c>
      <c r="K6" s="269">
        <f>IFERROR(
  IF($E$3="Annual",
    IFERROR(HLOOKUP($D$6, Annual!$A$25:$AX$100, $K$4, FALSE), ""),
    IFERROR(HLOOKUP($D$6, Quarterly!$A$86:$AX$100, $K$4, FALSE), "")
  ),
"")</f>
        <v>21006768000</v>
      </c>
      <c r="L6" s="269">
        <f>IFERROR(
  IF($E$3="Annual",
    IFERROR(HLOOKUP($D$6, Annual!$A$25:$AX$100, $L$4, FALSE), ""),
    IFERROR(HLOOKUP($D$6, Quarterly!$A$86:$AX$100, $L$4, FALSE), "")
  ),
"")</f>
        <v>20000436000</v>
      </c>
      <c r="M6" s="269">
        <f>IFERROR(
  IF($E$3="Annual",
    IFERROR(HLOOKUP($D$6, Annual!$A$25:$AX$100, $M$4, FALSE), ""),
    IFERROR(HLOOKUP($D$6, Quarterly!$A$86:$AX$100, $M$4, FALSE), "")
  ),
"")</f>
        <v>18595652000</v>
      </c>
      <c r="N6" s="269">
        <f>IFERROR(
  IF($E$3="Annual",
    IFERROR(HLOOKUP($D$6, Annual!$A$25:$AX$100, $N$4, FALSE), ""),
    IFERROR(HLOOKUP($D$6, Quarterly!$A$86:$AX$100, $N$4, FALSE), "")
  ),
"")</f>
        <v>17528214000</v>
      </c>
      <c r="O6" s="269">
        <f>IFERROR(
  IF($E$3="Annual",
    IFERROR(HLOOKUP($D$6, Annual!$A$25:$AX$100, $O$4, FALSE), ""),
    IFERROR(HLOOKUP($D$6, Quarterly!$A$86:$AX$100, $O$4, FALSE), "")
  ),
"")</f>
        <v>16864919000</v>
      </c>
      <c r="P6" s="269">
        <f>IFERROR(
  IF($E$3="Annual",
    IFERROR(HLOOKUP($D$6, Annual!$A$25:$AX$100, $P$4, FALSE), ""),
    IFERROR(HLOOKUP($D$6, Quarterly!$A$86:$AX$100, $P$4, FALSE), "")
  ),
"")</f>
        <v>16325819000</v>
      </c>
      <c r="Q6" s="269">
        <f>IFERROR(
  IF($E$3="Annual",
    IFERROR(HLOOKUP($D$6, Annual!$A$25:$AX$100, $Q$4, FALSE), ""),
    IFERROR(HLOOKUP($D$6, Quarterly!$A$86:$AX$100, $Q$4, FALSE), "")
  ),
"")</f>
        <v>15812547000</v>
      </c>
      <c r="R6" s="269">
        <f>IFERROR(
  IF($E$3="Annual",
    IFERROR(HLOOKUP($D$6, Annual!$A$25:$AX$100, $R$4, FALSE), ""),
    IFERROR(HLOOKUP($D$6, Quarterly!$A$86:$AX$100, $R$4, FALSE), "")
  ),
"")</f>
        <v>15408095000</v>
      </c>
      <c r="T6" s="30">
        <f>AVERAGE(I6:R6)</f>
        <v>18671585000</v>
      </c>
      <c r="U6">
        <f>T6*0.1</f>
        <v>1867158500</v>
      </c>
    </row>
    <row r="7" spans="1:21" ht="15.75" customHeight="1">
      <c r="A7" t="s">
        <v>190</v>
      </c>
      <c r="B7" s="34" cm="1">
        <f t="array" aca="1" ref="B7" ca="1">_FV(E2,"Market cap",TRUE)</f>
        <v>1015729000000</v>
      </c>
      <c r="D7" s="14"/>
      <c r="E7" s="71"/>
      <c r="F7" s="28" t="str">
        <f>IFERROR(
  IF($E$3="Annual",
    IFERROR(HLOOKUP(D7, Annual!$A$25:$AX$100, $F$4, FALSE), ""),
    IFERROR(HLOOKUP(D7, Quarterly!$A$2:$AX$100, $F$4, FALSE), "")
  ),
"")</f>
        <v/>
      </c>
      <c r="I7" s="269"/>
      <c r="J7" s="269"/>
      <c r="K7" s="269"/>
      <c r="L7" s="269"/>
      <c r="M7" s="269"/>
      <c r="N7" s="269"/>
      <c r="O7" s="269"/>
      <c r="P7" s="269"/>
      <c r="Q7" s="269"/>
      <c r="R7" s="270"/>
      <c r="T7" s="30"/>
    </row>
    <row r="8" spans="1:21" ht="15.75" customHeight="1">
      <c r="A8" t="s">
        <v>2</v>
      </c>
      <c r="B8" s="35">
        <f ca="1">B7+Annual!AB26-Annual!F26</f>
        <v>1071536000000</v>
      </c>
      <c r="D8" s="16" t="s">
        <v>20</v>
      </c>
      <c r="E8" s="72" t="s">
        <v>249</v>
      </c>
      <c r="F8" s="51">
        <f>IFERROR(
  IF($E$3="Annual",
    IFERROR(HLOOKUP(D8, Annual!$A$2:$AX$100, $F$4, FALSE), ""),
    IFERROR(HLOOKUP(D8, Quarterly!$A$2:$AX$100, $F$4, FALSE), "")
  ),
"")</f>
        <v>156508000000</v>
      </c>
      <c r="G8" s="51">
        <f>IFERROR(
  IF($E$3="Annual",
    IFERROR(HLOOKUP(D8, Annual!$A$2:$AX$100, $G$4, FALSE), ""),
    IFERROR(HLOOKUP(D8, Quarterly!$A$2:$AX$100, $G$4, FALSE), "")
  ),
"")</f>
        <v>170910000000</v>
      </c>
      <c r="H8" s="51">
        <f>IFERROR(
  IF($E$3="Annual",
    IFERROR(HLOOKUP(D8, Annual!$A$2:$AX$100, $H$4, FALSE), ""),
    IFERROR(HLOOKUP(D8, Quarterly!$A$2:$AX$100, $H$4, FALSE), "")
  ),
"")</f>
        <v>182795000000</v>
      </c>
      <c r="I8" s="271">
        <f>IFERROR(
  IF($E$3="Annual",
    IFERROR(HLOOKUP(D8, Annual!$A$2:$AX$100, $I$4, FALSE), ""),
    IFERROR(HLOOKUP(D8, Quarterly!$A$2:$AX$100, $I$4, FALSE), "")
  ),
"")</f>
        <v>233715000000</v>
      </c>
      <c r="J8" s="271">
        <f>IFERROR(
  IF($E$3="Annual",
    IFERROR(HLOOKUP(D8, Annual!$A$2:$AX$100, $J$4, FALSE), ""),
    IFERROR(HLOOKUP(D8, Quarterly!$A$2:$AX$100, $J$4, FALSE), "")
  ),
"")</f>
        <v>215639000000</v>
      </c>
      <c r="K8" s="271">
        <f>IFERROR(
  IF($E$3="Annual",
    IFERROR(HLOOKUP(D8, Annual!$A$2:$AX$100, $K$4, FALSE), ""),
    IFERROR(HLOOKUP(D8, Quarterly!$A$2:$AX$100, $K$4, FALSE), "")
  ),
"")</f>
        <v>229234000000</v>
      </c>
      <c r="L8" s="271">
        <f>IFERROR(
  IF($E$3="Annual",
    IFERROR(HLOOKUP(D8, Annual!$A$2:$AX$100, $L$4, FALSE), ""),
    IFERROR(HLOOKUP(D8, Quarterly!$A$2:$AX$100, $L$4, FALSE), "")
  ),
"")</f>
        <v>265595000000</v>
      </c>
      <c r="M8" s="271">
        <f>IFERROR(
  IF($E$3="Annual",
    IFERROR(HLOOKUP(D8, Annual!$A$2:$AX$100, $M$4, FALSE), ""),
    IFERROR(HLOOKUP(D8, Quarterly!$A$2:$AX$100, $M$4, FALSE), "")
  ),
"")</f>
        <v>260174000000</v>
      </c>
      <c r="N8" s="271">
        <f>IFERROR(
  IF($E$3="Annual",
    IFERROR(HLOOKUP(D8, Annual!$A$2:$AX$100, $N$4, FALSE), ""),
    IFERROR(HLOOKUP(D8, Quarterly!$A$2:$AX$100, $N$4, FALSE), "")
  ),
"")</f>
        <v>274515000000</v>
      </c>
      <c r="O8" s="271">
        <f>IFERROR(
  IF($E$3="Annual",
    IFERROR(HLOOKUP(D8, Annual!$A$2:$AX$100, $O$4, FALSE), ""),
    IFERROR(HLOOKUP(D8, Quarterly!$A$2:$AX$100, $O$4, FALSE), "")
  ),
"")</f>
        <v>365817000000</v>
      </c>
      <c r="P8" s="271">
        <f>IFERROR(
  IF($E$3="Annual",
    IFERROR(HLOOKUP(D8, Annual!$A$2:$AX$100, $P$4, FALSE), ""),
    IFERROR(HLOOKUP(D8, Quarterly!$A$2:$AX$100, $P$4, FALSE), "")
  ),
"")</f>
        <v>394328000000</v>
      </c>
      <c r="Q8" s="271">
        <f>IFERROR(
  IF($E$3="Annual",
    IFERROR(HLOOKUP(D8, Annual!$A$2:$AX$100, $Q$4, FALSE), ""),
    IFERROR(HLOOKUP(D8, Quarterly!$A$2:$AX$100, $Q$4, FALSE), "")
  ),
"")</f>
        <v>383285000000</v>
      </c>
      <c r="R8" s="271">
        <f>IFERROR(
  IF($E$3="Annual",
    IFERROR(HLOOKUP(D8, Annual!$A$2:$AX$100, $R$4, FALSE), ""),
    IFERROR(HLOOKUP(D8, Quarterly!$A$2:$AX$100, $R$4, FALSE), "")
  ),
"")</f>
        <v>391035000000</v>
      </c>
      <c r="T8" s="30">
        <f t="shared" ref="T8:T66" si="0">AVERAGE(I8:R8)</f>
        <v>301333700000</v>
      </c>
      <c r="U8">
        <f t="shared" ref="U8:U66" si="1">T8*0.1</f>
        <v>30133370000</v>
      </c>
    </row>
    <row r="9" spans="1:21" ht="15.75" customHeight="1">
      <c r="A9" s="18" t="s">
        <v>4</v>
      </c>
      <c r="B9" s="32" cm="1">
        <f t="array" aca="1" ref="B9" ca="1">_FV(E2,"52 week low",TRUE)</f>
        <v>182</v>
      </c>
      <c r="D9" s="16" t="s">
        <v>21</v>
      </c>
      <c r="E9" s="73" t="s">
        <v>250</v>
      </c>
      <c r="F9" s="52">
        <f>IFERROR(
  IF($E$3="Annual",
    IFERROR(HLOOKUP(D9, Annual!$A$2:$AX$100, $F$4, FALSE), ""),
    IFERROR(HLOOKUP(D9, Quarterly!$A$2:$AX$100, $F$4, FALSE), "")
  ),
"")</f>
        <v>87846000000</v>
      </c>
      <c r="G9" s="52">
        <f>IFERROR(
  IF($E$3="Annual",
    IFERROR(HLOOKUP(D9, Annual!$A$2:$AX$100, $G$4, FALSE), ""),
    IFERROR(HLOOKUP(D9, Quarterly!$A$2:$AX$100, $G$4, FALSE), "")
  ),
"")</f>
        <v>106606000000</v>
      </c>
      <c r="H9" s="52">
        <f>IFERROR(
  IF($E$3="Annual",
    IFERROR(HLOOKUP(D9, Annual!$A$2:$AX$100, $H$4, FALSE), ""),
    IFERROR(HLOOKUP(D9, Quarterly!$A$2:$AX$100, $H$4, FALSE), "")
  ),
"")</f>
        <v>112258000000</v>
      </c>
      <c r="I9" s="269">
        <f>IFERROR(
  IF($E$3="Annual",
    IFERROR(HLOOKUP(D9, Annual!$A$2:$AX$100, $I$4, FALSE), ""),
    IFERROR(HLOOKUP(D9, Quarterly!$A$2:$AX$100, $I$4, FALSE), "")
  ),
"")</f>
        <v>140089000000</v>
      </c>
      <c r="J9" s="269">
        <f>IFERROR(
  IF($E$3="Annual",
    IFERROR(HLOOKUP(D9, Annual!$A$2:$AX$100, $J$4, FALSE), ""),
    IFERROR(HLOOKUP(D9, Quarterly!$A$2:$AX$100, $J$4, FALSE), "")
  ),
"")</f>
        <v>131376000000</v>
      </c>
      <c r="K9" s="269">
        <f>IFERROR(
  IF($E$3="Annual",
    IFERROR(HLOOKUP(D9, Annual!$A$2:$AX$100, $K$4, FALSE), ""),
    IFERROR(HLOOKUP(D9, Quarterly!$A$2:$AX$100, $K$4, FALSE), "")
  ),
"")</f>
        <v>141048000000</v>
      </c>
      <c r="L9" s="269">
        <f>IFERROR(
  IF($E$3="Annual",
    IFERROR(HLOOKUP(D9, Annual!$A$2:$AX$100, $L$4, FALSE), ""),
    IFERROR(HLOOKUP(D9, Quarterly!$A$2:$AX$100, $L$4, FALSE), "")
  ),
"")</f>
        <v>163756000000</v>
      </c>
      <c r="M9" s="269">
        <f>IFERROR(
  IF($E$3="Annual",
    IFERROR(HLOOKUP(D9, Annual!$A$2:$AX$100, $M$4, FALSE), ""),
    IFERROR(HLOOKUP(D9, Quarterly!$A$2:$AX$100, $M$4, FALSE), "")
  ),
"")</f>
        <v>161782000000</v>
      </c>
      <c r="N9" s="269">
        <f>IFERROR(
  IF($E$3="Annual",
    IFERROR(HLOOKUP(D9, Annual!$A$2:$AX$100, $N$4, FALSE), ""),
    IFERROR(HLOOKUP(D9, Quarterly!$A$2:$AX$100, $N$4, FALSE), "")
  ),
"")</f>
        <v>169559000000</v>
      </c>
      <c r="O9" s="269">
        <f>IFERROR(
  IF($E$3="Annual",
    IFERROR(HLOOKUP(D9, Annual!$A$2:$AX$100, $O$4, FALSE), ""),
    IFERROR(HLOOKUP(D9, Quarterly!$A$2:$AX$100, $O$4, FALSE), "")
  ),
"")</f>
        <v>212981000000</v>
      </c>
      <c r="P9" s="269">
        <f>IFERROR(
  IF($E$3="Annual",
    IFERROR(HLOOKUP(D9, Annual!$A$2:$AX$100, $P$4, FALSE), ""),
    IFERROR(HLOOKUP(D9, Quarterly!$A$2:$AX$100, $P$4, FALSE), "")
  ),
"")</f>
        <v>223546000000</v>
      </c>
      <c r="Q9" s="269">
        <f>IFERROR(
  IF($E$3="Annual",
    IFERROR(HLOOKUP(D9, Annual!$A$2:$AX$100, $Q$4, FALSE), ""),
    IFERROR(HLOOKUP(D9, Quarterly!$A$2:$AX$100, $Q$4, FALSE), "")
  ),
"")</f>
        <v>214137000000</v>
      </c>
      <c r="R9" s="269">
        <f>IFERROR(
  IF($E$3="Annual",
    IFERROR(HLOOKUP(D9, Annual!$A$2:$AX$100, $R$4, FALSE), ""),
    IFERROR(HLOOKUP(D9, Quarterly!$A$2:$AX$100, $R$4, FALSE), "")
  ),
"")</f>
        <v>210352000000</v>
      </c>
      <c r="T9" s="30">
        <f t="shared" si="0"/>
        <v>176862600000</v>
      </c>
      <c r="U9">
        <f t="shared" si="1"/>
        <v>17686260000</v>
      </c>
    </row>
    <row r="10" spans="1:21" ht="15.75" customHeight="1">
      <c r="A10" s="19" t="s">
        <v>5</v>
      </c>
      <c r="B10" s="32" cm="1">
        <f t="array" aca="1" ref="B10" ca="1">_FV(E2,"52 week high",TRUE)</f>
        <v>488.53989999999999</v>
      </c>
      <c r="D10" s="16" t="s">
        <v>23</v>
      </c>
      <c r="E10" s="72" t="s">
        <v>251</v>
      </c>
      <c r="F10" s="51">
        <f>IFERROR(
  IF($E$3="Annual",
    IFERROR(HLOOKUP(D10, Annual!$A$2:$AX$100, $F$4, FALSE), ""),
    IFERROR(HLOOKUP(D10, Quarterly!$A$2:$AX$100, $F$4, FALSE), "")
  ),
"")</f>
        <v>55241000000</v>
      </c>
      <c r="G10" s="51">
        <f>IFERROR(
  IF($E$3="Annual",
    IFERROR(HLOOKUP(D10, Annual!$A$2:$AX$100, $G$4, FALSE), ""),
    IFERROR(HLOOKUP(D10, Quarterly!$A$2:$AX$100, $G$4, FALSE), "")
  ),
"")</f>
        <v>48999000000</v>
      </c>
      <c r="H10" s="51">
        <f>IFERROR(
  IF($E$3="Annual",
    IFERROR(HLOOKUP(D10, Annual!$A$2:$AX$100, $H$4, FALSE), ""),
    IFERROR(HLOOKUP(D10, Quarterly!$A$2:$AX$100, $H$4, FALSE), "")
  ),
"")</f>
        <v>52503000000</v>
      </c>
      <c r="I10" s="271">
        <f>IFERROR(
  IF($E$3="Annual",
    IFERROR(HLOOKUP(D10, Annual!$A$2:$AX$100, $I$4, FALSE), ""),
    IFERROR(HLOOKUP(D10, Quarterly!$A$2:$AX$100, $I$4, FALSE), "")
  ),
"")</f>
        <v>71230000000</v>
      </c>
      <c r="J10" s="271">
        <f>IFERROR(
  IF($E$3="Annual",
    IFERROR(HLOOKUP(D10, Annual!$A$2:$AX$100, $J$4, FALSE), ""),
    IFERROR(HLOOKUP(D10, Quarterly!$A$2:$AX$100, $J$4, FALSE), "")
  ),
"")</f>
        <v>60024000000</v>
      </c>
      <c r="K10" s="271">
        <f>IFERROR(
  IF($E$3="Annual",
    IFERROR(HLOOKUP(D10, Annual!$A$2:$AX$100, $K$4, FALSE), ""),
    IFERROR(HLOOKUP(D10, Quarterly!$A$2:$AX$100, $K$4, FALSE), "")
  ),
"")</f>
        <v>61344000000</v>
      </c>
      <c r="L10" s="271">
        <f>IFERROR(
  IF($E$3="Annual",
    IFERROR(HLOOKUP(D10, Annual!$A$2:$AX$100, $L$4, FALSE), ""),
    IFERROR(HLOOKUP(D10, Quarterly!$A$2:$AX$100, $L$4, FALSE), "")
  ),
"")</f>
        <v>70898000000</v>
      </c>
      <c r="M10" s="271">
        <f>IFERROR(
  IF($E$3="Annual",
    IFERROR(HLOOKUP(D10, Annual!$A$2:$AX$100, $M$4, FALSE), ""),
    IFERROR(HLOOKUP(D10, Quarterly!$A$2:$AX$100, $M$4, FALSE), "")
  ),
"")</f>
        <v>63930000000</v>
      </c>
      <c r="N10" s="271">
        <f>IFERROR(
  IF($E$3="Annual",
    IFERROR(HLOOKUP(D10, Annual!$A$2:$AX$100, $N$4, FALSE), ""),
    IFERROR(HLOOKUP(D10, Quarterly!$A$2:$AX$100, $N$4, FALSE), "")
  ),
"")</f>
        <v>66288000000</v>
      </c>
      <c r="O10" s="271">
        <f>IFERROR(
  IF($E$3="Annual",
    IFERROR(HLOOKUP(D10, Annual!$A$2:$AX$100, $O$4, FALSE), ""),
    IFERROR(HLOOKUP(D10, Quarterly!$A$2:$AX$100, $O$4, FALSE), "")
  ),
"")</f>
        <v>108949000000</v>
      </c>
      <c r="P10" s="271">
        <f>IFERROR(
  IF($E$3="Annual",
    IFERROR(HLOOKUP(D10, Annual!$A$2:$AX$100, $P$4, FALSE), ""),
    IFERROR(HLOOKUP(D10, Quarterly!$A$2:$AX$100, $P$4, FALSE), "")
  ),
"")</f>
        <v>119437000000</v>
      </c>
      <c r="Q10" s="271">
        <f>IFERROR(
  IF($E$3="Annual",
    IFERROR(HLOOKUP(D10, Annual!$A$2:$AX$100, $Q$4, FALSE), ""),
    IFERROR(HLOOKUP(D10, Quarterly!$A$2:$AX$100, $Q$4, FALSE), "")
  ),
"")</f>
        <v>114301000000</v>
      </c>
      <c r="R10" s="271">
        <f>IFERROR(
  IF($E$3="Annual",
    IFERROR(HLOOKUP(D10, Annual!$A$2:$AX$100, $R$4, FALSE), ""),
    IFERROR(HLOOKUP(D10, Quarterly!$A$2:$AX$100, $R$4, FALSE), "")
  ),
"")</f>
        <v>123216000000</v>
      </c>
      <c r="T10" s="30">
        <f t="shared" si="0"/>
        <v>85961700000</v>
      </c>
      <c r="U10">
        <f t="shared" si="1"/>
        <v>8596170000</v>
      </c>
    </row>
    <row r="11" spans="1:21" ht="15.75" customHeight="1">
      <c r="A11" s="22"/>
      <c r="D11" t="s">
        <v>24</v>
      </c>
      <c r="E11" s="73" t="s">
        <v>191</v>
      </c>
      <c r="F11" s="52">
        <f>IFERROR(
  IF($E$3="Annual",
    IFERROR(HLOOKUP(D11, Annual!$A$2:$AX$100, $F$4, FALSE), ""),
    IFERROR(HLOOKUP(D11, Quarterly!$A$2:$AX$100, $F$4, FALSE), "")
  ),
"")</f>
        <v>9040000000</v>
      </c>
      <c r="G11" s="52">
        <f>IFERROR(
  IF($E$3="Annual",
    IFERROR(HLOOKUP(D11, Annual!$A$2:$AX$100, $G$4, FALSE), ""),
    IFERROR(HLOOKUP(D11, Quarterly!$A$2:$AX$100, $G$4, FALSE), "")
  ),
"")</f>
        <v>9730000000</v>
      </c>
      <c r="H11" s="52">
        <f>IFERROR(
  IF($E$3="Annual",
    IFERROR(HLOOKUP(D11, Annual!$A$2:$AX$100, $H$4, FALSE), ""),
    IFERROR(HLOOKUP(D11, Quarterly!$A$2:$AX$100, $H$4, FALSE), "")
  ),
"")</f>
        <v>11993000000</v>
      </c>
      <c r="I11" s="269">
        <f>IFERROR(
  IF($E$3="Annual",
    IFERROR(HLOOKUP(D11, Annual!$A$2:$AX$100, $I$4, FALSE), ""),
    IFERROR(HLOOKUP(D11, Quarterly!$A$2:$AX$100, $I$4, FALSE), "")
  ),
"")</f>
        <v>14329000000</v>
      </c>
      <c r="J11" s="269">
        <f>IFERROR(
  IF($E$3="Annual",
    IFERROR(HLOOKUP(D11, Annual!$A$2:$AX$100, $J$4, FALSE), ""),
    IFERROR(HLOOKUP(D11, Quarterly!$A$2:$AX$100, $J$4, FALSE), "")
  ),
"")</f>
        <v>14194000000</v>
      </c>
      <c r="K11" s="269">
        <f>IFERROR(
  IF($E$3="Annual",
    IFERROR(HLOOKUP(D11, Annual!$A$2:$AX$100, $K$4, FALSE), ""),
    IFERROR(HLOOKUP(D11, Quarterly!$A$2:$AX$100, $K$4, FALSE), "")
  ),
"")</f>
        <v>15261000000</v>
      </c>
      <c r="L11" s="269">
        <f>IFERROR(
  IF($E$3="Annual",
    IFERROR(HLOOKUP(D11, Annual!$A$2:$AX$100, $L$4, FALSE), ""),
    IFERROR(HLOOKUP(D11, Quarterly!$A$2:$AX$100, $L$4, FALSE), "")
  ),
"")</f>
        <v>16705000000</v>
      </c>
      <c r="M11" s="269">
        <f>IFERROR(
  IF($E$3="Annual",
    IFERROR(HLOOKUP(D11, Annual!$A$2:$AX$100, $M$4, FALSE), ""),
    IFERROR(HLOOKUP(D11, Quarterly!$A$2:$AX$100, $M$4, FALSE), "")
  ),
"")</f>
        <v>18245000000</v>
      </c>
      <c r="N11" s="269">
        <f>IFERROR(
  IF($E$3="Annual",
    IFERROR(HLOOKUP(D11, Annual!$A$2:$AX$100, $N$4, FALSE), ""),
    IFERROR(HLOOKUP(D11, Quarterly!$A$2:$AX$100, $N$4, FALSE), "")
  ),
"")</f>
        <v>19916000000</v>
      </c>
      <c r="O11" s="269">
        <f>IFERROR(
  IF($E$3="Annual",
    IFERROR(HLOOKUP(D11, Annual!$A$2:$AX$100, $O$4, FALSE), ""),
    IFERROR(HLOOKUP(D11, Quarterly!$A$2:$AX$100, $O$4, FALSE), "")
  ),
"")</f>
        <v>21973000000</v>
      </c>
      <c r="P11" s="269">
        <f>IFERROR(
  IF($E$3="Annual",
    IFERROR(HLOOKUP(D11, Annual!$A$2:$AX$100, $P$4, FALSE), ""),
    IFERROR(HLOOKUP(D11, Quarterly!$A$2:$AX$100, $P$4, FALSE), "")
  ),
"")</f>
        <v>25094000000</v>
      </c>
      <c r="Q11" s="269">
        <f>IFERROR(
  IF($E$3="Annual",
    IFERROR(HLOOKUP(D11, Annual!$A$2:$AX$100, $Q$4, FALSE), ""),
    IFERROR(HLOOKUP(D11, Quarterly!$A$2:$AX$100, $Q$4, FALSE), "")
  ),
"")</f>
        <v>24932000000</v>
      </c>
      <c r="R11" s="269">
        <f>IFERROR(
  IF($E$3="Annual",
    IFERROR(HLOOKUP(D11, Annual!$A$2:$AX$100, $R$4, FALSE), ""),
    IFERROR(HLOOKUP(D11, Quarterly!$A$2:$AX$100, $R$4, FALSE), "")
  ),
"")</f>
        <v>26097000000</v>
      </c>
      <c r="T11" s="30">
        <f t="shared" si="0"/>
        <v>19674600000</v>
      </c>
      <c r="U11">
        <f t="shared" si="1"/>
        <v>1967460000</v>
      </c>
    </row>
    <row r="12" spans="1:21" ht="15.75" customHeight="1">
      <c r="A12" s="22"/>
      <c r="D12" s="16" t="s">
        <v>25</v>
      </c>
      <c r="E12" s="72" t="s">
        <v>192</v>
      </c>
      <c r="F12" s="51">
        <f>IFERROR(
  IF($E$3="Annual",
    IFERROR(HLOOKUP(D12, Annual!$A$2:$AX$100, $F$4, FALSE), ""),
    IFERROR(HLOOKUP(D12, Quarterly!$A$2:$AX$100, $F$4, FALSE), "")
  ),
"")</f>
        <v>3381000000</v>
      </c>
      <c r="G12" s="51">
        <f>IFERROR(
  IF($E$3="Annual",
    IFERROR(HLOOKUP(D12, Annual!$A$2:$AX$100, $G$4, FALSE), ""),
    IFERROR(HLOOKUP(D12, Quarterly!$A$2:$AX$100, $G$4, FALSE), "")
  ),
"")</f>
        <v>4475000000</v>
      </c>
      <c r="H12" s="51">
        <f>IFERROR(
  IF($E$3="Annual",
    IFERROR(HLOOKUP(D12, Annual!$A$2:$AX$100, $H$4, FALSE), ""),
    IFERROR(HLOOKUP(D12, Quarterly!$A$2:$AX$100, $H$4, FALSE), "")
  ),
"")</f>
        <v>6041000000</v>
      </c>
      <c r="I12" s="271">
        <f>IFERROR(
  IF($E$3="Annual",
    IFERROR(HLOOKUP(D12, Annual!$A$2:$AX$100, $I$4, FALSE), ""),
    IFERROR(HLOOKUP(D12, Quarterly!$A$2:$AX$100, $I$4, FALSE), "")
  ),
"")</f>
        <v>8067000000</v>
      </c>
      <c r="J12" s="271">
        <f>IFERROR(
  IF($E$3="Annual",
    IFERROR(HLOOKUP(D12, Annual!$A$2:$AX$100, $J$4, FALSE), ""),
    IFERROR(HLOOKUP(D12, Quarterly!$A$2:$AX$100, $J$4, FALSE), "")
  ),
"")</f>
        <v>10045000000</v>
      </c>
      <c r="K12" s="271">
        <f>IFERROR(
  IF($E$3="Annual",
    IFERROR(HLOOKUP(D12, Annual!$A$2:$AX$100, $K$4, FALSE), ""),
    IFERROR(HLOOKUP(D12, Quarterly!$A$2:$AX$100, $K$4, FALSE), "")
  ),
"")</f>
        <v>11581000000</v>
      </c>
      <c r="L12" s="271">
        <f>IFERROR(
  IF($E$3="Annual",
    IFERROR(HLOOKUP(D12, Annual!$A$2:$AX$100, $L$4, FALSE), ""),
    IFERROR(HLOOKUP(D12, Quarterly!$A$2:$AX$100, $L$4, FALSE), "")
  ),
"")</f>
        <v>14236000000</v>
      </c>
      <c r="M12" s="271">
        <f>IFERROR(
  IF($E$3="Annual",
    IFERROR(HLOOKUP(D12, Annual!$A$2:$AX$100, $M$4, FALSE), ""),
    IFERROR(HLOOKUP(D12, Quarterly!$A$2:$AX$100, $M$4, FALSE), "")
  ),
"")</f>
        <v>16217000000</v>
      </c>
      <c r="N12" s="271">
        <f>IFERROR(
  IF($E$3="Annual",
    IFERROR(HLOOKUP(D12, Annual!$A$2:$AX$100, $N$4, FALSE), ""),
    IFERROR(HLOOKUP(D12, Quarterly!$A$2:$AX$100, $N$4, FALSE), "")
  ),
"")</f>
        <v>18752000000</v>
      </c>
      <c r="O12" s="271">
        <f>IFERROR(
  IF($E$3="Annual",
    IFERROR(HLOOKUP(D12, Annual!$A$2:$AX$100, $O$4, FALSE), ""),
    IFERROR(HLOOKUP(D12, Quarterly!$A$2:$AX$100, $O$4, FALSE), "")
  ),
"")</f>
        <v>21914000000</v>
      </c>
      <c r="P12" s="271">
        <f>IFERROR(
  IF($E$3="Annual",
    IFERROR(HLOOKUP(D12, Annual!$A$2:$AX$100, $P$4, FALSE), ""),
    IFERROR(HLOOKUP(D12, Quarterly!$A$2:$AX$100, $P$4, FALSE), "")
  ),
"")</f>
        <v>26251000000</v>
      </c>
      <c r="Q12" s="271">
        <f>IFERROR(
  IF($E$3="Annual",
    IFERROR(HLOOKUP(D12, Annual!$A$2:$AX$100, $Q$4, FALSE), ""),
    IFERROR(HLOOKUP(D12, Quarterly!$A$2:$AX$100, $Q$4, FALSE), "")
  ),
"")</f>
        <v>29915000000</v>
      </c>
      <c r="R12" s="271">
        <f>IFERROR(
  IF($E$3="Annual",
    IFERROR(HLOOKUP(D12, Annual!$A$2:$AX$100, $R$4, FALSE), ""),
    IFERROR(HLOOKUP(D12, Quarterly!$A$2:$AX$100, $R$4, FALSE), "")
  ),
"")</f>
        <v>31370000000</v>
      </c>
      <c r="T12" s="30">
        <f t="shared" si="0"/>
        <v>18834800000</v>
      </c>
      <c r="U12">
        <f t="shared" si="1"/>
        <v>1883480000</v>
      </c>
    </row>
    <row r="13" spans="1:21" ht="15.75" customHeight="1">
      <c r="A13" t="s">
        <v>6</v>
      </c>
      <c r="B13" s="83" cm="1">
        <f t="array" aca="1" ref="B13" ca="1">_FV(E2,"Beta")</f>
        <v>2.3372999999999999</v>
      </c>
      <c r="D13" s="16" t="s">
        <v>41</v>
      </c>
      <c r="E13" s="73" t="s">
        <v>252</v>
      </c>
      <c r="F13" s="52">
        <f>IFERROR(
  IF($E$3="Annual",
    IFERROR(HLOOKUP(D13, Annual!$A$2:$AX$100, $F$4, FALSE), ""),
    IFERROR(HLOOKUP(D13, Quarterly!$A$2:$AX$100, $F$4, FALSE), "")
  ),
"")</f>
        <v>58968000000</v>
      </c>
      <c r="G13" s="52">
        <f>IFERROR(
  IF($E$3="Annual",
    IFERROR(HLOOKUP(D13, Annual!$A$2:$AX$100, $G$4, FALSE), ""),
    IFERROR(HLOOKUP(D13, Quarterly!$A$2:$AX$100, $G$4, FALSE), "")
  ),
"")</f>
        <v>57051000000</v>
      </c>
      <c r="H13" s="52">
        <f>IFERROR(
  IF($E$3="Annual",
    IFERROR(HLOOKUP(D13, Annual!$A$2:$AX$100, $H$4, FALSE), ""),
    IFERROR(HLOOKUP(D13, Quarterly!$A$2:$AX$100, $H$4, FALSE), "")
  ),
"")</f>
        <v>61867000000</v>
      </c>
      <c r="I13" s="269">
        <f>IFERROR(
  IF($E$3="Annual",
    IFERROR(HLOOKUP(D13, Annual!$A$2:$AX$100, $I$4, FALSE), ""),
    IFERROR(HLOOKUP(D13, Quarterly!$A$2:$AX$100, $I$4, FALSE), "")
  ),
"")</f>
        <v>83748000000</v>
      </c>
      <c r="J13" s="269">
        <f>IFERROR(
  IF($E$3="Annual",
    IFERROR(HLOOKUP(D13, Annual!$A$2:$AX$100, $J$4, FALSE), ""),
    IFERROR(HLOOKUP(D13, Quarterly!$A$2:$AX$100, $J$4, FALSE), "")
  ),
"")</f>
        <v>72628000000</v>
      </c>
      <c r="K13" s="269">
        <f>IFERROR(
  IF($E$3="Annual",
    IFERROR(HLOOKUP(D13, Annual!$A$2:$AX$100, $K$4, FALSE), ""),
    IFERROR(HLOOKUP(D13, Quarterly!$A$2:$AX$100, $K$4, FALSE), "")
  ),
"")</f>
        <v>75812000000</v>
      </c>
      <c r="L13" s="269">
        <f>IFERROR(
  IF($E$3="Annual",
    IFERROR(HLOOKUP(D13, Annual!$A$2:$AX$100, $L$4, FALSE), ""),
    IFERROR(HLOOKUP(D13, Quarterly!$A$2:$AX$100, $L$4, FALSE), "")
  ),
"")</f>
        <v>87046000000</v>
      </c>
      <c r="M13" s="269">
        <f>IFERROR(
  IF($E$3="Annual",
    IFERROR(HLOOKUP(D13, Annual!$A$2:$AX$100, $M$4, FALSE), ""),
    IFERROR(HLOOKUP(D13, Quarterly!$A$2:$AX$100, $M$4, FALSE), "")
  ),
"")</f>
        <v>81860000000</v>
      </c>
      <c r="N13" s="269">
        <f>IFERROR(
  IF($E$3="Annual",
    IFERROR(HLOOKUP(D13, Annual!$A$2:$AX$100, $N$4, FALSE), ""),
    IFERROR(HLOOKUP(D13, Quarterly!$A$2:$AX$100, $N$4, FALSE), "")
  ),
"")</f>
        <v>81020000000</v>
      </c>
      <c r="O13" s="269">
        <f>IFERROR(
  IF($E$3="Annual",
    IFERROR(HLOOKUP(D13, Annual!$A$2:$AX$100, $O$4, FALSE), ""),
    IFERROR(HLOOKUP(D13, Quarterly!$A$2:$AX$100, $O$4, FALSE), "")
  ),
"")</f>
        <v>123136000000</v>
      </c>
      <c r="P13" s="269">
        <f>IFERROR(
  IF($E$3="Annual",
    IFERROR(HLOOKUP(D13, Annual!$A$2:$AX$100, $P$4, FALSE), ""),
    IFERROR(HLOOKUP(D13, Quarterly!$A$2:$AX$100, $P$4, FALSE), "")
  ),
"")</f>
        <v>130541000000</v>
      </c>
      <c r="Q13" s="269">
        <f>IFERROR(
  IF($E$3="Annual",
    IFERROR(HLOOKUP(D13, Annual!$A$2:$AX$100, $Q$4, FALSE), ""),
    IFERROR(HLOOKUP(D13, Quarterly!$A$2:$AX$100, $Q$4, FALSE), "")
  ),
"")</f>
        <v>125820000000</v>
      </c>
      <c r="R13" s="269">
        <f>IFERROR(
  IF($E$3="Annual",
    IFERROR(HLOOKUP(D13, Annual!$A$2:$AX$100, $R$4, FALSE), ""),
    IFERROR(HLOOKUP(D13, Quarterly!$A$2:$AX$100, $R$4, FALSE), "")
  ),
"")</f>
        <v>134661000000</v>
      </c>
      <c r="T13" s="30">
        <f t="shared" si="0"/>
        <v>99627200000</v>
      </c>
      <c r="U13">
        <f t="shared" si="1"/>
        <v>9962720000</v>
      </c>
    </row>
    <row r="14" spans="1:21" ht="15.75" customHeight="1">
      <c r="A14" t="s">
        <v>193</v>
      </c>
      <c r="B14" s="83" cm="1">
        <f t="array" aca="1" ref="B14" ca="1">_FV(E2,"P/E",TRUE)</f>
        <v>173.7328</v>
      </c>
      <c r="D14" s="16" t="s">
        <v>34</v>
      </c>
      <c r="E14" s="72" t="s">
        <v>253</v>
      </c>
      <c r="F14" s="51">
        <f>IFERROR(
  IF($E$3="Annual",
    IFERROR(HLOOKUP(D14, Annual!$A$2:$AX$100, $F$4, FALSE), ""),
    IFERROR(HLOOKUP(D14, Quarterly!$A$2:$AX$100, $F$4, FALSE), "")
  ),
"")</f>
        <v>3277000000</v>
      </c>
      <c r="G14" s="51">
        <f>IFERROR(
  IF($E$3="Annual",
    IFERROR(HLOOKUP(D14, Annual!$A$2:$AX$100, $G$4, FALSE), ""),
    IFERROR(HLOOKUP(D14, Quarterly!$A$2:$AX$100, $G$4, FALSE), "")
  ),
"")</f>
        <v>6757000000</v>
      </c>
      <c r="H14" s="51">
        <f>IFERROR(
  IF($E$3="Annual",
    IFERROR(HLOOKUP(D14, Annual!$A$2:$AX$100, $H$4, FALSE), ""),
    IFERROR(HLOOKUP(D14, Quarterly!$A$2:$AX$100, $H$4, FALSE), "")
  ),
"")</f>
        <v>7946000000</v>
      </c>
      <c r="I14" s="269">
        <f>IFERROR(
  IF($E$3="Annual",
    IFERROR(HLOOKUP(D14, Annual!$A$2:$AX$100, $I$4, FALSE), ""),
    IFERROR(HLOOKUP(D14, Quarterly!$A$2:$AX$100, $I$4, FALSE), "")
  ),
"")</f>
        <v>11257000000</v>
      </c>
      <c r="J14" s="269">
        <f>IFERROR(
  IF($E$3="Annual",
    IFERROR(HLOOKUP(D14, Annual!$A$2:$AX$100, $J$4, FALSE), ""),
    IFERROR(HLOOKUP(D14, Quarterly!$A$2:$AX$100, $J$4, FALSE), "")
  ),
"")</f>
        <v>9800000000</v>
      </c>
      <c r="K14" s="269">
        <f>IFERROR(
  IF($E$3="Annual",
    IFERROR(HLOOKUP(D14, Annual!$A$2:$AX$100, $K$4, FALSE), ""),
    IFERROR(HLOOKUP(D14, Quarterly!$A$2:$AX$100, $K$4, FALSE), "")
  ),
"")</f>
        <v>9400000000</v>
      </c>
      <c r="L14" s="269">
        <f>IFERROR(
  IF($E$3="Annual",
    IFERROR(HLOOKUP(D14, Annual!$A$2:$AX$100, $L$4, FALSE), ""),
    IFERROR(HLOOKUP(D14, Quarterly!$A$2:$AX$100, $L$4, FALSE), "")
  ),
"")</f>
        <v>10903000000</v>
      </c>
      <c r="M14" s="269">
        <f>IFERROR(
  IF($E$3="Annual",
    IFERROR(HLOOKUP(D14, Annual!$A$2:$AX$100, $M$4, FALSE), ""),
    IFERROR(HLOOKUP(D14, Quarterly!$A$2:$AX$100, $M$4, FALSE), "")
  ),
"")</f>
        <v>12547000000</v>
      </c>
      <c r="N14" s="269">
        <f>IFERROR(
  IF($E$3="Annual",
    IFERROR(HLOOKUP(D14, Annual!$A$2:$AX$100, $N$4, FALSE), ""),
    IFERROR(HLOOKUP(D14, Quarterly!$A$2:$AX$100, $N$4, FALSE), "")
  ),
"")</f>
        <v>11056000000</v>
      </c>
      <c r="O14" s="269">
        <f>IFERROR(
  IF($E$3="Annual",
    IFERROR(HLOOKUP(D14, Annual!$A$2:$AX$100, $O$4, FALSE), ""),
    IFERROR(HLOOKUP(D14, Quarterly!$A$2:$AX$100, $O$4, FALSE), "")
  ),
"")</f>
        <v>11284000000</v>
      </c>
      <c r="P14" s="269">
        <f>IFERROR(
  IF($E$3="Annual",
    IFERROR(HLOOKUP(D14, Annual!$A$2:$AX$100, $P$4, FALSE), ""),
    IFERROR(HLOOKUP(D14, Quarterly!$A$2:$AX$100, $P$4, FALSE), "")
  ),
"")</f>
        <v>11104000000</v>
      </c>
      <c r="Q14" s="269">
        <f>IFERROR(
  IF($E$3="Annual",
    IFERROR(HLOOKUP(D14, Annual!$A$2:$AX$100, $Q$4, FALSE), ""),
    IFERROR(HLOOKUP(D14, Quarterly!$A$2:$AX$100, $Q$4, FALSE), "")
  ),
"")</f>
        <v>11519000000</v>
      </c>
      <c r="R14" s="269">
        <f>IFERROR(
  IF($E$3="Annual",
    IFERROR(HLOOKUP(D14, Annual!$A$2:$AX$100, $R$4, FALSE), ""),
    IFERROR(HLOOKUP(D14, Quarterly!$A$2:$AX$100, $R$4, FALSE), "")
  ),
"")</f>
        <v>11445000000</v>
      </c>
      <c r="T14" s="30">
        <f t="shared" si="0"/>
        <v>11031500000</v>
      </c>
      <c r="U14">
        <f t="shared" si="1"/>
        <v>1103150000</v>
      </c>
    </row>
    <row r="15" spans="1:21" ht="15.75" customHeight="1">
      <c r="A15" t="s">
        <v>194</v>
      </c>
      <c r="D15" s="16" t="s">
        <v>30</v>
      </c>
      <c r="E15" s="73" t="s">
        <v>254</v>
      </c>
      <c r="F15" s="52">
        <f>IFERROR(
  IF($E$3="Annual",
    IFERROR(HLOOKUP(D15, Annual!$A$2:$AX$100, $F$4, FALSE), ""),
    IFERROR(HLOOKUP(D15, Quarterly!$A$2:$AX$100, $F$4, FALSE), "")
  ),
"")</f>
        <v>522000000</v>
      </c>
      <c r="G15" s="52">
        <f>IFERROR(
  IF($E$3="Annual",
    IFERROR(HLOOKUP(D15, Annual!$A$2:$AX$100, $G$4, FALSE), ""),
    IFERROR(HLOOKUP(D15, Quarterly!$A$2:$AX$100, $G$4, FALSE), "")
  ),
"")</f>
        <v>136000000</v>
      </c>
      <c r="H15" s="52">
        <f>IFERROR(
  IF($E$3="Annual",
    IFERROR(HLOOKUP(D15, Annual!$A$2:$AX$100, $H$4, FALSE), ""),
    IFERROR(HLOOKUP(D15, Quarterly!$A$2:$AX$100, $H$4, FALSE), "")
  ),
"")</f>
        <v>384000000</v>
      </c>
      <c r="I15" s="269">
        <f>IFERROR(
  IF($E$3="Annual",
    IFERROR(HLOOKUP(D15, Annual!$A$2:$AX$100, $I$4, FALSE), ""),
    IFERROR(HLOOKUP(D15, Quarterly!$A$2:$AX$100, $I$4, FALSE), "")
  ),
"")</f>
        <v>733000000</v>
      </c>
      <c r="J15" s="269">
        <f>IFERROR(
  IF($E$3="Annual",
    IFERROR(HLOOKUP(D15, Annual!$A$2:$AX$100, $J$4, FALSE), ""),
    IFERROR(HLOOKUP(D15, Quarterly!$A$2:$AX$100, $J$4, FALSE), "")
  ),
"")</f>
        <v>1456000000</v>
      </c>
      <c r="K15" s="269">
        <f>IFERROR(
  IF($E$3="Annual",
    IFERROR(HLOOKUP(D15, Annual!$A$2:$AX$100, $K$4, FALSE), ""),
    IFERROR(HLOOKUP(D15, Quarterly!$A$2:$AX$100, $K$4, FALSE), "")
  ),
"")</f>
        <v>2323000000</v>
      </c>
      <c r="L15" s="269">
        <f>IFERROR(
  IF($E$3="Annual",
    IFERROR(HLOOKUP(D15, Annual!$A$2:$AX$100, $L$4, FALSE), ""),
    IFERROR(HLOOKUP(D15, Quarterly!$A$2:$AX$100, $L$4, FALSE), "")
  ),
"")</f>
        <v>3240000000</v>
      </c>
      <c r="M15" s="269">
        <f>IFERROR(
  IF($E$3="Annual",
    IFERROR(HLOOKUP(D15, Annual!$A$2:$AX$100, $M$4, FALSE), ""),
    IFERROR(HLOOKUP(D15, Quarterly!$A$2:$AX$100, $M$4, FALSE), "")
  ),
"")</f>
        <v>3576000000</v>
      </c>
      <c r="N15" s="269">
        <f>IFERROR(
  IF($E$3="Annual",
    IFERROR(HLOOKUP(D15, Annual!$A$2:$AX$100, $N$4, FALSE), ""),
    IFERROR(HLOOKUP(D15, Quarterly!$A$2:$AX$100, $N$4, FALSE), "")
  ),
"")</f>
        <v>2873000000</v>
      </c>
      <c r="O15" s="269">
        <f>IFERROR(
  IF($E$3="Annual",
    IFERROR(HLOOKUP(D15, Annual!$A$2:$AX$100, $O$4, FALSE), ""),
    IFERROR(HLOOKUP(D15, Quarterly!$A$2:$AX$100, $O$4, FALSE), "")
  ),
"")</f>
        <v>2645000000</v>
      </c>
      <c r="P15" s="269">
        <f>IFERROR(
  IF($E$3="Annual",
    IFERROR(HLOOKUP(D15, Annual!$A$2:$AX$100, $P$4, FALSE), ""),
    IFERROR(HLOOKUP(D15, Quarterly!$A$2:$AX$100, $P$4, FALSE), "")
  ),
"")</f>
        <v>2931000000</v>
      </c>
      <c r="Q15" s="269">
        <f>IFERROR(
  IF($E$3="Annual",
    IFERROR(HLOOKUP(D15, Annual!$A$2:$AX$100, $Q$4, FALSE), ""),
    IFERROR(HLOOKUP(D15, Quarterly!$A$2:$AX$100, $Q$4, FALSE), "")
  ),
"")</f>
        <v>3933000000</v>
      </c>
      <c r="R15" s="269">
        <f>IFERROR(
  IF($E$3="Annual",
    IFERROR(HLOOKUP(D15, Annual!$A$2:$AX$100, $R$4, FALSE), ""),
    IFERROR(HLOOKUP(D15, Quarterly!$A$2:$AX$100, $R$4, FALSE), "")
  ),
"")</f>
        <v>0</v>
      </c>
      <c r="T15" s="30">
        <f t="shared" si="0"/>
        <v>2371000000</v>
      </c>
      <c r="U15">
        <f t="shared" si="1"/>
        <v>237100000</v>
      </c>
    </row>
    <row r="16" spans="1:21" ht="15.75" customHeight="1">
      <c r="A16" s="16" t="s">
        <v>195</v>
      </c>
      <c r="B16" s="32">
        <f ca="1">B8/Annual!Y3</f>
        <v>7.9572853313134466</v>
      </c>
      <c r="D16" s="16" t="s">
        <v>36</v>
      </c>
      <c r="E16" s="72" t="s">
        <v>255</v>
      </c>
      <c r="F16" s="51">
        <f>IFERROR(
  IF($E$3="Annual",
    IFERROR(HLOOKUP(D16, Annual!$A$2:$AX$100, $F$4, FALSE), ""),
    IFERROR(HLOOKUP(D16, Quarterly!$A$2:$AX$100, $F$4, FALSE), "")
  ),
"")</f>
        <v>14030000000</v>
      </c>
      <c r="G16" s="51">
        <f>IFERROR(
  IF($E$3="Annual",
    IFERROR(HLOOKUP(D16, Annual!$A$2:$AX$100, $G$4, FALSE), ""),
    IFERROR(HLOOKUP(D16, Quarterly!$A$2:$AX$100, $G$4, FALSE), "")
  ),
"")</f>
        <v>13118000000</v>
      </c>
      <c r="H16" s="51">
        <f>IFERROR(
  IF($E$3="Annual",
    IFERROR(HLOOKUP(D16, Annual!$A$2:$AX$100, $H$4, FALSE), ""),
    IFERROR(HLOOKUP(D16, Quarterly!$A$2:$AX$100, $H$4, FALSE), "")
  ),
"")</f>
        <v>13973000000</v>
      </c>
      <c r="I16" s="271">
        <f>IFERROR(
  IF($E$3="Annual",
    IFERROR(HLOOKUP(D16, Annual!$A$2:$AX$100, $I$4, FALSE), ""),
    IFERROR(HLOOKUP(D16, Quarterly!$A$2:$AX$100, $I$4, FALSE), "")
  ),
"")</f>
        <v>19121000000</v>
      </c>
      <c r="J16" s="271">
        <f>IFERROR(
  IF($E$3="Annual",
    IFERROR(HLOOKUP(D16, Annual!$A$2:$AX$100, $J$4, FALSE), ""),
    IFERROR(HLOOKUP(D16, Quarterly!$A$2:$AX$100, $J$4, FALSE), "")
  ),
"")</f>
        <v>15685000000</v>
      </c>
      <c r="K16" s="271">
        <f>IFERROR(
  IF($E$3="Annual",
    IFERROR(HLOOKUP(D16, Annual!$A$2:$AX$100, $K$4, FALSE), ""),
    IFERROR(HLOOKUP(D16, Quarterly!$A$2:$AX$100, $K$4, FALSE), "")
  ),
"")</f>
        <v>15738000000</v>
      </c>
      <c r="L16" s="271">
        <f>IFERROR(
  IF($E$3="Annual",
    IFERROR(HLOOKUP(D16, Annual!$A$2:$AX$100, $L$4, FALSE), ""),
    IFERROR(HLOOKUP(D16, Quarterly!$A$2:$AX$100, $L$4, FALSE), "")
  ),
"")</f>
        <v>13372000000</v>
      </c>
      <c r="M16" s="271">
        <f>IFERROR(
  IF($E$3="Annual",
    IFERROR(HLOOKUP(D16, Annual!$A$2:$AX$100, $M$4, FALSE), ""),
    IFERROR(HLOOKUP(D16, Quarterly!$A$2:$AX$100, $M$4, FALSE), "")
  ),
"")</f>
        <v>10481000000</v>
      </c>
      <c r="N16" s="271">
        <f>IFERROR(
  IF($E$3="Annual",
    IFERROR(HLOOKUP(D16, Annual!$A$2:$AX$100, $N$4, FALSE), ""),
    IFERROR(HLOOKUP(D16, Quarterly!$A$2:$AX$100, $N$4, FALSE), "")
  ),
"")</f>
        <v>9680000000</v>
      </c>
      <c r="O16" s="271">
        <f>IFERROR(
  IF($E$3="Annual",
    IFERROR(HLOOKUP(D16, Annual!$A$2:$AX$100, $O$4, FALSE), ""),
    IFERROR(HLOOKUP(D16, Quarterly!$A$2:$AX$100, $O$4, FALSE), "")
  ),
"")</f>
        <v>14527000000</v>
      </c>
      <c r="P16" s="271">
        <f>IFERROR(
  IF($E$3="Annual",
    IFERROR(HLOOKUP(D16, Annual!$A$2:$AX$100, $P$4, FALSE), ""),
    IFERROR(HLOOKUP(D16, Quarterly!$A$2:$AX$100, $P$4, FALSE), "")
  ),
"")</f>
        <v>19300000000</v>
      </c>
      <c r="Q16" s="271">
        <f>IFERROR(
  IF($E$3="Annual",
    IFERROR(HLOOKUP(D16, Annual!$A$2:$AX$100, $Q$4, FALSE), ""),
    IFERROR(HLOOKUP(D16, Quarterly!$A$2:$AX$100, $Q$4, FALSE), "")
  ),
"")</f>
        <v>16741000000</v>
      </c>
      <c r="R16" s="271">
        <f>IFERROR(
  IF($E$3="Annual",
    IFERROR(HLOOKUP(D16, Annual!$A$2:$AX$100, $R$4, FALSE), ""),
    IFERROR(HLOOKUP(D16, Quarterly!$A$2:$AX$100, $R$4, FALSE), "")
  ),
"")</f>
        <v>29749000000</v>
      </c>
      <c r="T16" s="30">
        <f t="shared" si="0"/>
        <v>16439400000</v>
      </c>
      <c r="U16">
        <f t="shared" si="1"/>
        <v>1643940000</v>
      </c>
    </row>
    <row r="17" spans="1:21" ht="15.75" customHeight="1">
      <c r="D17" s="16" t="s">
        <v>40</v>
      </c>
      <c r="E17" s="73" t="s">
        <v>256</v>
      </c>
      <c r="F17" s="52">
        <f t="shared" ref="F17:Q17" si="2">F13-F14</f>
        <v>55691000000</v>
      </c>
      <c r="G17" s="52">
        <f t="shared" si="2"/>
        <v>50294000000</v>
      </c>
      <c r="H17" s="52">
        <f t="shared" si="2"/>
        <v>53921000000</v>
      </c>
      <c r="I17" s="269">
        <f t="shared" si="2"/>
        <v>72491000000</v>
      </c>
      <c r="J17" s="269">
        <f t="shared" si="2"/>
        <v>62828000000</v>
      </c>
      <c r="K17" s="269">
        <f t="shared" si="2"/>
        <v>66412000000</v>
      </c>
      <c r="L17" s="269">
        <f t="shared" si="2"/>
        <v>76143000000</v>
      </c>
      <c r="M17" s="269">
        <f t="shared" si="2"/>
        <v>69313000000</v>
      </c>
      <c r="N17" s="269">
        <f t="shared" si="2"/>
        <v>69964000000</v>
      </c>
      <c r="O17" s="269">
        <f t="shared" si="2"/>
        <v>111852000000</v>
      </c>
      <c r="P17" s="269">
        <f t="shared" si="2"/>
        <v>119437000000</v>
      </c>
      <c r="Q17" s="269">
        <f t="shared" si="2"/>
        <v>114301000000</v>
      </c>
      <c r="R17" s="269">
        <f>R13-R14</f>
        <v>123216000000</v>
      </c>
      <c r="T17" s="30">
        <f t="shared" si="0"/>
        <v>88595700000</v>
      </c>
      <c r="U17">
        <f t="shared" si="1"/>
        <v>8859570000</v>
      </c>
    </row>
    <row r="18" spans="1:21" ht="15.75" customHeight="1">
      <c r="C18" s="21"/>
      <c r="D18" s="16" t="s">
        <v>196</v>
      </c>
      <c r="E18" s="72" t="s">
        <v>257</v>
      </c>
      <c r="F18" s="55">
        <f t="shared" ref="F18:Q18" si="3">F16/F8</f>
        <v>8.9643979860454415E-2</v>
      </c>
      <c r="G18" s="55">
        <f t="shared" si="3"/>
        <v>7.6753847054005037E-2</v>
      </c>
      <c r="H18" s="55">
        <f t="shared" si="3"/>
        <v>7.6440821685494681E-2</v>
      </c>
      <c r="I18" s="85">
        <f t="shared" si="3"/>
        <v>8.1813319641443644E-2</v>
      </c>
      <c r="J18" s="85">
        <f t="shared" si="3"/>
        <v>7.2737306331415008E-2</v>
      </c>
      <c r="K18" s="85">
        <f t="shared" si="3"/>
        <v>6.8654737080886777E-2</v>
      </c>
      <c r="L18" s="85">
        <f t="shared" si="3"/>
        <v>5.0347333345883767E-2</v>
      </c>
      <c r="M18" s="85">
        <f t="shared" si="3"/>
        <v>4.0284578781892115E-2</v>
      </c>
      <c r="N18" s="85">
        <f t="shared" si="3"/>
        <v>3.5262189679981057E-2</v>
      </c>
      <c r="O18" s="85">
        <f t="shared" si="3"/>
        <v>3.9711112386794492E-2</v>
      </c>
      <c r="P18" s="85">
        <f t="shared" si="3"/>
        <v>4.8944026292832364E-2</v>
      </c>
      <c r="Q18" s="85">
        <f t="shared" si="3"/>
        <v>4.3677681098921166E-2</v>
      </c>
      <c r="R18" s="85">
        <f>R16/R8</f>
        <v>7.6077588962624829E-2</v>
      </c>
      <c r="T18" s="30">
        <f t="shared" si="0"/>
        <v>5.5750987360267526E-2</v>
      </c>
      <c r="U18">
        <f t="shared" si="1"/>
        <v>5.5750987360267531E-3</v>
      </c>
    </row>
    <row r="19" spans="1:21" ht="15.75" customHeight="1">
      <c r="A19" t="s">
        <v>197</v>
      </c>
      <c r="C19" s="21"/>
      <c r="D19" s="16" t="s">
        <v>198</v>
      </c>
      <c r="E19" s="73" t="s">
        <v>258</v>
      </c>
      <c r="F19" s="52">
        <f t="shared" ref="F19:Q19" si="4">F17*(1-F18)</f>
        <v>50698637117.591431</v>
      </c>
      <c r="G19" s="52">
        <f t="shared" si="4"/>
        <v>46433742016.265869</v>
      </c>
      <c r="H19" s="52">
        <f t="shared" si="4"/>
        <v>49799234453.896439</v>
      </c>
      <c r="I19" s="269">
        <f t="shared" si="4"/>
        <v>66560270645.872108</v>
      </c>
      <c r="J19" s="269">
        <f t="shared" si="4"/>
        <v>58258060517.80986</v>
      </c>
      <c r="K19" s="269">
        <f t="shared" si="4"/>
        <v>61852501600.984146</v>
      </c>
      <c r="L19" s="269">
        <f t="shared" si="4"/>
        <v>72309402997.044373</v>
      </c>
      <c r="M19" s="269">
        <f t="shared" si="4"/>
        <v>66520754990.890717</v>
      </c>
      <c r="N19" s="269">
        <f t="shared" si="4"/>
        <v>67496916161.229805</v>
      </c>
      <c r="O19" s="269">
        <f t="shared" si="4"/>
        <v>107410232657.31227</v>
      </c>
      <c r="P19" s="269">
        <f t="shared" si="4"/>
        <v>113591272331.66298</v>
      </c>
      <c r="Q19" s="269">
        <f t="shared" si="4"/>
        <v>109308597372.71222</v>
      </c>
      <c r="R19" s="269">
        <f>R17*(1-R18)</f>
        <v>113842023798.38121</v>
      </c>
      <c r="T19" s="30">
        <f t="shared" si="0"/>
        <v>83715003307.389984</v>
      </c>
      <c r="U19">
        <f t="shared" si="1"/>
        <v>8371500330.7389984</v>
      </c>
    </row>
    <row r="20" spans="1:21" ht="15.75" customHeight="1">
      <c r="D20" t="s">
        <v>42</v>
      </c>
      <c r="E20" s="72" t="s">
        <v>9</v>
      </c>
      <c r="F20" s="51">
        <f>IFERROR(
  IF($E$3="Annual",
    IFERROR(HLOOKUP(D20, Annual!$A$2:$AX$100, $F$4, FALSE), ""),
    IFERROR(HLOOKUP(D20, Quarterly!$A$2:$AX$100, $F$4, FALSE), "")
  ),
"")</f>
        <v>41733000000</v>
      </c>
      <c r="G20" s="51">
        <f>IFERROR(
  IF($E$3="Annual",
    IFERROR(HLOOKUP(D20, Annual!$A$2:$AX$100, $G$4, FALSE), ""),
    IFERROR(HLOOKUP(D20, Quarterly!$A$2:$AX$100, $G$4, FALSE), "")
  ),
"")</f>
        <v>37037000000</v>
      </c>
      <c r="H20" s="51">
        <f>IFERROR(
  IF($E$3="Annual",
    IFERROR(HLOOKUP(D20, Annual!$A$2:$AX$100, $H$4, FALSE), ""),
    IFERROR(HLOOKUP(D20, Quarterly!$A$2:$AX$100, $H$4, FALSE), "")
  ),
"")</f>
        <v>39510000000</v>
      </c>
      <c r="I20" s="271">
        <f>IFERROR(
  IF($E$3="Annual",
    IFERROR(HLOOKUP(D20, Annual!$A$2:$AX$100, $I$4, FALSE), ""),
    IFERROR(HLOOKUP(D20, Quarterly!$A$2:$AX$100, $I$4, FALSE), "")
  ),
"")</f>
        <v>53394000000</v>
      </c>
      <c r="J20" s="271">
        <f>IFERROR(
  IF($E$3="Annual",
    IFERROR(HLOOKUP(D20, Annual!$A$2:$AX$100, $J$4, FALSE), ""),
    IFERROR(HLOOKUP(D20, Quarterly!$A$2:$AX$100, $J$4, FALSE), "")
  ),
"")</f>
        <v>45687000000</v>
      </c>
      <c r="K20" s="271">
        <f>IFERROR(
  IF($E$3="Annual",
    IFERROR(HLOOKUP(D20, Annual!$A$2:$AX$100, $K$4, FALSE), ""),
    IFERROR(HLOOKUP(D20, Quarterly!$A$2:$AX$100, $K$4, FALSE), "")
  ),
"")</f>
        <v>48351000000</v>
      </c>
      <c r="L20" s="271">
        <f>IFERROR(
  IF($E$3="Annual",
    IFERROR(HLOOKUP(D20, Annual!$A$2:$AX$100, $L$4, FALSE), ""),
    IFERROR(HLOOKUP(D20, Quarterly!$A$2:$AX$100, $L$4, FALSE), "")
  ),
"")</f>
        <v>59531000000</v>
      </c>
      <c r="M20" s="271">
        <f>IFERROR(
  IF($E$3="Annual",
    IFERROR(HLOOKUP(D20, Annual!$A$2:$AX$100, $M$4, FALSE), ""),
    IFERROR(HLOOKUP(D20, Quarterly!$N$2:$AX$100, $N$4, FALSE), "")
  ),
"")</f>
        <v>55256000000</v>
      </c>
      <c r="N20" s="271">
        <f>IFERROR(
  IF($E$3="Annual",
    IFERROR(HLOOKUP(D20, Annual!$A$2:$AX$100, $N$4, FALSE), ""),
    IFERROR(HLOOKUP(D20, Quarterly!$A$2:$AX$100, $N$4, FALSE), "")
  ),
"")</f>
        <v>57411000000</v>
      </c>
      <c r="O20" s="271">
        <f>IFERROR(
  IF($E$3="Annual",
    IFERROR(HLOOKUP(D20, Annual!$A$2:$AX$100, $O$4, FALSE), ""),
    IFERROR(HLOOKUP(D20, Quarterly!$A$2:$AX$100, $O$4, FALSE), "")
  ),
"")</f>
        <v>94680000000</v>
      </c>
      <c r="P20" s="271">
        <f>IFERROR(
  IF($E$3="Annual",
    IFERROR(HLOOKUP(D20, Annual!$A$2:$AX$100, $P$4, FALSE), ""),
    IFERROR(HLOOKUP(D20, Quarterly!$A$2:$AX$100, $P$4, FALSE), "")
  ),
"")</f>
        <v>99803000000</v>
      </c>
      <c r="Q20" s="272">
        <f>IFERROR(
  IF($E$3="Annual",
    IFERROR(HLOOKUP(D20, Annual!$A$2:$AX$100, $Q$4, FALSE), ""),
    IFERROR(HLOOKUP(D20, Quarterly!$A$2:$AX$100, $Q$4, FALSE), "")
  ),
"")</f>
        <v>96995000000</v>
      </c>
      <c r="R20" s="271">
        <f>IFERROR(
  IF($E$3="Annual",
    IFERROR(HLOOKUP(D20, Annual!$A$2:$AX$100, $R$4, FALSE), ""),
    IFERROR(HLOOKUP(D20, Quarterly!$A$2:$AX$100, $R$4, FALSE), "")
  ),
"")</f>
        <v>93736000000</v>
      </c>
      <c r="T20" s="30">
        <f t="shared" si="0"/>
        <v>70484400000</v>
      </c>
      <c r="U20">
        <f t="shared" si="1"/>
        <v>7048440000</v>
      </c>
    </row>
    <row r="21" spans="1:21" ht="15.75" customHeight="1">
      <c r="D21" s="16"/>
      <c r="E21" s="73"/>
      <c r="F21" s="16"/>
      <c r="G21" s="12"/>
      <c r="I21" s="48" t="str">
        <f>IFERROR(
  IF($E$3="Annual",
    IFERROR(HLOOKUP(D21, Annual!$A$2:$AX$100, $I$4, FALSE), ""),
    IFERROR(HLOOKUP(D21, Quarterly!$A$2:$AX$100, $I$4, FALSE), "")
  ),
"")</f>
        <v/>
      </c>
      <c r="J21" s="48" t="str">
        <f>IFERROR(
  IF($E$3="Annual",
    IFERROR(HLOOKUP(D21, Annual!$A$2:$AX$100, $J$4, FALSE), ""),
    IFERROR(HLOOKUP(D21, Quarterly!$A$2:$AX$100, $J$4, FALSE), "")
  ),
"")</f>
        <v/>
      </c>
      <c r="K21" s="48" t="str">
        <f>IFERROR(
  IF($E$3="Annual",
    IFERROR(HLOOKUP(D21, Annual!$A$2:$AX$100, $K$4, FALSE), ""),
    IFERROR(HLOOKUP(D21, Quarterly!$A$2:$AX$100, $K$4, FALSE), "")
  ),
"")</f>
        <v/>
      </c>
      <c r="L21" s="48" t="str">
        <f>IFERROR(
  IF($E$3="Annual",
    IFERROR(HLOOKUP(D21, Annual!$A$2:$AX$100, $L$4, FALSE), ""),
    IFERROR(HLOOKUP(D21, Quarterly!$A$2:$AX$100, $L$4, FALSE), "")
  ),
"")</f>
        <v/>
      </c>
      <c r="M21" s="48" t="str">
        <f>IFERROR(
  IF($E$3="Annual",
    IFERROR(HLOOKUP(D21, Annual!$A$2:$AX$100, $M$4, FALSE), ""),
    IFERROR(HLOOKUP(D21, Quarterly!$N$2:$AX$100, $N$4, FALSE), "")
  ),
"")</f>
        <v/>
      </c>
      <c r="N21" s="48" t="str">
        <f>IFERROR(
  IF($E$3="Annual",
    IFERROR(HLOOKUP(D21, Annual!$A$2:$AX$100, $N$4, FALSE), ""),
    IFERROR(HLOOKUP(D21, Quarterly!$A$2:$AX$100, $N$4, FALSE), "")
  ),
"")</f>
        <v/>
      </c>
      <c r="O21" s="48" t="str">
        <f>IFERROR(
  IF($E$3="Annual",
    IFERROR(HLOOKUP(D21, Annual!$A$2:$AX$100, $O$4, FALSE), ""),
    IFERROR(HLOOKUP(D21, Quarterly!$A$2:$AX$100, $O$4, FALSE), "")
  ),
"")</f>
        <v/>
      </c>
      <c r="P21" s="48" t="str">
        <f>IFERROR(
  IF($E$3="Annual",
    IFERROR(HLOOKUP(D21, Annual!$A$2:$AX$100, $P$4, FALSE), ""),
    IFERROR(HLOOKUP(D21, Quarterly!$A$2:$AX$100, $P$4, FALSE), "")
  ),
"")</f>
        <v/>
      </c>
      <c r="Q21" s="49" t="str">
        <f>IFERROR(
  IF($E$3="Annual",
    IFERROR(HLOOKUP(D21, Annual!$A$2:$AX$100, $Q$4, FALSE), ""),
    IFERROR(HLOOKUP(D21, Quarterly!$A$2:$AX$100, $Q$4, FALSE), "")
  ),
"")</f>
        <v/>
      </c>
      <c r="R21" s="50" t="str">
        <f>IFERROR(
  IF($E$3="Annual",
    IFERROR(HLOOKUP(D21, Annual!$A$2:$AX$100, $R$4, FALSE), ""),
    IFERROR(HLOOKUP(D21, Quarterly!$A$2:$AX$100, $R$4, FALSE), "")
  ),
"")</f>
        <v/>
      </c>
      <c r="T21" s="30"/>
    </row>
    <row r="22" spans="1:21" ht="15.75" customHeight="1">
      <c r="A22" t="s">
        <v>199</v>
      </c>
      <c r="B22" s="82">
        <f ca="1">(Annual!D3/Annual!AL26)/Funda!B6</f>
        <v>8.0477383549345499E-2</v>
      </c>
      <c r="D22" t="s">
        <v>182</v>
      </c>
      <c r="E22" s="72" t="s">
        <v>8</v>
      </c>
      <c r="F22" s="51" t="str">
        <f>IFERROR(
  IF($E$3="Annual",
    IFERROR(HLOOKUP(D22, Annual!$A$48:$AX$100, $F$4, FALSE), ""),
    IFERROR(HLOOKUP(D22, Quarterly!$A$170:$AX$200, $F$4, FALSE), "")
  ),
"")</f>
        <v/>
      </c>
      <c r="G22" s="51" t="str">
        <f>IFERROR(
  IF($E$3="Annual",
    IFERROR(HLOOKUP(D22, Annual!$A$48:$AX$100, $G$4, FALSE), ""),
    IFERROR(HLOOKUP(D22, Quarterly!$A$170:$AX$200, $G$4, FALSE), "")
  ),
"")</f>
        <v/>
      </c>
      <c r="H22" s="51" t="str">
        <f>IFERROR(
  IF($E$3="Annual",
    IFERROR(HLOOKUP(D22, Annual!$A$48:$AX$100, $H$4, FALSE), ""),
    IFERROR(HLOOKUP(D22, Quarterly!$A$170:$AX$200, $H$4, FALSE), "")
  ),
"")</f>
        <v/>
      </c>
      <c r="I22" s="271" t="str">
        <f>IFERROR(
  IF($E$3="Annual",
    IFERROR(HLOOKUP(D22, Annual!$A$48:$AX$100, $I$4, FALSE), ""),
    IFERROR(HLOOKUP(D22, Quarterly!$A$170:$AX$200, $I$4, FALSE), "")
  ),
"")</f>
        <v/>
      </c>
      <c r="J22" s="271" t="str">
        <f>IFERROR(
  IF($E$3="Annual",
    IFERROR(HLOOKUP(D22, Annual!$A$48:$AX$100, $J$4, FALSE), ""),
    IFERROR(HLOOKUP(D22, Quarterly!$A$170:$AX$200, $J$4, FALSE), "")
  ),
"")</f>
        <v/>
      </c>
      <c r="K22" s="271" t="str">
        <f>IFERROR(
  IF($E$3="Annual",
    IFERROR(HLOOKUP(D22, Annual!$A$48:$AX$100, $K$4, FALSE), ""),
    IFERROR(HLOOKUP(D22, Quarterly!$A$170:$AX$200, $K$4, FALSE), "")
  ),
"")</f>
        <v/>
      </c>
      <c r="L22" s="271" t="str">
        <f>IFERROR(
  IF($E$3="Annual",
    IFERROR(HLOOKUP(D22, Annual!$A$48:$AX$100, $L$4, FALSE), ""),
    IFERROR(HLOOKUP(D22, Quarterly!$A$170:$AX$200, $L$4, FALSE), "")
  ),
"")</f>
        <v/>
      </c>
      <c r="M22" s="271" t="str">
        <f>IFERROR(
  IF($E$3="Annual",
    IFERROR(HLOOKUP(D22, Annual!$A$48:$AX$100, $M$4, FALSE), ""),
    IFERROR(HLOOKUP(D22, Quarterly!$A$170:$AX$200, $M$4, FALSE), "")
  ),
"")</f>
        <v/>
      </c>
      <c r="N22" s="271" t="str">
        <f>IFERROR(
  IF($E$3="Annual",
    IFERROR(HLOOKUP(D22, Annual!$A$48:$AX$100, $N$4, FALSE), ""),
    IFERROR(HLOOKUP(D22, Quarterly!$A$170:$AX$200, $N$4, FALSE), "")
  ),
"")</f>
        <v/>
      </c>
      <c r="O22" s="271" t="str">
        <f>IFERROR(
  IF($E$3="Annual",
    IFERROR(HLOOKUP(D22, Annual!$A$48:$AX$100, $O$4, FALSE), ""),
    IFERROR(HLOOKUP(D22, Quarterly!$A$170:$AX$200, $O$4, FALSE), "")
  ),
"")</f>
        <v/>
      </c>
      <c r="P22" s="271" t="str">
        <f>IFERROR(
  IF($E$3="Annual",
    IFERROR(HLOOKUP(D22, Annual!$A$48:$AX$100, $P$4, FALSE), ""),
    IFERROR(HLOOKUP(D22, Quarterly!$A$170:$AX$200, $P$4, FALSE), "")
  ),
"")</f>
        <v/>
      </c>
      <c r="Q22" s="271">
        <f>IFERROR(
  IF($E$3="Annual",
    IFERROR(HLOOKUP($D$6, Annual!$A$25:$AX$100, $R$4, FALSE), ""),
    IFERROR(HLOOKUP($D$6, Quarterly!$A$86:$AX$100, $R$4, FALSE), "")
  ),
"")</f>
        <v>15408095000</v>
      </c>
      <c r="R22" s="271" t="str">
        <f>IFERROR(
  IF($E$3="Annual",
    IFERROR(HLOOKUP(D22, Annual!$A$48:$AX$100, $R$4, FALSE), ""),
    IFERROR(HLOOKUP(D22, Quarterly!$A$170:$AX$200, $R$4, FALSE), "")
  ),
"")</f>
        <v/>
      </c>
      <c r="T22" s="30">
        <f t="shared" si="0"/>
        <v>15408095000</v>
      </c>
      <c r="U22">
        <f t="shared" si="1"/>
        <v>1540809500</v>
      </c>
    </row>
    <row r="23" spans="1:21" ht="15.75" customHeight="1">
      <c r="A23" t="s">
        <v>200</v>
      </c>
      <c r="B23" s="82">
        <f ca="1">(Annual!C49/Annual!AL26)/Funda!B6</f>
        <v>3.0302888370109145E-3</v>
      </c>
      <c r="D23" t="s">
        <v>83</v>
      </c>
      <c r="E23" s="74" t="s">
        <v>259</v>
      </c>
      <c r="F23" s="52" t="str">
        <f>IFERROR(
  IF($E$3="Annual",
    IFERROR(HLOOKUP(D23, Annual!$A$48:$AX$100, $F$4, FALSE), ""),
    IFERROR(HLOOKUP(D23, Quarterly!$A$170:$AX$200, $F$4, FALSE), "")
  ),
"")</f>
        <v/>
      </c>
      <c r="G23" s="52" t="str">
        <f>IFERROR(
  IF($E$3="Annual",
    IFERROR(HLOOKUP(D23, Annual!$A$48:$AX$100, $G$4, FALSE), ""),
    IFERROR(HLOOKUP(D23, Quarterly!$A$170:$AX$200, $G$4, FALSE), "")
  ),
"")</f>
        <v/>
      </c>
      <c r="H23" s="52" t="str">
        <f>IFERROR(
  IF($E$3="Annual",
    IFERROR(HLOOKUP(D23, Annual!$A$48:$AX$100, $H$4, FALSE), ""),
    IFERROR(HLOOKUP(D23, Quarterly!$A$170:$AX$200, $H$4, FALSE), "")
  ),
"")</f>
        <v/>
      </c>
      <c r="I23" s="269">
        <f>IFERROR(
  IF($E$3="Annual",
    IFERROR(HLOOKUP(D23, Annual!$A$25:$AX$100, $I$4, FALSE), ""),
    IFERROR(HLOOKUP(D23, Quarterly!$A$86:$AX$100, $I$4, FALSE), "")
  ),
"")</f>
        <v>119355000000</v>
      </c>
      <c r="J23" s="269">
        <f>IFERROR(
  IF($E$3="Annual",
    IFERROR(HLOOKUP(D23, Annual!$A$25:$AX$100, $J$4, FALSE), ""),
    IFERROR(HLOOKUP(D23, Quarterly!$A$86:$AX$100, $J$4, FALSE), "")
  ),
"")</f>
        <v>128249000000</v>
      </c>
      <c r="K23" s="269">
        <f>IFERROR(
  IF($E$3="Annual",
    IFERROR(HLOOKUP(D23, Annual!$A$25:$AX$100, $K$4, FALSE), ""),
    IFERROR(HLOOKUP(D23, Quarterly!$A$86:$AX$100, $K$4, FALSE), "")
  ),
"")</f>
        <v>134047000000</v>
      </c>
      <c r="L23" s="269">
        <f>IFERROR(
  IF($E$3="Annual",
    IFERROR(HLOOKUP(D23, Annual!$A$25:$AX$100, $L$4, FALSE), ""),
    IFERROR(HLOOKUP(D23, Quarterly!$A$86:$AX$100, $L$4, FALSE), "")
  ),
"")</f>
        <v>107147000000</v>
      </c>
      <c r="M23" s="269">
        <f>IFERROR(
  IF($E$3="Annual",
    IFERROR(HLOOKUP(D23, Annual!$A$25:$AX$100, $M$4, FALSE), ""),
    IFERROR(HLOOKUP(D23, Quarterly!$N$86:$AX$100, $M$4, FALSE), "")
  ),
"")</f>
        <v>90488000000</v>
      </c>
      <c r="N23" s="269">
        <f>IFERROR(
  IF($E$3="Annual",
    IFERROR(HLOOKUP(D23, Annual!$A$25:$AX$100, $N$4, FALSE), ""),
    IFERROR(HLOOKUP(D23, Quarterly!$A$86:$AX$100, $N$4, FALSE), "")
  ),
"")</f>
        <v>65339000000</v>
      </c>
      <c r="O23" s="269">
        <f>IFERROR(
  IF($E$3="Annual",
    IFERROR(HLOOKUP(D23, Annual!$A$25:$AX$100, $O$4, FALSE), ""),
    IFERROR(HLOOKUP(D23, Quarterly!$A$86:$AX$100, $O$4, FALSE), "")
  ),
"")</f>
        <v>63090000000</v>
      </c>
      <c r="P23" s="269">
        <f>IFERROR(
  IF($E$3="Annual",
    IFERROR(HLOOKUP(D23, Annual!$A$25:$AX$100, $P$4, FALSE), ""),
    IFERROR(HLOOKUP(D23, Quarterly!$A$86:$AX$100, $P$4, FALSE), "")
  ),
"")</f>
        <v>50672000000</v>
      </c>
      <c r="Q23" s="269">
        <f>IFERROR(
  IF($E$3="Annual",
    IFERROR(HLOOKUP(D23, Annual!$A$25:$AX$100, $Q$4, FALSE), ""),
    IFERROR(HLOOKUP(D23, Quarterly!$A$86:$AX$100, $Q$4, FALSE), "")
  ),
"")</f>
        <v>62146000000</v>
      </c>
      <c r="R23" s="269">
        <f>IFERROR(
  IF($E$3="Annual",
    IFERROR(HLOOKUP(D23, Annual!$A$25:$AX$100, $R$4, FALSE), ""),
    IFERROR(HLOOKUP(D23, Quarterly!$A$86:$AX$200, $R$4, FALSE), "")
  ),
"")</f>
        <v>56950000000</v>
      </c>
      <c r="T23" s="30">
        <f t="shared" si="0"/>
        <v>87748300000</v>
      </c>
      <c r="U23">
        <f t="shared" si="1"/>
        <v>8774830000</v>
      </c>
    </row>
    <row r="24" spans="1:21" ht="15.75" customHeight="1">
      <c r="E24" s="74"/>
      <c r="F24" s="28"/>
      <c r="G24" s="28"/>
      <c r="H24" s="28"/>
      <c r="I24" s="48"/>
      <c r="J24" s="48"/>
      <c r="K24" s="48"/>
      <c r="L24" s="48"/>
      <c r="M24" s="48"/>
      <c r="N24" s="48"/>
      <c r="O24" s="48"/>
      <c r="P24" s="48"/>
      <c r="Q24" s="48"/>
      <c r="R24" s="50"/>
      <c r="T24" s="30"/>
    </row>
    <row r="25" spans="1:21" ht="15.75" customHeight="1">
      <c r="A25" s="20" t="str">
        <f ca="1">HYPERLINK("https://www.tradingview.com/chart/?symbol="&amp;B2&amp;"", "Chart")</f>
        <v>Chart</v>
      </c>
      <c r="B25" s="20"/>
      <c r="D25" s="16" t="s">
        <v>149</v>
      </c>
      <c r="E25" s="72" t="s">
        <v>260</v>
      </c>
      <c r="F25" s="51">
        <f>IFERROR(
  IF($E$3="Annual",
    IFERROR(HLOOKUP(D25, Annual!$A$25:$AX$100, $F$4, FALSE), ""),
    IFERROR(HLOOKUP(D25, Quarterly!$A$86:$AX$100, $F$4, FALSE), "")
  ),
"")</f>
        <v>10746000000</v>
      </c>
      <c r="G25" s="51">
        <f>IFERROR(
  IF($E$3="Annual",
    IFERROR(HLOOKUP(D25, Annual!$A$25:$AX$100, $G$4, FALSE), ""),
    IFERROR(HLOOKUP(D25, Quarterly!$A$86:$AX$100, $G$4, FALSE), "")
  ),
"")</f>
        <v>14259000000</v>
      </c>
      <c r="H25" s="51">
        <f>IFERROR(
  IF($E$3="Annual",
    IFERROR(HLOOKUP(D25, Annual!$A$25:$AX$100, $H$4, FALSE), ""),
    IFERROR(HLOOKUP(D25, Quarterly!$A$86:$AX$100, $H$4, FALSE), "")
  ),
"")</f>
        <v>13844000000</v>
      </c>
      <c r="I25" s="80">
        <f>IFERROR(
  IF($E$3="Annual",
    IFERROR(HLOOKUP(D25, Annual!$A$25:$AX$100, $I$4, FALSE), ""),
    IFERROR(HLOOKUP(D25, Quarterly!$A$86:$AX$100, $I$4, FALSE), "")
  ),
"")</f>
        <v>21120000000</v>
      </c>
      <c r="J25" s="80">
        <f>IFERROR(
  IF($E$3="Annual",
    IFERROR(HLOOKUP(D25, Annual!$A$25:$AX$100, $J$4, FALSE), ""),
    IFERROR(HLOOKUP(D25, Quarterly!$A$86:$AX$100, $J$4, FALSE), "")
  ),
"")</f>
        <v>20484000000</v>
      </c>
      <c r="K25" s="80">
        <f>IFERROR(
  IF($E$3="Annual",
    IFERROR(HLOOKUP(D25, Annual!$A$25:$AX$100, $K$4, FALSE), ""),
    IFERROR(HLOOKUP(D25, Quarterly!$A$86:$AX$100, $K$4, FALSE), "")
  ),
"")</f>
        <v>20289000000</v>
      </c>
      <c r="L25" s="80">
        <f>IFERROR(
  IF($E$3="Annual",
    IFERROR(HLOOKUP(D25, Annual!$A$25:$AX$100, $L$4, FALSE), ""),
    IFERROR(HLOOKUP(D25, Quarterly!$A$86:$AX$100, $L$4, FALSE), "")
  ),
"")</f>
        <v>25913000000</v>
      </c>
      <c r="M25" s="80">
        <f>IFERROR(
  IF($E$3="Annual",
    IFERROR(HLOOKUP(D25, Annual!$A$25:$AX$100, $M$4, FALSE), ""),
    IFERROR(HLOOKUP(D25, Quarterly!$N$86:$AX$100, $M$4, FALSE), "")
  ),
"")</f>
        <v>48844000000</v>
      </c>
      <c r="N25" s="80">
        <f>IFERROR(
  IF($E$3="Annual",
    IFERROR(HLOOKUP(D25, Annual!$A$25:$AX$100, $N$4, FALSE), ""),
    IFERROR(HLOOKUP(D25, Quarterly!$A$86:$AX$100, $N$4, FALSE), "")
  ),
"")</f>
        <v>38016000000</v>
      </c>
      <c r="O25" s="80">
        <f>IFERROR(
  IF($E$3="Annual",
    IFERROR(HLOOKUP(D25, Annual!$A$25:$AX$100, $O$4, FALSE), ""),
    IFERROR(HLOOKUP(D25, Quarterly!$A$86:$AX$100, $O$4, FALSE), "")
  ),
"")</f>
        <v>34940000000</v>
      </c>
      <c r="P25" s="80">
        <f>IFERROR(
  IF($E$3="Annual",
    IFERROR(HLOOKUP(D25, Annual!$A$25:$AX$100, $P$4, FALSE), ""),
    IFERROR(HLOOKUP(D25, Quarterly!$A$86:$AX$100, $P$4, FALSE), "")
  ),
"")</f>
        <v>23646000000</v>
      </c>
      <c r="Q25" s="80">
        <f>IFERROR(
  IF($E$3="Annual",
    IFERROR(HLOOKUP(D25, Annual!$A$25:$AX$100, $Q$4, FALSE), ""),
    IFERROR(HLOOKUP(D25, Quarterly!$A$86:$AX$100, $Q$4, FALSE), "")
  ),
"")</f>
        <v>29965000000</v>
      </c>
      <c r="R25" s="80">
        <f>IFERROR(
  IF($E$3="Annual",
    IFERROR(HLOOKUP(D25, Annual!$A$25:$AX$100, $R$4, FALSE), ""),
    IFERROR(HLOOKUP(D25, Quarterly!$A$86:$AX$200, $R$4, FALSE), "")
  ),
"")</f>
        <v>29943000000</v>
      </c>
      <c r="T25" s="30">
        <f t="shared" si="0"/>
        <v>29316000000</v>
      </c>
      <c r="U25">
        <f t="shared" si="1"/>
        <v>2931600000</v>
      </c>
    </row>
    <row r="26" spans="1:21" ht="15.75" customHeight="1">
      <c r="A26" s="20" t="str">
        <f ca="1">HYPERLINK("https://www.nasdaq.com/market-activity/stocks/"&amp;B2&amp;"/earnings","EPS date &amp; Estimates")</f>
        <v>EPS date &amp; Estimates</v>
      </c>
      <c r="D26" s="16" t="s">
        <v>147</v>
      </c>
      <c r="E26" s="73" t="s">
        <v>201</v>
      </c>
      <c r="F26" s="52">
        <f>IFERROR(
  IF($E$3="Annual",
    IFERROR(HLOOKUP(D26, Annual!$A$25:$AX$100, $F$4, FALSE), ""),
    IFERROR(HLOOKUP(D26, Quarterly!$A$86:$AX$100, $F$4, FALSE), "")
  ),
"")</f>
        <v>57653000000</v>
      </c>
      <c r="G26" s="52">
        <f>IFERROR(
  IF($E$3="Annual",
    IFERROR(HLOOKUP(D26, Annual!$A$25:$AX$100, $G$4, FALSE), ""),
    IFERROR(HLOOKUP(D26, Quarterly!$A$86:$AX$100, $G$4, FALSE), "")
  ),
"")</f>
        <v>73286000000</v>
      </c>
      <c r="H26" s="52">
        <f>IFERROR(
  IF($E$3="Annual",
    IFERROR(HLOOKUP(D26, Annual!$A$25:$AX$100, $H$4, FALSE), ""),
    IFERROR(HLOOKUP(D26, Quarterly!$A$86:$AX$100, $H$4, FALSE), "")
  ),
"")</f>
        <v>68531000000</v>
      </c>
      <c r="I26" s="80">
        <f>IFERROR(
  IF($E$3="Annual",
    IFERROR(HLOOKUP(D26, Annual!$A$25:$AX$100, $I$4, FALSE), ""),
    IFERROR(HLOOKUP(D26, Quarterly!$A$86:$AX$100, $I$4, FALSE), "")
  ),
"")</f>
        <v>89378000000</v>
      </c>
      <c r="J26" s="80">
        <f>IFERROR(
  IF($E$3="Annual",
    IFERROR(HLOOKUP(D26, Annual!$A$25:$AX$100, $J$4, FALSE), ""),
    IFERROR(HLOOKUP(D26, Quarterly!$A$86:$AX$100, $J$4, FALSE), "")
  ),
"")</f>
        <v>106869000000</v>
      </c>
      <c r="K26" s="80">
        <f>IFERROR(
  IF($E$3="Annual",
    IFERROR(HLOOKUP(D26, Annual!$A$25:$AX$100, $K$4, FALSE), ""),
    IFERROR(HLOOKUP(D26, Quarterly!$A$86:$AX$100, $K$4, FALSE), "")
  ),
"")</f>
        <v>128645000000</v>
      </c>
      <c r="L26" s="80">
        <f>IFERROR(
  IF($E$3="Annual",
    IFERROR(HLOOKUP(D26, Annual!$A$25:$AX$100, $L$4, FALSE), ""),
    IFERROR(HLOOKUP(D26, Quarterly!$A$86:$AX$100, $L$4, FALSE), "")
  ),
"")</f>
        <v>131339000000</v>
      </c>
      <c r="M26" s="80">
        <f>IFERROR(
  IF($E$3="Annual",
    IFERROR(HLOOKUP(D26, Annual!$A$25:$AX$100, $M$4, FALSE), ""),
    IFERROR(HLOOKUP(D26, Quarterly!$N$86:$AX$100, $M$4, FALSE), "")
  ),
"")</f>
        <v>162819000000</v>
      </c>
      <c r="N26" s="80">
        <f>IFERROR(
  IF($E$3="Annual",
    IFERROR(HLOOKUP(D26, Annual!$A$25:$AX$100, $N$4, FALSE), ""),
    IFERROR(HLOOKUP(D26, Quarterly!$A$86:$AX$100, $N$4, FALSE), "")
  ),
"")</f>
        <v>143713000000</v>
      </c>
      <c r="O26" s="80">
        <f>IFERROR(
  IF($E$3="Annual",
    IFERROR(HLOOKUP(D26, Annual!$A$25:$AX$100, $O$4, FALSE), ""),
    IFERROR(HLOOKUP(D26, Quarterly!$A$86:$AX$100, $O$4, FALSE), "")
  ),
"")</f>
        <v>134836000000</v>
      </c>
      <c r="P26" s="80">
        <f>IFERROR(
  IF($E$3="Annual",
    IFERROR(HLOOKUP(D26, Annual!$A$25:$AX$100, $P$4, FALSE), ""),
    IFERROR(HLOOKUP(D26, Quarterly!$A$86:$AX$100, $P$4, FALSE), "")
  ),
"")</f>
        <v>135405000000</v>
      </c>
      <c r="Q26" s="80">
        <f>IFERROR(
  IF($E$3="Annual",
    IFERROR(HLOOKUP(D26, Annual!$A$25:$AX$100, $Q$4, FALSE), ""),
    IFERROR(HLOOKUP(D26, Quarterly!$A$86:$AX$100, $Q$4, FALSE), "")
  ),
"")</f>
        <v>143566000000</v>
      </c>
      <c r="R26" s="80">
        <f>IFERROR(
  IF($E$3="Annual",
    IFERROR(HLOOKUP(D26, Annual!$A$25:$AX$100, $R$4, FALSE), ""),
    IFERROR(HLOOKUP(D26, Quarterly!$A$86:$AX$200, $R$4, FALSE), "")
  ),
"")</f>
        <v>152987000000</v>
      </c>
      <c r="T26" s="30">
        <f t="shared" si="0"/>
        <v>132955700000</v>
      </c>
      <c r="U26">
        <f t="shared" si="1"/>
        <v>13295570000</v>
      </c>
    </row>
    <row r="27" spans="1:21" ht="15.75" customHeight="1">
      <c r="A27" s="20" t="str">
        <f ca="1">HYPERLINK("https://www.google.com/search?q=whale+wisdom+"&amp;B2, "Ownership")</f>
        <v>Ownership</v>
      </c>
      <c r="D27" s="16" t="s">
        <v>157</v>
      </c>
      <c r="E27" s="72" t="s">
        <v>202</v>
      </c>
      <c r="F27" s="51">
        <f>IFERROR(
  IF($E$3="Annual",
    IFERROR(HLOOKUP(D27, Annual!$A$25:$AX$100, $F$4, FALSE), ""),
    IFERROR(HLOOKUP(D27, Quarterly!$A$86:$AX$100, $F$4, FALSE), "")
  ),
"")</f>
        <v>1135000000</v>
      </c>
      <c r="G27" s="51">
        <f>IFERROR(
  IF($E$3="Annual",
    IFERROR(HLOOKUP(D27, Annual!$A$25:$AX$100, $G$4, FALSE), ""),
    IFERROR(HLOOKUP(D27, Quarterly!$A$86:$AX$100, $G$4, FALSE), "")
  ),
"")</f>
        <v>1577000000</v>
      </c>
      <c r="H27" s="51">
        <f>IFERROR(
  IF($E$3="Annual",
    IFERROR(HLOOKUP(D27, Annual!$A$25:$AX$100, $H$4, FALSE), ""),
    IFERROR(HLOOKUP(D27, Quarterly!$A$86:$AX$100, $H$4, FALSE), "")
  ),
"")</f>
        <v>4616000000</v>
      </c>
      <c r="I27" s="269">
        <f>IFERROR(
  IF($E$3="Annual",
    IFERROR(HLOOKUP(D27, Annual!$A$25:$AX$100, $I$4, FALSE), ""),
    IFERROR(HLOOKUP(D27, Quarterly!$A$86:$AX$100, $I$4, FALSE), "")
  ),
"")</f>
        <v>5116000000</v>
      </c>
      <c r="J27" s="269">
        <f>IFERROR(
  IF($E$3="Annual",
    IFERROR(HLOOKUP(D27, Annual!$A$25:$AX$100, $J$4, FALSE), ""),
    IFERROR(HLOOKUP(D27, Quarterly!$A$86:$AX$100, $J$4, FALSE), "")
  ),
"")</f>
        <v>5414000000</v>
      </c>
      <c r="K27" s="269">
        <f>IFERROR(
  IF($E$3="Annual",
    IFERROR(HLOOKUP(D27, Annual!$A$25:$AX$100, $K$4, FALSE), ""),
    IFERROR(HLOOKUP(D27, Quarterly!$A$86:$AX$100, $K$4, FALSE), "")
  ),
"")</f>
        <v>5717000000</v>
      </c>
      <c r="L27" s="269">
        <f>IFERROR(
  IF($E$3="Annual",
    IFERROR(HLOOKUP(D27, Annual!$A$25:$AX$100, $L$4, FALSE), ""),
    IFERROR(HLOOKUP(D27, Quarterly!$A$86:$AX$100, $L$4, FALSE), "")
  ),
"")</f>
        <v>0</v>
      </c>
      <c r="M27" s="269">
        <f>IFERROR(
  IF($E$3="Annual",
    IFERROR(HLOOKUP(D27, Annual!$A$25:$AX$100, $M$4, FALSE), ""),
    IFERROR(HLOOKUP(D27, Quarterly!$A$86:$AX$100, $M$4, FALSE), "")
  ),
"")</f>
        <v>0</v>
      </c>
      <c r="N27" s="269">
        <f>IFERROR(
  IF($E$3="Annual",
    IFERROR(HLOOKUP(D27, Annual!$A$25:$AX$100, $N$4, FALSE), ""),
    IFERROR(HLOOKUP(D27, Quarterly!$A$86:$AX$100, $N$4, FALSE), "")
  ),
"")</f>
        <v>0</v>
      </c>
      <c r="O27" s="269">
        <f>IFERROR(
  IF($E$3="Annual",
    IFERROR(HLOOKUP(D27, Annual!$A$25:$AX$100, $O$4, FALSE), ""),
    IFERROR(HLOOKUP(D27, Quarterly!$A$86:$AX$100, $O$4, FALSE), "")
  ),
"")</f>
        <v>0</v>
      </c>
      <c r="P27" s="269">
        <f>IFERROR(
  IF($E$3="Annual",
    IFERROR(HLOOKUP(D27, Annual!$A$25:$AX$100, $P$4, FALSE), ""),
    IFERROR(HLOOKUP(D27, Quarterly!$A$86:$AX$100, $P$4, FALSE), "")
  ),
"")</f>
        <v>0</v>
      </c>
      <c r="Q27" s="269">
        <f>IFERROR(
  IF($E$3="Annual",
    IFERROR(HLOOKUP(D27, Annual!$A$25:$AX$100, $Q$4, FALSE), ""),
    IFERROR(HLOOKUP(D27, Quarterly!$A$86:$AX$100, $Q$4, FALSE), "")
  ),
"")</f>
        <v>0</v>
      </c>
      <c r="R27" s="269">
        <f>IFERROR(
  IF($E$3="Annual",
    IFERROR(HLOOKUP(D27, Annual!$A$25:$AX$100, $R$4, FALSE), ""),
    IFERROR(HLOOKUP(D27, Quarterly!$A$86:$AX$200, $R$4, FALSE), "")
  ),
"")</f>
        <v>0</v>
      </c>
      <c r="T27" s="30">
        <f t="shared" si="0"/>
        <v>1624700000</v>
      </c>
      <c r="U27">
        <f t="shared" si="1"/>
        <v>162470000</v>
      </c>
    </row>
    <row r="28" spans="1:21" ht="15.75" customHeight="1">
      <c r="A28" s="20" t="str">
        <f ca="1">HYPERLINK("http://openinsider.com/"&amp;B2, "Insiders")</f>
        <v>Insiders</v>
      </c>
      <c r="D28" s="16" t="s">
        <v>155</v>
      </c>
      <c r="E28" s="73" t="s">
        <v>262</v>
      </c>
      <c r="F28" s="52">
        <f>IFERROR(
  IF($E$3="Annual",
    IFERROR(HLOOKUP(D28, Annual!$A$25:$AX$100, $F$4, FALSE), ""),
    IFERROR(HLOOKUP(D28, Quarterly!$A$86:$AX$100, $F$4, FALSE), "")
  ),
"")</f>
        <v>4224000000</v>
      </c>
      <c r="G28" s="52">
        <f>IFERROR(
  IF($E$3="Annual",
    IFERROR(HLOOKUP(D28, Annual!$A$25:$AX$100, $G$4, FALSE), ""),
    IFERROR(HLOOKUP(D28, Quarterly!$A$86:$AX$100, $G$4, FALSE), "")
  ),
"")</f>
        <v>4179000000</v>
      </c>
      <c r="H28" s="52">
        <f>IFERROR(
  IF($E$3="Annual",
    IFERROR(HLOOKUP(D28, Annual!$A$25:$AX$100, $H$4, FALSE), ""),
    IFERROR(HLOOKUP(D28, Quarterly!$A$86:$AX$100, $H$4, FALSE), "")
  ),
"")</f>
        <v>4142000000</v>
      </c>
      <c r="I28" s="80">
        <f>IFERROR(
  IF($E$3="Annual",
    IFERROR(HLOOKUP(D28, Annual!$A$25:$AX$100, $I$4, FALSE), ""),
    IFERROR(HLOOKUP(D28, Quarterly!$A$86:$AX$100, $I$4, FALSE), "")
  ),
"")</f>
        <v>3893000000</v>
      </c>
      <c r="J28" s="80">
        <f>IFERROR(
  IF($E$3="Annual",
    IFERROR(HLOOKUP(D28, Annual!$A$25:$AX$100, $J$4, FALSE), ""),
    IFERROR(HLOOKUP(D28, Quarterly!$A$86:$AX$100, $J$4, FALSE), "")
  ),
"")</f>
        <v>3206000000</v>
      </c>
      <c r="K28" s="80">
        <f>IFERROR(
  IF($E$3="Annual",
    IFERROR(HLOOKUP(D28, Annual!$A$25:$AX$100, $K$4, FALSE), ""),
    IFERROR(HLOOKUP(D28, Quarterly!$A$86:$AX$100, $K$4, FALSE), "")
  ),
"")</f>
        <v>2298000000</v>
      </c>
      <c r="L28" s="80">
        <f>IFERROR(
  IF($E$3="Annual",
    IFERROR(HLOOKUP(D28, Annual!$A$25:$AX$100, $L$4, FALSE), ""),
    IFERROR(HLOOKUP(D28, Quarterly!$A$86:$AX$100, $L$4, FALSE), "")
  ),
"")</f>
        <v>0</v>
      </c>
      <c r="M28" s="80">
        <f>IFERROR(
  IF($E$3="Annual",
    IFERROR(HLOOKUP(D28, Annual!$A$25:$AX$100, $M$4, FALSE), ""),
    IFERROR(HLOOKUP(D28, Quarterly!$A$86:$AX$100, $M$4, FALSE), "")
  ),
"")</f>
        <v>0</v>
      </c>
      <c r="N28" s="80">
        <f>IFERROR(
  IF($E$3="Annual",
    IFERROR(HLOOKUP(D28, Annual!$A$25:$AX$100, $N$4, FALSE), ""),
    IFERROR(HLOOKUP(D28, Quarterly!$A$86:$AX$100, $N$4, FALSE), "")
  ),
"")</f>
        <v>0</v>
      </c>
      <c r="O28" s="80">
        <f>IFERROR(
  IF($E$3="Annual",
    IFERROR(HLOOKUP(D28, Annual!$A$25:$AX$100, $O$4, FALSE), ""),
    IFERROR(HLOOKUP(D28, Quarterly!$A$86:$AX$100, $O$4, FALSE), "")
  ),
"")</f>
        <v>0</v>
      </c>
      <c r="P28" s="80">
        <f>IFERROR(
  IF($E$3="Annual",
    IFERROR(HLOOKUP(D28, Annual!$A$25:$AX$100, $P$4, FALSE), ""),
    IFERROR(HLOOKUP(D28, Quarterly!$A$86:$AX$100, $P$4, FALSE), "")
  ),
"")</f>
        <v>0</v>
      </c>
      <c r="Q28" s="80">
        <f>IFERROR(
  IF($E$3="Annual",
    IFERROR(HLOOKUP(D28, Annual!$A$25:$AX$100, $Q$4, FALSE), ""),
    IFERROR(HLOOKUP(D28, Quarterly!$A$86:$AX$100, $Q$4, FALSE), "")
  ),
"")</f>
        <v>0</v>
      </c>
      <c r="R28" s="80">
        <f>IFERROR(
  IF($E$3="Annual",
    IFERROR(HLOOKUP(D28, Annual!$A$25:$AX$100, $R$4, FALSE), ""),
    IFERROR(HLOOKUP(D28, Quarterly!$A$86:$AX$200, $R$4, FALSE), "")
  ),
"")</f>
        <v>0</v>
      </c>
      <c r="T28" s="30">
        <f t="shared" si="0"/>
        <v>939700000</v>
      </c>
      <c r="U28">
        <f t="shared" si="1"/>
        <v>93970000</v>
      </c>
    </row>
    <row r="29" spans="1:21" ht="15.75" customHeight="1">
      <c r="A29" s="20"/>
      <c r="D29" s="16" t="s">
        <v>153</v>
      </c>
      <c r="E29" s="72" t="s">
        <v>203</v>
      </c>
      <c r="F29" s="51">
        <f>IFERROR(
  IF($E$3="Annual",
    IFERROR(HLOOKUP(D29, Annual!$A$25:$AX$100, $F$4, FALSE), ""),
    IFERROR(HLOOKUP(D29, Quarterly!$A$86:$AX$100, $F$4, FALSE), "")
  ),
"")</f>
        <v>15452000000</v>
      </c>
      <c r="G29" s="51">
        <f>IFERROR(
  IF($E$3="Annual",
    IFERROR(HLOOKUP(D29, Annual!$A$25:$AX$100, $G$4, FALSE), ""),
    IFERROR(HLOOKUP(D29, Quarterly!$A$86:$AX$100, $G$4, FALSE), "")
  ),
"")</f>
        <v>16597000000</v>
      </c>
      <c r="H29" s="51">
        <f>IFERROR(
  IF($E$3="Annual",
    IFERROR(HLOOKUP(D29, Annual!$A$25:$AX$100, $H$4, FALSE), ""),
    IFERROR(HLOOKUP(D29, Quarterly!$A$86:$AX$100, $H$4, FALSE), "")
  ),
"")</f>
        <v>20624000000</v>
      </c>
      <c r="I29" s="80">
        <f>IFERROR(
  IF($E$3="Annual",
    IFERROR(HLOOKUP(D29, Annual!$A$25:$AX$100, $I$4, FALSE), ""),
    IFERROR(HLOOKUP(D29, Quarterly!$A$86:$AX$100, $I$4, FALSE), "")
  ),
"")</f>
        <v>22471000000</v>
      </c>
      <c r="J29" s="80">
        <f>IFERROR(
  IF($E$3="Annual",
    IFERROR(HLOOKUP(D29, Annual!$A$25:$AX$100, $J$4, FALSE), ""),
    IFERROR(HLOOKUP(D29, Quarterly!$A$86:$AX$100, $J$4, FALSE), "")
  ),
"")</f>
        <v>27010000000</v>
      </c>
      <c r="K29" s="80">
        <f>IFERROR(
  IF($E$3="Annual",
    IFERROR(HLOOKUP(D29, Annual!$A$25:$AX$100, $K$4, FALSE), ""),
    IFERROR(HLOOKUP(D29, Quarterly!$A$86:$AX$100, $K$4, FALSE), "")
  ),
"")</f>
        <v>33783000000</v>
      </c>
      <c r="L29" s="80">
        <f>IFERROR(
  IF($E$3="Annual",
    IFERROR(HLOOKUP(D29, Annual!$A$25:$AX$100, $L$4, FALSE), ""),
    IFERROR(HLOOKUP(D29, Quarterly!$A$86:$AX$100, $L$4, FALSE), "")
  ),
"")</f>
        <v>41304000000</v>
      </c>
      <c r="M29" s="80">
        <f>IFERROR(
  IF($E$3="Annual",
    IFERROR(HLOOKUP(D29, Annual!$A$25:$AX$100, $M$4, FALSE), ""),
    IFERROR(HLOOKUP(D29, Quarterly!$A$86:$AX$100, $M$4, FALSE), "")
  ),
"")</f>
        <v>37378000000</v>
      </c>
      <c r="N29" s="80">
        <f>IFERROR(
  IF($E$3="Annual",
    IFERROR(HLOOKUP(D29, Annual!$A$25:$AX$100, $N$4, FALSE), ""),
    IFERROR(HLOOKUP(D29, Quarterly!$A$86:$AX$100, $N$4, FALSE), "")
  ),
"")</f>
        <v>36766000000</v>
      </c>
      <c r="O29" s="80">
        <f>IFERROR(
  IF($E$3="Annual",
    IFERROR(HLOOKUP(D29, Annual!$A$25:$AX$100, $O$4, FALSE), ""),
    IFERROR(HLOOKUP(D29, Quarterly!$A$86:$AX$100, $O$4, FALSE), "")
  ),
"")</f>
        <v>39440000000</v>
      </c>
      <c r="P29" s="80">
        <f>IFERROR(
  IF($E$3="Annual",
    IFERROR(HLOOKUP(D29, Annual!$A$25:$AX$100, $P$4, FALSE), ""),
    IFERROR(HLOOKUP(D29, Quarterly!$A$86:$AX$100, $P$4, FALSE), "")
  ),
"")</f>
        <v>42117000000</v>
      </c>
      <c r="Q29" s="80">
        <f>IFERROR(
  IF($E$3="Annual",
    IFERROR(HLOOKUP(D29, Annual!$A$25:$AX$100, $Q$4, FALSE), ""),
    IFERROR(HLOOKUP(D29, Quarterly!$A$86:$AX$100, $Q$4, FALSE), "")
  ),
"")</f>
        <v>43715000000</v>
      </c>
      <c r="R29" s="80">
        <f>IFERROR(
  IF($E$3="Annual",
    IFERROR(HLOOKUP(D29, Annual!$A$25:$AX$100, $R$4, FALSE), ""),
    IFERROR(HLOOKUP(D29, Quarterly!$A$86:$AX$200, $R$4, FALSE), "")
  ),
"")</f>
        <v>0</v>
      </c>
      <c r="T29" s="30">
        <f t="shared" si="0"/>
        <v>32398400000</v>
      </c>
      <c r="U29">
        <f t="shared" si="1"/>
        <v>3239840000</v>
      </c>
    </row>
    <row r="30" spans="1:21" ht="15.75" customHeight="1">
      <c r="D30" s="16" t="s">
        <v>146</v>
      </c>
      <c r="E30" s="73" t="s">
        <v>261</v>
      </c>
      <c r="F30" s="52">
        <f>IFERROR(
  IF($E$3="Annual",
    IFERROR(HLOOKUP(D30, Annual!$A$25:$AX$100, $F$4, FALSE), ""),
    IFERROR(HLOOKUP(D30, Quarterly!$A$86:$AX$100, $F$4, FALSE), "")
  ),
"")</f>
        <v>176064000000</v>
      </c>
      <c r="G30" s="52">
        <f>IFERROR(
  IF($E$3="Annual",
    IFERROR(HLOOKUP(D30, Annual!$A$25:$AX$100, $G$4, FALSE), ""),
    IFERROR(HLOOKUP(D30, Quarterly!$A$86:$AX$100, $G$4, FALSE), "")
  ),
"")</f>
        <v>207000000000</v>
      </c>
      <c r="H30" s="52">
        <f>IFERROR(
  IF($E$3="Annual",
    IFERROR(HLOOKUP(D30, Annual!$A$25:$AX$100, $H$4, FALSE), ""),
    IFERROR(HLOOKUP(D30, Quarterly!$A$86:$AX$100, $H$4, FALSE), "")
  ),
"")</f>
        <v>231839000000</v>
      </c>
      <c r="I30" s="80">
        <f>IFERROR(
  IF($E$3="Annual",
    IFERROR(HLOOKUP(D30, Annual!$A$25:$AX$100, $I$4, FALSE), ""),
    IFERROR(HLOOKUP(D30, Quarterly!$A$86:$AX$100, $I$4, FALSE), "")
  ),
"")</f>
        <v>290479000000</v>
      </c>
      <c r="J30" s="80">
        <f>IFERROR(
  IF($E$3="Annual",
    IFERROR(HLOOKUP(D30, Annual!$A$25:$AX$100, $J$4, FALSE), ""),
    IFERROR(HLOOKUP(D30, Quarterly!$A$86:$AX$100, $J$4, FALSE), "")
  ),
"")</f>
        <v>321686000000</v>
      </c>
      <c r="K30" s="80">
        <f>IFERROR(
  IF($E$3="Annual",
    IFERROR(HLOOKUP(D30, Annual!$A$25:$AX$100, $K$4, FALSE), ""),
    IFERROR(HLOOKUP(D30, Quarterly!$A$86:$AX$100, $K$4, FALSE), "")
  ),
"")</f>
        <v>375319000000</v>
      </c>
      <c r="L30" s="80">
        <f>IFERROR(
  IF($E$3="Annual",
    IFERROR(HLOOKUP(D30, Annual!$A$25:$AX$100, $L$4, FALSE), ""),
    IFERROR(HLOOKUP(D30, Quarterly!$A$86:$AX$100, $L$4, FALSE), "")
  ),
"")</f>
        <v>365725000000</v>
      </c>
      <c r="M30" s="80">
        <f>IFERROR(
  IF($E$3="Annual",
    IFERROR(HLOOKUP(D30, Annual!$A$25:$AX$100, $M$4, FALSE), ""),
    IFERROR(HLOOKUP(D30, Quarterly!$A$86:$AX$100, $M$4, FALSE), "")
  ),
"")</f>
        <v>338516000000</v>
      </c>
      <c r="N30" s="80">
        <f>IFERROR(
  IF($E$3="Annual",
    IFERROR(HLOOKUP(D30, Annual!$A$25:$AX$100, $N$4, FALSE), ""),
    IFERROR(HLOOKUP(D30, Quarterly!$A$86:$AX$100, $N$4, FALSE), "")
  ),
"")</f>
        <v>323888000000</v>
      </c>
      <c r="O30" s="80">
        <f>IFERROR(
  IF($E$3="Annual",
    IFERROR(HLOOKUP(D30, Annual!$A$25:$AX$100, $O$4, FALSE), ""),
    IFERROR(HLOOKUP(D30, Quarterly!$A$86:$AX$100, $O$4, FALSE), "")
  ),
"")</f>
        <v>351002000000</v>
      </c>
      <c r="P30" s="80">
        <f>IFERROR(
  IF($E$3="Annual",
    IFERROR(HLOOKUP(D30, Annual!$A$25:$AX$100, $P$4, FALSE), ""),
    IFERROR(HLOOKUP(D30, Quarterly!$A$86:$AX$100, $P$4, FALSE), "")
  ),
"")</f>
        <v>352755000000</v>
      </c>
      <c r="Q30" s="80">
        <f>IFERROR(
  IF($E$3="Annual",
    IFERROR(HLOOKUP(D30, Annual!$A$25:$AX$100, $Q$4, FALSE), ""),
    IFERROR(HLOOKUP(D30, Quarterly!$A$86:$AX$100, $Q$4, FALSE), "")
  ),
"")</f>
        <v>352583000000</v>
      </c>
      <c r="R30" s="80">
        <f>IFERROR(
  IF($E$3="Annual",
    IFERROR(HLOOKUP(D30, Annual!$A$25:$AX$100, $R$4, FALSE), ""),
    IFERROR(HLOOKUP(D30, Quarterly!$A$86:$AX$200, $R$4, FALSE), "")
  ),
"")</f>
        <v>364980000000</v>
      </c>
      <c r="T30" s="30">
        <f t="shared" si="0"/>
        <v>343693300000</v>
      </c>
      <c r="U30">
        <f t="shared" si="1"/>
        <v>34369330000</v>
      </c>
    </row>
    <row r="31" spans="1:21" ht="15.75" customHeight="1">
      <c r="D31" s="16" t="s">
        <v>164</v>
      </c>
      <c r="E31" s="72" t="s">
        <v>263</v>
      </c>
      <c r="F31" s="51">
        <f>IFERROR(
  IF($E$3="Annual",
    IFERROR(HLOOKUP(D31, Annual!$A$25:$AX$100, $F$4, FALSE), ""),
    IFERROR(HLOOKUP(D31, Quarterly!$A$86:$AX$100, $F$4, FALSE), "")
  ),
"")</f>
        <v>38542000000</v>
      </c>
      <c r="G31" s="51">
        <f>IFERROR(
  IF($E$3="Annual",
    IFERROR(HLOOKUP(D31, Annual!$A$25:$AX$100, $G$4, FALSE), ""),
    IFERROR(HLOOKUP(D31, Quarterly!$A$86:$AX$100, $G$4, FALSE), "")
  ),
"")</f>
        <v>43658000000</v>
      </c>
      <c r="H31" s="51">
        <f>IFERROR(
  IF($E$3="Annual",
    IFERROR(HLOOKUP(D31, Annual!$A$25:$AX$100, $H$4, FALSE), ""),
    IFERROR(HLOOKUP(D31, Quarterly!$A$86:$AX$100, $H$4, FALSE), "")
  ),
"")</f>
        <v>63448000000</v>
      </c>
      <c r="I31" s="80">
        <f>IFERROR(
  IF($E$3="Annual",
    IFERROR(HLOOKUP(D31, Annual!$A$25:$AX$100, $I$4, FALSE), ""),
    IFERROR(HLOOKUP(D31, Quarterly!$A$86:$AX$100, $I$4, FALSE), "")
  ),
"")</f>
        <v>80610000000</v>
      </c>
      <c r="J31" s="80">
        <f>IFERROR(
  IF($E$3="Annual",
    IFERROR(HLOOKUP(D31, Annual!$A$25:$AX$100, $J$4, FALSE), ""),
    IFERROR(HLOOKUP(D31, Quarterly!$A$86:$AX$100, $J$4, FALSE), "")
  ),
"")</f>
        <v>79006000000</v>
      </c>
      <c r="K31" s="80">
        <f>IFERROR(
  IF($E$3="Annual",
    IFERROR(HLOOKUP(D31, Annual!$A$25:$AX$100, $K$4, FALSE), ""),
    IFERROR(HLOOKUP(D31, Quarterly!$A$86:$AX$100, $K$4, FALSE), "")
  ),
"")</f>
        <v>100814000000</v>
      </c>
      <c r="L31" s="80">
        <f>IFERROR(
  IF($E$3="Annual",
    IFERROR(HLOOKUP(D31, Annual!$A$25:$AX$100, $L$4, FALSE), ""),
    IFERROR(HLOOKUP(D31, Quarterly!$A$86:$AX$100, $L$4, FALSE), "")
  ),
"")</f>
        <v>116866000000</v>
      </c>
      <c r="M31" s="80">
        <f>IFERROR(
  IF($E$3="Annual",
    IFERROR(HLOOKUP(D31, Annual!$A$25:$AX$100, $M$4, FALSE), ""),
    IFERROR(HLOOKUP(D31, Quarterly!$N$86:$AX$100, $M$4, FALSE), "")
  ),
"")</f>
        <v>105718000000</v>
      </c>
      <c r="N31" s="80">
        <f>IFERROR(
  IF($E$3="Annual",
    IFERROR(HLOOKUP(D31, Annual!$A$25:$AX$100, $N$4, FALSE), ""),
    IFERROR(HLOOKUP(D31, Quarterly!$A$86:$AX$100, $N$4, FALSE), "")
  ),
"")</f>
        <v>105392000000</v>
      </c>
      <c r="O31" s="80">
        <f>IFERROR(
  IF($E$3="Annual",
    IFERROR(HLOOKUP(D31, Annual!$A$25:$AX$100, $O$4, FALSE), ""),
    IFERROR(HLOOKUP(D31, Quarterly!$A$86:$AX$100, $O$4, FALSE), "")
  ),
"")</f>
        <v>125481000000</v>
      </c>
      <c r="P31" s="80">
        <f>IFERROR(
  IF($E$3="Annual",
    IFERROR(HLOOKUP(D31, Annual!$A$25:$AX$100, $P$4, FALSE), ""),
    IFERROR(HLOOKUP(D31, Quarterly!$A$86:$AX$100, $P$4, FALSE), "")
  ),
"")</f>
        <v>153982000000</v>
      </c>
      <c r="Q31" s="80">
        <f>IFERROR(
  IF($E$3="Annual",
    IFERROR(HLOOKUP(D31, Annual!$A$25:$AX$100, $Q$4, FALSE), ""),
    IFERROR(HLOOKUP(D31, Quarterly!$A$86:$AX$100, $Q$4, FALSE), "")
  ),
"")</f>
        <v>145308000000</v>
      </c>
      <c r="R31" s="80">
        <f>IFERROR(
  IF($E$3="Annual",
    IFERROR(HLOOKUP(D31, Annual!$A$25:$AX$100, $R$4, FALSE), ""),
    IFERROR(HLOOKUP(D31, Quarterly!$A$86:$AX$200, $R$4, FALSE), "")
  ),
"")</f>
        <v>176392000000</v>
      </c>
      <c r="T31" s="30">
        <f t="shared" si="0"/>
        <v>118956900000</v>
      </c>
      <c r="U31">
        <f t="shared" si="1"/>
        <v>11895690000</v>
      </c>
    </row>
    <row r="32" spans="1:21" ht="15.75" customHeight="1">
      <c r="D32" s="16" t="s">
        <v>77</v>
      </c>
      <c r="E32" s="73" t="s">
        <v>204</v>
      </c>
      <c r="F32" s="52">
        <f>IFERROR(
  IF($E$3="Annual",
    IFERROR(HLOOKUP(D32, Annual!$A$25:$AX$100, $F$4, FALSE), ""),
    IFERROR(HLOOKUP(D32, Quarterly!$A$86:$AX$100, $F$4, FALSE), "")
  ),
"")</f>
        <v>0</v>
      </c>
      <c r="G32" s="52">
        <f>IFERROR(
  IF($E$3="Annual",
    IFERROR(HLOOKUP(D32, Annual!$A$25:$AX$100, $G$4, FALSE), ""),
    IFERROR(HLOOKUP(D32, Quarterly!$A$86:$AX$100, $G$4, FALSE), "")
  ),
"")</f>
        <v>16960000000</v>
      </c>
      <c r="H32" s="52">
        <f>IFERROR(
  IF($E$3="Annual",
    IFERROR(HLOOKUP(D32, Annual!$A$25:$AX$100, $H$4, FALSE), ""),
    IFERROR(HLOOKUP(D32, Quarterly!$A$86:$AX$100, $H$4, FALSE), "")
  ),
"")</f>
        <v>28987000000</v>
      </c>
      <c r="I32" s="80">
        <f>IFERROR(
  IF($E$3="Annual",
    IFERROR(HLOOKUP(D32, Annual!$A$25:$AX$100, $I$4, FALSE), ""),
    IFERROR(HLOOKUP(D32, Quarterly!$A$86:$AX$100, $I$4, FALSE), "")
  ),
"")</f>
        <v>53463000000</v>
      </c>
      <c r="J32" s="80">
        <f>IFERROR(
  IF($E$3="Annual",
    IFERROR(HLOOKUP(D32, Annual!$A$25:$AX$100, $J$4, FALSE), ""),
    IFERROR(HLOOKUP(D32, Quarterly!$A$86:$AX$100, $J$4, FALSE), "")
  ),
"")</f>
        <v>75427000000</v>
      </c>
      <c r="K32" s="80">
        <f>IFERROR(
  IF($E$3="Annual",
    IFERROR(HLOOKUP(D32, Annual!$A$25:$AX$100, $K$4, FALSE), ""),
    IFERROR(HLOOKUP(D32, Quarterly!$A$86:$AX$100, $K$4, FALSE), "")
  ),
"")</f>
        <v>97207000000</v>
      </c>
      <c r="L32" s="80">
        <f>IFERROR(
  IF($E$3="Annual",
    IFERROR(HLOOKUP(D32, Annual!$A$25:$AX$100, $L$4, FALSE), ""),
    IFERROR(HLOOKUP(D32, Quarterly!$A$86:$AX$100, $L$4, FALSE), "")
  ),
"")</f>
        <v>93735000000</v>
      </c>
      <c r="M32" s="80">
        <f>IFERROR(
  IF($E$3="Annual",
    IFERROR(HLOOKUP(D32, Annual!$A$25:$AX$100, $M$4, FALSE), ""),
    IFERROR(HLOOKUP(D32, Quarterly!$N$86:$AX$100, $M$4, FALSE), "")
  ),
"")</f>
        <v>91807000000</v>
      </c>
      <c r="N32" s="80">
        <f>IFERROR(
  IF($E$3="Annual",
    IFERROR(HLOOKUP(D32, Annual!$A$25:$AX$100, $N$4, FALSE), ""),
    IFERROR(HLOOKUP(D32, Quarterly!$A$86:$AX$100, $N$4, FALSE), "")
  ),
"")</f>
        <v>98667000000</v>
      </c>
      <c r="O32" s="80">
        <f>IFERROR(
  IF($E$3="Annual",
    IFERROR(HLOOKUP(D32, Annual!$A$25:$AX$100, $O$4, FALSE), ""),
    IFERROR(HLOOKUP(D32, Quarterly!$A$86:$AX$100, $O$4, FALSE), "")
  ),
"")</f>
        <v>109106000000</v>
      </c>
      <c r="P32" s="80">
        <f>IFERROR(
  IF($E$3="Annual",
    IFERROR(HLOOKUP(D32, Annual!$A$25:$AX$100, $P$4, FALSE), ""),
    IFERROR(HLOOKUP(D32, Quarterly!$A$86:$AX$100, $P$4, FALSE), "")
  ),
"")</f>
        <v>98959000000</v>
      </c>
      <c r="Q32" s="80">
        <f>IFERROR(
  IF($E$3="Annual",
    IFERROR(HLOOKUP(D32, Annual!$A$25:$AX$100, $Q$4, FALSE), ""),
    IFERROR(HLOOKUP(D32, Quarterly!$A$86:$AX$100, $Q$4, FALSE), "")
  ),
"")</f>
        <v>95281000000</v>
      </c>
      <c r="R32" s="80">
        <f>IFERROR(
  IF($E$3="Annual",
    IFERROR(HLOOKUP(D32, Annual!$A$25:$AX$100, $R$4, FALSE), ""),
    IFERROR(HLOOKUP(D32, Quarterly!$A$86:$AX$200, $R$4, FALSE), "")
  ),
"")</f>
        <v>85750000000</v>
      </c>
      <c r="T32" s="30">
        <f t="shared" si="0"/>
        <v>89940200000</v>
      </c>
      <c r="U32">
        <f t="shared" si="1"/>
        <v>8994020000</v>
      </c>
    </row>
    <row r="33" spans="1:21" ht="15.75" customHeight="1">
      <c r="A33" t="s">
        <v>194</v>
      </c>
      <c r="D33" s="16" t="s">
        <v>163</v>
      </c>
      <c r="E33" s="72" t="s">
        <v>264</v>
      </c>
      <c r="F33" s="51">
        <f>IFERROR(
  IF($E$3="Annual",
    IFERROR(HLOOKUP(D33, Annual!$A$25:$AX$100, $F$4, FALSE), ""),
    IFERROR(HLOOKUP(D33, Quarterly!$A$86:$AX$100, $F$4, FALSE), "")
  ),
"")</f>
        <v>57854000000</v>
      </c>
      <c r="G33" s="51">
        <f>IFERROR(
  IF($E$3="Annual",
    IFERROR(HLOOKUP(D33, Annual!$A$25:$AX$100, $G$4, FALSE), ""),
    IFERROR(HLOOKUP(D33, Quarterly!$A$86:$AX$100, $G$4, FALSE), "")
  ),
"")</f>
        <v>83451000000</v>
      </c>
      <c r="H33" s="51">
        <f>IFERROR(
  IF($E$3="Annual",
    IFERROR(HLOOKUP(D33, Annual!$A$25:$AX$100, $H$4, FALSE), ""),
    IFERROR(HLOOKUP(D33, Quarterly!$A$86:$AX$100, $H$4, FALSE), "")
  ),
"")</f>
        <v>120292000000</v>
      </c>
      <c r="I33" s="80">
        <f>IFERROR(
  IF($E$3="Annual",
    IFERROR(HLOOKUP(D33, Annual!$A$25:$AX$100, $I$4, FALSE), ""),
    IFERROR(HLOOKUP(D33, Quarterly!$A$86:$AX$100, $I$4, FALSE), "")
  ),
"")</f>
        <v>171124000000</v>
      </c>
      <c r="J33" s="80">
        <f>IFERROR(
  IF($E$3="Annual",
    IFERROR(HLOOKUP(D33, Annual!$A$25:$AX$100, $J$4, FALSE), ""),
    IFERROR(HLOOKUP(D33, Quarterly!$A$86:$AX$100, $J$4, FALSE), "")
  ),
"")</f>
        <v>193437000000</v>
      </c>
      <c r="K33" s="80">
        <f>IFERROR(
  IF($E$3="Annual",
    IFERROR(HLOOKUP(D33, Annual!$A$25:$AX$100, $K$4, FALSE), ""),
    IFERROR(HLOOKUP(D33, Quarterly!$A$86:$AX$100, $K$4, FALSE), "")
  ),
"")</f>
        <v>241272000000</v>
      </c>
      <c r="L33" s="80">
        <f>IFERROR(
  IF($E$3="Annual",
    IFERROR(HLOOKUP(D33, Annual!$A$25:$AX$100, $L$4, FALSE), ""),
    IFERROR(HLOOKUP(D33, Quarterly!$A$86:$AX$100, $L$4, FALSE), "")
  ),
"")</f>
        <v>258578000000</v>
      </c>
      <c r="M33" s="80">
        <f>IFERROR(
  IF($E$3="Annual",
    IFERROR(HLOOKUP(D33, Annual!$A$25:$AX$100, $M$4, FALSE), ""),
    IFERROR(HLOOKUP(D33, Quarterly!$N$86:$AX$100, $M$4, FALSE), "")
  ),
"")</f>
        <v>248028000000</v>
      </c>
      <c r="N33" s="80">
        <f>IFERROR(
  IF($E$3="Annual",
    IFERROR(HLOOKUP(D33, Annual!$A$25:$AX$100, $N$4, FALSE), ""),
    IFERROR(HLOOKUP(D33, Quarterly!$A$86:$AX$100, $N$4, FALSE), "")
  ),
"")</f>
        <v>258549000000</v>
      </c>
      <c r="O33" s="80">
        <f>IFERROR(
  IF($E$3="Annual",
    IFERROR(HLOOKUP(D33, Annual!$A$25:$AX$100, $O$4, FALSE), ""),
    IFERROR(HLOOKUP(D33, Quarterly!$A$86:$AX$100, $O$4, FALSE), "")
  ),
"")</f>
        <v>287912000000</v>
      </c>
      <c r="P33" s="80">
        <f>IFERROR(
  IF($E$3="Annual",
    IFERROR(HLOOKUP(D33, Annual!$A$25:$AX$100, $P$4, FALSE), ""),
    IFERROR(HLOOKUP(D33, Quarterly!$A$86:$AX$100, $P$4, FALSE), "")
  ),
"")</f>
        <v>302083000000</v>
      </c>
      <c r="Q33" s="80">
        <f>IFERROR(
  IF($E$3="Annual",
    IFERROR(HLOOKUP(D33, Annual!$A$25:$AX$100, $Q$4, FALSE), ""),
    IFERROR(HLOOKUP(D33, Quarterly!$A$86:$AX$100, $Q$4, FALSE), "")
  ),
"")</f>
        <v>290437000000</v>
      </c>
      <c r="R33" s="80">
        <f>IFERROR(
  IF($E$3="Annual",
    IFERROR(HLOOKUP(D33, Annual!$A$25:$AX$100, $R$4, FALSE), ""),
    IFERROR(HLOOKUP(D33, Quarterly!$A$86:$AX$200, $R$4, FALSE), "")
  ),
"")</f>
        <v>308030000000</v>
      </c>
      <c r="T33" s="30">
        <f t="shared" si="0"/>
        <v>255945000000</v>
      </c>
      <c r="U33">
        <f t="shared" si="1"/>
        <v>25594500000</v>
      </c>
    </row>
    <row r="34" spans="1:21" ht="15.75" customHeight="1">
      <c r="D34" t="s">
        <v>205</v>
      </c>
      <c r="E34" s="74" t="s">
        <v>544</v>
      </c>
      <c r="F34" s="52"/>
      <c r="G34" s="52"/>
      <c r="H34" s="52"/>
      <c r="I34" s="80">
        <f>(I32+I23)-I25</f>
        <v>151698000000</v>
      </c>
      <c r="J34" s="80">
        <f t="shared" ref="J34:Q34" si="5">(J32+J23)-J25</f>
        <v>183192000000</v>
      </c>
      <c r="K34" s="80">
        <f t="shared" si="5"/>
        <v>210965000000</v>
      </c>
      <c r="L34" s="80">
        <f t="shared" si="5"/>
        <v>174969000000</v>
      </c>
      <c r="M34" s="80">
        <f t="shared" si="5"/>
        <v>133451000000</v>
      </c>
      <c r="N34" s="80">
        <f t="shared" si="5"/>
        <v>125990000000</v>
      </c>
      <c r="O34" s="80">
        <f t="shared" si="5"/>
        <v>137256000000</v>
      </c>
      <c r="P34" s="80">
        <f t="shared" si="5"/>
        <v>125985000000</v>
      </c>
      <c r="Q34" s="80">
        <f t="shared" si="5"/>
        <v>127462000000</v>
      </c>
      <c r="R34" s="80">
        <f>(R32+R23)-R25</f>
        <v>112757000000</v>
      </c>
      <c r="T34" s="30">
        <f t="shared" si="0"/>
        <v>148372500000</v>
      </c>
      <c r="U34">
        <f t="shared" si="1"/>
        <v>14837250000</v>
      </c>
    </row>
    <row r="35" spans="1:21" ht="15.75" customHeight="1">
      <c r="B35" s="23"/>
      <c r="D35" s="16" t="s">
        <v>166</v>
      </c>
      <c r="E35" s="72" t="s">
        <v>10</v>
      </c>
      <c r="F35" s="51" t="str">
        <f>IFERROR(
  IF($E$3="Annual",
    IFERROR(HLOOKUP(D35, Annual!$A$48:$AX$100, $F$4, FALSE), ""),
    IFERROR(HLOOKUP(D35, Quarterly!$A$170:$AX$200, $F$4, FALSE), "")
  ),
"")</f>
        <v/>
      </c>
      <c r="G35" s="51" t="str">
        <f>IFERROR(
  IF($E$3="Annual",
    IFERROR(HLOOKUP(D35, Annual!$A$48:$AX$100, $G$4, FALSE), ""),
    IFERROR(HLOOKUP(D35, Quarterly!$A$170:$AX$200, $G$4, FALSE), "")
  ),
"")</f>
        <v/>
      </c>
      <c r="H35" s="51" t="str">
        <f>IFERROR(
  IF($E$3="Annual",
    IFERROR(HLOOKUP(D35, Annual!$A$48:$AX$100, $H$4, FALSE), ""),
    IFERROR(HLOOKUP(D35, Quarterly!$A$170:$AX$200, $H$4, FALSE), "")
  ),
"")</f>
        <v/>
      </c>
      <c r="I35" s="80" t="str">
        <f>IFERROR(
  IF($E$3="Annual",
    IFERROR(HLOOKUP(D35, Annual!$A$48:$AX$100, $I$4, FALSE), ""),
    IFERROR(HLOOKUP(D35, Quarterly!$A$170:$AX$200, $I$4, FALSE), "")
  ),
"")</f>
        <v/>
      </c>
      <c r="J35" s="80" t="str">
        <f>IFERROR(
  IF($E$3="Annual",
    IFERROR(HLOOKUP(D35, Annual!$A$48:$AX$100, $J$4, FALSE), ""),
    IFERROR(HLOOKUP(D35, Quarterly!$A$170:$AX$200, $J$4, FALSE), "")
  ),
"")</f>
        <v/>
      </c>
      <c r="K35" s="80" t="str">
        <f>IFERROR(
  IF($E$3="Annual",
    IFERROR(HLOOKUP(D35, Annual!$A$48:$AX$100, $K$4, FALSE), ""),
    IFERROR(HLOOKUP(D35, Quarterly!$A$170:$AX$200, $K$4, FALSE), "")
  ),
"")</f>
        <v/>
      </c>
      <c r="L35" s="80" t="str">
        <f>IFERROR(
  IF($E$3="Annual",
    IFERROR(HLOOKUP(D35, Annual!$A$48:$AX$100, $L$4, FALSE), ""),
    IFERROR(HLOOKUP(D35, Quarterly!$A$170:$AX$200, $L$4, FALSE), "")
  ),
"")</f>
        <v/>
      </c>
      <c r="M35" s="80" t="str">
        <f>IFERROR(
  IF($E$3="Annual",
    IFERROR(HLOOKUP(D35, Annual!$A$48:$AX$100, $M$4, FALSE), ""),
    IFERROR(HLOOKUP(D35, Quarterly!$A$170:$AX$200, $M$4, FALSE), "")
  ),
"")</f>
        <v/>
      </c>
      <c r="N35" s="80" t="str">
        <f>IFERROR(
  IF($E$3="Annual",
    IFERROR(HLOOKUP(D35, Annual!$A$48:$AX$100, $N$4, FALSE), ""),
    IFERROR(HLOOKUP(D35, Quarterly!$A$170:$AX$200, $N$4, FALSE), "")
  ),
"")</f>
        <v/>
      </c>
      <c r="O35" s="80" t="str">
        <f>IFERROR(
  IF($E$3="Annual",
    IFERROR(HLOOKUP(D35, Annual!$A$48:$AX$100, $O$4, FALSE), ""),
    IFERROR(HLOOKUP(D35, Quarterly!$A$170:$AX$200, $O$4, FALSE), "")
  ),
"")</f>
        <v/>
      </c>
      <c r="P35" s="80" t="str">
        <f>IFERROR(
  IF($E$3="Annual",
    IFERROR(HLOOKUP(D35, Annual!$A$48:$AX$100, $P$4, FALSE), ""),
    IFERROR(HLOOKUP(D35, Quarterly!$A$170:$AX$200, $P$4, FALSE), "")
  ),
"")</f>
        <v/>
      </c>
      <c r="Q35" s="80" t="str">
        <f>IFERROR(
  IF($E$3="Annual",
    IFERROR(HLOOKUP(D35, Annual!$A$48:$AX$100, $Q$4, FALSE), ""),
    IFERROR(HLOOKUP(D35, Quarterly!$A$170:$AX$200, $Q$4, FALSE), "")
  ),
"")</f>
        <v/>
      </c>
      <c r="R35" s="80" t="str">
        <f>IFERROR(
  IF($E$3="Annual",
    IFERROR(HLOOKUP(D35, Annual!$A$48:$AX$100, $R$4, FALSE), ""),
    IFERROR(HLOOKUP(D35, Quarterly!$A$170:$AX$200, $R$4, FALSE), "")
  ),
"")</f>
        <v/>
      </c>
      <c r="T35" s="30" t="e">
        <f t="shared" si="0"/>
        <v>#DIV/0!</v>
      </c>
      <c r="U35" t="e">
        <f t="shared" si="1"/>
        <v>#DIV/0!</v>
      </c>
    </row>
    <row r="36" spans="1:21" ht="15.75" customHeight="1">
      <c r="C36" s="21"/>
      <c r="D36" s="16" t="s">
        <v>206</v>
      </c>
      <c r="E36" s="73" t="s">
        <v>206</v>
      </c>
      <c r="F36" s="52" t="str">
        <f>IFERROR(
  IF($E$3="Annual",
    IFERROR(HLOOKUP(D36, Annual!$A$48:$AX$100, $F$4, FALSE), ""),
    IFERROR(HLOOKUP(D36, Quarterly!$A$170:$AX$200, $F$4, FALSE), "")
  ),
"")</f>
        <v/>
      </c>
      <c r="G36" s="52" t="str">
        <f>IFERROR(
  IF($E$3="Annual",
    IFERROR(HLOOKUP(D36, Annual!$A$48:$AX$100, $G$4, FALSE), ""),
    IFERROR(HLOOKUP(D36, Quarterly!$A$170:$AX$200, $G$4, FALSE), "")
  ),
"")</f>
        <v/>
      </c>
      <c r="H36" s="52" t="str">
        <f>IFERROR(
  IF($E$3="Annual",
    IFERROR(HLOOKUP(D36, Annual!$A$48:$AX$100, $H$4, FALSE), ""),
    IFERROR(HLOOKUP(D36, Quarterly!$A$170:$AX$200, $H$4, FALSE), "")
  ),
"")</f>
        <v/>
      </c>
      <c r="I36" s="53" t="str">
        <f>IFERROR(
  IF($E$3="Annual",
    IFERROR(HLOOKUP(D36, Annual!$A$48:$AX$100, $I$4, FALSE), ""),
    IFERROR(HLOOKUP(D36, Quarterly!$A$170:$AX$200, $I$4, FALSE), "")
  ),
"")</f>
        <v/>
      </c>
      <c r="J36" s="53" t="str">
        <f>IFERROR(
  IF($E$3="Annual",
    IFERROR(HLOOKUP(D36, Annual!$A$48:$AX$100, $J$4, FALSE), ""),
    IFERROR(HLOOKUP(D36, Quarterly!$A$170:$AX$200, $J$4, FALSE), "")
  ),
"")</f>
        <v/>
      </c>
      <c r="K36" s="53" t="str">
        <f>IFERROR(
  IF($E$3="Annual",
    IFERROR(HLOOKUP(D36, Annual!$A$48:$AX$100, $K$4, FALSE), ""),
    IFERROR(HLOOKUP(D36, Quarterly!$A$170:$AX$200, $K$4, FALSE), "")
  ),
"")</f>
        <v/>
      </c>
      <c r="L36" s="53" t="str">
        <f>IFERROR(
  IF($E$3="Annual",
    IFERROR(HLOOKUP(D36, Annual!$A$48:$AX$100, $L$4, FALSE), ""),
    IFERROR(HLOOKUP(D36, Quarterly!$A$170:$AX$200, $L$4, FALSE), "")
  ),
"")</f>
        <v/>
      </c>
      <c r="M36" s="53" t="str">
        <f>IFERROR(
  IF($E$3="Annual",
    IFERROR(HLOOKUP(D36, Annual!$A$48:$AX$100, $M$4, FALSE), ""),
    IFERROR(HLOOKUP(D36, Quarterly!$A$170:$AX$200, $M$4, FALSE), "")
  ),
"")</f>
        <v/>
      </c>
      <c r="N36" s="53" t="str">
        <f>IFERROR(
  IF($E$3="Annual",
    IFERROR(HLOOKUP(D36, Annual!$A$48:$AX$100, $N$4, FALSE), ""),
    IFERROR(HLOOKUP(D36, Quarterly!$A$170:$AX$200, $N$4, FALSE), "")
  ),
"")</f>
        <v/>
      </c>
      <c r="O36" s="53" t="str">
        <f>IFERROR(
  IF($E$3="Annual",
    IFERROR(HLOOKUP(D36, Annual!$A$48:$AX$100, $O$4, FALSE), ""),
    IFERROR(HLOOKUP(D36, Quarterly!$A$170:$AX$200, $O$4, FALSE), "")
  ),
"")</f>
        <v/>
      </c>
      <c r="P36" s="53" t="str">
        <f>IFERROR(
  IF($E$3="Annual",
    IFERROR(HLOOKUP(D36, Annual!$A$48:$AX$100, $P$4, FALSE), ""),
    IFERROR(HLOOKUP(D36, Quarterly!$A$170:$AX$200, $P$4, FALSE), "")
  ),
"")</f>
        <v/>
      </c>
      <c r="Q36" s="53" t="str">
        <f>IFERROR(
  IF($E$3="Annual",
    IFERROR(HLOOKUP(D36, Annual!$A$48:$AX$100, $Q$4, FALSE), ""),
    IFERROR(HLOOKUP(D36, Quarterly!$A$170:$AX$200, $Q$4, FALSE), "")
  ),
"")</f>
        <v/>
      </c>
      <c r="R36" s="54" t="str">
        <f>IFERROR(
  IF($E$3="Annual",
    IFERROR(HLOOKUP(D36, Annual!$A$48:$AX$100, $R$4, FALSE), ""),
    IFERROR(HLOOKUP(D36, Quarterly!$A$170:$AX$200, $R$4, FALSE), "")
  ),
"")</f>
        <v/>
      </c>
      <c r="T36" s="30"/>
    </row>
    <row r="37" spans="1:21" ht="15.75" customHeight="1">
      <c r="D37" s="16" t="s">
        <v>172</v>
      </c>
      <c r="E37" s="72" t="s">
        <v>207</v>
      </c>
      <c r="F37" s="51" t="str">
        <f>IFERROR(
  IF($E$3="Annual",
    IFERROR(HLOOKUP(D37, Annual!$A$48:$AX$100, $F$4, FALSE), ""),
    IFERROR(HLOOKUP(D37, Quarterly!$A$170:$AX$200, $F$4, FALSE), "")
  ),
"")</f>
        <v/>
      </c>
      <c r="G37" s="51" t="str">
        <f>IFERROR(
  IF($E$3="Annual",
    IFERROR(HLOOKUP(D37, Annual!$A$48:$AX$100, $G$4, FALSE), ""),
    IFERROR(HLOOKUP(D37, Quarterly!$A$170:$AX$200, $G$4, FALSE), "")
  ),
"")</f>
        <v/>
      </c>
      <c r="H37" s="51" t="str">
        <f>IFERROR(
  IF($E$3="Annual",
    IFERROR(HLOOKUP(D37, Annual!$A$48:$AX$100, $H$4, FALSE), ""),
    IFERROR(HLOOKUP(D37, Quarterly!$A$170:$AX$200, $H$4, FALSE), "")
  ),
"")</f>
        <v/>
      </c>
      <c r="I37" s="80" t="str">
        <f>IFERROR(
  IF($E$3="Annual",
    IFERROR(HLOOKUP(D37, Annual!$A$48:$AX$100, $I$4, FALSE), ""),
    IFERROR(HLOOKUP(D37, Quarterly!$A$170:$AX$200, $I$4, FALSE), "")
  ),
"")</f>
        <v/>
      </c>
      <c r="J37" s="80" t="str">
        <f>IFERROR(
  IF($E$3="Annual",
    IFERROR(HLOOKUP(D37, Annual!$A$48:$AX$100, $J$4, FALSE), ""),
    IFERROR(HLOOKUP(D37, Quarterly!$A$170:$AX$200, $J$4, FALSE), "")
  ),
"")</f>
        <v/>
      </c>
      <c r="K37" s="80" t="str">
        <f>IFERROR(
  IF($E$3="Annual",
    IFERROR(HLOOKUP(D37, Annual!$A$48:$AX$100, $K$4, FALSE), ""),
    IFERROR(HLOOKUP(D37, Quarterly!$A$170:$AX$200, $K$4, FALSE), "")
  ),
"")</f>
        <v/>
      </c>
      <c r="L37" s="80" t="str">
        <f>IFERROR(
  IF($E$3="Annual",
    IFERROR(HLOOKUP(D37, Annual!$A$48:$AX$100, $L$4, FALSE), ""),
    IFERROR(HLOOKUP(D37, Quarterly!$A$170:$AX$200, $L$4, FALSE), "")
  ),
"")</f>
        <v/>
      </c>
      <c r="M37" s="80" t="str">
        <f>IFERROR(
  IF($E$3="Annual",
    IFERROR(HLOOKUP(D37, Annual!$A$48:$AX$100, $M$4, FALSE), ""),
    IFERROR(HLOOKUP(D37, Quarterly!$A$170:$AX$200, $M$4, FALSE), "")
  ),
"")</f>
        <v/>
      </c>
      <c r="N37" s="80" t="str">
        <f>IFERROR(
  IF($E$3="Annual",
    IFERROR(HLOOKUP(D37, Annual!$A$48:$AX$100, $N$4, FALSE), ""),
    IFERROR(HLOOKUP(D37, Quarterly!$A$170:$AX$200, $N$4, FALSE), "")
  ),
"")</f>
        <v/>
      </c>
      <c r="O37" s="80" t="str">
        <f>IFERROR(
  IF($E$3="Annual",
    IFERROR(HLOOKUP(D37, Annual!$A$48:$AX$100, $O$4, FALSE), ""),
    IFERROR(HLOOKUP(D37, Quarterly!$A$170:$AX$200, $O$4, FALSE), "")
  ),
"")</f>
        <v/>
      </c>
      <c r="P37" s="80" t="str">
        <f>IFERROR(
  IF($E$3="Annual",
    IFERROR(HLOOKUP(D37, Annual!$A$48:$AX$100, $P$4, FALSE), ""),
    IFERROR(HLOOKUP(D37, Quarterly!$A$170:$AX$200, $P$4, FALSE), "")
  ),
"")</f>
        <v/>
      </c>
      <c r="Q37" s="80" t="str">
        <f>IFERROR(
  IF($E$3="Annual",
    IFERROR(HLOOKUP(D37, Annual!$A$48:$AX$100, $Q$4, FALSE), ""),
    IFERROR(HLOOKUP(D37, Quarterly!$A$170:$AX$200, $Q$4, FALSE), "")
  ),
"")</f>
        <v/>
      </c>
      <c r="R37" s="80" t="str">
        <f>IFERROR(
  IF($E$3="Annual",
    IFERROR(HLOOKUP(D37, Annual!$A$48:$AX$100, $R$4, FALSE), ""),
    IFERROR(HLOOKUP(D37, Quarterly!$A$170:$AX$200, $R$4, FALSE), "")
  ),
"")</f>
        <v/>
      </c>
      <c r="T37" s="30" t="e">
        <f t="shared" si="0"/>
        <v>#DIV/0!</v>
      </c>
      <c r="U37" t="e">
        <f t="shared" si="1"/>
        <v>#DIV/0!</v>
      </c>
    </row>
    <row r="38" spans="1:21" ht="15.75" customHeight="1">
      <c r="D38" s="16" t="s">
        <v>158</v>
      </c>
      <c r="E38" s="73" t="s">
        <v>265</v>
      </c>
      <c r="F38" s="52" t="str">
        <f>IFERROR(
  IF($E$3="Annual",
    IFERROR(HLOOKUP(D38, Annual!$A$48:$AX$100, $F$4, FALSE), ""),
    IFERROR(HLOOKUP(D38, Quarterly!$A$170:$AX$200, $F$4, FALSE), "")
  ),
"")</f>
        <v/>
      </c>
      <c r="G38" s="52" t="str">
        <f>IFERROR(
  IF($E$3="Annual",
    IFERROR(HLOOKUP(D38, Annual!$A$48:$AX$100, $G$4, FALSE), ""),
    IFERROR(HLOOKUP(D38, Quarterly!$A$170:$AX$200, $G$4, FALSE), "")
  ),
"")</f>
        <v/>
      </c>
      <c r="H38" s="144" t="str">
        <f>IFERROR(
  IF($E$3="Annual",
    IFERROR(HLOOKUP(D38, Annual!$A$48:$AX$100, $H$4, FALSE), ""),
    IFERROR(HLOOKUP(D38, Quarterly!$A$170:$AX$200, $H$4, FALSE), "")
  ),
"")</f>
        <v/>
      </c>
      <c r="I38" s="269" t="str">
        <f>IFERROR(
  IF($E$3="Annual",
    IFERROR(HLOOKUP(D38, Annual!$A$48:$AX$100, $I$4, FALSE), ""),
    IFERROR(HLOOKUP(D38, Quarterly!$A$170:$AX$200, $I$4, FALSE), "")
  ),
"")</f>
        <v/>
      </c>
      <c r="J38" s="269" t="str">
        <f>IFERROR(
  IF($E$3="Annual",
    IFERROR(HLOOKUP(D38, Annual!$A$48:$AX$100, $J$4, FALSE), ""),
    IFERROR(HLOOKUP(D38, Quarterly!$A$170:$AX$200, $J$4, FALSE), "")
  ),
"")</f>
        <v/>
      </c>
      <c r="K38" s="269" t="str">
        <f>IFERROR(
  IF($E$3="Annual",
    IFERROR(HLOOKUP(D38, Annual!$A$48:$AX$100, $K$4, FALSE), ""),
    IFERROR(HLOOKUP(D38, Quarterly!$A$170:$AX$200, $K$4, FALSE), "")
  ),
"")</f>
        <v/>
      </c>
      <c r="L38" s="269" t="str">
        <f>IFERROR(
  IF($E$3="Annual",
    IFERROR(HLOOKUP(D38, Annual!$A$48:$AX$100, $L$4, FALSE), ""),
    IFERROR(HLOOKUP(D38, Quarterly!$A$170:$AX$200, $L$4, FALSE), "")
  ),
"")</f>
        <v/>
      </c>
      <c r="M38" s="269" t="str">
        <f>IFERROR(
  IF($E$3="Annual",
    IFERROR(HLOOKUP(D38, Annual!$A$48:$AX$100, $M$4, FALSE), ""),
    IFERROR(HLOOKUP(D38, Quarterly!$A$170:$AX$200, $M$4, FALSE), "")
  ),
"")</f>
        <v/>
      </c>
      <c r="N38" s="269" t="str">
        <f>IFERROR(
  IF($E$3="Annual",
    IFERROR(HLOOKUP(D38, Annual!$A$48:$AX$100, $N$4, FALSE), ""),
    IFERROR(HLOOKUP(D38, Quarterly!$A$170:$AX$200, $N$4, FALSE), "")
  ),
"")</f>
        <v/>
      </c>
      <c r="O38" s="269" t="str">
        <f>IFERROR(
  IF($E$3="Annual",
    IFERROR(HLOOKUP(D38, Annual!$A$48:$AX$100, $O$4, FALSE), ""),
    IFERROR(HLOOKUP(D38, Quarterly!$A$170:$AX$200, $O$4, FALSE), "")
  ),
"")</f>
        <v/>
      </c>
      <c r="P38" s="269" t="str">
        <f>IFERROR(
  IF($E$3="Annual",
    IFERROR(HLOOKUP(D38, Annual!$A$48:$AX$100, $P$4, FALSE), ""),
    IFERROR(HLOOKUP(D38, Quarterly!$A$170:$AX$200, $P$4, FALSE), "")
  ),
"")</f>
        <v/>
      </c>
      <c r="Q38" s="269" t="str">
        <f>IFERROR(
  IF($E$3="Annual",
    IFERROR(HLOOKUP(D38, Annual!$A$48:$AX$100, $Q$4, FALSE), ""),
    IFERROR(HLOOKUP(D38, Quarterly!$A$170:$AX$200, $Q$4, FALSE), "")
  ),
"")</f>
        <v/>
      </c>
      <c r="R38" s="269" t="str">
        <f>IFERROR(
  IF($E$3="Annual",
    IFERROR(HLOOKUP(D38, Annual!$A$48:$AX$100, $R$4, FALSE), ""),
    IFERROR(HLOOKUP(D38, Quarterly!$A$170:$AX$200, $R$4, FALSE), "")
  ),
"")</f>
        <v/>
      </c>
      <c r="T38" s="30"/>
    </row>
    <row r="39" spans="1:21" ht="15.75" customHeight="1">
      <c r="D39" s="16" t="s">
        <v>176</v>
      </c>
      <c r="E39" s="72" t="s">
        <v>208</v>
      </c>
      <c r="F39" s="51" t="str">
        <f>IFERROR(
  IF($E$3="Annual",
    IFERROR(HLOOKUP(D39, Annual!$A$48:$AX$100, $F$4, FALSE), ""),
    IFERROR(HLOOKUP(D39, Quarterly!$A$170:$AX$200, $F$4, FALSE), "")
  ),
"")</f>
        <v/>
      </c>
      <c r="G39" s="51" t="str">
        <f>IFERROR(
  IF($E$3="Annual",
    IFERROR(HLOOKUP(D39, Annual!$A$48:$AX$100, $G$4, FALSE), ""),
    IFERROR(HLOOKUP(D39, Quarterly!$A$170:$AX$200, $G$4, FALSE), "")
  ),
"")</f>
        <v/>
      </c>
      <c r="H39" s="145" t="str">
        <f>IFERROR(
  IF($E$3="Annual",
    IFERROR(HLOOKUP(D39, Annual!$A$48:$AX$100, $H$4, FALSE), ""),
    IFERROR(HLOOKUP(D39, Quarterly!$A$170:$AX$200, $H$4, FALSE), "")
  ),
"")</f>
        <v/>
      </c>
      <c r="I39" s="271" t="str">
        <f>IFERROR(
  IF($E$3="Annual",
    IFERROR(HLOOKUP(D39, Annual!$A$48:$AX$100, $I$4, FALSE), ""),
    IFERROR(HLOOKUP(D39, Quarterly!$A$170:$AX$200, $I$4, FALSE), "")
  ),
"")</f>
        <v/>
      </c>
      <c r="J39" s="271" t="str">
        <f>IFERROR(
  IF($E$3="Annual",
    IFERROR(HLOOKUP(D39, Annual!$A$48:$AX$100, $J$4, FALSE), ""),
    IFERROR(HLOOKUP(D39, Quarterly!$A$170:$AX$200, $J$4, FALSE), "")
  ),
"")</f>
        <v/>
      </c>
      <c r="K39" s="271" t="str">
        <f>IFERROR(
  IF($E$3="Annual",
    IFERROR(HLOOKUP(D39, Annual!$A$48:$AX$100, $K$4, FALSE), ""),
    IFERROR(HLOOKUP(D39, Quarterly!$A$170:$AX$200, $K$4, FALSE), "")
  ),
"")</f>
        <v/>
      </c>
      <c r="L39" s="271" t="str">
        <f>IFERROR(
  IF($E$3="Annual",
    IFERROR(HLOOKUP(D39, Annual!$A$48:$AX$100, $L$4, FALSE), ""),
    IFERROR(HLOOKUP(D39, Quarterly!$A$170:$AX$200, $L$4, FALSE), "")
  ),
"")</f>
        <v/>
      </c>
      <c r="M39" s="271" t="str">
        <f>IFERROR(
  IF($E$3="Annual",
    IFERROR(HLOOKUP(D39, Annual!$A$48:$AX$100, $M$4, FALSE), ""),
    IFERROR(HLOOKUP(D39, Quarterly!$A$170:$AX$200, $M$4, FALSE), "")
  ),
"")</f>
        <v/>
      </c>
      <c r="N39" s="271" t="str">
        <f>IFERROR(
  IF($E$3="Annual",
    IFERROR(HLOOKUP(D39, Annual!$A$48:$AX$100, $N$4, FALSE), ""),
    IFERROR(HLOOKUP(D39, Quarterly!$A$170:$AX$200, $N$4, FALSE), "")
  ),
"")</f>
        <v/>
      </c>
      <c r="O39" s="271" t="str">
        <f>IFERROR(
  IF($E$3="Annual",
    IFERROR(HLOOKUP(D39, Annual!$A$48:$AX$100, $O$4, FALSE), ""),
    IFERROR(HLOOKUP(D39, Quarterly!$A$170:$AX$200, $O$4, FALSE), "")
  ),
"")</f>
        <v/>
      </c>
      <c r="P39" s="271" t="str">
        <f>IFERROR(
  IF($E$3="Annual",
    IFERROR(HLOOKUP(D39, Annual!$A$48:$AX$100, $P$4, FALSE), ""),
    IFERROR(HLOOKUP(D39, Quarterly!$A$170:$AX$200, $P$4, FALSE), "")
  ),
"")</f>
        <v/>
      </c>
      <c r="Q39" s="271" t="str">
        <f>IFERROR(
  IF($E$3="Annual",
    IFERROR(HLOOKUP(D39, Annual!$A$48:$AX$100, $Q$4, FALSE), ""),
    IFERROR(HLOOKUP(D39, Quarterly!$A$170:$AX$200, $Q$4, FALSE), "")
  ),
"")</f>
        <v/>
      </c>
      <c r="R39" s="271" t="str">
        <f>IFERROR(
  IF($E$3="Annual",
    IFERROR(HLOOKUP(D39, Annual!$A$48:$AX$100, $R$4, FALSE), ""),
    IFERROR(HLOOKUP(D39, Quarterly!$A$170:$AX$200, $R$4, FALSE), "")
  ),
"")</f>
        <v/>
      </c>
      <c r="T39" s="30" t="e">
        <f t="shared" si="0"/>
        <v>#DIV/0!</v>
      </c>
      <c r="U39" t="e">
        <f t="shared" si="1"/>
        <v>#DIV/0!</v>
      </c>
    </row>
    <row r="40" spans="1:21" ht="15.75" customHeight="1">
      <c r="D40" s="16" t="s">
        <v>177</v>
      </c>
      <c r="E40" s="73" t="s">
        <v>209</v>
      </c>
      <c r="F40" s="52" t="str">
        <f>IFERROR(
  IF($E$3="Annual",
    IFERROR(HLOOKUP(D40, Annual!$A$48:$AX$100, $F$4, FALSE), ""),
    IFERROR(HLOOKUP(D40, Quarterly!$A$170:$AX$200, $F$4, FALSE), "")
  ),
"")</f>
        <v/>
      </c>
      <c r="G40" s="52" t="str">
        <f>IFERROR(
  IF($E$3="Annual",
    IFERROR(HLOOKUP(D40, Annual!$A$48:$AX$100, $G$4, FALSE), ""),
    IFERROR(HLOOKUP(D40, Quarterly!$A$170:$AX$200, $G$4, FALSE), "")
  ),
"")</f>
        <v/>
      </c>
      <c r="H40" s="144" t="str">
        <f>IFERROR(
  IF($E$3="Annual",
    IFERROR(HLOOKUP(D40, Annual!$A$48:$AX$100, $H$4, FALSE), ""),
    IFERROR(HLOOKUP(D40, Quarterly!$A$170:$AX$200, $H$4, FALSE), "")
  ),
"")</f>
        <v/>
      </c>
      <c r="I40" s="271" t="str">
        <f>IFERROR(
  IF($E$3="Annual",
    IFERROR(HLOOKUP(D40, Annual!$A$48:$AX$100, $I$4, FALSE), ""),
    IFERROR(HLOOKUP(D40, Quarterly!$A$170:$AX$200, $I$4, FALSE), "")
  ),
"")</f>
        <v/>
      </c>
      <c r="J40" s="271" t="str">
        <f>IFERROR(
  IF($E$3="Annual",
    IFERROR(HLOOKUP(D40, Annual!$A$48:$AX$100, $J$4, FALSE), ""),
    IFERROR(HLOOKUP(D40, Quarterly!$A$170:$AX$200, $J$4, FALSE), "")
  ),
"")</f>
        <v/>
      </c>
      <c r="K40" s="271" t="str">
        <f>IFERROR(
  IF($E$3="Annual",
    IFERROR(HLOOKUP(D40, Annual!$A$48:$AX$100, $K$4, FALSE), ""),
    IFERROR(HLOOKUP(D40, Quarterly!$A$170:$AX$200, $K$4, FALSE), "")
  ),
"")</f>
        <v/>
      </c>
      <c r="L40" s="271" t="str">
        <f>IFERROR(
  IF($E$3="Annual",
    IFERROR(HLOOKUP(D40, Annual!$A$48:$AX$100, $L$4, FALSE), ""),
    IFERROR(HLOOKUP(D40, Quarterly!$A$170:$AX$200, $L$4, FALSE), "")
  ),
"")</f>
        <v/>
      </c>
      <c r="M40" s="271" t="str">
        <f>IFERROR(
  IF($E$3="Annual",
    IFERROR(HLOOKUP(D40, Annual!$A$48:$AX$100, $M$4, FALSE), ""),
    IFERROR(HLOOKUP(D40, Quarterly!$A$170:$AX$200, $M$4, FALSE), "")
  ),
"")</f>
        <v/>
      </c>
      <c r="N40" s="271" t="str">
        <f>IFERROR(
  IF($E$3="Annual",
    IFERROR(HLOOKUP(D40, Annual!$A$48:$AX$100, $N$4, FALSE), ""),
    IFERROR(HLOOKUP(D40, Quarterly!$A$170:$AX$200, $N$4, FALSE), "")
  ),
"")</f>
        <v/>
      </c>
      <c r="O40" s="271" t="str">
        <f>IFERROR(
  IF($E$3="Annual",
    IFERROR(HLOOKUP(D40, Annual!$A$48:$AX$100, $O$4, FALSE), ""),
    IFERROR(HLOOKUP(D40, Quarterly!$A$170:$AX$200, $O$4, FALSE), "")
  ),
"")</f>
        <v/>
      </c>
      <c r="P40" s="271" t="str">
        <f>IFERROR(
  IF($E$3="Annual",
    IFERROR(HLOOKUP(D40, Annual!$A$48:$AX$100, $P$4, FALSE), ""),
    IFERROR(HLOOKUP(D40, Quarterly!$A$170:$AX$200, $P$4, FALSE), "")
  ),
"")</f>
        <v/>
      </c>
      <c r="Q40" s="271" t="str">
        <f>IFERROR(
  IF($E$3="Annual",
    IFERROR(HLOOKUP(D40, Annual!$A$48:$AX$100, $Q$4, FALSE), ""),
    IFERROR(HLOOKUP(D40, Quarterly!$A$170:$AX$200, $Q$4, FALSE), "")
  ),
"")</f>
        <v/>
      </c>
      <c r="R40" s="271" t="str">
        <f>IFERROR(
  IF($E$3="Annual",
    IFERROR(HLOOKUP(D40, Annual!$A$48:$AX$100, $R$4, FALSE), ""),
    IFERROR(HLOOKUP(D40, Quarterly!$A$170:$AX$200, $R$4, FALSE), "")
  ),
"")</f>
        <v/>
      </c>
      <c r="T40" s="30" t="e">
        <f t="shared" si="0"/>
        <v>#DIV/0!</v>
      </c>
      <c r="U40" t="e">
        <f t="shared" si="1"/>
        <v>#DIV/0!</v>
      </c>
    </row>
    <row r="41" spans="1:21" ht="15.75" customHeight="1">
      <c r="C41" s="21"/>
      <c r="D41" s="16" t="s">
        <v>210</v>
      </c>
      <c r="E41" s="72" t="s">
        <v>210</v>
      </c>
      <c r="F41" s="51" t="str">
        <f>IFERROR(
  IF($E$3="Annual",
    IFERROR(HLOOKUP(D41, Annual!$A$48:$AX$100, $F$4, FALSE), ""),
    IFERROR(HLOOKUP(D41, Quarterly!$A$170:$AX$200, $F$4, FALSE), "")
  ),
"")</f>
        <v/>
      </c>
      <c r="G41" s="56"/>
      <c r="H41" s="146"/>
      <c r="I41" s="271" t="str">
        <f>IFERROR(
  IF($E$3="Annual",
    IFERROR(HLOOKUP(D41, Annual!$A$48:$AX$100, $I$4, FALSE), ""),
    IFERROR(HLOOKUP(D41, Quarterly!$A$170:$AX$200, $I$4, FALSE), "")
  ),
"")</f>
        <v/>
      </c>
      <c r="J41" s="272"/>
      <c r="K41" s="272"/>
      <c r="L41" s="271" t="str">
        <f>IFERROR(
  IF($E$3="Annual",
    IFERROR(HLOOKUP(D41, Annual!$A$2:$AX$100, $L$4, FALSE), ""),
    IFERROR(HLOOKUP(D41, Quarterly!$A$2:$AX$100, $L$4, FALSE), "")
  ),
"")</f>
        <v/>
      </c>
      <c r="M41" s="271" t="str">
        <f>IFERROR(
  IF($E$3="Annual",
    IFERROR(HLOOKUP(D41, Annual!$A$2:$AX$100, $M$4, FALSE), ""),
    IFERROR(HLOOKUP(D41, Quarterly!$N$2:$AX$100, $N$4, FALSE), "")
  ),
"")</f>
        <v/>
      </c>
      <c r="N41" s="271" t="str">
        <f>IFERROR(
  IF($E$3="Annual",
    IFERROR(HLOOKUP(D41, Annual!$A$2:$AX$100, $N$4, FALSE), ""),
    IFERROR(HLOOKUP(D41, Quarterly!$A$2:$AX$100, $N$4, FALSE), "")
  ),
"")</f>
        <v/>
      </c>
      <c r="O41" s="271" t="str">
        <f>IFERROR(
  IF($E$3="Annual",
    IFERROR(HLOOKUP(D41, Annual!$A$2:$AX$100, $O$4, FALSE), ""),
    IFERROR(HLOOKUP(D41, Quarterly!$A$2:$AX$100, $O$4, FALSE), "")
  ),
"")</f>
        <v/>
      </c>
      <c r="P41" s="271" t="str">
        <f>IFERROR(
  IF($E$3="Annual",
    IFERROR(HLOOKUP(D41, Annual!$A$48:$AX$100, $P$4, FALSE), ""),
    IFERROR(HLOOKUP(D41, Quarterly!$A$170:$AX$200, $P$4, FALSE), "")
  ),
"")</f>
        <v/>
      </c>
      <c r="Q41" s="272"/>
      <c r="R41" s="271" t="str">
        <f>IFERROR(
  IF($E$3="Annual",
    IFERROR(HLOOKUP(D41, Annual!$A$48:$AX$100, $R$4, FALSE), ""),
    IFERROR(HLOOKUP(D41, Quarterly!$A$170:$AX$200, $R$4, FALSE), "")
  ),
"")</f>
        <v/>
      </c>
      <c r="T41" s="30"/>
    </row>
    <row r="42" spans="1:21" ht="15.75" customHeight="1">
      <c r="D42" s="16"/>
      <c r="E42" s="73"/>
      <c r="F42" s="57"/>
      <c r="G42" s="58"/>
      <c r="H42" s="30"/>
      <c r="I42" s="53"/>
      <c r="J42" s="59"/>
      <c r="K42" s="59"/>
      <c r="L42" s="59"/>
      <c r="M42" s="59"/>
      <c r="N42" s="59"/>
      <c r="O42" s="53" t="str">
        <f>IFERROR(
  IF($E$3="Annual",
    IFERROR(HLOOKUP(D42, Annual!$A$2:$AX$100, $O$4, FALSE), ""),
    IFERROR(HLOOKUP(D42, Quarterly!$A$2:$AX$100, $O$4, FALSE), "")
  ),
"")</f>
        <v/>
      </c>
      <c r="P42" s="59"/>
      <c r="Q42" s="59"/>
      <c r="R42" s="54" t="str">
        <f>IFERROR(
  IF($E$3="Annual",
    IFERROR(HLOOKUP(D42, Annual!$A$2:$AX$100, $R$4, FALSE), ""),
    IFERROR(HLOOKUP(D42, Quarterly!$A$2:$AX$100, $R$4, FALSE), "")
  ),
"")</f>
        <v/>
      </c>
      <c r="T42" s="30"/>
    </row>
    <row r="43" spans="1:21" ht="15.75" customHeight="1">
      <c r="D43" s="12"/>
      <c r="E43" s="73"/>
      <c r="F43" s="12"/>
      <c r="G43" s="16"/>
      <c r="I43" s="48"/>
      <c r="J43" s="49"/>
      <c r="K43" s="49"/>
      <c r="L43" s="49"/>
      <c r="M43" s="49"/>
      <c r="N43" s="49"/>
      <c r="O43" s="48" t="str">
        <f>IFERROR(
  IF($E$3="Annual",
    IFERROR(HLOOKUP(D43, Annual!$A$2:$AX$100, $O$4, FALSE), ""),
    IFERROR(HLOOKUP(D43, Quarterly!$A$2:$AX$100, $O$4, FALSE), "")
  ),
"")</f>
        <v/>
      </c>
      <c r="P43" s="49"/>
      <c r="Q43" s="49"/>
      <c r="R43" s="50" t="str">
        <f>IFERROR(
  IF($E$3="Annual",
    IFERROR(HLOOKUP(D43, Annual!$A$2:$AX$100, $R$4, FALSE), ""),
    IFERROR(HLOOKUP(D43, Quarterly!$A$2:$AX$100, $R$4, FALSE), "")
  ),
"")</f>
        <v/>
      </c>
      <c r="T43" s="30"/>
    </row>
    <row r="44" spans="1:21" ht="15.75" customHeight="1">
      <c r="C44" s="21"/>
      <c r="D44" s="16" t="s">
        <v>211</v>
      </c>
      <c r="E44" s="72" t="s">
        <v>211</v>
      </c>
      <c r="F44" s="60"/>
      <c r="G44" s="61"/>
      <c r="H44" s="62"/>
      <c r="I44" s="85">
        <f t="shared" ref="I44:Q44" si="6">(I8-I9)/I8</f>
        <v>0.40059902017414373</v>
      </c>
      <c r="J44" s="85">
        <f t="shared" si="6"/>
        <v>0.39075955648097049</v>
      </c>
      <c r="K44" s="85">
        <f t="shared" si="6"/>
        <v>0.38469860491899105</v>
      </c>
      <c r="L44" s="85">
        <f t="shared" si="6"/>
        <v>0.38343718820007905</v>
      </c>
      <c r="M44" s="85">
        <f t="shared" si="6"/>
        <v>0.37817768109034722</v>
      </c>
      <c r="N44" s="85">
        <f t="shared" si="6"/>
        <v>0.38233247727810865</v>
      </c>
      <c r="O44" s="85">
        <f t="shared" si="6"/>
        <v>0.41779359625167778</v>
      </c>
      <c r="P44" s="85">
        <f t="shared" si="6"/>
        <v>0.43309630561360085</v>
      </c>
      <c r="Q44" s="85">
        <f t="shared" si="6"/>
        <v>0.44131129577207562</v>
      </c>
      <c r="R44" s="85">
        <f>(R8-R9)/R8</f>
        <v>0.46206349815233932</v>
      </c>
      <c r="T44" s="30">
        <f t="shared" si="0"/>
        <v>0.40742692239323341</v>
      </c>
      <c r="U44">
        <f t="shared" si="1"/>
        <v>4.0742692239323343E-2</v>
      </c>
    </row>
    <row r="45" spans="1:21" ht="15.75" customHeight="1">
      <c r="C45" s="21"/>
      <c r="D45" s="16" t="s">
        <v>212</v>
      </c>
      <c r="E45" s="73" t="s">
        <v>268</v>
      </c>
      <c r="F45" s="12"/>
      <c r="G45" s="16"/>
      <c r="I45" s="85">
        <f t="shared" ref="I45:Q45" si="7">I13/I8</f>
        <v>0.35833386817277452</v>
      </c>
      <c r="J45" s="85">
        <f t="shared" si="7"/>
        <v>0.3368036394158756</v>
      </c>
      <c r="K45" s="85">
        <f t="shared" si="7"/>
        <v>0.3307188287950304</v>
      </c>
      <c r="L45" s="85">
        <f t="shared" si="7"/>
        <v>0.32773960353169301</v>
      </c>
      <c r="M45" s="85">
        <f t="shared" si="7"/>
        <v>0.3146355900282119</v>
      </c>
      <c r="N45" s="85">
        <f t="shared" si="7"/>
        <v>0.2951386991603373</v>
      </c>
      <c r="O45" s="85">
        <f t="shared" si="7"/>
        <v>0.33660546120054563</v>
      </c>
      <c r="P45" s="85">
        <f t="shared" si="7"/>
        <v>0.3310467428130896</v>
      </c>
      <c r="Q45" s="85">
        <f t="shared" si="7"/>
        <v>0.32826747720364741</v>
      </c>
      <c r="R45" s="85">
        <f>R13/R8</f>
        <v>0.34437070850435381</v>
      </c>
      <c r="T45" s="30">
        <f t="shared" si="0"/>
        <v>0.33036606188255596</v>
      </c>
      <c r="U45">
        <f t="shared" si="1"/>
        <v>3.3036606188255595E-2</v>
      </c>
    </row>
    <row r="46" spans="1:21" ht="15.75" customHeight="1">
      <c r="C46" s="21"/>
      <c r="D46" s="16" t="s">
        <v>213</v>
      </c>
      <c r="E46" s="72" t="s">
        <v>266</v>
      </c>
      <c r="F46" s="60"/>
      <c r="G46" s="61"/>
      <c r="H46" s="62"/>
      <c r="I46" s="85">
        <f t="shared" ref="I46:Q46" si="8">I20/I8</f>
        <v>0.22845773698735639</v>
      </c>
      <c r="J46" s="85">
        <f t="shared" si="8"/>
        <v>0.211867983064288</v>
      </c>
      <c r="K46" s="85">
        <f t="shared" si="8"/>
        <v>0.21092420845075338</v>
      </c>
      <c r="L46" s="85">
        <f t="shared" si="8"/>
        <v>0.22414202074587247</v>
      </c>
      <c r="M46" s="85">
        <f t="shared" si="8"/>
        <v>0.21238094505984456</v>
      </c>
      <c r="N46" s="85">
        <f t="shared" si="8"/>
        <v>0.20913611278072236</v>
      </c>
      <c r="O46" s="85">
        <f t="shared" si="8"/>
        <v>0.25881793355694238</v>
      </c>
      <c r="P46" s="85">
        <f t="shared" si="8"/>
        <v>0.25309640705199732</v>
      </c>
      <c r="Q46" s="85">
        <f t="shared" si="8"/>
        <v>0.25306234264320282</v>
      </c>
      <c r="R46" s="85">
        <f>R20/R8</f>
        <v>0.23971255769943867</v>
      </c>
      <c r="T46" s="30">
        <f t="shared" si="0"/>
        <v>0.23015982480404179</v>
      </c>
      <c r="U46">
        <f t="shared" si="1"/>
        <v>2.3015982480404179E-2</v>
      </c>
    </row>
    <row r="47" spans="1:21" ht="15.75" customHeight="1">
      <c r="C47" s="21"/>
      <c r="D47" s="16" t="s">
        <v>214</v>
      </c>
      <c r="E47" s="73" t="s">
        <v>267</v>
      </c>
      <c r="F47" s="12"/>
      <c r="G47" s="16"/>
      <c r="I47" s="85" t="e">
        <f t="shared" ref="I47:Q47" si="9">I35/I8</f>
        <v>#VALUE!</v>
      </c>
      <c r="J47" s="85" t="e">
        <f t="shared" si="9"/>
        <v>#VALUE!</v>
      </c>
      <c r="K47" s="85" t="e">
        <f>K35/K8</f>
        <v>#VALUE!</v>
      </c>
      <c r="L47" s="85" t="e">
        <f t="shared" si="9"/>
        <v>#VALUE!</v>
      </c>
      <c r="M47" s="85" t="e">
        <f t="shared" si="9"/>
        <v>#VALUE!</v>
      </c>
      <c r="N47" s="85" t="e">
        <f t="shared" si="9"/>
        <v>#VALUE!</v>
      </c>
      <c r="O47" s="85" t="e">
        <f t="shared" si="9"/>
        <v>#VALUE!</v>
      </c>
      <c r="P47" s="85" t="e">
        <f t="shared" si="9"/>
        <v>#VALUE!</v>
      </c>
      <c r="Q47" s="85" t="e">
        <f t="shared" si="9"/>
        <v>#VALUE!</v>
      </c>
      <c r="R47" s="85" t="e">
        <f>R35/R8</f>
        <v>#VALUE!</v>
      </c>
      <c r="T47" s="30" t="e">
        <f t="shared" si="0"/>
        <v>#VALUE!</v>
      </c>
      <c r="U47" t="e">
        <f t="shared" si="1"/>
        <v>#VALUE!</v>
      </c>
    </row>
    <row r="48" spans="1:21" ht="15.75" customHeight="1">
      <c r="C48" s="21"/>
      <c r="D48" s="16" t="s">
        <v>215</v>
      </c>
      <c r="E48" s="72" t="s">
        <v>215</v>
      </c>
      <c r="F48" s="63"/>
      <c r="G48" s="60"/>
      <c r="H48" s="62"/>
      <c r="I48" s="85">
        <f t="shared" ref="I48:Q48" si="10">I11/I8</f>
        <v>6.1309714823609952E-2</v>
      </c>
      <c r="J48" s="85">
        <f t="shared" si="10"/>
        <v>6.5822972653369755E-2</v>
      </c>
      <c r="K48" s="85">
        <f t="shared" si="10"/>
        <v>6.6573893924984945E-2</v>
      </c>
      <c r="L48" s="85">
        <f t="shared" si="10"/>
        <v>6.2896515371147807E-2</v>
      </c>
      <c r="M48" s="85">
        <f t="shared" si="10"/>
        <v>7.0126146348213125E-2</v>
      </c>
      <c r="N48" s="85">
        <f t="shared" si="10"/>
        <v>7.2549769593646979E-2</v>
      </c>
      <c r="O48" s="85">
        <f t="shared" si="10"/>
        <v>6.006555190163388E-2</v>
      </c>
      <c r="P48" s="85">
        <f t="shared" si="10"/>
        <v>6.3637378020328261E-2</v>
      </c>
      <c r="Q48" s="85">
        <f t="shared" si="10"/>
        <v>6.5048201729783317E-2</v>
      </c>
      <c r="R48" s="85">
        <f>R11/R8</f>
        <v>6.6738271510222866E-2</v>
      </c>
      <c r="T48" s="30">
        <f t="shared" si="0"/>
        <v>6.5476841587694082E-2</v>
      </c>
      <c r="U48">
        <f t="shared" si="1"/>
        <v>6.5476841587694089E-3</v>
      </c>
    </row>
    <row r="49" spans="1:21" ht="15.75" customHeight="1">
      <c r="D49" s="16"/>
      <c r="E49" s="73"/>
      <c r="F49" s="12"/>
      <c r="G49" s="12"/>
      <c r="I49" s="48"/>
      <c r="J49" s="49"/>
      <c r="K49" s="49"/>
      <c r="L49" s="49"/>
      <c r="M49" s="49"/>
      <c r="N49" s="49"/>
      <c r="O49" s="49"/>
      <c r="P49" s="49"/>
      <c r="Q49" s="49"/>
      <c r="R49" s="50" t="str">
        <f>IFERROR(
  IF($E$3="Annual",
    IFERROR(HLOOKUP(D49, Annual!$A$2:$AX$100, $R$4, FALSE), ""),
    IFERROR(HLOOKUP(D49, Quarterly!$A$2:$AX$100, $R$4, FALSE), "")
  ),
"")</f>
        <v/>
      </c>
      <c r="T49" s="30"/>
    </row>
    <row r="50" spans="1:21" ht="15.75" customHeight="1">
      <c r="D50" s="16"/>
      <c r="E50" s="73"/>
      <c r="F50" s="12"/>
      <c r="G50" s="12"/>
      <c r="I50" s="48"/>
      <c r="J50" s="49"/>
      <c r="K50" s="49"/>
      <c r="L50" s="49"/>
      <c r="M50" s="49"/>
      <c r="N50" s="49"/>
      <c r="O50" s="49"/>
      <c r="P50" s="49"/>
      <c r="Q50" s="49"/>
      <c r="R50" s="50"/>
      <c r="T50" s="30"/>
    </row>
    <row r="51" spans="1:21" ht="15.75" customHeight="1">
      <c r="C51" s="21"/>
      <c r="D51" s="16" t="s">
        <v>216</v>
      </c>
      <c r="E51" s="72" t="s">
        <v>216</v>
      </c>
      <c r="F51" s="60"/>
      <c r="G51" s="60"/>
      <c r="H51" s="62"/>
      <c r="I51" s="341">
        <f t="shared" ref="I51:Q51" si="11">I26/I31</f>
        <v>1.1087706239920605</v>
      </c>
      <c r="J51" s="341">
        <f t="shared" si="11"/>
        <v>1.352669417512594</v>
      </c>
      <c r="K51" s="341">
        <f t="shared" si="11"/>
        <v>1.2760628484139107</v>
      </c>
      <c r="L51" s="341">
        <f t="shared" si="11"/>
        <v>1.1238426916297297</v>
      </c>
      <c r="M51" s="341">
        <f>M26/M31</f>
        <v>1.540125617208044</v>
      </c>
      <c r="N51" s="341">
        <f t="shared" si="11"/>
        <v>1.3636044481554577</v>
      </c>
      <c r="O51" s="341">
        <f t="shared" si="11"/>
        <v>1.0745531195957954</v>
      </c>
      <c r="P51" s="341">
        <f t="shared" si="11"/>
        <v>0.87935602862672257</v>
      </c>
      <c r="Q51" s="341">
        <f t="shared" si="11"/>
        <v>0.98801167175929749</v>
      </c>
      <c r="R51" s="341">
        <f>R26/R31</f>
        <v>0.86731257653408322</v>
      </c>
      <c r="T51" s="30">
        <f t="shared" si="0"/>
        <v>1.1574309043427693</v>
      </c>
      <c r="U51">
        <f t="shared" si="1"/>
        <v>0.11574309043427694</v>
      </c>
    </row>
    <row r="52" spans="1:21" ht="15.75" customHeight="1">
      <c r="C52" s="21"/>
      <c r="D52" s="16" t="s">
        <v>217</v>
      </c>
      <c r="E52" s="73" t="s">
        <v>217</v>
      </c>
      <c r="F52" s="15"/>
      <c r="G52" s="12"/>
      <c r="I52" s="341">
        <f>(I13-I14)/I15</f>
        <v>98.896316507503414</v>
      </c>
      <c r="J52" s="341">
        <f>(J13-J14)/J15</f>
        <v>43.151098901098898</v>
      </c>
      <c r="K52" s="341">
        <f>(K13-K14)/K15</f>
        <v>28.588893671975892</v>
      </c>
      <c r="L52" s="341">
        <f>(L13-L14)/L15</f>
        <v>23.500925925925927</v>
      </c>
      <c r="M52" s="341">
        <f>(M13-M14)/M15</f>
        <v>19.382829977628635</v>
      </c>
      <c r="N52" s="341">
        <f>(N13-N14)/N15</f>
        <v>24.352245040027846</v>
      </c>
      <c r="O52" s="341">
        <f>(O13-O14)/O15</f>
        <v>42.288090737240076</v>
      </c>
      <c r="P52" s="341">
        <f>(P13-P14)/P15</f>
        <v>40.749573524394407</v>
      </c>
      <c r="Q52" s="341">
        <f>(Q13-Q14)/Q15</f>
        <v>29.062039155860667</v>
      </c>
      <c r="R52" s="341" t="e">
        <f>(R13-R14)/R15</f>
        <v>#DIV/0!</v>
      </c>
      <c r="T52" s="30" t="e">
        <f t="shared" si="0"/>
        <v>#DIV/0!</v>
      </c>
      <c r="U52" t="e">
        <f t="shared" si="1"/>
        <v>#DIV/0!</v>
      </c>
    </row>
    <row r="53" spans="1:21" ht="15.75" customHeight="1">
      <c r="C53" s="21"/>
      <c r="D53" s="16" t="s">
        <v>218</v>
      </c>
      <c r="E53" s="72" t="s">
        <v>218</v>
      </c>
      <c r="F53" s="60"/>
      <c r="G53" s="61"/>
      <c r="H53" s="62"/>
      <c r="I53" s="341">
        <f>I30/I32</f>
        <v>5.4332716084020722</v>
      </c>
      <c r="J53" s="341">
        <f>J30/J32</f>
        <v>4.2648653665133178</v>
      </c>
      <c r="K53" s="341">
        <f>K30/K32</f>
        <v>3.8610285267521887</v>
      </c>
      <c r="L53" s="341">
        <f>L30/L32</f>
        <v>3.9016909372166215</v>
      </c>
      <c r="M53" s="341">
        <f>M30/M32</f>
        <v>3.6872569629766794</v>
      </c>
      <c r="N53" s="341">
        <f>N30/N32</f>
        <v>3.2826375586568965</v>
      </c>
      <c r="O53" s="341">
        <f>O30/O32</f>
        <v>3.2170733048594946</v>
      </c>
      <c r="P53" s="341">
        <f>P30/P32</f>
        <v>3.5646580907244414</v>
      </c>
      <c r="Q53" s="341">
        <f>Q30/Q32</f>
        <v>3.7004544452724049</v>
      </c>
      <c r="R53" s="341">
        <f>R30/R32</f>
        <v>4.2563265306122453</v>
      </c>
      <c r="T53" s="30">
        <f t="shared" si="0"/>
        <v>3.9169263331986359</v>
      </c>
      <c r="U53">
        <f t="shared" si="1"/>
        <v>0.39169263331986359</v>
      </c>
    </row>
    <row r="54" spans="1:21" ht="15.75" customHeight="1">
      <c r="C54" s="21"/>
      <c r="D54" s="16" t="s">
        <v>219</v>
      </c>
      <c r="E54" s="73" t="s">
        <v>219</v>
      </c>
      <c r="F54" s="12"/>
      <c r="G54" s="16"/>
      <c r="I54" s="342">
        <f>I30/I23</f>
        <v>2.4337396841355621</v>
      </c>
      <c r="J54" s="342">
        <f t="shared" ref="J54:R54" si="12">J30/J23</f>
        <v>2.5082924623193943</v>
      </c>
      <c r="K54" s="342">
        <f t="shared" si="12"/>
        <v>2.7999060031183092</v>
      </c>
      <c r="L54" s="342">
        <f t="shared" si="12"/>
        <v>3.4133013523477094</v>
      </c>
      <c r="M54" s="342">
        <f t="shared" si="12"/>
        <v>3.7410043320661304</v>
      </c>
      <c r="N54" s="342">
        <f t="shared" si="12"/>
        <v>4.9570394404566951</v>
      </c>
      <c r="O54" s="342">
        <f t="shared" si="12"/>
        <v>5.5635124425423994</v>
      </c>
      <c r="P54" s="342">
        <f t="shared" si="12"/>
        <v>6.9615369434796337</v>
      </c>
      <c r="Q54" s="342">
        <f t="shared" si="12"/>
        <v>5.6734624915521517</v>
      </c>
      <c r="R54" s="342">
        <f t="shared" si="12"/>
        <v>6.408779631255487</v>
      </c>
      <c r="T54" s="30">
        <f t="shared" si="0"/>
        <v>4.4460574783273463</v>
      </c>
      <c r="U54">
        <f t="shared" si="1"/>
        <v>0.44460574783273465</v>
      </c>
    </row>
    <row r="55" spans="1:21" ht="15.75" customHeight="1">
      <c r="C55" s="21"/>
      <c r="D55" s="16" t="s">
        <v>220</v>
      </c>
      <c r="E55" s="72" t="s">
        <v>220</v>
      </c>
      <c r="F55" s="60"/>
      <c r="G55" s="61"/>
      <c r="H55" s="62"/>
      <c r="I55" s="341" t="e">
        <f>I22/I20</f>
        <v>#VALUE!</v>
      </c>
      <c r="J55" s="341" t="e">
        <f>J22/J20</f>
        <v>#VALUE!</v>
      </c>
      <c r="K55" s="341" t="e">
        <f>K22/K20</f>
        <v>#VALUE!</v>
      </c>
      <c r="L55" s="341" t="e">
        <f>L22/L20</f>
        <v>#VALUE!</v>
      </c>
      <c r="M55" s="341" t="e">
        <f>M22/M20</f>
        <v>#VALUE!</v>
      </c>
      <c r="N55" s="341" t="e">
        <f>N22/N20</f>
        <v>#VALUE!</v>
      </c>
      <c r="O55" s="341" t="e">
        <f>O22/O20</f>
        <v>#VALUE!</v>
      </c>
      <c r="P55" s="341" t="e">
        <f>P22/P20</f>
        <v>#VALUE!</v>
      </c>
      <c r="Q55" s="341">
        <f>Q22/Q20</f>
        <v>0.15885452858394764</v>
      </c>
      <c r="R55" s="341" t="e">
        <f>R22/R20</f>
        <v>#VALUE!</v>
      </c>
      <c r="T55" s="30" t="e">
        <f t="shared" si="0"/>
        <v>#VALUE!</v>
      </c>
      <c r="U55" t="e">
        <f t="shared" si="1"/>
        <v>#VALUE!</v>
      </c>
    </row>
    <row r="56" spans="1:21" ht="15.75" customHeight="1">
      <c r="A56" t="s">
        <v>194</v>
      </c>
      <c r="E56" s="74"/>
      <c r="F56" s="12"/>
      <c r="G56" s="16"/>
      <c r="I56" s="48"/>
      <c r="J56" s="49"/>
      <c r="K56" s="49"/>
      <c r="L56" s="49"/>
      <c r="M56" s="49"/>
      <c r="N56" s="49"/>
      <c r="O56" s="49"/>
      <c r="P56" s="49"/>
      <c r="Q56" s="49"/>
      <c r="R56" s="50" t="str">
        <f>IFERROR(
  IF($E$3="Annual",
    IFERROR(HLOOKUP(D56, Annual!$A$2:$AX$100, $R$4, FALSE), ""),
    IFERROR(HLOOKUP(D56, Quarterly!$A$2:$AX$100, $R$4, FALSE), "")
  ),
"")</f>
        <v/>
      </c>
      <c r="T56" s="30" t="e">
        <f t="shared" si="0"/>
        <v>#DIV/0!</v>
      </c>
      <c r="U56" t="e">
        <f t="shared" si="1"/>
        <v>#DIV/0!</v>
      </c>
    </row>
    <row r="57" spans="1:21" ht="15.75" customHeight="1">
      <c r="A57" t="s">
        <v>221</v>
      </c>
      <c r="E57" s="74"/>
      <c r="F57" s="12"/>
      <c r="G57" s="16"/>
      <c r="I57" s="48"/>
      <c r="J57" s="49"/>
      <c r="K57" s="49"/>
      <c r="L57" s="49"/>
      <c r="M57" s="49"/>
      <c r="N57" s="49"/>
      <c r="O57" s="49"/>
      <c r="P57" s="49"/>
      <c r="Q57" s="49"/>
      <c r="R57" s="50" t="str">
        <f>IFERROR(
  IF($E$3="Annual",
    IFERROR(HLOOKUP(D57, Annual!$A$2:$AX$100, $R$4, FALSE), ""),
    IFERROR(HLOOKUP(D57, Quarterly!$A$2:$AX$100, $R$4, FALSE), "")
  ),
"")</f>
        <v/>
      </c>
      <c r="T57" s="30" t="e">
        <f t="shared" si="0"/>
        <v>#DIV/0!</v>
      </c>
      <c r="U57" t="e">
        <f t="shared" si="1"/>
        <v>#DIV/0!</v>
      </c>
    </row>
    <row r="58" spans="1:21" ht="15.75" customHeight="1">
      <c r="C58" s="21"/>
      <c r="D58" s="16" t="s">
        <v>222</v>
      </c>
      <c r="E58" s="72" t="s">
        <v>269</v>
      </c>
      <c r="F58" s="60"/>
      <c r="G58" s="61"/>
      <c r="H58" s="62"/>
      <c r="I58" s="86">
        <f>IF($E3="Annual",(I8/I6),(I8+H8+G8+F8)/I6)</f>
        <v>10.085975154102256</v>
      </c>
      <c r="J58" s="86">
        <f>IF($E3="Annual",(J8/J6),(J8+I8+H8+G8)/J6)</f>
        <v>9.8012719713774619</v>
      </c>
      <c r="K58" s="86">
        <f>IF($E3="Annual",(K8/K6),(K8+J8+I8+H8)/K6)</f>
        <v>10.912387855190289</v>
      </c>
      <c r="L58" s="86">
        <f>IF($E3="Annual",(L8/L6),(L8+K8+J8+I8)/L6)</f>
        <v>13.27946050776093</v>
      </c>
      <c r="M58" s="86">
        <f>IF($E3="Annual",(M8/M6),(M8+L8+K8+J8)/M6)</f>
        <v>13.99112007473575</v>
      </c>
      <c r="N58" s="86">
        <f>IF($E3="Annual",(N8/N6),(N8+M8+L8+K8)/N6)</f>
        <v>15.661321798102191</v>
      </c>
      <c r="O58" s="86">
        <f>IF($E3="Annual",(O8/O6),(O8+N8+M8+L8)/O6)</f>
        <v>21.691002488657077</v>
      </c>
      <c r="P58" s="86">
        <f>IF($E3="Annual",(P8/P6),(P8+O8+N8+M8)/P6)</f>
        <v>24.153642766712039</v>
      </c>
      <c r="Q58" s="86">
        <f>IF($E3="Annual",(Q8/Q6),(Q8+P8+O8+N8)/Q6)</f>
        <v>24.239295541698628</v>
      </c>
      <c r="R58" s="86">
        <f>IF($E3="Annual",(R8/R6),(R8+Q8+P8+O8)/R6)</f>
        <v>25.378542902286103</v>
      </c>
      <c r="T58" s="30">
        <f t="shared" si="0"/>
        <v>16.919402106062272</v>
      </c>
      <c r="U58">
        <f t="shared" si="1"/>
        <v>1.6919402106062273</v>
      </c>
    </row>
    <row r="59" spans="1:21" ht="15.75" customHeight="1">
      <c r="C59" s="21"/>
      <c r="D59" s="16" t="s">
        <v>223</v>
      </c>
      <c r="E59" s="73" t="s">
        <v>270</v>
      </c>
      <c r="F59" s="12"/>
      <c r="G59" s="16"/>
      <c r="I59" s="86" t="e">
        <f>I22/I6</f>
        <v>#VALUE!</v>
      </c>
      <c r="J59" s="86" t="e">
        <f>J22/J6</f>
        <v>#VALUE!</v>
      </c>
      <c r="K59" s="86" t="e">
        <f>K22/K6</f>
        <v>#VALUE!</v>
      </c>
      <c r="L59" s="86" t="e">
        <f>L22/L6</f>
        <v>#VALUE!</v>
      </c>
      <c r="M59" s="86" t="e">
        <f>M22/M6</f>
        <v>#VALUE!</v>
      </c>
      <c r="N59" s="86" t="e">
        <f>N22/N6</f>
        <v>#VALUE!</v>
      </c>
      <c r="O59" s="86" t="e">
        <f>O22/O6</f>
        <v>#VALUE!</v>
      </c>
      <c r="P59" s="86" t="e">
        <f>P22/P6</f>
        <v>#VALUE!</v>
      </c>
      <c r="Q59" s="86">
        <f>Q22/Q6</f>
        <v>0.97442208393119711</v>
      </c>
      <c r="R59" s="86" t="e">
        <f>R22/R6</f>
        <v>#VALUE!</v>
      </c>
      <c r="T59" s="30" t="e">
        <f t="shared" si="0"/>
        <v>#VALUE!</v>
      </c>
      <c r="U59" t="e">
        <f t="shared" si="1"/>
        <v>#VALUE!</v>
      </c>
    </row>
    <row r="60" spans="1:21" ht="15.75" customHeight="1">
      <c r="C60" s="21"/>
      <c r="D60" s="16" t="s">
        <v>224</v>
      </c>
      <c r="E60" s="72" t="s">
        <v>224</v>
      </c>
      <c r="F60" s="65">
        <f t="shared" ref="F60:H60" si="13">(F30-F33)/F6</f>
        <v>4.4658204740924985</v>
      </c>
      <c r="G60" s="65">
        <f t="shared" si="13"/>
        <v>4.7361213462761018</v>
      </c>
      <c r="H60" s="65">
        <f t="shared" si="13"/>
        <v>4.554676617021058</v>
      </c>
      <c r="I60" s="86">
        <f>(I30-I33)/I6</f>
        <v>5.1507672358123129</v>
      </c>
      <c r="J60" s="86">
        <f>(J30-J33)/J6</f>
        <v>5.8292021807613104</v>
      </c>
      <c r="K60" s="86">
        <f>(K30-K33)/K6</f>
        <v>6.3811339278845747</v>
      </c>
      <c r="L60" s="86">
        <f>(L30-L33)/L6</f>
        <v>5.3572332123159718</v>
      </c>
      <c r="M60" s="86">
        <f>(M30-M33)/M6</f>
        <v>4.866083749039829</v>
      </c>
      <c r="N60" s="86">
        <f>(N30-N33)/N6</f>
        <v>3.7276473233382479</v>
      </c>
      <c r="O60" s="86">
        <f>(O30-O33)/O6</f>
        <v>3.740901453484597</v>
      </c>
      <c r="P60" s="86">
        <f>(P30-P33)/P6</f>
        <v>3.1037952827971447</v>
      </c>
      <c r="Q60" s="86">
        <f>(Q30-Q33)/Q6</f>
        <v>3.9301701364112942</v>
      </c>
      <c r="R60" s="86">
        <f>(R30-R33)/R6</f>
        <v>3.6961090907084881</v>
      </c>
      <c r="T60" s="30">
        <f t="shared" si="0"/>
        <v>4.5783043592553767</v>
      </c>
      <c r="U60">
        <f t="shared" si="1"/>
        <v>0.45783043592553768</v>
      </c>
    </row>
    <row r="61" spans="1:21" ht="15.75" customHeight="1">
      <c r="C61" s="21"/>
      <c r="D61" s="16" t="s">
        <v>225</v>
      </c>
      <c r="E61" s="73" t="s">
        <v>271</v>
      </c>
      <c r="F61" s="28">
        <f>(F30-F33-F28)/F6</f>
        <v>4.3062432328898366</v>
      </c>
      <c r="G61" s="28">
        <f t="shared" ref="G61:H61" si="14">(G30-G33-G28)/G6</f>
        <v>4.5759237638910744</v>
      </c>
      <c r="H61" s="28">
        <f t="shared" si="14"/>
        <v>4.385550862427019</v>
      </c>
      <c r="I61" s="86">
        <f>(I30-I33-I28)/I6</f>
        <v>4.9827647487022855</v>
      </c>
      <c r="J61" s="86">
        <f>(J30-J33-J28)/J6</f>
        <v>5.6834823529925105</v>
      </c>
      <c r="K61" s="86">
        <f>(K30-K33-K28)/K6</f>
        <v>6.271740612358836</v>
      </c>
      <c r="L61" s="86">
        <f>(L30-L33-L28)/L6</f>
        <v>5.3572332123159718</v>
      </c>
      <c r="M61" s="86">
        <f>(M30-M33-M28)/M6</f>
        <v>4.866083749039829</v>
      </c>
      <c r="N61" s="86">
        <f>(N30-N33-N28)/N6</f>
        <v>3.7276473233382479</v>
      </c>
      <c r="O61" s="86">
        <f>(O30-O33-O28)/O6</f>
        <v>3.740901453484597</v>
      </c>
      <c r="P61" s="86">
        <f>(P30-P33-P28)/P6</f>
        <v>3.1037952827971447</v>
      </c>
      <c r="Q61" s="86">
        <f>(Q30-Q33-Q28)/Q6</f>
        <v>3.9301701364112942</v>
      </c>
      <c r="R61" s="86">
        <f>(R30-R33-R28)/R6</f>
        <v>3.6961090907084881</v>
      </c>
      <c r="T61" s="30">
        <f t="shared" si="0"/>
        <v>4.53599279621492</v>
      </c>
      <c r="U61">
        <f t="shared" si="1"/>
        <v>0.45359927962149205</v>
      </c>
    </row>
    <row r="62" spans="1:21" ht="15.75" customHeight="1">
      <c r="C62" s="21"/>
      <c r="D62" s="16" t="s">
        <v>12</v>
      </c>
      <c r="E62" s="72" t="s">
        <v>12</v>
      </c>
      <c r="F62" s="64"/>
      <c r="G62" s="64"/>
      <c r="H62" s="64"/>
      <c r="I62" s="86">
        <f>IF($E3="Annual",(I20/I6),(I20+H20+G20+F20)/I6)</f>
        <v>2.3042190590169045</v>
      </c>
      <c r="J62" s="86">
        <f>IF($E3="Annual",(J20/J6),(J20+I20+H20+G20)/J6)</f>
        <v>2.0765757240402807</v>
      </c>
      <c r="K62" s="86">
        <f>IF($E3="Annual",(K20/K6),(K20+J20+I20+H20)/K6)</f>
        <v>2.3016867706636259</v>
      </c>
      <c r="L62" s="86">
        <f>IF($E3="Annual",(L20/L6),(L20+K20+J20+I20)/L6)</f>
        <v>2.9764851126245446</v>
      </c>
      <c r="M62" s="86">
        <f>IF($E3="Annual",(M20/M6),(M20+L20+K20+J20)/M6)</f>
        <v>2.9714473039181417</v>
      </c>
      <c r="N62" s="86">
        <f>IF($E3="Annual",(N20/N6),(N20+M20+L20+K20)/N6)</f>
        <v>3.2753479618630856</v>
      </c>
      <c r="O62" s="86">
        <f>IF($E3="Annual",(O20/O6),(O20+N20+M20+L20)/O6)</f>
        <v>5.6140204408927197</v>
      </c>
      <c r="P62" s="86">
        <f>IF($E3="Annual",(P20/P6),(P20+O20+N20+M20)/P6)</f>
        <v>6.1132002014722815</v>
      </c>
      <c r="Q62" s="86">
        <f>IF($E3="Annual",(Q20/Q6),(Q20+P20+O20+N20)/Q6)</f>
        <v>6.1340529138031972</v>
      </c>
      <c r="R62" s="86">
        <f>IF($E3="Annual",(R20/R6),(R20+Q20+P20+O20)/R6)</f>
        <v>6.0835554297919376</v>
      </c>
      <c r="T62" s="30">
        <f t="shared" si="0"/>
        <v>3.9850590918086715</v>
      </c>
      <c r="U62">
        <f t="shared" si="1"/>
        <v>0.39850590918086715</v>
      </c>
    </row>
    <row r="63" spans="1:21" ht="15.75" customHeight="1">
      <c r="D63" s="29"/>
      <c r="E63" s="75"/>
      <c r="F63" s="12"/>
      <c r="G63" s="12"/>
      <c r="I63" s="86"/>
      <c r="J63" s="86"/>
      <c r="K63" s="86"/>
      <c r="L63" s="86"/>
      <c r="M63" s="86"/>
      <c r="N63" s="86"/>
      <c r="O63" s="86"/>
      <c r="P63" s="86"/>
      <c r="Q63" s="86"/>
      <c r="R63" s="86" t="str">
        <f>IFERROR(
  IF($E$3="Annual",
    IFERROR(HLOOKUP(D63, Annual!$A$2:$AX$100, $R$4, FALSE), ""),
    IFERROR(HLOOKUP(D63, Quarterly!$A$2:$AX$100, $R$4, FALSE), "")
  ),
"")</f>
        <v/>
      </c>
      <c r="T63" s="30" t="e">
        <f t="shared" si="0"/>
        <v>#DIV/0!</v>
      </c>
      <c r="U63" t="e">
        <f t="shared" si="1"/>
        <v>#DIV/0!</v>
      </c>
    </row>
    <row r="64" spans="1:21" ht="15.75" customHeight="1">
      <c r="C64" s="21"/>
      <c r="D64" s="16" t="s">
        <v>226</v>
      </c>
      <c r="E64" s="72" t="s">
        <v>227</v>
      </c>
      <c r="F64" s="55" t="e">
        <f>IF(#REF!="Annual",(F20/F8)*(F8/F30)*(F30/F23),(F20+E20+D20+C20)/(F8+E8+D8+C8)*(F8+E8+D8+C8)/F30)*(F30/F23)</f>
        <v>#REF!</v>
      </c>
      <c r="G64" s="55"/>
      <c r="H64" s="55"/>
      <c r="I64" s="86">
        <f>IF($E3="Annual",(I20/I8)*(I8/I30)*(I30/I23),(I20+H20+G20+F20)/(I8+H8+G8+F8)*(I8+H8+G8+F8)/I30)*(I30/I23)</f>
        <v>1.0887444740038894</v>
      </c>
      <c r="J64" s="86">
        <f t="shared" ref="J64:R64" si="15">IF($E3="Annual",(J20/J8)*(J8/J30)*(J30/J23),(J20+I20+H20+G20)/(J8+I8+H8+G8)*(J8+I8+H8+G8)/J30)*(J30/J23)</f>
        <v>0.89354581888347007</v>
      </c>
      <c r="K64" s="86">
        <f t="shared" si="15"/>
        <v>1.0099312566247163</v>
      </c>
      <c r="L64" s="86">
        <f t="shared" si="15"/>
        <v>1.8964342707365724</v>
      </c>
      <c r="M64" s="86">
        <f t="shared" si="15"/>
        <v>2.2844237398621483</v>
      </c>
      <c r="N64" s="86">
        <f t="shared" si="15"/>
        <v>4.355570047231506</v>
      </c>
      <c r="O64" s="86">
        <f t="shared" si="15"/>
        <v>8.3492369323175506</v>
      </c>
      <c r="P64" s="86">
        <f t="shared" si="15"/>
        <v>13.711364689968775</v>
      </c>
      <c r="Q64" s="86">
        <f t="shared" si="15"/>
        <v>8.8549141435989593</v>
      </c>
      <c r="R64" s="86">
        <f t="shared" si="15"/>
        <v>10.548434899304025</v>
      </c>
      <c r="T64" s="30">
        <f t="shared" si="0"/>
        <v>5.2992600272531618</v>
      </c>
      <c r="U64">
        <f t="shared" si="1"/>
        <v>0.5299260027253162</v>
      </c>
    </row>
    <row r="65" spans="3:21" ht="15.75" customHeight="1">
      <c r="C65" s="21"/>
      <c r="D65" s="16" t="s">
        <v>228</v>
      </c>
      <c r="E65" s="73" t="s">
        <v>228</v>
      </c>
      <c r="F65" s="12"/>
      <c r="G65" s="12"/>
      <c r="H65" s="66"/>
      <c r="I65" s="86">
        <f>IF($E3="Annual",I20/(I30+H30/2),(I20+H20+G20+F20)/(I30+H30/2))</f>
        <v>0.1313833589444843</v>
      </c>
      <c r="J65" s="86">
        <f t="shared" ref="J65:R65" si="16">IF($E3="Annual",J20/(J30+I30/2),(J20+I20+H20+G20)/(J30+I30/2))</f>
        <v>9.7846444454200932E-2</v>
      </c>
      <c r="K65" s="86">
        <f t="shared" si="16"/>
        <v>9.0179833706976617E-2</v>
      </c>
      <c r="L65" s="86">
        <f t="shared" si="16"/>
        <v>0.10757619702033577</v>
      </c>
      <c r="M65" s="86">
        <f t="shared" si="16"/>
        <v>0.10598058799892976</v>
      </c>
      <c r="N65" s="86">
        <f t="shared" si="16"/>
        <v>0.11641785596963171</v>
      </c>
      <c r="O65" s="86">
        <f t="shared" si="16"/>
        <v>0.18458083307014775</v>
      </c>
      <c r="P65" s="86">
        <f t="shared" si="16"/>
        <v>0.18892923128180275</v>
      </c>
      <c r="Q65" s="86">
        <f t="shared" si="16"/>
        <v>0.18336907954374665</v>
      </c>
      <c r="R65" s="86">
        <f t="shared" si="16"/>
        <v>0.17317741650909016</v>
      </c>
      <c r="T65" s="30">
        <f t="shared" si="0"/>
        <v>0.13794408384993465</v>
      </c>
      <c r="U65">
        <f t="shared" si="1"/>
        <v>1.3794408384993465E-2</v>
      </c>
    </row>
    <row r="66" spans="3:21" ht="15.75" customHeight="1" thickBot="1">
      <c r="C66" s="21"/>
      <c r="D66" s="16" t="s">
        <v>229</v>
      </c>
      <c r="E66" s="76" t="s">
        <v>14</v>
      </c>
      <c r="F66" s="67"/>
      <c r="G66" s="68"/>
      <c r="H66" s="69"/>
      <c r="I66" s="87">
        <f t="shared" ref="I66:Q66" si="17">I19/I34</f>
        <v>0.43876828070160523</v>
      </c>
      <c r="J66" s="87">
        <f t="shared" si="17"/>
        <v>0.31801640092258321</v>
      </c>
      <c r="K66" s="87">
        <f t="shared" si="17"/>
        <v>0.29318845116955017</v>
      </c>
      <c r="L66" s="87">
        <f t="shared" si="17"/>
        <v>0.41326979634703503</v>
      </c>
      <c r="M66" s="87">
        <f t="shared" si="17"/>
        <v>0.49846576639283868</v>
      </c>
      <c r="N66" s="87">
        <f t="shared" si="17"/>
        <v>0.5357323292422399</v>
      </c>
      <c r="O66" s="87">
        <f t="shared" si="17"/>
        <v>0.78255400607122649</v>
      </c>
      <c r="P66" s="87">
        <f t="shared" si="17"/>
        <v>0.90162537073193616</v>
      </c>
      <c r="Q66" s="87">
        <f t="shared" si="17"/>
        <v>0.85757792418691237</v>
      </c>
      <c r="R66" s="87">
        <f>R19/R34</f>
        <v>1.0096226735225415</v>
      </c>
      <c r="T66" s="30">
        <f t="shared" si="0"/>
        <v>0.60488209992884678</v>
      </c>
      <c r="U66">
        <f t="shared" si="1"/>
        <v>6.0488209992884678E-2</v>
      </c>
    </row>
    <row r="67" spans="3:21" ht="15.75" customHeight="1">
      <c r="C67" s="21"/>
      <c r="D67" s="16"/>
      <c r="E67" s="16"/>
      <c r="F67" s="12"/>
      <c r="G67" s="16"/>
      <c r="I67" s="28"/>
      <c r="R67" s="28" t="str">
        <f>IFERROR(
  IF($E$3="Annual",
    IFERROR(HLOOKUP(D67, Annual!$A$2:$AX$100, $R$4, FALSE), ""),
    IFERROR(HLOOKUP(D67, Quarterly!$A$2:$AX$100, $R$4, FALSE), "")
  ),
"")</f>
        <v/>
      </c>
      <c r="T67" s="30"/>
    </row>
    <row r="68" spans="3:21" ht="15.75" customHeight="1">
      <c r="C68" s="21"/>
      <c r="D68" s="16"/>
      <c r="E68" s="16"/>
      <c r="F68" s="12"/>
      <c r="G68" s="16"/>
      <c r="I68" s="28"/>
      <c r="R68" s="28" t="str">
        <f>IFERROR(
  IF($E$3="Annual",
    IFERROR(HLOOKUP(D68, Annual!$A$2:$AX$100, $R$4, FALSE), ""),
    IFERROR(HLOOKUP(D68, Quarterly!$A$2:$AX$100, $R$4, FALSE), "")
  ),
"")</f>
        <v/>
      </c>
    </row>
    <row r="69" spans="3:21" ht="15.75" customHeight="1">
      <c r="C69" s="21"/>
      <c r="D69" s="16"/>
      <c r="E69" s="16"/>
      <c r="F69" s="12"/>
      <c r="G69" s="16"/>
      <c r="I69" s="28"/>
      <c r="R69" s="28" t="str">
        <f>IFERROR(
  IF($E$3="Annual",
    IFERROR(HLOOKUP(D69, Annual!$A$2:$AX$100, $R$4, FALSE), ""),
    IFERROR(HLOOKUP(D69, Quarterly!$A$2:$AX$100, $R$4, FALSE), "")
  ),
"")</f>
        <v/>
      </c>
    </row>
    <row r="70" spans="3:21" ht="15.75" customHeight="1">
      <c r="F70" s="12"/>
      <c r="G70" s="16"/>
      <c r="I70" s="28"/>
      <c r="R70" s="28" t="str">
        <f>IFERROR(
  IF($E$3="Annual",
    IFERROR(HLOOKUP(D70, Annual!$A$2:$AX$100, $R$4, FALSE), ""),
    IFERROR(HLOOKUP(D70, Quarterly!$A$2:$AX$100, $R$4, FALSE), "")
  ),
"")</f>
        <v/>
      </c>
    </row>
    <row r="71" spans="3:21" ht="15.75" customHeight="1">
      <c r="D71" s="29"/>
      <c r="E71" s="16"/>
      <c r="F71" s="12"/>
      <c r="G71" s="16"/>
      <c r="I71" s="28"/>
      <c r="R71" s="28" t="str">
        <f>IFERROR(
  IF($E$3="Annual",
    IFERROR(HLOOKUP(D71, Annual!$A$2:$AX$100, $R$4, FALSE), ""),
    IFERROR(HLOOKUP(D71, Quarterly!$A$2:$AX$100, $R$4, FALSE), "")
  ),
"")</f>
        <v/>
      </c>
    </row>
    <row r="72" spans="3:21" ht="15.75" customHeight="1">
      <c r="E72" s="16"/>
      <c r="F72" s="12"/>
      <c r="G72" s="16"/>
      <c r="I72" s="28"/>
      <c r="R72" s="28" t="str">
        <f>IFERROR(
  IF($E$3="Annual",
    IFERROR(HLOOKUP(D72, Annual!$A$2:$AX$100, $R$4, FALSE), ""),
    IFERROR(HLOOKUP(D72, Quarterly!$A$2:$AX$100, $R$4, FALSE), "")
  ),
"")</f>
        <v/>
      </c>
    </row>
    <row r="73" spans="3:21" ht="15.75" customHeight="1">
      <c r="F73" s="17"/>
      <c r="G73" s="16"/>
      <c r="I73" s="28"/>
      <c r="R73" s="28" t="str">
        <f>IFERROR(
  IF($E$3="Annual",
    IFERROR(HLOOKUP(D73, Annual!$A$2:$AX$100, $R$4, FALSE), ""),
    IFERROR(HLOOKUP(D73, Quarterly!$A$2:$AX$100, $R$4, FALSE), "")
  ),
"")</f>
        <v/>
      </c>
    </row>
    <row r="74" spans="3:21" ht="15.75" customHeight="1" thickBot="1">
      <c r="F74" s="12"/>
      <c r="G74" s="12"/>
      <c r="R74" s="28" t="str">
        <f>IFERROR(
  IF($E$3="Annual",
    IFERROR(HLOOKUP(D74, Annual!$A$2:$AX$100, $R$4, FALSE), ""),
    IFERROR(HLOOKUP(D74, Quarterly!$A$2:$AX$100, $R$4, FALSE), "")
  ),
"")</f>
        <v/>
      </c>
    </row>
    <row r="75" spans="3:21" ht="15.75" customHeight="1">
      <c r="E75" s="36"/>
      <c r="F75" s="37"/>
      <c r="G75" s="37"/>
      <c r="H75" s="38"/>
      <c r="I75" s="39"/>
      <c r="R75" s="28" t="str">
        <f>IFERROR(
  IF($E$3="Annual",
    IFERROR(HLOOKUP(D75, Annual!$A$2:$AX$100, $R$4, FALSE), ""),
    IFERROR(HLOOKUP(D75, Quarterly!$A$2:$AX$100, $R$4, FALSE), "")
  ),
"")</f>
        <v/>
      </c>
    </row>
    <row r="76" spans="3:21" ht="15.75" customHeight="1">
      <c r="E76" s="40"/>
      <c r="F76" s="15"/>
      <c r="G76" s="12"/>
      <c r="I76" s="41"/>
      <c r="R76" s="28" t="str">
        <f>IFERROR(
  IF($E$3="Annual",
    IFERROR(HLOOKUP(D76, Annual!$A$2:$AX$100, $R$4, FALSE), ""),
    IFERROR(HLOOKUP(D76, Quarterly!$A$2:$AX$100, $R$4, FALSE), "")
  ),
"")</f>
        <v/>
      </c>
    </row>
    <row r="77" spans="3:21" ht="15.75" customHeight="1">
      <c r="E77" s="40"/>
      <c r="F77" s="12"/>
      <c r="G77" s="16"/>
      <c r="I77" s="41"/>
    </row>
    <row r="78" spans="3:21" ht="15.75" customHeight="1">
      <c r="E78" s="40"/>
      <c r="F78" s="12"/>
      <c r="G78" s="16"/>
      <c r="I78" s="41"/>
    </row>
    <row r="79" spans="3:21" ht="15.75" customHeight="1" thickBot="1">
      <c r="E79" s="42"/>
      <c r="F79" s="43"/>
      <c r="G79" s="44"/>
      <c r="H79" s="45"/>
      <c r="I79" s="46"/>
    </row>
    <row r="80" spans="3:21" ht="15.75" customHeight="1">
      <c r="F80" s="12"/>
      <c r="G80" s="16"/>
    </row>
    <row r="81" spans="6:7" ht="15.75" customHeight="1">
      <c r="F81" s="12"/>
      <c r="G81" s="16"/>
    </row>
    <row r="82" spans="6:7" ht="15.75" customHeight="1">
      <c r="F82" s="12"/>
      <c r="G82" s="16"/>
    </row>
    <row r="83" spans="6:7" ht="15.75" customHeight="1">
      <c r="F83" s="17"/>
      <c r="G83" s="12"/>
    </row>
    <row r="84" spans="6:7" ht="15.75" customHeight="1">
      <c r="F84" s="12"/>
      <c r="G84" s="12"/>
    </row>
    <row r="85" spans="6:7" ht="15.75" customHeight="1">
      <c r="F85" s="12"/>
      <c r="G85" s="12"/>
    </row>
    <row r="86" spans="6:7" ht="15.75" customHeight="1">
      <c r="F86" s="12"/>
      <c r="G86" s="12"/>
    </row>
    <row r="87" spans="6:7" ht="15.75" customHeight="1">
      <c r="F87" s="12"/>
      <c r="G87" s="12"/>
    </row>
    <row r="88" spans="6:7" ht="15.75" customHeight="1">
      <c r="F88" s="15"/>
      <c r="G88" s="12"/>
    </row>
    <row r="89" spans="6:7" ht="15.75" customHeight="1">
      <c r="F89" s="12"/>
      <c r="G89" s="16"/>
    </row>
    <row r="90" spans="6:7" ht="15.75" customHeight="1">
      <c r="F90" s="12"/>
      <c r="G90" s="16"/>
    </row>
    <row r="91" spans="6:7" ht="15.75" customHeight="1">
      <c r="F91" s="12"/>
      <c r="G91" s="16"/>
    </row>
    <row r="92" spans="6:7" ht="15.75" customHeight="1">
      <c r="F92" s="12"/>
      <c r="G92" s="16"/>
    </row>
    <row r="93" spans="6:7" ht="15.75" customHeight="1">
      <c r="F93" s="12"/>
      <c r="G93" s="16"/>
    </row>
    <row r="94" spans="6:7" ht="15.75" customHeight="1">
      <c r="F94" s="12"/>
      <c r="G94" s="16"/>
    </row>
    <row r="95" spans="6:7" ht="15.75" customHeight="1">
      <c r="F95" s="17"/>
      <c r="G95" s="12"/>
    </row>
    <row r="96" spans="6:7" ht="15.75" customHeight="1">
      <c r="F96" s="12"/>
      <c r="G96" s="12"/>
    </row>
    <row r="97" spans="6:7" ht="15.75" customHeight="1">
      <c r="F97" s="12"/>
      <c r="G97" s="12"/>
    </row>
    <row r="98" spans="6:7" ht="15.75" customHeight="1">
      <c r="F98" s="15"/>
      <c r="G98" s="12"/>
    </row>
    <row r="99" spans="6:7" ht="15.75" customHeight="1">
      <c r="F99" s="12"/>
      <c r="G99" s="16"/>
    </row>
    <row r="100" spans="6:7" ht="15.75" customHeight="1">
      <c r="F100" s="12"/>
      <c r="G100" s="16"/>
    </row>
    <row r="101" spans="6:7" ht="15.75" customHeight="1">
      <c r="F101" s="12"/>
      <c r="G101" s="16"/>
    </row>
    <row r="102" spans="6:7" ht="15.75" customHeight="1">
      <c r="F102" s="12"/>
      <c r="G102" s="16"/>
    </row>
    <row r="103" spans="6:7" ht="15.75" customHeight="1">
      <c r="F103" s="12"/>
      <c r="G103" s="16"/>
    </row>
    <row r="104" spans="6:7" ht="15.75" customHeight="1">
      <c r="F104" s="12"/>
      <c r="G104" s="16"/>
    </row>
    <row r="105" spans="6:7" ht="15.75" customHeight="1">
      <c r="F105" s="17"/>
      <c r="G105" s="12"/>
    </row>
    <row r="106" spans="6:7" ht="15.75" customHeight="1">
      <c r="F106" s="12"/>
      <c r="G106" s="12"/>
    </row>
    <row r="107" spans="6:7" ht="15.75" customHeight="1">
      <c r="F107" s="12"/>
      <c r="G107" s="12"/>
    </row>
    <row r="108" spans="6:7" ht="15.75" customHeight="1">
      <c r="F108" s="15"/>
      <c r="G108" s="12"/>
    </row>
    <row r="109" spans="6:7" ht="15.75" customHeight="1">
      <c r="F109" s="12"/>
      <c r="G109" s="16" t="s">
        <v>17</v>
      </c>
    </row>
    <row r="110" spans="6:7" ht="15.75" customHeight="1">
      <c r="F110" s="12"/>
      <c r="G110" s="16" t="s">
        <v>87</v>
      </c>
    </row>
    <row r="111" spans="6:7" ht="15.75" customHeight="1">
      <c r="F111" s="16"/>
      <c r="G111" s="12"/>
    </row>
    <row r="112" spans="6:7" ht="15.75" customHeight="1">
      <c r="F112" s="12"/>
      <c r="G112" s="12"/>
    </row>
    <row r="113" spans="6:7" ht="15.75" customHeight="1">
      <c r="F113" s="12"/>
      <c r="G113" s="12"/>
    </row>
    <row r="114" spans="6:7" ht="15.75" customHeight="1">
      <c r="F114" s="12"/>
      <c r="G114" s="12"/>
    </row>
    <row r="115" spans="6:7" ht="15.75" customHeight="1">
      <c r="F115" s="12"/>
      <c r="G115" s="12"/>
    </row>
    <row r="116" spans="6:7" ht="15.75" customHeight="1">
      <c r="F116" s="12"/>
      <c r="G116" s="12"/>
    </row>
    <row r="117" spans="6:7" ht="15.75" customHeight="1">
      <c r="F117" s="12"/>
      <c r="G117" s="12"/>
    </row>
    <row r="118" spans="6:7" ht="15.75" customHeight="1">
      <c r="F118" s="12"/>
      <c r="G118" s="12"/>
    </row>
    <row r="119" spans="6:7" ht="15.75" customHeight="1">
      <c r="F119" s="12"/>
      <c r="G119" s="12"/>
    </row>
    <row r="120" spans="6:7" ht="15.75" customHeight="1">
      <c r="F120" s="12"/>
      <c r="G120" s="12"/>
    </row>
    <row r="121" spans="6:7" ht="15.75" customHeight="1">
      <c r="F121" s="12"/>
      <c r="G121" s="12"/>
    </row>
    <row r="122" spans="6:7" ht="15.75" customHeight="1">
      <c r="F122" s="12"/>
      <c r="G122" s="12"/>
    </row>
    <row r="123" spans="6:7" ht="15.75" customHeight="1">
      <c r="F123" s="16"/>
      <c r="G123" s="12"/>
    </row>
    <row r="124" spans="6:7" ht="15.75" customHeight="1">
      <c r="F124" s="12"/>
      <c r="G124" s="12"/>
    </row>
    <row r="125" spans="6:7" ht="15.75" customHeight="1">
      <c r="F125" s="12"/>
      <c r="G125" s="12"/>
    </row>
    <row r="126" spans="6:7" ht="15.75" customHeight="1">
      <c r="F126" s="12"/>
      <c r="G126" s="12"/>
    </row>
    <row r="127" spans="6:7" ht="15.75" customHeight="1">
      <c r="F127" s="12"/>
      <c r="G127" s="12"/>
    </row>
    <row r="128" spans="6:7" ht="15.75" customHeight="1">
      <c r="F128" s="12"/>
      <c r="G128" s="12"/>
    </row>
    <row r="129" spans="6:7" ht="15.75" customHeight="1">
      <c r="F129" s="12"/>
      <c r="G129" s="12"/>
    </row>
    <row r="130" spans="6:7" ht="15.75" customHeight="1">
      <c r="F130" s="12"/>
      <c r="G130" s="12"/>
    </row>
    <row r="131" spans="6:7" ht="15.75" customHeight="1">
      <c r="F131" s="12"/>
      <c r="G131" s="12"/>
    </row>
    <row r="132" spans="6:7" ht="15.75" customHeight="1">
      <c r="F132" s="16"/>
      <c r="G132" s="12"/>
    </row>
    <row r="133" spans="6:7" ht="15.75" customHeight="1">
      <c r="F133" s="12"/>
      <c r="G133" s="12"/>
    </row>
    <row r="134" spans="6:7" ht="15.75" customHeight="1">
      <c r="F134" s="12"/>
      <c r="G134" s="12"/>
    </row>
    <row r="135" spans="6:7" ht="15.75" customHeight="1">
      <c r="F135" s="12"/>
      <c r="G135" s="12"/>
    </row>
    <row r="136" spans="6:7" ht="15.75" customHeight="1">
      <c r="F136" s="12"/>
      <c r="G136" s="12"/>
    </row>
    <row r="137" spans="6:7" ht="15.75" customHeight="1">
      <c r="F137" s="12"/>
      <c r="G137" s="12"/>
    </row>
    <row r="138" spans="6:7" ht="15.75" customHeight="1">
      <c r="F138" s="12"/>
      <c r="G138" s="12"/>
    </row>
    <row r="139" spans="6:7" ht="15.75" customHeight="1">
      <c r="F139" s="12"/>
      <c r="G139" s="12"/>
    </row>
    <row r="140" spans="6:7" ht="15.75" customHeight="1">
      <c r="F140" s="12"/>
      <c r="G140" s="12"/>
    </row>
    <row r="141" spans="6:7" ht="15.75" customHeight="1">
      <c r="F141" s="16"/>
      <c r="G141" s="12"/>
    </row>
    <row r="142" spans="6:7" ht="15.75" customHeight="1">
      <c r="F142" s="12"/>
      <c r="G142" s="12"/>
    </row>
    <row r="143" spans="6:7" ht="15.75" customHeight="1">
      <c r="F143" s="12"/>
      <c r="G143" s="12"/>
    </row>
    <row r="144" spans="6:7" ht="15.75" customHeight="1">
      <c r="F144" s="12"/>
      <c r="G144" s="12"/>
    </row>
    <row r="145" spans="6:7" ht="15.75" customHeight="1">
      <c r="F145" s="12"/>
      <c r="G145" s="12"/>
    </row>
    <row r="146" spans="6:7" ht="15.75" customHeight="1">
      <c r="F146" s="12"/>
      <c r="G146" s="12"/>
    </row>
    <row r="147" spans="6:7" ht="15.75" customHeight="1">
      <c r="F147" s="12"/>
      <c r="G147" s="12"/>
    </row>
    <row r="148" spans="6:7" ht="15.75" customHeight="1">
      <c r="F148" s="16"/>
      <c r="G148" s="12"/>
    </row>
    <row r="149" spans="6:7" ht="15.75" customHeight="1">
      <c r="F149" s="12"/>
      <c r="G149" s="12"/>
    </row>
    <row r="150" spans="6:7" ht="15.75" customHeight="1">
      <c r="F150" s="12"/>
      <c r="G150" s="12"/>
    </row>
    <row r="151" spans="6:7" ht="15.75" customHeight="1">
      <c r="F151" s="12"/>
      <c r="G151" s="12"/>
    </row>
    <row r="152" spans="6:7" ht="15.75" customHeight="1">
      <c r="F152" s="12"/>
      <c r="G152" s="12"/>
    </row>
    <row r="153" spans="6:7" ht="15.75" customHeight="1">
      <c r="F153" s="12"/>
      <c r="G153" s="12"/>
    </row>
    <row r="154" spans="6:7" ht="15.75" customHeight="1">
      <c r="F154" s="12"/>
      <c r="G154" s="12"/>
    </row>
    <row r="155" spans="6:7" ht="15.75" customHeight="1">
      <c r="F155" s="16"/>
      <c r="G155" s="12"/>
    </row>
    <row r="156" spans="6:7" ht="15.75" customHeight="1">
      <c r="F156" s="12"/>
      <c r="G156" s="12"/>
    </row>
    <row r="157" spans="6:7" ht="15.75" customHeight="1">
      <c r="F157" s="12"/>
      <c r="G157" s="12"/>
    </row>
    <row r="158" spans="6:7" ht="15.75" customHeight="1">
      <c r="F158" s="12"/>
      <c r="G158" s="12"/>
    </row>
    <row r="159" spans="6:7" ht="15.75" customHeight="1">
      <c r="F159" s="12"/>
      <c r="G159" s="12"/>
    </row>
    <row r="160" spans="6:7" ht="15.75" customHeight="1">
      <c r="F160" s="12"/>
      <c r="G160" s="12"/>
    </row>
    <row r="161" spans="6:7" ht="15.75" customHeight="1">
      <c r="F161" s="12"/>
      <c r="G161" s="12"/>
    </row>
    <row r="162" spans="6:7" ht="15.75" customHeight="1">
      <c r="F162" s="16"/>
      <c r="G162" s="12"/>
    </row>
    <row r="163" spans="6:7" ht="15.75" customHeight="1">
      <c r="F163" s="12"/>
      <c r="G163" s="12"/>
    </row>
    <row r="164" spans="6:7" ht="15.75" customHeight="1">
      <c r="F164" s="12"/>
      <c r="G164" s="12"/>
    </row>
    <row r="165" spans="6:7" ht="15.75" customHeight="1">
      <c r="F165" s="12"/>
      <c r="G165" s="12"/>
    </row>
    <row r="166" spans="6:7" ht="15.75" customHeight="1">
      <c r="F166" s="12"/>
      <c r="G166" s="12"/>
    </row>
    <row r="167" spans="6:7" ht="15.75" customHeight="1">
      <c r="F167" s="12"/>
      <c r="G167" s="12"/>
    </row>
    <row r="168" spans="6:7" ht="15.75" customHeight="1">
      <c r="F168" s="12"/>
      <c r="G168" s="12"/>
    </row>
  </sheetData>
  <mergeCells count="1">
    <mergeCell ref="I2:R3"/>
  </mergeCells>
  <conditionalFormatting sqref="I37:R37">
    <cfRule type="expression" dxfId="59" priority="45">
      <formula>I37 &lt; $T37 - 1.5 * $U37</formula>
    </cfRule>
    <cfRule type="expression" dxfId="58" priority="46">
      <formula>I37 &gt; $T37 + 1.5 * $U37</formula>
    </cfRule>
    <cfRule type="expression" dxfId="57" priority="47">
      <formula>I37 &gt; $T37 + 1 * $U37</formula>
    </cfRule>
    <cfRule type="expression" dxfId="56" priority="48">
      <formula>I37 &lt; $T37 - 1 * $U37</formula>
    </cfRule>
  </conditionalFormatting>
  <conditionalFormatting sqref="I39:R40">
    <cfRule type="expression" dxfId="55" priority="49">
      <formula>I39 &lt; $T39 - 1.5 * $U39</formula>
    </cfRule>
    <cfRule type="expression" dxfId="54" priority="50">
      <formula>I39 &gt; $T39 + 1.5 * $U39</formula>
    </cfRule>
    <cfRule type="expression" dxfId="53" priority="51">
      <formula>I39 &gt; $T39 + 1 * $U39</formula>
    </cfRule>
    <cfRule type="expression" dxfId="52" priority="52">
      <formula>I39 &lt; $T39 - 1 * $U39</formula>
    </cfRule>
  </conditionalFormatting>
  <conditionalFormatting sqref="I44:R48">
    <cfRule type="expression" dxfId="51" priority="41">
      <formula>I44 &lt; $T44 - 1.5 * $U44</formula>
    </cfRule>
    <cfRule type="expression" dxfId="50" priority="42">
      <formula>I44 &gt; $T44 + 1.5 * $U44</formula>
    </cfRule>
    <cfRule type="expression" dxfId="49" priority="43">
      <formula>I44 &gt; $T44 + 1 * $U44</formula>
    </cfRule>
    <cfRule type="expression" dxfId="48" priority="44">
      <formula>I44 &lt; $T44 - 1 * $U44</formula>
    </cfRule>
  </conditionalFormatting>
  <conditionalFormatting sqref="I58:R66">
    <cfRule type="expression" dxfId="43" priority="29">
      <formula>I58 &lt; $T58 - 1.5 * $U58</formula>
    </cfRule>
    <cfRule type="expression" dxfId="42" priority="30">
      <formula>I58 &gt; $T58 + 1.5 * $U58</formula>
    </cfRule>
    <cfRule type="expression" dxfId="41" priority="31">
      <formula>I58 &gt; $T58 + 1 * $U58</formula>
    </cfRule>
    <cfRule type="expression" dxfId="40" priority="32">
      <formula>I58 &lt; $T58 - 1 * $U58</formula>
    </cfRule>
  </conditionalFormatting>
  <conditionalFormatting sqref="I8:R20">
    <cfRule type="expression" dxfId="39" priority="57">
      <formula>I8 &lt; $T8 - 1.5 * $U8</formula>
    </cfRule>
    <cfRule type="expression" dxfId="38" priority="58">
      <formula>I8 &gt; $T8 + 1.5 * $U8</formula>
    </cfRule>
    <cfRule type="expression" dxfId="37" priority="59">
      <formula>I8 &gt; $T8 + 1 * $U8</formula>
    </cfRule>
    <cfRule type="expression" dxfId="36" priority="60">
      <formula>I8 &lt; $T8 - 1 * $U8</formula>
    </cfRule>
  </conditionalFormatting>
  <conditionalFormatting sqref="I6:R6">
    <cfRule type="expression" dxfId="35" priority="25">
      <formula>I6 &lt; $T6 - 1 * $U6</formula>
    </cfRule>
    <cfRule type="expression" dxfId="34" priority="26">
      <formula>I6 &lt; $T6 - 1 * $U6</formula>
    </cfRule>
    <cfRule type="expression" dxfId="33" priority="27">
      <formula>I6 &gt; $T6 + 1.5 * $U6</formula>
    </cfRule>
    <cfRule type="expression" dxfId="32" priority="28">
      <formula>I6 &lt; $T6 - 1.5 * $U6</formula>
    </cfRule>
  </conditionalFormatting>
  <conditionalFormatting sqref="I25:R26">
    <cfRule type="expression" dxfId="31" priority="53">
      <formula>I25 &lt; $T25 - 1.5 * $U25</formula>
    </cfRule>
    <cfRule type="expression" dxfId="30" priority="54">
      <formula>I25 &gt; $T25 + 1.5 * $U25</formula>
    </cfRule>
    <cfRule type="expression" dxfId="29" priority="55">
      <formula>I25 &gt; $T25 + 1 * $U25</formula>
    </cfRule>
    <cfRule type="expression" dxfId="28" priority="56">
      <formula>I25 &lt; $T25 - 1 * $U25</formula>
    </cfRule>
  </conditionalFormatting>
  <conditionalFormatting sqref="I27:R27">
    <cfRule type="expression" dxfId="27" priority="21">
      <formula>I27 &lt; $T27 - 1 * $U27</formula>
    </cfRule>
    <cfRule type="expression" dxfId="26" priority="22">
      <formula>I27 &lt; $T27 - 1 * $U27</formula>
    </cfRule>
    <cfRule type="expression" dxfId="25" priority="23">
      <formula>I27 &gt; $T27 + 1.5 * $U27</formula>
    </cfRule>
    <cfRule type="expression" dxfId="24" priority="24">
      <formula>I27 &lt; $T27 - 1.5 * $U27</formula>
    </cfRule>
  </conditionalFormatting>
  <conditionalFormatting sqref="I28:R29">
    <cfRule type="expression" dxfId="23" priority="17">
      <formula>I28 &lt; $T28 - 1.5 * $U28</formula>
    </cfRule>
    <cfRule type="expression" dxfId="22" priority="18">
      <formula>I28 &gt; $T28 + 1.5 * $U28</formula>
    </cfRule>
    <cfRule type="expression" dxfId="21" priority="19">
      <formula>I28 &gt; $T28 + 1 * $U28</formula>
    </cfRule>
    <cfRule type="expression" dxfId="20" priority="20">
      <formula>I28 &lt; $T28 - 1 * $U28</formula>
    </cfRule>
  </conditionalFormatting>
  <conditionalFormatting sqref="I30:R34">
    <cfRule type="expression" dxfId="19" priority="13">
      <formula>I30 &lt; $T30 - 1.5 * $U30</formula>
    </cfRule>
    <cfRule type="expression" dxfId="18" priority="14">
      <formula>I30 &gt; $T30 + 1.5 * $U30</formula>
    </cfRule>
    <cfRule type="expression" dxfId="17" priority="15">
      <formula>I30 &gt; $T30 + 1 * $U30</formula>
    </cfRule>
    <cfRule type="expression" dxfId="16" priority="16">
      <formula>I30 &lt; $T30 - 1 * $U30</formula>
    </cfRule>
  </conditionalFormatting>
  <conditionalFormatting sqref="I51:R53">
    <cfRule type="expression" dxfId="15" priority="9">
      <formula>I51 &lt; $T51 - 1.5 * $U51</formula>
    </cfRule>
    <cfRule type="expression" dxfId="14" priority="10">
      <formula>I51 &gt; $T51 + 1.5 * $U51</formula>
    </cfRule>
    <cfRule type="expression" dxfId="13" priority="11">
      <formula>I51 &gt; $T51 + 1 * $U51</formula>
    </cfRule>
    <cfRule type="expression" dxfId="12" priority="12">
      <formula>I51 &lt; $T51 - 1 * $U51</formula>
    </cfRule>
  </conditionalFormatting>
  <conditionalFormatting sqref="I54:R54">
    <cfRule type="expression" dxfId="11" priority="5">
      <formula>I54 &lt; $T54 - 1 * $U54</formula>
    </cfRule>
    <cfRule type="expression" dxfId="10" priority="6">
      <formula>I54 &lt; $T54 - 1 * $U54</formula>
    </cfRule>
    <cfRule type="expression" dxfId="9" priority="7">
      <formula>I54 &gt; $T54 + 1.5 * $U54</formula>
    </cfRule>
    <cfRule type="expression" dxfId="8" priority="8">
      <formula>I54 &lt; $T54 - 1.5 * $U54</formula>
    </cfRule>
  </conditionalFormatting>
  <conditionalFormatting sqref="I55:R55">
    <cfRule type="expression" dxfId="7" priority="1">
      <formula>I55 &lt; $T55 - 1.5 * $U55</formula>
    </cfRule>
    <cfRule type="expression" dxfId="6" priority="2">
      <formula>I55 &gt; $T55 + 1.5 * $U55</formula>
    </cfRule>
    <cfRule type="expression" dxfId="5" priority="3">
      <formula>I55 &gt; $T55 + 1 * $U55</formula>
    </cfRule>
    <cfRule type="expression" dxfId="4" priority="4">
      <formula>I55 &lt; $T55 - 1 * $U55</formula>
    </cfRule>
  </conditionalFormatting>
  <dataValidations count="1">
    <dataValidation type="list" allowBlank="1" showInputMessage="1" showErrorMessage="1" sqref="E3 C4" xr:uid="{03E09647-9B65-4837-A49A-128CB80DA969}">
      <formula1>"Annual, Quarterly"</formula1>
    </dataValidation>
  </dataValidations>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00626-4470-C246-8A7B-353887475B9B}">
  <dimension ref="A1:AD24"/>
  <sheetViews>
    <sheetView workbookViewId="0">
      <selection activeCell="B2" sqref="B2"/>
    </sheetView>
  </sheetViews>
  <sheetFormatPr baseColWidth="10" defaultRowHeight="13"/>
  <sheetData>
    <row r="1" spans="1:30">
      <c r="A1" t="s">
        <v>236</v>
      </c>
    </row>
    <row r="2" spans="1:30">
      <c r="B2" t="s">
        <v>420</v>
      </c>
      <c r="C2" t="s">
        <v>421</v>
      </c>
      <c r="D2" t="s">
        <v>422</v>
      </c>
      <c r="E2" t="s">
        <v>423</v>
      </c>
      <c r="F2" t="s">
        <v>424</v>
      </c>
      <c r="G2" t="s">
        <v>425</v>
      </c>
      <c r="H2" t="s">
        <v>426</v>
      </c>
      <c r="I2" t="s">
        <v>427</v>
      </c>
      <c r="J2" t="s">
        <v>428</v>
      </c>
      <c r="K2" t="s">
        <v>249</v>
      </c>
      <c r="L2" t="s">
        <v>429</v>
      </c>
      <c r="M2" t="s">
        <v>430</v>
      </c>
      <c r="N2" t="s">
        <v>431</v>
      </c>
      <c r="O2" t="s">
        <v>432</v>
      </c>
      <c r="P2" t="s">
        <v>433</v>
      </c>
      <c r="Q2" t="s">
        <v>434</v>
      </c>
      <c r="R2" t="s">
        <v>435</v>
      </c>
      <c r="S2" t="s">
        <v>436</v>
      </c>
      <c r="T2" t="s">
        <v>437</v>
      </c>
      <c r="U2" t="s">
        <v>438</v>
      </c>
      <c r="V2" t="s">
        <v>439</v>
      </c>
      <c r="W2" t="s">
        <v>440</v>
      </c>
      <c r="X2" t="s">
        <v>441</v>
      </c>
      <c r="Y2" t="s">
        <v>442</v>
      </c>
      <c r="Z2" t="s">
        <v>443</v>
      </c>
      <c r="AA2" t="s">
        <v>9</v>
      </c>
      <c r="AB2" t="s">
        <v>444</v>
      </c>
    </row>
    <row r="3" spans="1:30">
      <c r="A3">
        <v>0</v>
      </c>
      <c r="B3" s="24">
        <v>43738</v>
      </c>
      <c r="C3">
        <v>111052</v>
      </c>
      <c r="D3" t="s">
        <v>45</v>
      </c>
      <c r="E3">
        <v>2019</v>
      </c>
      <c r="F3" t="s">
        <v>445</v>
      </c>
      <c r="G3" s="24">
        <v>43769</v>
      </c>
      <c r="H3" s="24">
        <v>44498</v>
      </c>
      <c r="I3">
        <v>18471336000</v>
      </c>
      <c r="J3">
        <v>18595652000</v>
      </c>
      <c r="K3">
        <v>260174000000</v>
      </c>
      <c r="L3">
        <v>-161782000000</v>
      </c>
      <c r="M3">
        <v>98392000000</v>
      </c>
      <c r="N3">
        <v>-34462000000</v>
      </c>
      <c r="O3">
        <v>-18245000000</v>
      </c>
      <c r="P3">
        <v>-16217000000</v>
      </c>
      <c r="R3">
        <v>63930000000</v>
      </c>
      <c r="S3">
        <v>1807000000</v>
      </c>
      <c r="U3">
        <v>65737000000</v>
      </c>
      <c r="W3">
        <v>65737000000</v>
      </c>
      <c r="X3">
        <v>-10481000000</v>
      </c>
      <c r="Y3">
        <v>55256000000</v>
      </c>
      <c r="AA3">
        <v>55256000000</v>
      </c>
      <c r="AB3">
        <v>55256000000</v>
      </c>
    </row>
    <row r="4" spans="1:30">
      <c r="A4">
        <v>1</v>
      </c>
      <c r="B4" s="24">
        <v>44104</v>
      </c>
      <c r="C4">
        <v>111052</v>
      </c>
      <c r="D4" t="s">
        <v>45</v>
      </c>
      <c r="E4">
        <v>2020</v>
      </c>
      <c r="F4" t="s">
        <v>445</v>
      </c>
      <c r="G4" s="24">
        <v>44134</v>
      </c>
      <c r="H4" s="24">
        <v>44862</v>
      </c>
      <c r="I4">
        <v>17352119000</v>
      </c>
      <c r="J4">
        <v>17528214000</v>
      </c>
      <c r="K4">
        <v>274515000000</v>
      </c>
      <c r="L4">
        <v>-169559000000</v>
      </c>
      <c r="M4">
        <v>104956000000</v>
      </c>
      <c r="N4">
        <v>-38668000000</v>
      </c>
      <c r="O4">
        <v>-19916000000</v>
      </c>
      <c r="P4">
        <v>-18752000000</v>
      </c>
      <c r="R4">
        <v>66288000000</v>
      </c>
      <c r="S4">
        <v>803000000</v>
      </c>
      <c r="U4">
        <v>67091000000</v>
      </c>
      <c r="W4">
        <v>67091000000</v>
      </c>
      <c r="X4">
        <v>-9680000000</v>
      </c>
      <c r="Y4">
        <v>57411000000</v>
      </c>
      <c r="AA4">
        <v>57411000000</v>
      </c>
      <c r="AB4">
        <v>57411000000</v>
      </c>
    </row>
    <row r="5" spans="1:30">
      <c r="A5">
        <v>2</v>
      </c>
      <c r="B5" s="24">
        <v>44469</v>
      </c>
      <c r="C5">
        <v>111052</v>
      </c>
      <c r="D5" t="s">
        <v>45</v>
      </c>
      <c r="E5">
        <v>2021</v>
      </c>
      <c r="F5" t="s">
        <v>445</v>
      </c>
      <c r="G5" s="24">
        <v>44498</v>
      </c>
      <c r="H5" s="24">
        <v>45233</v>
      </c>
      <c r="I5">
        <v>16391724000</v>
      </c>
      <c r="J5">
        <v>16519291000</v>
      </c>
      <c r="K5">
        <v>365817000000</v>
      </c>
      <c r="L5">
        <v>-212981000000</v>
      </c>
      <c r="M5">
        <v>152836000000</v>
      </c>
      <c r="N5">
        <v>-43887000000</v>
      </c>
      <c r="O5">
        <v>-21973000000</v>
      </c>
      <c r="P5">
        <v>-21914000000</v>
      </c>
      <c r="R5">
        <v>108949000000</v>
      </c>
      <c r="S5">
        <v>258000000</v>
      </c>
      <c r="U5">
        <v>109207000000</v>
      </c>
      <c r="W5">
        <v>109207000000</v>
      </c>
      <c r="X5">
        <v>-14527000000</v>
      </c>
      <c r="Y5">
        <v>94680000000</v>
      </c>
      <c r="AA5">
        <v>94680000000</v>
      </c>
      <c r="AB5">
        <v>94680000000</v>
      </c>
    </row>
    <row r="6" spans="1:30">
      <c r="A6">
        <v>3</v>
      </c>
      <c r="B6" s="24">
        <v>44834</v>
      </c>
      <c r="C6">
        <v>111052</v>
      </c>
      <c r="D6" t="s">
        <v>45</v>
      </c>
      <c r="E6">
        <v>2022</v>
      </c>
      <c r="F6" t="s">
        <v>445</v>
      </c>
      <c r="G6" s="24">
        <v>44862</v>
      </c>
      <c r="H6" s="24">
        <v>45597</v>
      </c>
      <c r="I6">
        <v>16215963000</v>
      </c>
      <c r="J6">
        <v>16325819000</v>
      </c>
      <c r="K6">
        <v>394328000000</v>
      </c>
      <c r="L6">
        <v>-223546000000</v>
      </c>
      <c r="M6">
        <v>170782000000</v>
      </c>
      <c r="N6">
        <v>-51345000000</v>
      </c>
      <c r="O6">
        <v>-25094000000</v>
      </c>
      <c r="P6">
        <v>-26251000000</v>
      </c>
      <c r="R6">
        <v>119437000000</v>
      </c>
      <c r="S6">
        <v>-334000000</v>
      </c>
      <c r="U6">
        <v>119103000000</v>
      </c>
      <c r="W6">
        <v>119103000000</v>
      </c>
      <c r="X6">
        <v>-19300000000</v>
      </c>
      <c r="Y6">
        <v>99803000000</v>
      </c>
      <c r="AA6">
        <v>99803000000</v>
      </c>
      <c r="AB6">
        <v>99803000000</v>
      </c>
    </row>
    <row r="7" spans="1:30">
      <c r="A7">
        <v>4</v>
      </c>
      <c r="B7" s="24">
        <v>45199</v>
      </c>
      <c r="C7">
        <v>111052</v>
      </c>
      <c r="D7" t="s">
        <v>45</v>
      </c>
      <c r="E7">
        <v>2023</v>
      </c>
      <c r="F7" t="s">
        <v>445</v>
      </c>
      <c r="G7" s="24">
        <v>45233</v>
      </c>
      <c r="H7" s="24">
        <v>45597</v>
      </c>
      <c r="I7">
        <v>15744231000</v>
      </c>
      <c r="J7">
        <v>15812547000</v>
      </c>
      <c r="K7">
        <v>383285000000</v>
      </c>
      <c r="L7">
        <v>-214137000000</v>
      </c>
      <c r="M7">
        <v>169148000000</v>
      </c>
      <c r="N7">
        <v>-54847000000</v>
      </c>
      <c r="O7">
        <v>-24932000000</v>
      </c>
      <c r="P7">
        <v>-29915000000</v>
      </c>
      <c r="R7">
        <v>114301000000</v>
      </c>
      <c r="S7">
        <v>-565000000</v>
      </c>
      <c r="U7">
        <v>113736000000</v>
      </c>
      <c r="W7">
        <v>113736000000</v>
      </c>
      <c r="X7">
        <v>-16741000000</v>
      </c>
      <c r="Y7">
        <v>96995000000</v>
      </c>
      <c r="AA7">
        <v>96995000000</v>
      </c>
      <c r="AB7">
        <v>96995000000</v>
      </c>
    </row>
    <row r="9" spans="1:30">
      <c r="A9" t="s">
        <v>11</v>
      </c>
    </row>
    <row r="10" spans="1:30">
      <c r="B10" t="s">
        <v>420</v>
      </c>
      <c r="C10" t="s">
        <v>421</v>
      </c>
      <c r="D10" t="s">
        <v>422</v>
      </c>
      <c r="E10" t="s">
        <v>423</v>
      </c>
      <c r="F10" t="s">
        <v>424</v>
      </c>
      <c r="G10" t="s">
        <v>425</v>
      </c>
      <c r="H10" t="s">
        <v>426</v>
      </c>
      <c r="I10" t="s">
        <v>427</v>
      </c>
      <c r="J10" t="s">
        <v>428</v>
      </c>
      <c r="K10" t="s">
        <v>446</v>
      </c>
      <c r="L10" t="s">
        <v>447</v>
      </c>
      <c r="M10" t="s">
        <v>448</v>
      </c>
      <c r="N10" t="s">
        <v>449</v>
      </c>
      <c r="O10" t="s">
        <v>450</v>
      </c>
      <c r="P10" t="s">
        <v>451</v>
      </c>
      <c r="Q10" t="s">
        <v>452</v>
      </c>
      <c r="R10" t="s">
        <v>453</v>
      </c>
      <c r="S10" t="s">
        <v>454</v>
      </c>
      <c r="T10" t="s">
        <v>455</v>
      </c>
      <c r="U10" t="s">
        <v>456</v>
      </c>
      <c r="V10" t="s">
        <v>457</v>
      </c>
      <c r="W10" t="s">
        <v>458</v>
      </c>
      <c r="X10" t="s">
        <v>459</v>
      </c>
      <c r="Y10" t="s">
        <v>460</v>
      </c>
      <c r="Z10" t="s">
        <v>461</v>
      </c>
      <c r="AA10" t="s">
        <v>462</v>
      </c>
      <c r="AB10" t="s">
        <v>463</v>
      </c>
      <c r="AC10" t="s">
        <v>464</v>
      </c>
      <c r="AD10" t="s">
        <v>465</v>
      </c>
    </row>
    <row r="11" spans="1:30">
      <c r="A11">
        <v>0</v>
      </c>
      <c r="B11" s="24">
        <v>43738</v>
      </c>
      <c r="C11">
        <v>111052</v>
      </c>
      <c r="D11" t="s">
        <v>45</v>
      </c>
      <c r="E11">
        <v>2019</v>
      </c>
      <c r="F11" t="s">
        <v>466</v>
      </c>
      <c r="G11" s="24">
        <v>43769</v>
      </c>
      <c r="H11" s="24">
        <v>44134</v>
      </c>
      <c r="I11">
        <v>18471336000</v>
      </c>
      <c r="J11">
        <v>18595652000</v>
      </c>
      <c r="K11">
        <v>100557000000</v>
      </c>
      <c r="L11">
        <v>22926000000</v>
      </c>
      <c r="M11">
        <v>4106000000</v>
      </c>
      <c r="N11">
        <v>162819000000</v>
      </c>
      <c r="O11">
        <v>37378000000</v>
      </c>
      <c r="P11">
        <v>105341000000</v>
      </c>
      <c r="Q11">
        <v>32978000000</v>
      </c>
      <c r="R11">
        <v>175697000000</v>
      </c>
      <c r="S11">
        <v>338516000000</v>
      </c>
      <c r="T11">
        <v>46236000000</v>
      </c>
      <c r="U11">
        <v>108047000000</v>
      </c>
      <c r="V11">
        <v>197525000000</v>
      </c>
      <c r="X11">
        <v>50503000000</v>
      </c>
      <c r="Y11">
        <v>248028000000</v>
      </c>
      <c r="Z11">
        <v>45174000000</v>
      </c>
      <c r="AB11">
        <v>45898000000</v>
      </c>
      <c r="AC11">
        <v>90488000000</v>
      </c>
      <c r="AD11">
        <v>338516000000</v>
      </c>
    </row>
    <row r="12" spans="1:30">
      <c r="A12">
        <v>1</v>
      </c>
      <c r="B12" s="24">
        <v>44104</v>
      </c>
      <c r="C12">
        <v>111052</v>
      </c>
      <c r="D12" t="s">
        <v>45</v>
      </c>
      <c r="E12">
        <v>2020</v>
      </c>
      <c r="F12" t="s">
        <v>466</v>
      </c>
      <c r="G12" s="24">
        <v>44134</v>
      </c>
      <c r="H12" s="24">
        <v>44498</v>
      </c>
      <c r="I12">
        <v>17352119000</v>
      </c>
      <c r="J12">
        <v>17528214000</v>
      </c>
      <c r="K12">
        <v>90943000000</v>
      </c>
      <c r="L12">
        <v>16120000000</v>
      </c>
      <c r="M12">
        <v>4061000000</v>
      </c>
      <c r="N12">
        <v>143713000000</v>
      </c>
      <c r="O12">
        <v>36766000000</v>
      </c>
      <c r="P12">
        <v>100887000000</v>
      </c>
      <c r="Q12">
        <v>42522000000</v>
      </c>
      <c r="R12">
        <v>180175000000</v>
      </c>
      <c r="S12">
        <v>323888000000</v>
      </c>
      <c r="T12">
        <v>42296000000</v>
      </c>
      <c r="U12">
        <v>112436000000</v>
      </c>
      <c r="V12">
        <v>204059000000</v>
      </c>
      <c r="X12">
        <v>54490000000</v>
      </c>
      <c r="Y12">
        <v>258549000000</v>
      </c>
      <c r="Z12">
        <v>50779000000</v>
      </c>
      <c r="AB12">
        <v>14966000000</v>
      </c>
      <c r="AC12">
        <v>65339000000</v>
      </c>
      <c r="AD12">
        <v>323888000000</v>
      </c>
    </row>
    <row r="13" spans="1:30">
      <c r="A13">
        <v>2</v>
      </c>
      <c r="B13" s="24">
        <v>44469</v>
      </c>
      <c r="C13">
        <v>111052</v>
      </c>
      <c r="D13" t="s">
        <v>45</v>
      </c>
      <c r="E13">
        <v>2021</v>
      </c>
      <c r="F13" t="s">
        <v>466</v>
      </c>
      <c r="G13" s="24">
        <v>44498</v>
      </c>
      <c r="H13" s="24">
        <v>44862</v>
      </c>
      <c r="I13">
        <v>16391724000</v>
      </c>
      <c r="J13">
        <v>16519291000</v>
      </c>
      <c r="K13">
        <v>62639000000</v>
      </c>
      <c r="L13">
        <v>26278000000</v>
      </c>
      <c r="M13">
        <v>6580000000</v>
      </c>
      <c r="N13">
        <v>134836000000</v>
      </c>
      <c r="O13">
        <v>39440000000</v>
      </c>
      <c r="P13">
        <v>127877000000</v>
      </c>
      <c r="Q13">
        <v>48849000000</v>
      </c>
      <c r="R13">
        <v>216166000000</v>
      </c>
      <c r="S13">
        <v>351002000000</v>
      </c>
      <c r="T13">
        <v>54763000000</v>
      </c>
      <c r="U13">
        <v>15613000000</v>
      </c>
      <c r="V13">
        <v>125481000000</v>
      </c>
      <c r="W13">
        <v>109106000000</v>
      </c>
      <c r="X13">
        <v>162431000000</v>
      </c>
      <c r="Y13">
        <v>287912000000</v>
      </c>
      <c r="Z13">
        <v>57365000000</v>
      </c>
      <c r="AB13">
        <v>5562000000</v>
      </c>
      <c r="AC13">
        <v>63090000000</v>
      </c>
      <c r="AD13">
        <v>351002000000</v>
      </c>
    </row>
    <row r="14" spans="1:30">
      <c r="A14">
        <v>3</v>
      </c>
      <c r="B14" s="24">
        <v>44834</v>
      </c>
      <c r="C14">
        <v>111052</v>
      </c>
      <c r="D14" t="s">
        <v>45</v>
      </c>
      <c r="E14">
        <v>2022</v>
      </c>
      <c r="F14" t="s">
        <v>466</v>
      </c>
      <c r="G14" s="24">
        <v>44862</v>
      </c>
      <c r="H14" s="24">
        <v>45233</v>
      </c>
      <c r="I14">
        <v>16215963000</v>
      </c>
      <c r="J14">
        <v>16325819000</v>
      </c>
      <c r="K14">
        <v>48304000000</v>
      </c>
      <c r="L14">
        <v>28184000000</v>
      </c>
      <c r="M14">
        <v>4946000000</v>
      </c>
      <c r="N14">
        <v>135405000000</v>
      </c>
      <c r="O14">
        <v>42117000000</v>
      </c>
      <c r="P14">
        <v>120805000000</v>
      </c>
      <c r="Q14">
        <v>54428000000</v>
      </c>
      <c r="R14">
        <v>217350000000</v>
      </c>
      <c r="S14">
        <v>352755000000</v>
      </c>
      <c r="T14">
        <v>64115000000</v>
      </c>
      <c r="U14">
        <v>21110000000</v>
      </c>
      <c r="V14">
        <v>153982000000</v>
      </c>
      <c r="W14">
        <v>98959000000</v>
      </c>
      <c r="X14">
        <v>148101000000</v>
      </c>
      <c r="Y14">
        <v>302083000000</v>
      </c>
      <c r="Z14">
        <v>64849000000</v>
      </c>
      <c r="AB14">
        <v>-3068000000</v>
      </c>
      <c r="AC14">
        <v>50672000000</v>
      </c>
      <c r="AD14">
        <v>352755000000</v>
      </c>
    </row>
    <row r="15" spans="1:30">
      <c r="A15">
        <v>4</v>
      </c>
      <c r="B15" s="24">
        <v>45199</v>
      </c>
      <c r="C15">
        <v>111052</v>
      </c>
      <c r="D15" t="s">
        <v>45</v>
      </c>
      <c r="E15">
        <v>2023</v>
      </c>
      <c r="F15" t="s">
        <v>466</v>
      </c>
      <c r="G15" s="24">
        <v>45233</v>
      </c>
      <c r="H15" s="24">
        <v>45597</v>
      </c>
      <c r="I15">
        <v>15744231000</v>
      </c>
      <c r="J15">
        <v>15812547000</v>
      </c>
      <c r="K15">
        <v>61555000000</v>
      </c>
      <c r="L15">
        <v>29508000000</v>
      </c>
      <c r="M15">
        <v>6331000000</v>
      </c>
      <c r="N15">
        <v>143566000000</v>
      </c>
      <c r="O15">
        <v>43715000000</v>
      </c>
      <c r="P15">
        <v>100544000000</v>
      </c>
      <c r="Q15">
        <v>64758000000</v>
      </c>
      <c r="R15">
        <v>209017000000</v>
      </c>
      <c r="S15">
        <v>352583000000</v>
      </c>
      <c r="T15">
        <v>62611000000</v>
      </c>
      <c r="U15">
        <v>5985000000</v>
      </c>
      <c r="V15">
        <v>135486000000</v>
      </c>
      <c r="W15">
        <v>105103000000</v>
      </c>
      <c r="X15">
        <v>154951000000</v>
      </c>
      <c r="Y15">
        <v>290437000000</v>
      </c>
      <c r="Z15">
        <v>73812000000</v>
      </c>
      <c r="AB15">
        <v>-214000000</v>
      </c>
      <c r="AC15">
        <v>62146000000</v>
      </c>
      <c r="AD15">
        <v>352583000000</v>
      </c>
    </row>
    <row r="18" spans="1:28">
      <c r="A18" t="s">
        <v>467</v>
      </c>
    </row>
    <row r="19" spans="1:28">
      <c r="B19" t="s">
        <v>420</v>
      </c>
      <c r="C19" t="s">
        <v>421</v>
      </c>
      <c r="D19" t="s">
        <v>422</v>
      </c>
      <c r="E19" t="s">
        <v>423</v>
      </c>
      <c r="F19" t="s">
        <v>424</v>
      </c>
      <c r="G19" t="s">
        <v>425</v>
      </c>
      <c r="H19" t="s">
        <v>426</v>
      </c>
      <c r="I19" t="s">
        <v>427</v>
      </c>
      <c r="J19" t="s">
        <v>428</v>
      </c>
      <c r="K19" t="s">
        <v>468</v>
      </c>
      <c r="L19" t="s">
        <v>434</v>
      </c>
      <c r="M19" t="s">
        <v>469</v>
      </c>
      <c r="N19" t="s">
        <v>470</v>
      </c>
      <c r="O19" t="s">
        <v>471</v>
      </c>
      <c r="P19" t="s">
        <v>472</v>
      </c>
      <c r="Q19" t="s">
        <v>473</v>
      </c>
      <c r="R19" t="s">
        <v>474</v>
      </c>
      <c r="S19" t="s">
        <v>475</v>
      </c>
      <c r="T19" t="s">
        <v>476</v>
      </c>
      <c r="U19" t="s">
        <v>477</v>
      </c>
      <c r="V19" t="s">
        <v>478</v>
      </c>
      <c r="W19" t="s">
        <v>479</v>
      </c>
      <c r="X19" t="s">
        <v>480</v>
      </c>
      <c r="Y19" t="s">
        <v>481</v>
      </c>
      <c r="Z19" t="s">
        <v>482</v>
      </c>
      <c r="AA19" t="s">
        <v>483</v>
      </c>
      <c r="AB19" t="s">
        <v>484</v>
      </c>
    </row>
    <row r="20" spans="1:28">
      <c r="A20">
        <v>0</v>
      </c>
      <c r="B20" s="24">
        <v>43738</v>
      </c>
      <c r="C20">
        <v>111052</v>
      </c>
      <c r="D20" t="s">
        <v>45</v>
      </c>
      <c r="E20">
        <v>2019</v>
      </c>
      <c r="F20" t="s">
        <v>445</v>
      </c>
      <c r="G20" s="24">
        <v>43769</v>
      </c>
      <c r="H20" s="24">
        <v>44498</v>
      </c>
      <c r="I20">
        <v>18471336000</v>
      </c>
      <c r="J20">
        <v>18595652000</v>
      </c>
      <c r="K20">
        <v>55256000000</v>
      </c>
      <c r="L20">
        <v>12547000000</v>
      </c>
      <c r="M20">
        <v>5076000000</v>
      </c>
      <c r="N20">
        <v>-3488000000</v>
      </c>
      <c r="S20">
        <v>69391000000</v>
      </c>
      <c r="T20">
        <v>-10495000000</v>
      </c>
      <c r="U20">
        <v>58093000000</v>
      </c>
      <c r="V20">
        <v>-624000000</v>
      </c>
      <c r="W20">
        <v>45896000000</v>
      </c>
      <c r="X20">
        <v>-14119000000</v>
      </c>
      <c r="Y20">
        <v>-7819000000</v>
      </c>
      <c r="Z20">
        <v>-66116000000</v>
      </c>
      <c r="AA20">
        <v>-90976000000</v>
      </c>
      <c r="AB20">
        <v>24311000000</v>
      </c>
    </row>
    <row r="21" spans="1:28">
      <c r="A21">
        <v>1</v>
      </c>
      <c r="B21" s="24">
        <v>44104</v>
      </c>
      <c r="C21">
        <v>111052</v>
      </c>
      <c r="D21" t="s">
        <v>45</v>
      </c>
      <c r="E21">
        <v>2020</v>
      </c>
      <c r="F21" t="s">
        <v>445</v>
      </c>
      <c r="G21" s="24">
        <v>44134</v>
      </c>
      <c r="H21" s="24">
        <v>44862</v>
      </c>
      <c r="I21">
        <v>17352119000</v>
      </c>
      <c r="J21">
        <v>17528214000</v>
      </c>
      <c r="K21">
        <v>57411000000</v>
      </c>
      <c r="L21">
        <v>11056000000</v>
      </c>
      <c r="M21">
        <v>6517000000</v>
      </c>
      <c r="N21">
        <v>5690000000</v>
      </c>
      <c r="S21">
        <v>80674000000</v>
      </c>
      <c r="T21">
        <v>-7309000000</v>
      </c>
      <c r="U21">
        <v>5453000000</v>
      </c>
      <c r="V21">
        <v>-1524000000</v>
      </c>
      <c r="W21">
        <v>-4289000000</v>
      </c>
      <c r="X21">
        <v>-14081000000</v>
      </c>
      <c r="Y21">
        <v>2499000000</v>
      </c>
      <c r="Z21">
        <v>-72358000000</v>
      </c>
      <c r="AA21">
        <v>-86820000000</v>
      </c>
      <c r="AB21">
        <v>-10435000000</v>
      </c>
    </row>
    <row r="22" spans="1:28">
      <c r="A22">
        <v>2</v>
      </c>
      <c r="B22" s="24">
        <v>44469</v>
      </c>
      <c r="C22">
        <v>111052</v>
      </c>
      <c r="D22" t="s">
        <v>45</v>
      </c>
      <c r="E22">
        <v>2021</v>
      </c>
      <c r="F22" t="s">
        <v>445</v>
      </c>
      <c r="G22" s="24">
        <v>44498</v>
      </c>
      <c r="H22" s="24">
        <v>45233</v>
      </c>
      <c r="I22">
        <v>16391724000</v>
      </c>
      <c r="J22">
        <v>16519291000</v>
      </c>
      <c r="K22">
        <v>94680000000</v>
      </c>
      <c r="L22">
        <v>11284000000</v>
      </c>
      <c r="M22">
        <v>2985000000</v>
      </c>
      <c r="N22">
        <v>-4911000000</v>
      </c>
      <c r="S22">
        <v>104038000000</v>
      </c>
      <c r="T22">
        <v>-11085000000</v>
      </c>
      <c r="U22">
        <v>-3075000000</v>
      </c>
      <c r="W22">
        <v>-14545000000</v>
      </c>
      <c r="X22">
        <v>-14467000000</v>
      </c>
      <c r="Y22">
        <v>12665000000</v>
      </c>
      <c r="Z22">
        <v>-85971000000</v>
      </c>
      <c r="AA22">
        <v>-93353000000</v>
      </c>
      <c r="AB22">
        <v>-3860000000</v>
      </c>
    </row>
    <row r="23" spans="1:28">
      <c r="A23">
        <v>3</v>
      </c>
      <c r="B23" s="24">
        <v>44834</v>
      </c>
      <c r="C23">
        <v>111052</v>
      </c>
      <c r="D23" t="s">
        <v>45</v>
      </c>
      <c r="E23">
        <v>2022</v>
      </c>
      <c r="F23" t="s">
        <v>445</v>
      </c>
      <c r="G23" s="24">
        <v>44862</v>
      </c>
      <c r="H23" s="24">
        <v>45597</v>
      </c>
      <c r="I23">
        <v>16215963000</v>
      </c>
      <c r="J23">
        <v>16325819000</v>
      </c>
      <c r="K23">
        <v>99803000000</v>
      </c>
      <c r="L23">
        <v>11104000000</v>
      </c>
      <c r="M23">
        <v>10044000000</v>
      </c>
      <c r="N23">
        <v>1200000000</v>
      </c>
      <c r="S23">
        <v>122151000000</v>
      </c>
      <c r="T23">
        <v>-10708000000</v>
      </c>
      <c r="U23">
        <v>-9560000000</v>
      </c>
      <c r="W23">
        <v>-22354000000</v>
      </c>
      <c r="X23">
        <v>-14841000000</v>
      </c>
      <c r="Y23">
        <v>-123000000</v>
      </c>
      <c r="Z23">
        <v>-89402000000</v>
      </c>
      <c r="AA23">
        <v>-110749000000</v>
      </c>
      <c r="AB23">
        <v>-10952000000</v>
      </c>
    </row>
    <row r="24" spans="1:28">
      <c r="A24">
        <v>4</v>
      </c>
      <c r="B24" s="24">
        <v>45199</v>
      </c>
      <c r="C24">
        <v>111052</v>
      </c>
      <c r="D24" t="s">
        <v>45</v>
      </c>
      <c r="E24">
        <v>2023</v>
      </c>
      <c r="F24" t="s">
        <v>445</v>
      </c>
      <c r="G24" s="24">
        <v>45233</v>
      </c>
      <c r="H24" s="24">
        <v>45597</v>
      </c>
      <c r="I24">
        <v>15744231000</v>
      </c>
      <c r="J24">
        <v>15812547000</v>
      </c>
      <c r="K24">
        <v>96995000000</v>
      </c>
      <c r="L24">
        <v>11519000000</v>
      </c>
      <c r="M24">
        <v>8606000000</v>
      </c>
      <c r="N24">
        <v>-6577000000</v>
      </c>
      <c r="S24">
        <v>110543000000</v>
      </c>
      <c r="T24">
        <v>-10959000000</v>
      </c>
      <c r="U24">
        <v>16001000000</v>
      </c>
      <c r="W24">
        <v>3705000000</v>
      </c>
      <c r="X24">
        <v>-15025000000</v>
      </c>
      <c r="Y24">
        <v>-9901000000</v>
      </c>
      <c r="Z24">
        <v>-77550000000</v>
      </c>
      <c r="AA24">
        <v>-108488000000</v>
      </c>
      <c r="AB24">
        <v>5760000000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9">
    <outlinePr summaryBelow="0" summaryRight="0"/>
  </sheetPr>
  <dimension ref="A1:AL68"/>
  <sheetViews>
    <sheetView workbookViewId="0">
      <selection activeCell="A8" sqref="A8"/>
    </sheetView>
  </sheetViews>
  <sheetFormatPr baseColWidth="10" defaultColWidth="12.5" defaultRowHeight="15.75" customHeight="1"/>
  <cols>
    <col min="4" max="4" width="24" customWidth="1"/>
    <col min="19" max="19" width="13.5" bestFit="1" customWidth="1"/>
    <col min="38" max="38" width="25.83203125" customWidth="1"/>
  </cols>
  <sheetData>
    <row r="1" spans="1:38" ht="15.75" customHeight="1">
      <c r="A1" t="s">
        <v>230</v>
      </c>
    </row>
    <row r="2" spans="1:38" ht="15.75" customHeight="1">
      <c r="A2" t="s">
        <v>43</v>
      </c>
      <c r="B2" t="s">
        <v>18</v>
      </c>
      <c r="C2" t="s">
        <v>19</v>
      </c>
      <c r="D2" t="s">
        <v>20</v>
      </c>
      <c r="E2" t="s">
        <v>21</v>
      </c>
      <c r="F2" t="s">
        <v>22</v>
      </c>
      <c r="G2" t="s">
        <v>23</v>
      </c>
      <c r="H2" t="s">
        <v>24</v>
      </c>
      <c r="I2" t="s">
        <v>25</v>
      </c>
      <c r="J2" t="s">
        <v>26</v>
      </c>
      <c r="K2" t="s">
        <v>27</v>
      </c>
      <c r="L2" t="s">
        <v>28</v>
      </c>
      <c r="M2" t="s">
        <v>29</v>
      </c>
      <c r="N2" t="s">
        <v>30</v>
      </c>
      <c r="O2" t="s">
        <v>31</v>
      </c>
      <c r="P2" t="s">
        <v>32</v>
      </c>
      <c r="Q2" t="s">
        <v>33</v>
      </c>
      <c r="R2" t="s">
        <v>34</v>
      </c>
      <c r="S2" t="s">
        <v>35</v>
      </c>
      <c r="T2" t="s">
        <v>36</v>
      </c>
      <c r="U2" t="s">
        <v>37</v>
      </c>
      <c r="V2" t="s">
        <v>38</v>
      </c>
      <c r="W2" t="s">
        <v>39</v>
      </c>
      <c r="X2" t="s">
        <v>40</v>
      </c>
      <c r="Y2" t="s">
        <v>41</v>
      </c>
      <c r="Z2" t="s">
        <v>42</v>
      </c>
    </row>
    <row r="3" spans="1:38" ht="15.75" customHeight="1">
      <c r="A3" s="24">
        <v>45565</v>
      </c>
      <c r="B3" t="s">
        <v>45</v>
      </c>
      <c r="C3">
        <v>180683000000</v>
      </c>
      <c r="D3">
        <v>391035000000</v>
      </c>
      <c r="E3">
        <v>210352000000</v>
      </c>
      <c r="F3">
        <v>210352000000</v>
      </c>
      <c r="G3">
        <v>123216000000</v>
      </c>
      <c r="H3">
        <v>26097000000</v>
      </c>
      <c r="I3">
        <v>31370000000</v>
      </c>
      <c r="J3">
        <v>57467000000</v>
      </c>
      <c r="K3">
        <v>0</v>
      </c>
      <c r="L3">
        <v>0</v>
      </c>
      <c r="M3">
        <v>0</v>
      </c>
      <c r="N3">
        <v>0</v>
      </c>
      <c r="O3">
        <v>0</v>
      </c>
      <c r="P3">
        <v>0</v>
      </c>
      <c r="Q3">
        <v>0</v>
      </c>
      <c r="R3">
        <v>11445000000</v>
      </c>
      <c r="S3">
        <v>123485000000</v>
      </c>
      <c r="T3">
        <v>29749000000</v>
      </c>
      <c r="U3">
        <v>0</v>
      </c>
      <c r="V3">
        <v>93736000000</v>
      </c>
      <c r="W3">
        <v>0</v>
      </c>
      <c r="X3">
        <v>123216000000</v>
      </c>
      <c r="Y3">
        <v>134661000000</v>
      </c>
      <c r="Z3">
        <v>93736000000</v>
      </c>
    </row>
    <row r="4" spans="1:38" ht="15.75" customHeight="1">
      <c r="A4" s="24" t="s">
        <v>231</v>
      </c>
      <c r="B4" t="s">
        <v>45</v>
      </c>
      <c r="C4">
        <v>169148000000</v>
      </c>
      <c r="D4">
        <v>383285000000</v>
      </c>
      <c r="E4">
        <v>214137000000</v>
      </c>
      <c r="F4">
        <v>214137000000</v>
      </c>
      <c r="G4">
        <v>114301000000</v>
      </c>
      <c r="H4">
        <v>24932000000</v>
      </c>
      <c r="I4">
        <v>29915000000</v>
      </c>
      <c r="J4">
        <v>54847000000</v>
      </c>
      <c r="K4">
        <v>0</v>
      </c>
      <c r="L4">
        <v>-183000000</v>
      </c>
      <c r="M4">
        <v>3750000000</v>
      </c>
      <c r="N4">
        <v>3933000000</v>
      </c>
      <c r="O4">
        <v>0</v>
      </c>
      <c r="P4">
        <v>-382000000</v>
      </c>
      <c r="Q4">
        <v>0</v>
      </c>
      <c r="R4">
        <v>11519000000</v>
      </c>
      <c r="S4">
        <v>113736000000</v>
      </c>
      <c r="T4">
        <v>16741000000</v>
      </c>
      <c r="U4">
        <v>0</v>
      </c>
      <c r="V4">
        <v>96995000000</v>
      </c>
      <c r="W4">
        <v>0</v>
      </c>
      <c r="X4">
        <v>114301000000</v>
      </c>
      <c r="Y4">
        <v>125820000000</v>
      </c>
      <c r="Z4">
        <v>96995000000</v>
      </c>
    </row>
    <row r="5" spans="1:38" ht="15.75" customHeight="1">
      <c r="A5" s="24" t="s">
        <v>43</v>
      </c>
      <c r="B5" t="s">
        <v>45</v>
      </c>
      <c r="C5" s="1">
        <v>170782000000</v>
      </c>
      <c r="D5" s="1">
        <v>394328000000</v>
      </c>
      <c r="E5">
        <v>223546000000</v>
      </c>
      <c r="F5">
        <v>223546000000</v>
      </c>
      <c r="G5">
        <v>119437000000</v>
      </c>
      <c r="H5">
        <v>25094000000</v>
      </c>
      <c r="I5">
        <v>26251000000</v>
      </c>
      <c r="J5">
        <v>51573000000</v>
      </c>
      <c r="K5">
        <v>0</v>
      </c>
      <c r="L5">
        <v>-106000000</v>
      </c>
      <c r="M5">
        <v>2825000000</v>
      </c>
      <c r="N5">
        <v>2931000000</v>
      </c>
      <c r="O5">
        <v>0</v>
      </c>
      <c r="P5">
        <v>334000000</v>
      </c>
      <c r="Q5">
        <v>0</v>
      </c>
      <c r="R5">
        <v>11104000000</v>
      </c>
      <c r="S5">
        <v>119103000000</v>
      </c>
      <c r="T5">
        <v>19300000000</v>
      </c>
      <c r="U5">
        <v>0</v>
      </c>
      <c r="V5">
        <v>99803000000</v>
      </c>
      <c r="W5">
        <v>0</v>
      </c>
      <c r="X5">
        <v>119437000000</v>
      </c>
      <c r="Y5">
        <v>130541000000</v>
      </c>
      <c r="Z5">
        <v>99803000000</v>
      </c>
    </row>
    <row r="6" spans="1:38" ht="15.75" customHeight="1">
      <c r="A6" s="24">
        <v>44469</v>
      </c>
      <c r="B6" t="s">
        <v>45</v>
      </c>
      <c r="C6" s="1">
        <v>152836000000</v>
      </c>
      <c r="D6" s="1">
        <v>365817000000</v>
      </c>
      <c r="E6">
        <v>212981000000</v>
      </c>
      <c r="F6" s="1">
        <v>212981000000</v>
      </c>
      <c r="G6">
        <v>108949000000</v>
      </c>
      <c r="H6">
        <v>21973000000</v>
      </c>
      <c r="I6">
        <v>21914000000</v>
      </c>
      <c r="J6">
        <v>43887000000</v>
      </c>
      <c r="K6">
        <v>0</v>
      </c>
      <c r="L6">
        <v>198000000</v>
      </c>
      <c r="M6">
        <v>2843000000</v>
      </c>
      <c r="N6">
        <v>2645000000</v>
      </c>
      <c r="O6">
        <v>0</v>
      </c>
      <c r="P6">
        <v>258000000</v>
      </c>
      <c r="Q6">
        <v>0</v>
      </c>
      <c r="R6">
        <v>11284000000</v>
      </c>
      <c r="S6">
        <v>109207000000</v>
      </c>
      <c r="T6">
        <v>14527000000</v>
      </c>
      <c r="U6">
        <v>0</v>
      </c>
      <c r="V6">
        <v>94680000000</v>
      </c>
      <c r="W6">
        <v>0</v>
      </c>
      <c r="X6">
        <v>111852000000</v>
      </c>
      <c r="Y6">
        <v>123136000000</v>
      </c>
      <c r="Z6">
        <v>94680000000</v>
      </c>
    </row>
    <row r="7" spans="1:38" ht="15.75" customHeight="1">
      <c r="A7" s="24" t="s">
        <v>232</v>
      </c>
      <c r="B7" t="s">
        <v>45</v>
      </c>
      <c r="C7">
        <v>104956000000</v>
      </c>
      <c r="D7">
        <v>274515000000</v>
      </c>
      <c r="E7">
        <v>169559000000</v>
      </c>
      <c r="F7">
        <v>169559000000</v>
      </c>
      <c r="G7">
        <v>66288000000</v>
      </c>
      <c r="H7">
        <v>19916000000</v>
      </c>
      <c r="I7">
        <v>18752000000</v>
      </c>
      <c r="J7">
        <v>38668000000</v>
      </c>
      <c r="K7">
        <v>0</v>
      </c>
      <c r="L7">
        <v>890000000</v>
      </c>
      <c r="M7">
        <v>3763000000</v>
      </c>
      <c r="N7">
        <v>2873000000</v>
      </c>
      <c r="O7">
        <v>0</v>
      </c>
      <c r="P7">
        <v>803000000</v>
      </c>
      <c r="Q7">
        <v>0</v>
      </c>
      <c r="R7">
        <v>11056000000</v>
      </c>
      <c r="S7">
        <v>67091000000</v>
      </c>
      <c r="T7">
        <v>9680000000</v>
      </c>
      <c r="U7">
        <v>0</v>
      </c>
      <c r="V7">
        <v>57411000000</v>
      </c>
      <c r="W7">
        <v>0</v>
      </c>
      <c r="X7">
        <v>69964000000</v>
      </c>
      <c r="Y7">
        <v>81020000000</v>
      </c>
      <c r="Z7">
        <v>57411000000</v>
      </c>
    </row>
    <row r="8" spans="1:38" ht="15.75" customHeight="1">
      <c r="A8" s="24" t="s">
        <v>43</v>
      </c>
      <c r="B8" t="s">
        <v>45</v>
      </c>
      <c r="C8">
        <v>98392000000</v>
      </c>
      <c r="D8">
        <v>260174000000</v>
      </c>
      <c r="E8">
        <v>161782000000</v>
      </c>
      <c r="F8">
        <v>161782000000</v>
      </c>
      <c r="G8">
        <v>63930000000</v>
      </c>
      <c r="H8">
        <v>18245000000</v>
      </c>
      <c r="I8">
        <v>16217000000</v>
      </c>
      <c r="J8">
        <v>34462000000</v>
      </c>
      <c r="K8">
        <v>0</v>
      </c>
      <c r="L8">
        <v>1385000000</v>
      </c>
      <c r="M8">
        <v>4961000000</v>
      </c>
      <c r="N8">
        <v>3576000000</v>
      </c>
      <c r="O8">
        <v>0</v>
      </c>
      <c r="P8">
        <v>1807000000</v>
      </c>
      <c r="Q8">
        <v>0</v>
      </c>
      <c r="R8">
        <v>12547000000</v>
      </c>
      <c r="S8">
        <v>65737000000</v>
      </c>
      <c r="T8">
        <v>10481000000</v>
      </c>
      <c r="U8">
        <v>0</v>
      </c>
      <c r="V8">
        <v>55256000000</v>
      </c>
      <c r="W8">
        <v>0</v>
      </c>
      <c r="X8">
        <v>69313000000</v>
      </c>
      <c r="Y8">
        <v>81860000000</v>
      </c>
      <c r="Z8">
        <v>55256000000</v>
      </c>
    </row>
    <row r="9" spans="1:38" ht="15.75" customHeight="1">
      <c r="A9" s="24">
        <v>43373</v>
      </c>
      <c r="B9" t="s">
        <v>45</v>
      </c>
      <c r="C9">
        <v>101839000000</v>
      </c>
      <c r="D9">
        <v>265595000000</v>
      </c>
      <c r="E9">
        <v>163756000000</v>
      </c>
      <c r="F9">
        <v>163756000000</v>
      </c>
      <c r="G9">
        <v>70898000000</v>
      </c>
      <c r="H9">
        <v>16705000000</v>
      </c>
      <c r="I9">
        <v>14236000000</v>
      </c>
      <c r="J9">
        <v>30941000000</v>
      </c>
      <c r="K9">
        <v>0</v>
      </c>
      <c r="L9">
        <v>2446000000</v>
      </c>
      <c r="M9">
        <v>5686000000</v>
      </c>
      <c r="N9">
        <v>3240000000</v>
      </c>
      <c r="O9">
        <v>0</v>
      </c>
      <c r="P9">
        <v>2005000000</v>
      </c>
      <c r="Q9">
        <v>0</v>
      </c>
      <c r="R9">
        <v>10903000000</v>
      </c>
      <c r="S9">
        <v>72903000000</v>
      </c>
      <c r="T9">
        <v>13372000000</v>
      </c>
      <c r="U9">
        <v>0</v>
      </c>
      <c r="V9">
        <v>59531000000</v>
      </c>
      <c r="W9">
        <v>0</v>
      </c>
      <c r="X9">
        <v>76143000000</v>
      </c>
      <c r="Y9">
        <v>87046000000</v>
      </c>
      <c r="Z9">
        <v>59531000000</v>
      </c>
    </row>
    <row r="10" spans="1:38" ht="15.75" customHeight="1">
      <c r="A10" s="24">
        <v>43008</v>
      </c>
      <c r="B10" t="s">
        <v>45</v>
      </c>
      <c r="C10">
        <v>88186000000</v>
      </c>
      <c r="D10">
        <v>229234000000</v>
      </c>
      <c r="E10">
        <v>141048000000</v>
      </c>
      <c r="F10">
        <v>141048000000</v>
      </c>
      <c r="G10">
        <v>61344000000</v>
      </c>
      <c r="H10">
        <v>15261000000</v>
      </c>
      <c r="I10">
        <v>11581000000</v>
      </c>
      <c r="J10">
        <v>26842000000</v>
      </c>
      <c r="K10">
        <v>0</v>
      </c>
      <c r="L10">
        <v>2878000000</v>
      </c>
      <c r="M10">
        <v>5201000000</v>
      </c>
      <c r="N10">
        <v>2323000000</v>
      </c>
      <c r="O10">
        <v>0</v>
      </c>
      <c r="P10">
        <v>2745000000</v>
      </c>
      <c r="Q10">
        <v>0</v>
      </c>
      <c r="R10">
        <v>9400000000</v>
      </c>
      <c r="S10">
        <v>64089000000</v>
      </c>
      <c r="T10">
        <v>15738000000</v>
      </c>
      <c r="U10">
        <v>0</v>
      </c>
      <c r="V10">
        <v>48351000000</v>
      </c>
      <c r="W10">
        <v>0</v>
      </c>
      <c r="X10">
        <v>66412000000</v>
      </c>
      <c r="Y10">
        <v>75812000000</v>
      </c>
      <c r="Z10">
        <v>48351000000</v>
      </c>
    </row>
    <row r="11" spans="1:38" ht="15.75" customHeight="1">
      <c r="A11" s="24">
        <v>42643</v>
      </c>
      <c r="B11" t="s">
        <v>45</v>
      </c>
      <c r="C11">
        <v>84263000000</v>
      </c>
      <c r="D11">
        <v>215639000000</v>
      </c>
      <c r="E11">
        <v>131376000000</v>
      </c>
      <c r="F11">
        <v>131376000000</v>
      </c>
      <c r="G11">
        <v>60024000000</v>
      </c>
      <c r="H11">
        <v>14194000000</v>
      </c>
      <c r="I11">
        <v>10045000000</v>
      </c>
      <c r="J11">
        <v>24239000000</v>
      </c>
      <c r="K11">
        <v>0</v>
      </c>
      <c r="L11">
        <v>2543000000</v>
      </c>
      <c r="M11">
        <v>3999000000</v>
      </c>
      <c r="N11">
        <v>1456000000</v>
      </c>
      <c r="O11">
        <v>0</v>
      </c>
      <c r="P11">
        <v>1348000000</v>
      </c>
      <c r="Q11">
        <v>0</v>
      </c>
      <c r="R11">
        <v>9800000000</v>
      </c>
      <c r="S11">
        <v>61372000000</v>
      </c>
      <c r="T11">
        <v>15685000000</v>
      </c>
      <c r="U11">
        <v>0</v>
      </c>
      <c r="V11">
        <v>45687000000</v>
      </c>
      <c r="W11">
        <v>0</v>
      </c>
      <c r="X11">
        <v>62828000000</v>
      </c>
      <c r="Y11">
        <v>72628000000</v>
      </c>
      <c r="Z11">
        <v>45687000000</v>
      </c>
    </row>
    <row r="12" spans="1:38" ht="15.75" customHeight="1">
      <c r="A12" s="24">
        <v>42277</v>
      </c>
      <c r="B12" t="s">
        <v>45</v>
      </c>
      <c r="C12">
        <v>93626000000</v>
      </c>
      <c r="D12">
        <v>233715000000</v>
      </c>
      <c r="E12">
        <v>140089000000</v>
      </c>
      <c r="F12">
        <v>140089000000</v>
      </c>
      <c r="G12">
        <v>71230000000</v>
      </c>
      <c r="H12">
        <v>14329000000</v>
      </c>
      <c r="I12">
        <v>8067000000</v>
      </c>
      <c r="J12">
        <v>22396000000</v>
      </c>
      <c r="K12">
        <v>0</v>
      </c>
      <c r="L12">
        <v>0</v>
      </c>
      <c r="M12">
        <v>0</v>
      </c>
      <c r="N12">
        <v>733000000</v>
      </c>
      <c r="O12">
        <v>0</v>
      </c>
      <c r="P12">
        <v>1285000000</v>
      </c>
      <c r="Q12">
        <v>0</v>
      </c>
      <c r="R12">
        <v>11257000000</v>
      </c>
      <c r="S12">
        <v>72515000000</v>
      </c>
      <c r="T12">
        <v>19121000000</v>
      </c>
      <c r="U12">
        <v>0</v>
      </c>
      <c r="V12">
        <v>53394000000</v>
      </c>
      <c r="W12">
        <v>0</v>
      </c>
      <c r="X12">
        <v>72491000000</v>
      </c>
      <c r="Y12">
        <v>83748000000</v>
      </c>
      <c r="Z12">
        <v>53394000000</v>
      </c>
    </row>
    <row r="13" spans="1:38" ht="15.75" customHeight="1">
      <c r="A13" s="24">
        <v>41912</v>
      </c>
      <c r="B13" t="s">
        <v>45</v>
      </c>
      <c r="C13">
        <v>70537000000</v>
      </c>
      <c r="D13">
        <v>182795000000</v>
      </c>
      <c r="E13">
        <v>112258000000</v>
      </c>
      <c r="F13">
        <v>112258000000</v>
      </c>
      <c r="G13">
        <v>52503000000</v>
      </c>
      <c r="H13">
        <v>11993000000</v>
      </c>
      <c r="I13">
        <v>6041000000</v>
      </c>
      <c r="J13">
        <v>18034000000</v>
      </c>
      <c r="K13">
        <v>0</v>
      </c>
      <c r="L13">
        <v>0</v>
      </c>
      <c r="M13">
        <v>0</v>
      </c>
      <c r="N13">
        <v>384000000</v>
      </c>
      <c r="O13">
        <v>0</v>
      </c>
      <c r="P13">
        <v>980000000</v>
      </c>
      <c r="Q13">
        <v>0</v>
      </c>
      <c r="R13">
        <v>7946000000</v>
      </c>
      <c r="S13">
        <v>53483000000</v>
      </c>
      <c r="T13">
        <v>13973000000</v>
      </c>
      <c r="U13">
        <v>0</v>
      </c>
      <c r="V13">
        <v>39510000000</v>
      </c>
      <c r="W13">
        <v>0</v>
      </c>
      <c r="X13">
        <v>53921000000</v>
      </c>
      <c r="Y13">
        <v>61867000000</v>
      </c>
      <c r="Z13">
        <v>39510000000</v>
      </c>
    </row>
    <row r="14" spans="1:38" ht="15.75" customHeight="1">
      <c r="A14" s="24">
        <v>41547</v>
      </c>
      <c r="B14" t="s">
        <v>45</v>
      </c>
      <c r="C14">
        <v>64304000000</v>
      </c>
      <c r="D14">
        <v>170910000000</v>
      </c>
      <c r="E14">
        <v>106606000000</v>
      </c>
      <c r="F14">
        <v>106606000000</v>
      </c>
      <c r="G14">
        <v>48999000000</v>
      </c>
      <c r="H14">
        <v>9730000000</v>
      </c>
      <c r="I14">
        <v>4475000000</v>
      </c>
      <c r="J14">
        <v>15305000000</v>
      </c>
      <c r="K14">
        <v>0</v>
      </c>
      <c r="L14">
        <v>0</v>
      </c>
      <c r="M14">
        <v>0</v>
      </c>
      <c r="N14">
        <v>136000000</v>
      </c>
      <c r="O14">
        <v>0</v>
      </c>
      <c r="P14">
        <v>1156000000</v>
      </c>
      <c r="Q14">
        <v>0</v>
      </c>
      <c r="R14">
        <v>6757000000</v>
      </c>
      <c r="S14">
        <v>50155000000</v>
      </c>
      <c r="T14">
        <v>13118000000</v>
      </c>
      <c r="U14">
        <v>0</v>
      </c>
      <c r="V14">
        <v>37037000000</v>
      </c>
      <c r="W14">
        <v>0</v>
      </c>
      <c r="X14">
        <v>50294000000</v>
      </c>
      <c r="Y14">
        <v>57051000000</v>
      </c>
      <c r="Z14">
        <v>37037000000</v>
      </c>
      <c r="AA14" t="s">
        <v>76</v>
      </c>
      <c r="AB14" t="s">
        <v>77</v>
      </c>
      <c r="AC14" t="s">
        <v>78</v>
      </c>
      <c r="AD14" t="s">
        <v>79</v>
      </c>
      <c r="AE14" t="s">
        <v>80</v>
      </c>
      <c r="AF14" t="s">
        <v>81</v>
      </c>
      <c r="AG14" t="s">
        <v>82</v>
      </c>
      <c r="AH14" t="s">
        <v>83</v>
      </c>
      <c r="AI14" t="s">
        <v>84</v>
      </c>
      <c r="AJ14" t="s">
        <v>85</v>
      </c>
      <c r="AK14" t="s">
        <v>86</v>
      </c>
      <c r="AL14" t="s">
        <v>87</v>
      </c>
    </row>
    <row r="15" spans="1:38" ht="15.75" customHeight="1">
      <c r="A15" s="24">
        <v>41182</v>
      </c>
      <c r="B15" t="s">
        <v>45</v>
      </c>
      <c r="C15">
        <v>68662000000</v>
      </c>
      <c r="D15">
        <v>156508000000</v>
      </c>
      <c r="E15">
        <v>87846000000</v>
      </c>
      <c r="F15">
        <v>87846000000</v>
      </c>
      <c r="G15">
        <v>55241000000</v>
      </c>
      <c r="H15">
        <v>9040000000</v>
      </c>
      <c r="I15">
        <v>3381000000</v>
      </c>
      <c r="J15">
        <v>13421000000</v>
      </c>
      <c r="K15">
        <v>0</v>
      </c>
      <c r="L15">
        <v>0</v>
      </c>
      <c r="M15">
        <v>0</v>
      </c>
      <c r="N15">
        <v>522000000</v>
      </c>
      <c r="O15">
        <v>0</v>
      </c>
      <c r="P15">
        <v>522000000</v>
      </c>
      <c r="Q15">
        <v>0</v>
      </c>
      <c r="R15">
        <v>3277000000</v>
      </c>
      <c r="S15">
        <v>55763000000</v>
      </c>
      <c r="T15">
        <v>14030000000</v>
      </c>
      <c r="U15">
        <v>0</v>
      </c>
      <c r="V15">
        <v>41733000000</v>
      </c>
      <c r="W15">
        <v>0</v>
      </c>
      <c r="X15">
        <v>55691000000</v>
      </c>
      <c r="Y15">
        <v>58968000000</v>
      </c>
      <c r="Z15">
        <v>41733000000</v>
      </c>
      <c r="AA15">
        <v>44918000</v>
      </c>
      <c r="AB15">
        <v>743983000</v>
      </c>
      <c r="AC15" t="s">
        <v>46</v>
      </c>
      <c r="AD15" t="s">
        <v>46</v>
      </c>
      <c r="AE15">
        <v>788901000</v>
      </c>
      <c r="AF15">
        <v>583347000</v>
      </c>
      <c r="AG15">
        <v>150849000</v>
      </c>
      <c r="AH15">
        <v>3279494000</v>
      </c>
      <c r="AI15" t="s">
        <v>46</v>
      </c>
      <c r="AJ15">
        <v>-1078107000</v>
      </c>
      <c r="AK15">
        <v>124000</v>
      </c>
      <c r="AL15">
        <v>244750000</v>
      </c>
    </row>
    <row r="16" spans="1:38" ht="15.75" customHeight="1">
      <c r="A16" s="24">
        <v>40816</v>
      </c>
      <c r="B16" t="s">
        <v>45</v>
      </c>
      <c r="C16">
        <v>44522000000</v>
      </c>
      <c r="D16">
        <v>108249000000</v>
      </c>
      <c r="E16">
        <v>64431000000</v>
      </c>
      <c r="F16">
        <v>64431000000</v>
      </c>
      <c r="G16">
        <v>33790000000</v>
      </c>
      <c r="H16">
        <v>7599000000</v>
      </c>
      <c r="I16">
        <v>2429000000</v>
      </c>
      <c r="J16">
        <v>10028000000</v>
      </c>
      <c r="K16">
        <v>0</v>
      </c>
      <c r="L16">
        <v>0</v>
      </c>
      <c r="M16">
        <v>0</v>
      </c>
      <c r="N16">
        <v>415000000</v>
      </c>
      <c r="O16">
        <v>0</v>
      </c>
      <c r="P16">
        <v>415000000</v>
      </c>
      <c r="Q16">
        <v>0</v>
      </c>
      <c r="R16">
        <v>1814000000</v>
      </c>
      <c r="S16">
        <v>34205000000</v>
      </c>
      <c r="T16">
        <v>8283000000</v>
      </c>
      <c r="U16">
        <v>0</v>
      </c>
      <c r="V16">
        <v>25922000000</v>
      </c>
      <c r="W16">
        <v>0</v>
      </c>
      <c r="X16">
        <v>34183000000</v>
      </c>
      <c r="Y16">
        <v>35997000000</v>
      </c>
      <c r="Z16">
        <v>25922000000</v>
      </c>
      <c r="AA16">
        <v>50380000</v>
      </c>
      <c r="AB16">
        <v>742494000</v>
      </c>
      <c r="AC16" t="s">
        <v>46</v>
      </c>
      <c r="AD16" t="s">
        <v>46</v>
      </c>
      <c r="AE16">
        <v>792874000</v>
      </c>
      <c r="AF16">
        <v>384192000</v>
      </c>
      <c r="AG16">
        <v>50086000</v>
      </c>
      <c r="AH16">
        <v>2303950000</v>
      </c>
      <c r="AI16" t="s">
        <v>46</v>
      </c>
      <c r="AJ16">
        <v>-1058836000</v>
      </c>
      <c r="AK16">
        <v>121000</v>
      </c>
      <c r="AL16">
        <v>243635000</v>
      </c>
    </row>
    <row r="17" spans="1:38" ht="15.75" customHeight="1">
      <c r="A17" s="24">
        <v>40451</v>
      </c>
      <c r="B17" t="s">
        <v>45</v>
      </c>
      <c r="C17">
        <v>25684000000</v>
      </c>
      <c r="D17">
        <v>65225000000</v>
      </c>
      <c r="E17">
        <v>39541000000</v>
      </c>
      <c r="F17">
        <v>39541000000</v>
      </c>
      <c r="G17">
        <v>18270000000</v>
      </c>
      <c r="H17">
        <v>5517000000</v>
      </c>
      <c r="I17">
        <v>1782000000</v>
      </c>
      <c r="J17">
        <v>7299000000</v>
      </c>
      <c r="K17">
        <v>0</v>
      </c>
      <c r="L17">
        <v>0</v>
      </c>
      <c r="M17">
        <v>0</v>
      </c>
      <c r="N17">
        <v>155000000</v>
      </c>
      <c r="O17">
        <v>0</v>
      </c>
      <c r="P17">
        <v>155000000</v>
      </c>
      <c r="Q17">
        <v>0</v>
      </c>
      <c r="R17">
        <v>1027000000</v>
      </c>
      <c r="S17">
        <v>18540000000</v>
      </c>
      <c r="T17">
        <v>4527000000</v>
      </c>
      <c r="U17">
        <v>0</v>
      </c>
      <c r="V17">
        <v>14013000000</v>
      </c>
      <c r="W17">
        <v>0</v>
      </c>
      <c r="X17">
        <v>18397000000</v>
      </c>
      <c r="Y17">
        <v>19424000000</v>
      </c>
      <c r="Z17">
        <v>14013000000</v>
      </c>
      <c r="AA17">
        <v>42613000</v>
      </c>
      <c r="AB17">
        <v>741005000</v>
      </c>
      <c r="AC17" t="s">
        <v>46</v>
      </c>
      <c r="AD17" t="s">
        <v>46</v>
      </c>
      <c r="AE17">
        <v>783618000</v>
      </c>
      <c r="AF17">
        <v>310124000</v>
      </c>
      <c r="AG17">
        <v>29567000</v>
      </c>
      <c r="AH17">
        <v>1463641000</v>
      </c>
      <c r="AI17" t="s">
        <v>46</v>
      </c>
      <c r="AJ17">
        <v>-1148163000</v>
      </c>
      <c r="AK17">
        <v>118000</v>
      </c>
      <c r="AL17">
        <v>233139000</v>
      </c>
    </row>
    <row r="18" spans="1:38" ht="15.75" customHeight="1">
      <c r="A18" s="24">
        <v>40086</v>
      </c>
      <c r="B18" t="s">
        <v>45</v>
      </c>
      <c r="C18">
        <v>17222000000</v>
      </c>
      <c r="D18">
        <v>42905000000</v>
      </c>
      <c r="E18">
        <v>25683000000</v>
      </c>
      <c r="F18">
        <v>25683000000</v>
      </c>
      <c r="G18">
        <v>11740000000</v>
      </c>
      <c r="H18">
        <v>4149000000</v>
      </c>
      <c r="I18">
        <v>1333000000</v>
      </c>
      <c r="J18">
        <v>5482000000</v>
      </c>
      <c r="K18">
        <v>0</v>
      </c>
      <c r="L18">
        <v>0</v>
      </c>
      <c r="M18">
        <v>0</v>
      </c>
      <c r="N18">
        <v>326000000</v>
      </c>
      <c r="O18">
        <v>0</v>
      </c>
      <c r="P18">
        <v>326000000</v>
      </c>
      <c r="Q18">
        <v>0</v>
      </c>
      <c r="R18">
        <v>734000000</v>
      </c>
      <c r="S18">
        <v>12066000000</v>
      </c>
      <c r="T18">
        <v>3831000000</v>
      </c>
      <c r="U18">
        <v>0</v>
      </c>
      <c r="V18">
        <v>8235000000</v>
      </c>
      <c r="W18">
        <v>0</v>
      </c>
      <c r="X18">
        <v>11740000000</v>
      </c>
      <c r="Y18">
        <v>12474000000</v>
      </c>
      <c r="Z18">
        <v>8235000000</v>
      </c>
      <c r="AA18">
        <v>35199000</v>
      </c>
      <c r="AB18">
        <v>739517000</v>
      </c>
      <c r="AC18" t="s">
        <v>46</v>
      </c>
      <c r="AD18" t="s">
        <v>46</v>
      </c>
      <c r="AE18">
        <v>774716000</v>
      </c>
      <c r="AF18">
        <v>192359000</v>
      </c>
      <c r="AG18">
        <v>25379000</v>
      </c>
      <c r="AH18">
        <v>1025764000</v>
      </c>
      <c r="AI18" t="s">
        <v>46</v>
      </c>
      <c r="AJ18">
        <v>-964918000</v>
      </c>
      <c r="AK18">
        <v>115000</v>
      </c>
      <c r="AL18">
        <v>227142000</v>
      </c>
    </row>
    <row r="19" spans="1:38" ht="15.75" customHeight="1">
      <c r="A19" s="24">
        <v>39721</v>
      </c>
      <c r="B19" t="s">
        <v>45</v>
      </c>
      <c r="C19">
        <v>11145000000</v>
      </c>
      <c r="D19">
        <v>32479000000</v>
      </c>
      <c r="E19">
        <v>21334000000</v>
      </c>
      <c r="F19">
        <v>21334000000</v>
      </c>
      <c r="G19">
        <v>6275000000</v>
      </c>
      <c r="H19">
        <v>3761000000</v>
      </c>
      <c r="I19">
        <v>1109000000</v>
      </c>
      <c r="J19">
        <v>4870000000</v>
      </c>
      <c r="K19">
        <v>0</v>
      </c>
      <c r="L19">
        <v>0</v>
      </c>
      <c r="M19">
        <v>0</v>
      </c>
      <c r="N19">
        <v>620000000</v>
      </c>
      <c r="O19">
        <v>0</v>
      </c>
      <c r="P19">
        <v>0</v>
      </c>
      <c r="Q19">
        <v>0</v>
      </c>
      <c r="R19">
        <v>496000000</v>
      </c>
      <c r="S19">
        <v>6895000000</v>
      </c>
      <c r="T19">
        <v>2061000000</v>
      </c>
      <c r="U19">
        <v>0</v>
      </c>
      <c r="V19">
        <v>0</v>
      </c>
      <c r="W19">
        <v>0</v>
      </c>
      <c r="X19">
        <v>6808000000</v>
      </c>
      <c r="Y19">
        <v>7304000000</v>
      </c>
      <c r="Z19">
        <v>4834000000</v>
      </c>
      <c r="AA19">
        <v>40963000</v>
      </c>
      <c r="AB19">
        <v>738029000</v>
      </c>
      <c r="AC19" t="s">
        <v>46</v>
      </c>
      <c r="AD19" t="s">
        <v>46</v>
      </c>
      <c r="AE19">
        <v>778992000</v>
      </c>
      <c r="AF19">
        <v>126070000</v>
      </c>
      <c r="AG19">
        <v>17184000</v>
      </c>
      <c r="AH19">
        <v>870574000</v>
      </c>
      <c r="AI19" t="s">
        <v>46</v>
      </c>
      <c r="AJ19">
        <v>-730116000</v>
      </c>
      <c r="AK19">
        <v>112000</v>
      </c>
      <c r="AL19">
        <v>217756000</v>
      </c>
    </row>
    <row r="20" spans="1:38" ht="15.75" customHeight="1">
      <c r="A20" s="24">
        <v>39355</v>
      </c>
      <c r="B20" t="s">
        <v>45</v>
      </c>
      <c r="C20">
        <v>8154000000</v>
      </c>
      <c r="D20">
        <v>24006000000</v>
      </c>
      <c r="E20">
        <v>15852000000</v>
      </c>
      <c r="F20">
        <v>15852000000</v>
      </c>
      <c r="G20">
        <v>4409000000</v>
      </c>
      <c r="H20">
        <v>2963000000</v>
      </c>
      <c r="I20">
        <v>782000000</v>
      </c>
      <c r="J20">
        <v>3745000000</v>
      </c>
      <c r="K20">
        <v>0</v>
      </c>
      <c r="L20">
        <v>0</v>
      </c>
      <c r="M20">
        <v>0</v>
      </c>
      <c r="N20">
        <v>599000000</v>
      </c>
      <c r="O20">
        <v>0</v>
      </c>
      <c r="P20">
        <v>0</v>
      </c>
      <c r="Q20">
        <v>0</v>
      </c>
      <c r="R20">
        <v>317000000</v>
      </c>
      <c r="S20">
        <v>5008000000</v>
      </c>
      <c r="T20">
        <v>1512000000</v>
      </c>
      <c r="U20">
        <v>0</v>
      </c>
      <c r="V20">
        <v>0</v>
      </c>
      <c r="W20">
        <v>0</v>
      </c>
      <c r="X20">
        <v>4407000000</v>
      </c>
      <c r="Y20">
        <v>4724000000</v>
      </c>
      <c r="Z20">
        <v>3495000000</v>
      </c>
      <c r="AA20">
        <v>0</v>
      </c>
      <c r="AB20" t="s">
        <v>46</v>
      </c>
      <c r="AC20" t="s">
        <v>46</v>
      </c>
      <c r="AD20" t="s">
        <v>46</v>
      </c>
      <c r="AE20" t="s">
        <v>46</v>
      </c>
      <c r="AF20">
        <v>78766000</v>
      </c>
      <c r="AG20">
        <v>11020000</v>
      </c>
      <c r="AH20">
        <v>742107000</v>
      </c>
      <c r="AI20" t="s">
        <v>46</v>
      </c>
      <c r="AJ20">
        <v>-637487000</v>
      </c>
      <c r="AK20">
        <v>106000</v>
      </c>
      <c r="AL20">
        <v>212948000</v>
      </c>
    </row>
    <row r="21" spans="1:38" ht="15.75" customHeight="1">
      <c r="A21" s="24">
        <v>38990</v>
      </c>
      <c r="B21" t="s">
        <v>45</v>
      </c>
      <c r="C21">
        <v>5598000000</v>
      </c>
      <c r="D21">
        <v>19315000000</v>
      </c>
      <c r="E21">
        <v>13717000000</v>
      </c>
      <c r="F21">
        <v>13717000000</v>
      </c>
      <c r="G21">
        <v>2453000000</v>
      </c>
      <c r="H21">
        <v>2433000000</v>
      </c>
      <c r="I21">
        <v>712000000</v>
      </c>
      <c r="J21">
        <v>3145000000</v>
      </c>
      <c r="K21">
        <v>0</v>
      </c>
      <c r="L21">
        <v>0</v>
      </c>
      <c r="M21">
        <v>0</v>
      </c>
      <c r="N21">
        <v>365000000</v>
      </c>
      <c r="O21">
        <v>0</v>
      </c>
      <c r="P21">
        <v>0</v>
      </c>
      <c r="Q21">
        <v>0</v>
      </c>
      <c r="R21">
        <v>225000000</v>
      </c>
      <c r="S21">
        <v>2818000000</v>
      </c>
      <c r="T21">
        <v>829000000</v>
      </c>
      <c r="U21">
        <v>0</v>
      </c>
      <c r="V21">
        <v>0</v>
      </c>
      <c r="W21">
        <v>0</v>
      </c>
      <c r="X21">
        <v>2453000000</v>
      </c>
      <c r="Y21">
        <v>2678000000</v>
      </c>
      <c r="Z21">
        <v>1989000000</v>
      </c>
      <c r="AA21" t="s">
        <v>46</v>
      </c>
      <c r="AB21">
        <v>0</v>
      </c>
      <c r="AC21">
        <v>0</v>
      </c>
      <c r="AD21" t="s">
        <v>46</v>
      </c>
      <c r="AE21" t="s">
        <v>46</v>
      </c>
      <c r="AF21">
        <v>55865000</v>
      </c>
      <c r="AG21">
        <v>5776000</v>
      </c>
      <c r="AH21">
        <v>74656000</v>
      </c>
      <c r="AI21">
        <v>0</v>
      </c>
      <c r="AJ21">
        <v>-529488000</v>
      </c>
      <c r="AK21">
        <v>90000</v>
      </c>
      <c r="AL21">
        <v>171202000</v>
      </c>
    </row>
    <row r="22" spans="1:38" ht="15.75" customHeight="1">
      <c r="A22" s="24">
        <v>38625</v>
      </c>
      <c r="B22" t="s">
        <v>45</v>
      </c>
      <c r="C22">
        <v>4042000000</v>
      </c>
      <c r="D22">
        <v>13931000000</v>
      </c>
      <c r="E22">
        <v>9889000000</v>
      </c>
      <c r="F22">
        <v>9889000000</v>
      </c>
      <c r="G22">
        <v>1643000000</v>
      </c>
      <c r="H22">
        <v>1859000000</v>
      </c>
      <c r="I22">
        <v>535000000</v>
      </c>
      <c r="J22">
        <v>2399000000</v>
      </c>
      <c r="K22">
        <v>0</v>
      </c>
      <c r="L22">
        <v>0</v>
      </c>
      <c r="M22">
        <v>0</v>
      </c>
      <c r="N22">
        <v>165000000</v>
      </c>
      <c r="O22">
        <v>0</v>
      </c>
      <c r="P22">
        <v>0</v>
      </c>
      <c r="Q22">
        <v>0</v>
      </c>
      <c r="R22">
        <v>179000000</v>
      </c>
      <c r="S22">
        <v>1815000000</v>
      </c>
      <c r="T22">
        <v>480000000</v>
      </c>
      <c r="U22">
        <v>0</v>
      </c>
      <c r="V22">
        <v>0</v>
      </c>
      <c r="W22">
        <v>0</v>
      </c>
      <c r="X22">
        <v>1643000000</v>
      </c>
      <c r="Y22">
        <v>1822000000</v>
      </c>
      <c r="Z22">
        <v>1328000000</v>
      </c>
      <c r="AA22" t="s">
        <v>46</v>
      </c>
      <c r="AB22">
        <v>15971000</v>
      </c>
      <c r="AC22">
        <v>0</v>
      </c>
      <c r="AD22" t="s">
        <v>46</v>
      </c>
      <c r="AE22">
        <v>55798000</v>
      </c>
      <c r="AF22">
        <v>4799000</v>
      </c>
      <c r="AG22">
        <v>4353000</v>
      </c>
      <c r="AH22">
        <v>-369474000</v>
      </c>
      <c r="AI22">
        <v>0</v>
      </c>
      <c r="AJ22">
        <v>-378948000</v>
      </c>
      <c r="AK22">
        <v>22000</v>
      </c>
      <c r="AL22">
        <v>171202000</v>
      </c>
    </row>
    <row r="23" spans="1:38" ht="15.75" customHeight="1">
      <c r="A23" s="24" t="s">
        <v>231</v>
      </c>
      <c r="B23" t="s">
        <v>45</v>
      </c>
      <c r="C23">
        <v>91371000</v>
      </c>
      <c r="D23">
        <v>63568000</v>
      </c>
      <c r="E23">
        <v>22826000</v>
      </c>
      <c r="F23">
        <v>22826000</v>
      </c>
      <c r="G23">
        <v>1</v>
      </c>
      <c r="H23">
        <v>24651000</v>
      </c>
      <c r="I23">
        <v>27803000</v>
      </c>
      <c r="J23">
        <v>8580000</v>
      </c>
      <c r="K23" t="s">
        <v>46</v>
      </c>
      <c r="L23">
        <v>6903000</v>
      </c>
      <c r="M23">
        <v>6903000</v>
      </c>
      <c r="N23">
        <v>0</v>
      </c>
      <c r="O23" t="s">
        <v>46</v>
      </c>
      <c r="P23">
        <v>0</v>
      </c>
      <c r="Q23">
        <v>10624000</v>
      </c>
      <c r="R23">
        <v>5467000</v>
      </c>
      <c r="S23" t="s">
        <v>46</v>
      </c>
      <c r="T23">
        <v>120096000</v>
      </c>
      <c r="U23">
        <v>89056000</v>
      </c>
      <c r="V23">
        <v>2463000</v>
      </c>
      <c r="W23" t="s">
        <v>46</v>
      </c>
      <c r="X23" t="s">
        <v>46</v>
      </c>
      <c r="Y23">
        <v>-26472000</v>
      </c>
      <c r="Z23">
        <v>31040000</v>
      </c>
      <c r="AA23" t="s">
        <v>46</v>
      </c>
      <c r="AB23">
        <v>4875000</v>
      </c>
      <c r="AC23">
        <v>19586000</v>
      </c>
      <c r="AD23" t="s">
        <v>46</v>
      </c>
      <c r="AE23">
        <v>24461000</v>
      </c>
      <c r="AF23">
        <v>15740000</v>
      </c>
      <c r="AG23" t="s">
        <v>46</v>
      </c>
      <c r="AH23">
        <v>-28725000</v>
      </c>
      <c r="AI23">
        <v>0</v>
      </c>
      <c r="AJ23">
        <v>-243458000</v>
      </c>
      <c r="AK23">
        <v>20000</v>
      </c>
      <c r="AL23">
        <v>171202000</v>
      </c>
    </row>
    <row r="24" spans="1:38" ht="15.75" customHeight="1">
      <c r="A24" t="s">
        <v>231</v>
      </c>
      <c r="B24" t="s">
        <v>18</v>
      </c>
      <c r="C24" t="s">
        <v>146</v>
      </c>
      <c r="D24" t="s">
        <v>147</v>
      </c>
      <c r="E24" t="s">
        <v>148</v>
      </c>
      <c r="F24" t="s">
        <v>149</v>
      </c>
      <c r="G24" t="s">
        <v>150</v>
      </c>
      <c r="H24" t="s">
        <v>151</v>
      </c>
      <c r="I24" t="s">
        <v>152</v>
      </c>
      <c r="J24" t="s">
        <v>153</v>
      </c>
      <c r="K24" t="s">
        <v>154</v>
      </c>
      <c r="L24" t="s">
        <v>155</v>
      </c>
      <c r="M24" t="s">
        <v>156</v>
      </c>
      <c r="N24" t="s">
        <v>157</v>
      </c>
      <c r="O24" t="s">
        <v>158</v>
      </c>
      <c r="P24" t="s">
        <v>159</v>
      </c>
      <c r="Q24" t="s">
        <v>160</v>
      </c>
      <c r="R24" t="s">
        <v>161</v>
      </c>
      <c r="S24" t="s">
        <v>162</v>
      </c>
      <c r="T24" t="s">
        <v>163</v>
      </c>
      <c r="U24" t="s">
        <v>164</v>
      </c>
      <c r="V24" t="s">
        <v>165</v>
      </c>
      <c r="W24" t="s">
        <v>72</v>
      </c>
      <c r="X24" t="s">
        <v>73</v>
      </c>
      <c r="Y24" t="s">
        <v>74</v>
      </c>
      <c r="Z24" t="s">
        <v>75</v>
      </c>
      <c r="AA24" t="s">
        <v>76</v>
      </c>
      <c r="AB24" t="s">
        <v>77</v>
      </c>
      <c r="AC24" t="s">
        <v>78</v>
      </c>
      <c r="AD24" t="s">
        <v>79</v>
      </c>
      <c r="AE24" t="s">
        <v>80</v>
      </c>
      <c r="AF24" t="s">
        <v>81</v>
      </c>
      <c r="AG24" t="s">
        <v>82</v>
      </c>
      <c r="AH24" t="s">
        <v>83</v>
      </c>
      <c r="AI24" t="s">
        <v>84</v>
      </c>
      <c r="AJ24" t="s">
        <v>85</v>
      </c>
      <c r="AK24" t="s">
        <v>86</v>
      </c>
      <c r="AL24" t="s">
        <v>87</v>
      </c>
    </row>
    <row r="25" spans="1:38" ht="15.75" customHeight="1">
      <c r="A25" s="24" t="s">
        <v>17</v>
      </c>
      <c r="B25" t="s">
        <v>18</v>
      </c>
      <c r="C25" t="s">
        <v>146</v>
      </c>
      <c r="D25" t="s">
        <v>147</v>
      </c>
      <c r="E25" t="s">
        <v>148</v>
      </c>
      <c r="F25" t="s">
        <v>149</v>
      </c>
      <c r="G25" t="s">
        <v>150</v>
      </c>
      <c r="H25" t="s">
        <v>151</v>
      </c>
      <c r="I25" t="s">
        <v>152</v>
      </c>
      <c r="J25" t="s">
        <v>153</v>
      </c>
      <c r="K25" t="s">
        <v>154</v>
      </c>
      <c r="L25" t="s">
        <v>155</v>
      </c>
      <c r="M25" t="s">
        <v>156</v>
      </c>
      <c r="N25" t="s">
        <v>157</v>
      </c>
      <c r="O25" t="s">
        <v>158</v>
      </c>
      <c r="P25" t="s">
        <v>159</v>
      </c>
      <c r="Q25" t="s">
        <v>160</v>
      </c>
      <c r="R25" t="s">
        <v>161</v>
      </c>
      <c r="S25" t="s">
        <v>162</v>
      </c>
      <c r="T25" t="s">
        <v>163</v>
      </c>
      <c r="U25" t="s">
        <v>164</v>
      </c>
      <c r="V25" t="s">
        <v>165</v>
      </c>
      <c r="W25" t="s">
        <v>72</v>
      </c>
      <c r="X25" t="s">
        <v>73</v>
      </c>
      <c r="Y25" t="s">
        <v>74</v>
      </c>
      <c r="Z25" t="s">
        <v>75</v>
      </c>
      <c r="AA25" t="s">
        <v>76</v>
      </c>
      <c r="AB25" t="s">
        <v>77</v>
      </c>
      <c r="AC25" t="s">
        <v>78</v>
      </c>
      <c r="AD25" t="s">
        <v>79</v>
      </c>
      <c r="AE25" t="s">
        <v>80</v>
      </c>
      <c r="AF25" t="s">
        <v>81</v>
      </c>
      <c r="AG25" t="s">
        <v>82</v>
      </c>
      <c r="AH25" t="s">
        <v>83</v>
      </c>
      <c r="AI25" t="s">
        <v>84</v>
      </c>
      <c r="AJ25" t="s">
        <v>85</v>
      </c>
      <c r="AK25" t="s">
        <v>86</v>
      </c>
      <c r="AL25" t="s">
        <v>87</v>
      </c>
    </row>
    <row r="26" spans="1:38" ht="15.75" customHeight="1">
      <c r="A26" s="24">
        <v>45565</v>
      </c>
      <c r="B26" t="s">
        <v>45</v>
      </c>
      <c r="C26">
        <v>364980000000</v>
      </c>
      <c r="D26">
        <v>152987000000</v>
      </c>
      <c r="E26">
        <v>29943000000</v>
      </c>
      <c r="F26">
        <v>29943000000</v>
      </c>
      <c r="G26">
        <v>7286000000</v>
      </c>
      <c r="H26">
        <v>66243000000</v>
      </c>
      <c r="I26">
        <v>211993000000</v>
      </c>
      <c r="J26">
        <v>0</v>
      </c>
      <c r="K26">
        <v>0</v>
      </c>
      <c r="L26">
        <v>0</v>
      </c>
      <c r="M26">
        <v>0</v>
      </c>
      <c r="N26">
        <v>0</v>
      </c>
      <c r="O26">
        <v>0</v>
      </c>
      <c r="P26">
        <v>91479000000</v>
      </c>
      <c r="Q26">
        <v>35228000000</v>
      </c>
      <c r="R26">
        <v>14287000000</v>
      </c>
      <c r="S26">
        <v>0</v>
      </c>
      <c r="T26">
        <v>308030000000</v>
      </c>
      <c r="U26">
        <v>176392000000</v>
      </c>
      <c r="V26">
        <v>68960000000</v>
      </c>
      <c r="W26">
        <v>0</v>
      </c>
      <c r="X26">
        <v>0</v>
      </c>
      <c r="Y26">
        <v>22511000000</v>
      </c>
      <c r="Z26">
        <v>131638000000</v>
      </c>
      <c r="AA26">
        <v>0</v>
      </c>
      <c r="AB26">
        <v>85750000000</v>
      </c>
      <c r="AC26">
        <v>20879000000</v>
      </c>
      <c r="AD26">
        <v>0</v>
      </c>
      <c r="AE26">
        <v>119059000000</v>
      </c>
      <c r="AF26">
        <v>50071000000</v>
      </c>
      <c r="AG26">
        <v>36634000000</v>
      </c>
      <c r="AH26">
        <v>56950000000</v>
      </c>
      <c r="AI26">
        <v>0</v>
      </c>
      <c r="AJ26">
        <v>-19154000000</v>
      </c>
      <c r="AK26">
        <v>83276000000</v>
      </c>
      <c r="AL26">
        <v>15408095000</v>
      </c>
    </row>
    <row r="27" spans="1:38" ht="15.75" customHeight="1">
      <c r="A27" s="24">
        <v>45199</v>
      </c>
      <c r="B27" t="s">
        <v>45</v>
      </c>
      <c r="C27">
        <v>352583000000</v>
      </c>
      <c r="D27">
        <v>143566000000</v>
      </c>
      <c r="E27">
        <v>29965000000</v>
      </c>
      <c r="F27">
        <v>29965000000</v>
      </c>
      <c r="G27">
        <v>6331000000</v>
      </c>
      <c r="H27">
        <v>29508000000</v>
      </c>
      <c r="I27">
        <v>209017000000</v>
      </c>
      <c r="J27">
        <v>43715000000</v>
      </c>
      <c r="K27">
        <v>0</v>
      </c>
      <c r="L27">
        <v>0</v>
      </c>
      <c r="M27">
        <v>0</v>
      </c>
      <c r="N27">
        <v>0</v>
      </c>
      <c r="O27">
        <v>0</v>
      </c>
      <c r="P27">
        <v>100544000000</v>
      </c>
      <c r="Q27">
        <v>31590000000</v>
      </c>
      <c r="R27">
        <v>14695000000</v>
      </c>
      <c r="S27">
        <v>0</v>
      </c>
      <c r="T27">
        <v>290437000000</v>
      </c>
      <c r="U27">
        <v>145308000000</v>
      </c>
      <c r="V27">
        <v>62611000000</v>
      </c>
      <c r="W27">
        <v>0</v>
      </c>
      <c r="X27">
        <v>0</v>
      </c>
      <c r="Y27">
        <v>15807000000</v>
      </c>
      <c r="Z27">
        <v>145129000000</v>
      </c>
      <c r="AA27">
        <v>12842000000</v>
      </c>
      <c r="AB27">
        <v>95281000000</v>
      </c>
      <c r="AC27">
        <v>15807000000</v>
      </c>
      <c r="AD27">
        <v>0</v>
      </c>
      <c r="AE27">
        <v>111947000000</v>
      </c>
      <c r="AF27">
        <v>58829000000</v>
      </c>
      <c r="AG27">
        <v>49848000000</v>
      </c>
      <c r="AH27">
        <v>62146000000</v>
      </c>
      <c r="AI27">
        <v>0</v>
      </c>
      <c r="AJ27">
        <v>-214000000</v>
      </c>
      <c r="AK27">
        <v>73812000000</v>
      </c>
      <c r="AL27">
        <v>15812547000</v>
      </c>
    </row>
    <row r="28" spans="1:38" ht="15.75" customHeight="1">
      <c r="A28" s="24">
        <v>44834</v>
      </c>
      <c r="B28" t="s">
        <v>45</v>
      </c>
      <c r="C28">
        <v>352755000000</v>
      </c>
      <c r="D28">
        <v>135405000000</v>
      </c>
      <c r="E28">
        <v>23646000000</v>
      </c>
      <c r="F28">
        <v>23646000000</v>
      </c>
      <c r="G28">
        <v>4946000000</v>
      </c>
      <c r="H28">
        <v>28184000000</v>
      </c>
      <c r="I28">
        <v>217350000000</v>
      </c>
      <c r="J28">
        <v>42117000000</v>
      </c>
      <c r="K28">
        <v>72340000000</v>
      </c>
      <c r="L28">
        <v>0</v>
      </c>
      <c r="M28">
        <v>0</v>
      </c>
      <c r="N28">
        <v>0</v>
      </c>
      <c r="O28">
        <v>0</v>
      </c>
      <c r="P28">
        <v>120805000000</v>
      </c>
      <c r="Q28">
        <v>24658000000</v>
      </c>
      <c r="R28">
        <v>21223000000</v>
      </c>
      <c r="S28">
        <v>0</v>
      </c>
      <c r="T28">
        <v>302083000000</v>
      </c>
      <c r="U28">
        <v>153982000000</v>
      </c>
      <c r="V28">
        <v>64115000000</v>
      </c>
      <c r="W28">
        <v>0</v>
      </c>
      <c r="X28">
        <v>0</v>
      </c>
      <c r="Y28">
        <v>21110000000</v>
      </c>
      <c r="Z28">
        <v>148101000000</v>
      </c>
      <c r="AA28">
        <v>12411000000</v>
      </c>
      <c r="AB28">
        <v>98959000000</v>
      </c>
      <c r="AC28">
        <v>21110000000</v>
      </c>
      <c r="AD28">
        <v>0</v>
      </c>
      <c r="AE28">
        <v>120881000000</v>
      </c>
      <c r="AF28">
        <v>60845000000</v>
      </c>
      <c r="AG28">
        <v>49142000000</v>
      </c>
      <c r="AH28">
        <v>50672000000</v>
      </c>
      <c r="AI28">
        <v>0</v>
      </c>
      <c r="AJ28">
        <v>-3068000000</v>
      </c>
      <c r="AK28">
        <v>64849000000</v>
      </c>
      <c r="AL28">
        <v>16325819000</v>
      </c>
    </row>
    <row r="29" spans="1:38" ht="15.75" customHeight="1">
      <c r="A29" s="24">
        <v>44469</v>
      </c>
      <c r="B29" t="s">
        <v>45</v>
      </c>
      <c r="C29">
        <v>351002000000</v>
      </c>
      <c r="D29">
        <v>134836000000</v>
      </c>
      <c r="E29">
        <v>34940000000</v>
      </c>
      <c r="F29">
        <v>34940000000</v>
      </c>
      <c r="G29">
        <v>6580000000</v>
      </c>
      <c r="H29">
        <v>26278000000</v>
      </c>
      <c r="I29">
        <v>216166000000</v>
      </c>
      <c r="J29">
        <v>39440000000</v>
      </c>
      <c r="K29">
        <v>70283000000</v>
      </c>
      <c r="L29">
        <v>0</v>
      </c>
      <c r="M29">
        <v>0</v>
      </c>
      <c r="N29">
        <v>0</v>
      </c>
      <c r="O29">
        <v>0</v>
      </c>
      <c r="P29">
        <v>127877000000</v>
      </c>
      <c r="Q29">
        <v>27699000000</v>
      </c>
      <c r="R29">
        <v>14111000000</v>
      </c>
      <c r="S29">
        <v>0</v>
      </c>
      <c r="T29">
        <v>287912000000</v>
      </c>
      <c r="U29">
        <v>125481000000</v>
      </c>
      <c r="V29">
        <v>54763000000</v>
      </c>
      <c r="W29">
        <v>0</v>
      </c>
      <c r="X29">
        <v>0</v>
      </c>
      <c r="Y29">
        <v>15613000000</v>
      </c>
      <c r="Z29">
        <v>162431000000</v>
      </c>
      <c r="AA29">
        <v>11803000000</v>
      </c>
      <c r="AB29">
        <v>109106000000</v>
      </c>
      <c r="AC29">
        <v>15613000000</v>
      </c>
      <c r="AD29">
        <v>0</v>
      </c>
      <c r="AE29">
        <v>124719000000</v>
      </c>
      <c r="AF29">
        <v>47493000000</v>
      </c>
      <c r="AG29">
        <v>28636000000</v>
      </c>
      <c r="AH29">
        <v>63090000000</v>
      </c>
      <c r="AI29">
        <v>0</v>
      </c>
      <c r="AJ29">
        <v>5562000000</v>
      </c>
      <c r="AK29">
        <v>57365000000</v>
      </c>
      <c r="AL29">
        <v>16864919000</v>
      </c>
    </row>
    <row r="30" spans="1:38" ht="15.75" customHeight="1">
      <c r="A30" s="24">
        <v>44104</v>
      </c>
      <c r="B30" t="s">
        <v>45</v>
      </c>
      <c r="C30">
        <v>323888000000</v>
      </c>
      <c r="D30">
        <v>143713000000</v>
      </c>
      <c r="E30">
        <v>38016000000</v>
      </c>
      <c r="F30">
        <v>38016000000</v>
      </c>
      <c r="G30">
        <v>4061000000</v>
      </c>
      <c r="H30">
        <v>16120000000</v>
      </c>
      <c r="I30">
        <v>180175000000</v>
      </c>
      <c r="J30">
        <v>36766000000</v>
      </c>
      <c r="K30">
        <v>66760000000</v>
      </c>
      <c r="L30">
        <v>0</v>
      </c>
      <c r="M30">
        <v>0</v>
      </c>
      <c r="N30">
        <v>0</v>
      </c>
      <c r="O30">
        <v>0</v>
      </c>
      <c r="P30">
        <v>100887000000</v>
      </c>
      <c r="Q30">
        <v>52927000000</v>
      </c>
      <c r="R30">
        <v>11264000000</v>
      </c>
      <c r="S30">
        <v>0</v>
      </c>
      <c r="T30">
        <v>258549000000</v>
      </c>
      <c r="U30">
        <v>105392000000</v>
      </c>
      <c r="V30">
        <v>42296000000</v>
      </c>
      <c r="W30">
        <v>0</v>
      </c>
      <c r="X30">
        <v>0</v>
      </c>
      <c r="Y30">
        <v>13769000000</v>
      </c>
      <c r="Z30">
        <v>153157000000</v>
      </c>
      <c r="AA30">
        <v>9842000000</v>
      </c>
      <c r="AB30">
        <v>98667000000</v>
      </c>
      <c r="AC30">
        <v>13769000000</v>
      </c>
      <c r="AD30">
        <v>0</v>
      </c>
      <c r="AE30">
        <v>112436000000</v>
      </c>
      <c r="AF30">
        <v>42684000000</v>
      </c>
      <c r="AG30">
        <v>26320000000</v>
      </c>
      <c r="AH30">
        <v>65339000000</v>
      </c>
      <c r="AI30">
        <v>0</v>
      </c>
      <c r="AJ30">
        <v>14966000000</v>
      </c>
      <c r="AK30">
        <v>50779000000</v>
      </c>
      <c r="AL30">
        <v>17528214000</v>
      </c>
    </row>
    <row r="31" spans="1:38" ht="15.75" customHeight="1">
      <c r="A31" s="24">
        <v>43738</v>
      </c>
      <c r="B31" t="s">
        <v>45</v>
      </c>
      <c r="C31">
        <v>338516000000</v>
      </c>
      <c r="D31">
        <v>162819000000</v>
      </c>
      <c r="E31">
        <v>48844000000</v>
      </c>
      <c r="F31">
        <v>48844000000</v>
      </c>
      <c r="G31">
        <v>4106000000</v>
      </c>
      <c r="H31">
        <v>22926000000</v>
      </c>
      <c r="I31">
        <v>175697000000</v>
      </c>
      <c r="J31">
        <v>37378000000</v>
      </c>
      <c r="K31">
        <v>58579000000</v>
      </c>
      <c r="L31">
        <v>0</v>
      </c>
      <c r="M31">
        <v>0</v>
      </c>
      <c r="N31">
        <v>0</v>
      </c>
      <c r="O31">
        <v>0</v>
      </c>
      <c r="P31">
        <v>105341000000</v>
      </c>
      <c r="Q31">
        <v>51713000000</v>
      </c>
      <c r="R31">
        <v>12352000000</v>
      </c>
      <c r="S31">
        <v>0</v>
      </c>
      <c r="T31">
        <v>248028000000</v>
      </c>
      <c r="U31">
        <v>105718000000</v>
      </c>
      <c r="V31">
        <v>46236000000</v>
      </c>
      <c r="W31">
        <v>0</v>
      </c>
      <c r="X31">
        <v>0</v>
      </c>
      <c r="Y31">
        <v>16240000000</v>
      </c>
      <c r="Z31">
        <v>142310000000</v>
      </c>
      <c r="AA31">
        <v>0</v>
      </c>
      <c r="AB31">
        <v>91807000000</v>
      </c>
      <c r="AC31">
        <v>16240000000</v>
      </c>
      <c r="AD31">
        <v>0</v>
      </c>
      <c r="AE31">
        <v>108047000000</v>
      </c>
      <c r="AF31">
        <v>37720000000</v>
      </c>
      <c r="AG31">
        <v>20958000000</v>
      </c>
      <c r="AH31">
        <v>90488000000</v>
      </c>
      <c r="AI31">
        <v>0</v>
      </c>
      <c r="AJ31">
        <v>45898000000</v>
      </c>
      <c r="AK31">
        <v>45174000000</v>
      </c>
      <c r="AL31">
        <v>18595652000</v>
      </c>
    </row>
    <row r="32" spans="1:38" ht="15.75" customHeight="1">
      <c r="A32" s="24">
        <v>43373</v>
      </c>
      <c r="B32" t="s">
        <v>45</v>
      </c>
      <c r="C32">
        <v>365725000000</v>
      </c>
      <c r="D32">
        <v>131339000000</v>
      </c>
      <c r="E32">
        <v>25913000000</v>
      </c>
      <c r="F32">
        <v>25913000000</v>
      </c>
      <c r="G32">
        <v>3956000000</v>
      </c>
      <c r="H32">
        <v>23186000000</v>
      </c>
      <c r="I32">
        <v>234386000000</v>
      </c>
      <c r="J32">
        <v>41304000000</v>
      </c>
      <c r="K32">
        <v>49099000000</v>
      </c>
      <c r="L32">
        <v>0</v>
      </c>
      <c r="M32">
        <v>0</v>
      </c>
      <c r="N32">
        <v>0</v>
      </c>
      <c r="O32">
        <v>0</v>
      </c>
      <c r="P32">
        <v>170799000000</v>
      </c>
      <c r="Q32">
        <v>40388000000</v>
      </c>
      <c r="R32">
        <v>12087000000</v>
      </c>
      <c r="S32">
        <v>0</v>
      </c>
      <c r="T32">
        <v>258578000000</v>
      </c>
      <c r="U32">
        <v>116866000000</v>
      </c>
      <c r="V32">
        <v>55888000000</v>
      </c>
      <c r="W32">
        <v>0</v>
      </c>
      <c r="X32">
        <v>0</v>
      </c>
      <c r="Y32">
        <v>20748000000</v>
      </c>
      <c r="Z32">
        <v>141712000000</v>
      </c>
      <c r="AA32">
        <v>0</v>
      </c>
      <c r="AB32">
        <v>93735000000</v>
      </c>
      <c r="AC32">
        <v>20748000000</v>
      </c>
      <c r="AD32">
        <v>0</v>
      </c>
      <c r="AE32">
        <v>114483000000</v>
      </c>
      <c r="AF32">
        <v>32687000000</v>
      </c>
      <c r="AG32">
        <v>11165000000</v>
      </c>
      <c r="AH32">
        <v>107147000000</v>
      </c>
      <c r="AI32">
        <v>0</v>
      </c>
      <c r="AJ32">
        <v>70400000000</v>
      </c>
      <c r="AK32">
        <v>40201000000</v>
      </c>
      <c r="AL32">
        <v>20000436000</v>
      </c>
    </row>
    <row r="33" spans="1:38" ht="15.75" customHeight="1">
      <c r="A33" s="24">
        <v>43008</v>
      </c>
      <c r="B33" t="s">
        <v>45</v>
      </c>
      <c r="C33">
        <v>375319000000</v>
      </c>
      <c r="D33">
        <v>128645000000</v>
      </c>
      <c r="E33">
        <v>20289000000</v>
      </c>
      <c r="F33">
        <v>20289000000</v>
      </c>
      <c r="G33">
        <v>4855000000</v>
      </c>
      <c r="H33">
        <v>2093000000</v>
      </c>
      <c r="I33">
        <v>246674000000</v>
      </c>
      <c r="J33">
        <v>33783000000</v>
      </c>
      <c r="K33">
        <v>41293000000</v>
      </c>
      <c r="L33">
        <v>2298000000</v>
      </c>
      <c r="M33">
        <v>2298000000</v>
      </c>
      <c r="N33">
        <v>5717000000</v>
      </c>
      <c r="O33">
        <v>0</v>
      </c>
      <c r="P33">
        <v>194714000000</v>
      </c>
      <c r="Q33">
        <v>53892000000</v>
      </c>
      <c r="R33">
        <v>13936000000</v>
      </c>
      <c r="S33">
        <v>0</v>
      </c>
      <c r="T33">
        <v>241272000000</v>
      </c>
      <c r="U33">
        <v>100814000000</v>
      </c>
      <c r="V33">
        <v>49049000000</v>
      </c>
      <c r="W33">
        <v>0</v>
      </c>
      <c r="X33">
        <v>0</v>
      </c>
      <c r="Y33">
        <v>18473000000</v>
      </c>
      <c r="Z33">
        <v>140458000000</v>
      </c>
      <c r="AA33">
        <v>0</v>
      </c>
      <c r="AB33">
        <v>97207000000</v>
      </c>
      <c r="AC33">
        <v>18473000000</v>
      </c>
      <c r="AD33">
        <v>0</v>
      </c>
      <c r="AE33">
        <v>115680000000</v>
      </c>
      <c r="AF33">
        <v>25744000000</v>
      </c>
      <c r="AG33">
        <v>40415000000</v>
      </c>
      <c r="AH33">
        <v>134047000000</v>
      </c>
      <c r="AI33">
        <v>0</v>
      </c>
      <c r="AJ33">
        <v>98330000000</v>
      </c>
      <c r="AK33">
        <v>35867000000</v>
      </c>
      <c r="AL33">
        <v>21006768000</v>
      </c>
    </row>
    <row r="34" spans="1:38" ht="15.75" customHeight="1">
      <c r="A34" s="24">
        <v>42643</v>
      </c>
      <c r="B34" t="s">
        <v>45</v>
      </c>
      <c r="C34">
        <v>321686000000</v>
      </c>
      <c r="D34">
        <v>106869000000</v>
      </c>
      <c r="E34">
        <v>20484000000</v>
      </c>
      <c r="F34">
        <v>20484000000</v>
      </c>
      <c r="G34">
        <v>2132000000</v>
      </c>
      <c r="H34">
        <v>527000000</v>
      </c>
      <c r="I34">
        <v>214817000000</v>
      </c>
      <c r="J34">
        <v>27010000000</v>
      </c>
      <c r="K34">
        <v>34235000000</v>
      </c>
      <c r="L34">
        <v>3206000000</v>
      </c>
      <c r="M34">
        <v>3206000000</v>
      </c>
      <c r="N34">
        <v>5414000000</v>
      </c>
      <c r="O34">
        <v>0</v>
      </c>
      <c r="P34">
        <v>170430000000</v>
      </c>
      <c r="Q34">
        <v>46671000000</v>
      </c>
      <c r="R34">
        <v>8283000000</v>
      </c>
      <c r="S34">
        <v>0</v>
      </c>
      <c r="T34">
        <v>193437000000</v>
      </c>
      <c r="U34">
        <v>79006000000</v>
      </c>
      <c r="V34">
        <v>37294000000</v>
      </c>
      <c r="W34">
        <v>0</v>
      </c>
      <c r="X34">
        <v>0</v>
      </c>
      <c r="Y34">
        <v>11605000000</v>
      </c>
      <c r="Z34">
        <v>114431000000</v>
      </c>
      <c r="AA34">
        <v>0</v>
      </c>
      <c r="AB34">
        <v>75427000000</v>
      </c>
      <c r="AC34">
        <v>11605000000</v>
      </c>
      <c r="AD34">
        <v>0</v>
      </c>
      <c r="AE34">
        <v>87032000000</v>
      </c>
      <c r="AF34">
        <v>22027000000</v>
      </c>
      <c r="AG34">
        <v>36074000000</v>
      </c>
      <c r="AH34">
        <v>128249000000</v>
      </c>
      <c r="AI34">
        <v>0</v>
      </c>
      <c r="AJ34">
        <v>96364000000</v>
      </c>
      <c r="AK34">
        <v>31251000000</v>
      </c>
      <c r="AL34">
        <v>22001124000</v>
      </c>
    </row>
    <row r="35" spans="1:38" ht="15.75" customHeight="1">
      <c r="A35" s="24">
        <v>42277</v>
      </c>
      <c r="B35" t="s">
        <v>45</v>
      </c>
      <c r="C35">
        <v>290479000000</v>
      </c>
      <c r="D35">
        <v>89378000000</v>
      </c>
      <c r="E35">
        <v>21120000000</v>
      </c>
      <c r="F35">
        <v>21120000000</v>
      </c>
      <c r="G35">
        <v>2349000000</v>
      </c>
      <c r="H35">
        <v>417000000</v>
      </c>
      <c r="I35">
        <v>201101000000</v>
      </c>
      <c r="J35">
        <v>22471000000</v>
      </c>
      <c r="K35">
        <v>26786000000</v>
      </c>
      <c r="L35">
        <v>3893000000</v>
      </c>
      <c r="M35">
        <v>3893000000</v>
      </c>
      <c r="N35">
        <v>5116000000</v>
      </c>
      <c r="O35">
        <v>0</v>
      </c>
      <c r="P35">
        <v>164065000000</v>
      </c>
      <c r="Q35">
        <v>20481000000</v>
      </c>
      <c r="R35">
        <v>9539000000</v>
      </c>
      <c r="S35">
        <v>0</v>
      </c>
      <c r="T35">
        <v>171124000000</v>
      </c>
      <c r="U35">
        <v>80610000000</v>
      </c>
      <c r="V35">
        <v>35490000000</v>
      </c>
      <c r="W35">
        <v>0</v>
      </c>
      <c r="X35">
        <v>0</v>
      </c>
      <c r="Y35">
        <v>10999000000</v>
      </c>
      <c r="Z35">
        <v>90514000000</v>
      </c>
      <c r="AA35">
        <v>0</v>
      </c>
      <c r="AB35">
        <v>53463000000</v>
      </c>
      <c r="AC35">
        <v>2513000000</v>
      </c>
      <c r="AD35">
        <v>0</v>
      </c>
      <c r="AE35">
        <v>64462000000</v>
      </c>
      <c r="AF35">
        <v>25181000000</v>
      </c>
      <c r="AG35">
        <v>33427000000</v>
      </c>
      <c r="AH35">
        <v>119355000000</v>
      </c>
      <c r="AI35">
        <v>0</v>
      </c>
      <c r="AJ35">
        <v>92284000000</v>
      </c>
      <c r="AK35">
        <v>27416000000</v>
      </c>
      <c r="AL35">
        <v>23172276000</v>
      </c>
    </row>
    <row r="36" spans="1:38" ht="15.75" customHeight="1">
      <c r="A36" s="24">
        <v>41912</v>
      </c>
      <c r="B36" t="s">
        <v>45</v>
      </c>
      <c r="C36">
        <v>231839000000</v>
      </c>
      <c r="D36">
        <v>68531000000</v>
      </c>
      <c r="E36">
        <v>13844000000</v>
      </c>
      <c r="F36">
        <v>13844000000</v>
      </c>
      <c r="G36">
        <v>2111000000</v>
      </c>
      <c r="H36">
        <v>4232000000</v>
      </c>
      <c r="I36">
        <v>163308000000</v>
      </c>
      <c r="J36">
        <v>20624000000</v>
      </c>
      <c r="K36">
        <v>18391000000</v>
      </c>
      <c r="L36">
        <v>4142000000</v>
      </c>
      <c r="M36">
        <v>4142000000</v>
      </c>
      <c r="N36">
        <v>4616000000</v>
      </c>
      <c r="O36">
        <v>0</v>
      </c>
      <c r="P36">
        <v>130162000000</v>
      </c>
      <c r="Q36">
        <v>11233000000</v>
      </c>
      <c r="R36">
        <v>9806000000</v>
      </c>
      <c r="S36">
        <v>0</v>
      </c>
      <c r="T36">
        <v>120292000000</v>
      </c>
      <c r="U36">
        <v>63448000000</v>
      </c>
      <c r="V36">
        <v>30196000000</v>
      </c>
      <c r="W36">
        <v>0</v>
      </c>
      <c r="X36">
        <v>0</v>
      </c>
      <c r="Y36">
        <v>6308000000</v>
      </c>
      <c r="Z36">
        <v>56844000000</v>
      </c>
      <c r="AA36">
        <v>0</v>
      </c>
      <c r="AB36">
        <v>28987000000</v>
      </c>
      <c r="AC36">
        <v>35295000000</v>
      </c>
      <c r="AD36">
        <v>0</v>
      </c>
      <c r="AE36">
        <v>35295000000</v>
      </c>
      <c r="AF36">
        <v>18453000000</v>
      </c>
      <c r="AG36">
        <v>24826000000</v>
      </c>
      <c r="AH36">
        <v>111547000000</v>
      </c>
      <c r="AI36">
        <v>0</v>
      </c>
      <c r="AJ36">
        <v>87152000000</v>
      </c>
      <c r="AK36">
        <v>23313000000</v>
      </c>
      <c r="AL36">
        <v>24490652000</v>
      </c>
    </row>
    <row r="37" spans="1:38" ht="15.75" customHeight="1">
      <c r="A37" s="24">
        <v>41547</v>
      </c>
      <c r="B37" t="s">
        <v>45</v>
      </c>
      <c r="C37">
        <v>207000000000</v>
      </c>
      <c r="D37">
        <v>73286000000</v>
      </c>
      <c r="E37">
        <v>14259000000</v>
      </c>
      <c r="F37">
        <v>14259000000</v>
      </c>
      <c r="G37">
        <v>1764000000</v>
      </c>
      <c r="H37">
        <v>2172000000</v>
      </c>
      <c r="I37">
        <v>133714000000</v>
      </c>
      <c r="J37">
        <v>16597000000</v>
      </c>
      <c r="K37">
        <v>11922000000</v>
      </c>
      <c r="L37">
        <v>4179000000</v>
      </c>
      <c r="M37">
        <v>4179000000</v>
      </c>
      <c r="N37">
        <v>1577000000</v>
      </c>
      <c r="O37">
        <v>0</v>
      </c>
      <c r="P37">
        <v>106215000000</v>
      </c>
      <c r="Q37">
        <v>26287000000</v>
      </c>
      <c r="R37">
        <v>6882000000</v>
      </c>
      <c r="S37">
        <v>0</v>
      </c>
      <c r="T37">
        <v>83451000000</v>
      </c>
      <c r="U37">
        <v>43658000000</v>
      </c>
      <c r="V37">
        <v>22367000000</v>
      </c>
      <c r="W37">
        <v>0</v>
      </c>
      <c r="X37">
        <v>0</v>
      </c>
      <c r="Y37">
        <v>7679000000</v>
      </c>
      <c r="Z37">
        <v>39793000000</v>
      </c>
      <c r="AA37">
        <v>0</v>
      </c>
      <c r="AB37">
        <v>16960000000</v>
      </c>
      <c r="AC37">
        <v>0</v>
      </c>
      <c r="AD37">
        <v>0</v>
      </c>
      <c r="AE37">
        <v>16960000000</v>
      </c>
      <c r="AF37">
        <v>13856000000</v>
      </c>
      <c r="AG37">
        <v>20208000000</v>
      </c>
      <c r="AH37">
        <v>123549000000</v>
      </c>
      <c r="AI37">
        <v>0</v>
      </c>
      <c r="AJ37">
        <v>104256000000</v>
      </c>
      <c r="AK37">
        <v>19764000000</v>
      </c>
      <c r="AL37">
        <v>26086536000</v>
      </c>
    </row>
    <row r="38" spans="1:38" ht="15.75" customHeight="1">
      <c r="A38" s="24">
        <v>41182</v>
      </c>
      <c r="B38" t="s">
        <v>45</v>
      </c>
      <c r="C38">
        <v>176064000000</v>
      </c>
      <c r="D38">
        <v>57653000000</v>
      </c>
      <c r="E38">
        <v>10746000000</v>
      </c>
      <c r="F38">
        <v>10746000000</v>
      </c>
      <c r="G38">
        <v>791000000</v>
      </c>
      <c r="H38">
        <v>5551000000</v>
      </c>
      <c r="I38">
        <v>118411000000</v>
      </c>
      <c r="J38">
        <v>15452000000</v>
      </c>
      <c r="K38">
        <v>6435000000</v>
      </c>
      <c r="L38">
        <v>4224000000</v>
      </c>
      <c r="M38">
        <v>4224000000</v>
      </c>
      <c r="N38">
        <v>1135000000</v>
      </c>
      <c r="O38">
        <v>0</v>
      </c>
      <c r="P38">
        <v>92122000000</v>
      </c>
      <c r="Q38">
        <v>18383000000</v>
      </c>
      <c r="R38">
        <v>6458000000</v>
      </c>
      <c r="S38">
        <v>0</v>
      </c>
      <c r="T38">
        <v>57854000000</v>
      </c>
      <c r="U38">
        <v>38542000000</v>
      </c>
      <c r="V38">
        <v>21175000000</v>
      </c>
      <c r="W38">
        <v>0</v>
      </c>
      <c r="X38">
        <v>0</v>
      </c>
      <c r="Y38">
        <v>6310000000</v>
      </c>
      <c r="Z38">
        <v>19312000000</v>
      </c>
      <c r="AA38">
        <v>0</v>
      </c>
      <c r="AB38">
        <v>0</v>
      </c>
      <c r="AC38">
        <v>0</v>
      </c>
      <c r="AD38">
        <v>0</v>
      </c>
      <c r="AE38">
        <v>0</v>
      </c>
      <c r="AF38">
        <v>11414000000</v>
      </c>
      <c r="AG38">
        <v>16664000000</v>
      </c>
      <c r="AH38">
        <v>118210000000</v>
      </c>
      <c r="AI38">
        <v>0</v>
      </c>
      <c r="AJ38">
        <v>101289000000</v>
      </c>
      <c r="AK38">
        <v>16422000000</v>
      </c>
      <c r="AL38">
        <v>26469940000</v>
      </c>
    </row>
    <row r="39" spans="1:38" ht="15.75" customHeight="1">
      <c r="A39" s="24">
        <v>40816</v>
      </c>
      <c r="B39" t="s">
        <v>45</v>
      </c>
      <c r="C39">
        <v>116371000000</v>
      </c>
      <c r="D39">
        <v>44988000000</v>
      </c>
      <c r="E39">
        <v>9815000000</v>
      </c>
      <c r="F39">
        <v>9815000000</v>
      </c>
      <c r="G39">
        <v>776000000</v>
      </c>
      <c r="H39">
        <v>5369000000</v>
      </c>
      <c r="I39">
        <v>71383000000</v>
      </c>
      <c r="J39">
        <v>7777000000</v>
      </c>
      <c r="K39">
        <v>3991000000</v>
      </c>
      <c r="L39">
        <v>3536000000</v>
      </c>
      <c r="M39">
        <v>3536000000</v>
      </c>
      <c r="N39">
        <v>896000000</v>
      </c>
      <c r="O39">
        <v>0</v>
      </c>
      <c r="P39">
        <v>55618000000</v>
      </c>
      <c r="Q39">
        <v>16137000000</v>
      </c>
      <c r="R39">
        <v>4529000000</v>
      </c>
      <c r="S39">
        <v>0</v>
      </c>
      <c r="T39">
        <v>39756000000</v>
      </c>
      <c r="U39">
        <v>27970000000</v>
      </c>
      <c r="V39">
        <v>14632000000</v>
      </c>
      <c r="W39">
        <v>0</v>
      </c>
      <c r="X39">
        <v>0</v>
      </c>
      <c r="Y39">
        <v>5606000000</v>
      </c>
      <c r="Z39">
        <v>11786000000</v>
      </c>
      <c r="AA39">
        <v>0</v>
      </c>
      <c r="AB39">
        <v>0</v>
      </c>
      <c r="AC39">
        <v>0</v>
      </c>
      <c r="AD39">
        <v>0</v>
      </c>
      <c r="AE39">
        <v>0</v>
      </c>
      <c r="AF39">
        <v>9247000000</v>
      </c>
      <c r="AG39">
        <v>10100000000</v>
      </c>
      <c r="AH39">
        <v>76615000000</v>
      </c>
      <c r="AI39">
        <v>0</v>
      </c>
      <c r="AJ39">
        <v>62841000000</v>
      </c>
      <c r="AK39">
        <v>13331000000</v>
      </c>
      <c r="AL39">
        <v>26226060000</v>
      </c>
    </row>
    <row r="40" spans="1:38" ht="15.75" customHeight="1">
      <c r="A40" s="24">
        <v>40451</v>
      </c>
      <c r="B40" t="s">
        <v>45</v>
      </c>
      <c r="C40">
        <v>75183000000</v>
      </c>
      <c r="D40">
        <v>41678000000</v>
      </c>
      <c r="E40">
        <v>11261000000</v>
      </c>
      <c r="F40">
        <v>11261000000</v>
      </c>
      <c r="G40">
        <v>1051000000</v>
      </c>
      <c r="H40">
        <v>5510000000</v>
      </c>
      <c r="I40">
        <v>33505000000</v>
      </c>
      <c r="J40">
        <v>4768000000</v>
      </c>
      <c r="K40">
        <v>2466000000</v>
      </c>
      <c r="L40">
        <v>342000000</v>
      </c>
      <c r="M40">
        <v>342000000</v>
      </c>
      <c r="N40">
        <v>741000000</v>
      </c>
      <c r="O40">
        <v>0</v>
      </c>
      <c r="P40">
        <v>25391000000</v>
      </c>
      <c r="Q40">
        <v>14359000000</v>
      </c>
      <c r="R40">
        <v>3447000000</v>
      </c>
      <c r="S40">
        <v>0</v>
      </c>
      <c r="T40">
        <v>27392000000</v>
      </c>
      <c r="U40">
        <v>20722000000</v>
      </c>
      <c r="V40">
        <v>12015000000</v>
      </c>
      <c r="W40">
        <v>0</v>
      </c>
      <c r="X40">
        <v>0</v>
      </c>
      <c r="Y40">
        <v>2466000000</v>
      </c>
      <c r="Z40">
        <v>6670000000</v>
      </c>
      <c r="AA40">
        <v>0</v>
      </c>
      <c r="AB40">
        <v>0</v>
      </c>
      <c r="AC40">
        <v>0</v>
      </c>
      <c r="AD40">
        <v>0</v>
      </c>
      <c r="AE40">
        <v>0</v>
      </c>
      <c r="AF40">
        <v>5723000000</v>
      </c>
      <c r="AG40">
        <v>5531000000</v>
      </c>
      <c r="AH40">
        <v>47791000000</v>
      </c>
      <c r="AI40">
        <v>0</v>
      </c>
      <c r="AJ40">
        <v>37169000000</v>
      </c>
      <c r="AK40">
        <v>10668000000</v>
      </c>
      <c r="AL40">
        <v>25891936000</v>
      </c>
    </row>
    <row r="41" spans="1:38" ht="15.75" customHeight="1">
      <c r="A41" s="24">
        <v>40086</v>
      </c>
      <c r="B41" t="s">
        <v>45</v>
      </c>
      <c r="C41">
        <v>53851000000</v>
      </c>
      <c r="D41">
        <v>36265000000</v>
      </c>
      <c r="E41">
        <v>5263000000</v>
      </c>
      <c r="F41">
        <v>5263000000</v>
      </c>
      <c r="G41">
        <v>455000000</v>
      </c>
      <c r="H41">
        <v>3361000000</v>
      </c>
      <c r="I41">
        <v>17586000000</v>
      </c>
      <c r="J41">
        <v>2954000000</v>
      </c>
      <c r="K41">
        <v>1713000000</v>
      </c>
      <c r="L41">
        <v>247000000</v>
      </c>
      <c r="M41">
        <v>247000000</v>
      </c>
      <c r="N41">
        <v>206000000</v>
      </c>
      <c r="O41">
        <v>0</v>
      </c>
      <c r="P41">
        <v>10528000000</v>
      </c>
      <c r="Q41">
        <v>18201000000</v>
      </c>
      <c r="R41">
        <v>6884000000</v>
      </c>
      <c r="S41">
        <v>0</v>
      </c>
      <c r="T41">
        <v>26019000000</v>
      </c>
      <c r="U41">
        <v>19282000000</v>
      </c>
      <c r="V41">
        <v>5601000000</v>
      </c>
      <c r="W41">
        <v>0</v>
      </c>
      <c r="X41">
        <v>0</v>
      </c>
      <c r="Y41">
        <v>1948000000</v>
      </c>
      <c r="Z41">
        <v>6737000000</v>
      </c>
      <c r="AA41">
        <v>0</v>
      </c>
      <c r="AB41">
        <v>0</v>
      </c>
      <c r="AC41">
        <v>0</v>
      </c>
      <c r="AD41">
        <v>0</v>
      </c>
      <c r="AE41">
        <v>0</v>
      </c>
      <c r="AF41">
        <v>3376000000</v>
      </c>
      <c r="AG41">
        <v>3502000000</v>
      </c>
      <c r="AH41">
        <v>27832000000</v>
      </c>
      <c r="AI41">
        <v>0</v>
      </c>
      <c r="AJ41">
        <v>19538000000</v>
      </c>
      <c r="AK41">
        <v>8210000000</v>
      </c>
      <c r="AL41">
        <v>25396140000</v>
      </c>
    </row>
    <row r="42" spans="1:38" ht="15.75" customHeight="1">
      <c r="A42" s="24">
        <v>39721</v>
      </c>
      <c r="B42" t="s">
        <v>45</v>
      </c>
      <c r="C42">
        <v>39572000000</v>
      </c>
      <c r="D42">
        <v>34690000000</v>
      </c>
      <c r="E42">
        <v>11875000000</v>
      </c>
      <c r="F42">
        <v>11875000000</v>
      </c>
      <c r="G42">
        <v>509000000</v>
      </c>
      <c r="H42">
        <v>2422000000</v>
      </c>
      <c r="I42">
        <v>4882000000</v>
      </c>
      <c r="J42">
        <v>2455000000</v>
      </c>
      <c r="K42">
        <v>1292000000</v>
      </c>
      <c r="L42">
        <v>285000000</v>
      </c>
      <c r="M42">
        <v>285000000</v>
      </c>
      <c r="N42">
        <v>207000000</v>
      </c>
      <c r="O42">
        <v>0</v>
      </c>
      <c r="P42">
        <v>0</v>
      </c>
      <c r="Q42">
        <v>12615000000</v>
      </c>
      <c r="R42">
        <v>5822000000</v>
      </c>
      <c r="S42">
        <v>0</v>
      </c>
      <c r="T42">
        <v>18542000000</v>
      </c>
      <c r="U42">
        <v>14092000000</v>
      </c>
      <c r="V42">
        <v>5520000000</v>
      </c>
      <c r="W42">
        <v>0</v>
      </c>
      <c r="X42">
        <v>0</v>
      </c>
      <c r="Y42">
        <v>2507000000</v>
      </c>
      <c r="Z42">
        <v>4450000000</v>
      </c>
      <c r="AA42">
        <v>0</v>
      </c>
      <c r="AB42">
        <v>0</v>
      </c>
      <c r="AC42">
        <v>0</v>
      </c>
      <c r="AD42">
        <v>0</v>
      </c>
      <c r="AE42">
        <v>0</v>
      </c>
      <c r="AF42">
        <v>3719000000</v>
      </c>
      <c r="AG42">
        <v>0</v>
      </c>
      <c r="AH42">
        <v>21030000000</v>
      </c>
      <c r="AI42">
        <v>0</v>
      </c>
      <c r="AJ42">
        <v>13845000000</v>
      </c>
      <c r="AK42">
        <v>7177000000</v>
      </c>
      <c r="AL42">
        <v>25259892000</v>
      </c>
    </row>
    <row r="43" spans="1:38" ht="15.75" customHeight="1">
      <c r="A43" s="24">
        <v>39355</v>
      </c>
      <c r="B43" t="s">
        <v>45</v>
      </c>
      <c r="C43">
        <v>25347000000</v>
      </c>
      <c r="D43">
        <v>21956000000</v>
      </c>
      <c r="E43">
        <v>9352000000</v>
      </c>
      <c r="F43">
        <v>9352000000</v>
      </c>
      <c r="G43">
        <v>346000000</v>
      </c>
      <c r="H43">
        <v>4029000000</v>
      </c>
      <c r="I43">
        <v>3391000000</v>
      </c>
      <c r="J43">
        <v>1832000000</v>
      </c>
      <c r="K43">
        <v>1009000000</v>
      </c>
      <c r="L43">
        <v>299000000</v>
      </c>
      <c r="M43">
        <v>299000000</v>
      </c>
      <c r="N43">
        <v>38000000</v>
      </c>
      <c r="O43">
        <v>0</v>
      </c>
      <c r="P43">
        <v>0</v>
      </c>
      <c r="Q43">
        <v>6034000000</v>
      </c>
      <c r="R43">
        <v>996000000</v>
      </c>
      <c r="S43">
        <v>0</v>
      </c>
      <c r="T43">
        <v>10815000000</v>
      </c>
      <c r="U43">
        <v>9299000000</v>
      </c>
      <c r="V43">
        <v>4970000000</v>
      </c>
      <c r="W43">
        <v>0</v>
      </c>
      <c r="X43">
        <v>0</v>
      </c>
      <c r="Y43">
        <v>1805000000</v>
      </c>
      <c r="Z43">
        <v>1516000000</v>
      </c>
      <c r="AA43">
        <v>0</v>
      </c>
      <c r="AB43">
        <v>0</v>
      </c>
      <c r="AC43">
        <v>0</v>
      </c>
      <c r="AD43">
        <v>0</v>
      </c>
      <c r="AE43">
        <v>0</v>
      </c>
      <c r="AF43">
        <v>2919000000</v>
      </c>
      <c r="AG43">
        <v>0</v>
      </c>
      <c r="AH43">
        <v>14532000000</v>
      </c>
      <c r="AI43">
        <v>0</v>
      </c>
      <c r="AJ43">
        <v>9101000000</v>
      </c>
      <c r="AK43">
        <v>5368000000</v>
      </c>
      <c r="AL43">
        <v>24900176000</v>
      </c>
    </row>
    <row r="44" spans="1:38" ht="15.75" customHeight="1">
      <c r="A44" s="24">
        <v>38990</v>
      </c>
      <c r="B44" t="s">
        <v>45</v>
      </c>
      <c r="C44">
        <v>17205000000</v>
      </c>
      <c r="D44">
        <v>14509000000</v>
      </c>
      <c r="E44">
        <v>6392000000</v>
      </c>
      <c r="F44">
        <v>6392000000</v>
      </c>
      <c r="G44">
        <v>270000000</v>
      </c>
      <c r="H44">
        <v>2845000000</v>
      </c>
      <c r="I44">
        <v>2696000000</v>
      </c>
      <c r="J44">
        <v>1281000000</v>
      </c>
      <c r="K44">
        <v>794000000</v>
      </c>
      <c r="L44">
        <v>139000000</v>
      </c>
      <c r="M44">
        <v>139000000</v>
      </c>
      <c r="N44">
        <v>38000000</v>
      </c>
      <c r="O44">
        <v>0</v>
      </c>
      <c r="P44">
        <v>0</v>
      </c>
      <c r="Q44">
        <v>3718000000</v>
      </c>
      <c r="R44">
        <v>469000000</v>
      </c>
      <c r="S44">
        <v>0</v>
      </c>
      <c r="T44">
        <v>7221000000</v>
      </c>
      <c r="U44">
        <v>6471000000</v>
      </c>
      <c r="V44">
        <v>3390000000</v>
      </c>
      <c r="W44">
        <v>0</v>
      </c>
      <c r="X44">
        <v>0</v>
      </c>
      <c r="Y44">
        <v>1515000000</v>
      </c>
      <c r="Z44">
        <v>750000000</v>
      </c>
      <c r="AA44">
        <v>0</v>
      </c>
      <c r="AB44">
        <v>0</v>
      </c>
      <c r="AC44">
        <v>0</v>
      </c>
      <c r="AD44">
        <v>0</v>
      </c>
      <c r="AE44">
        <v>0</v>
      </c>
      <c r="AF44">
        <v>2335000000</v>
      </c>
      <c r="AG44">
        <v>0</v>
      </c>
      <c r="AH44">
        <v>9984000000</v>
      </c>
      <c r="AI44">
        <v>0</v>
      </c>
      <c r="AJ44">
        <v>5607000000</v>
      </c>
      <c r="AK44">
        <v>4355000000</v>
      </c>
      <c r="AL44">
        <v>24570728000</v>
      </c>
    </row>
    <row r="45" spans="1:38" ht="15.75" customHeight="1">
      <c r="A45" s="24">
        <v>38625</v>
      </c>
      <c r="B45" t="s">
        <v>45</v>
      </c>
      <c r="C45">
        <v>11551000000</v>
      </c>
      <c r="D45">
        <v>10300000000</v>
      </c>
      <c r="E45">
        <v>3491000000</v>
      </c>
      <c r="F45">
        <v>3491000000</v>
      </c>
      <c r="G45">
        <v>165000000</v>
      </c>
      <c r="H45">
        <v>1312000000</v>
      </c>
      <c r="I45">
        <v>1251000000</v>
      </c>
      <c r="J45">
        <v>817000000</v>
      </c>
      <c r="K45">
        <v>664000000</v>
      </c>
      <c r="L45">
        <v>27000000</v>
      </c>
      <c r="M45">
        <v>27000000</v>
      </c>
      <c r="N45">
        <v>69000000</v>
      </c>
      <c r="O45">
        <v>0</v>
      </c>
      <c r="P45">
        <v>0</v>
      </c>
      <c r="Q45">
        <v>4770000000</v>
      </c>
      <c r="R45">
        <v>231000000</v>
      </c>
      <c r="S45">
        <v>0</v>
      </c>
      <c r="T45">
        <v>4085000000</v>
      </c>
      <c r="U45">
        <v>3484000000</v>
      </c>
      <c r="V45">
        <v>1779000000</v>
      </c>
      <c r="W45">
        <v>0</v>
      </c>
      <c r="X45">
        <v>0</v>
      </c>
      <c r="Y45">
        <v>798000000</v>
      </c>
      <c r="Z45">
        <v>601000000</v>
      </c>
      <c r="AA45">
        <v>0</v>
      </c>
      <c r="AB45">
        <v>0</v>
      </c>
      <c r="AC45">
        <v>0</v>
      </c>
      <c r="AD45">
        <v>0</v>
      </c>
      <c r="AE45">
        <v>0</v>
      </c>
      <c r="AF45">
        <v>1204000000</v>
      </c>
      <c r="AG45">
        <v>0</v>
      </c>
      <c r="AH45">
        <v>7466000000</v>
      </c>
      <c r="AI45">
        <v>0</v>
      </c>
      <c r="AJ45">
        <v>4005000000</v>
      </c>
      <c r="AK45">
        <v>3521000000</v>
      </c>
      <c r="AL45">
        <v>23992584000</v>
      </c>
    </row>
    <row r="46" spans="1:38" ht="15.75" customHeight="1">
      <c r="A46" t="s">
        <v>17</v>
      </c>
      <c r="B46" t="s">
        <v>18</v>
      </c>
      <c r="C46" t="s">
        <v>166</v>
      </c>
      <c r="D46" t="s">
        <v>167</v>
      </c>
      <c r="E46" t="s">
        <v>168</v>
      </c>
      <c r="F46" t="s">
        <v>169</v>
      </c>
      <c r="G46" t="s">
        <v>170</v>
      </c>
      <c r="H46" t="s">
        <v>171</v>
      </c>
      <c r="I46" t="s">
        <v>172</v>
      </c>
      <c r="J46" t="s">
        <v>173</v>
      </c>
      <c r="K46" t="s">
        <v>174</v>
      </c>
      <c r="L46" t="s">
        <v>175</v>
      </c>
      <c r="M46" t="s">
        <v>176</v>
      </c>
      <c r="N46" t="s">
        <v>177</v>
      </c>
      <c r="O46" t="s">
        <v>178</v>
      </c>
      <c r="P46" t="s">
        <v>179</v>
      </c>
      <c r="Q46" t="s">
        <v>180</v>
      </c>
      <c r="R46" t="s">
        <v>181</v>
      </c>
      <c r="S46" t="s">
        <v>182</v>
      </c>
      <c r="T46" t="s">
        <v>183</v>
      </c>
      <c r="U46" t="s">
        <v>184</v>
      </c>
      <c r="V46" t="s">
        <v>185</v>
      </c>
      <c r="W46" t="s">
        <v>103</v>
      </c>
      <c r="X46" t="s">
        <v>104</v>
      </c>
      <c r="Y46" t="s">
        <v>105</v>
      </c>
      <c r="Z46" t="s">
        <v>106</v>
      </c>
      <c r="AA46" t="s">
        <v>107</v>
      </c>
      <c r="AB46" t="s">
        <v>108</v>
      </c>
      <c r="AC46" t="s">
        <v>42</v>
      </c>
    </row>
    <row r="47" spans="1:38" ht="15.75" customHeight="1">
      <c r="A47" s="24" t="s">
        <v>232</v>
      </c>
      <c r="B47" t="s">
        <v>45</v>
      </c>
      <c r="C47">
        <v>14923000000</v>
      </c>
      <c r="D47">
        <v>0</v>
      </c>
      <c r="E47">
        <v>0</v>
      </c>
      <c r="F47">
        <v>0</v>
      </c>
      <c r="G47">
        <v>0</v>
      </c>
      <c r="H47">
        <v>5368000000</v>
      </c>
      <c r="I47">
        <v>11342000000</v>
      </c>
      <c r="J47">
        <v>0</v>
      </c>
      <c r="K47">
        <v>937000000</v>
      </c>
      <c r="L47">
        <v>0</v>
      </c>
      <c r="M47">
        <v>0</v>
      </c>
      <c r="N47">
        <v>3853000000</v>
      </c>
      <c r="O47">
        <v>0</v>
      </c>
      <c r="P47">
        <v>0</v>
      </c>
      <c r="Q47">
        <v>0</v>
      </c>
      <c r="R47">
        <v>0</v>
      </c>
      <c r="S47">
        <v>0</v>
      </c>
      <c r="T47">
        <v>0</v>
      </c>
      <c r="U47">
        <v>0</v>
      </c>
      <c r="V47">
        <v>0</v>
      </c>
      <c r="W47">
        <v>0</v>
      </c>
      <c r="X47">
        <v>0</v>
      </c>
      <c r="Y47">
        <v>0</v>
      </c>
      <c r="Z47">
        <v>0</v>
      </c>
      <c r="AA47">
        <v>0</v>
      </c>
      <c r="AB47">
        <v>0</v>
      </c>
      <c r="AC47">
        <v>7153000000</v>
      </c>
    </row>
    <row r="48" spans="1:38" ht="15.75" customHeight="1">
      <c r="A48" s="24" t="s">
        <v>43</v>
      </c>
      <c r="B48" t="s">
        <v>45</v>
      </c>
      <c r="C48">
        <v>13256000000</v>
      </c>
      <c r="D48">
        <v>0</v>
      </c>
      <c r="E48">
        <v>0</v>
      </c>
      <c r="F48">
        <v>0</v>
      </c>
      <c r="G48">
        <v>0</v>
      </c>
      <c r="H48">
        <v>4667000000</v>
      </c>
      <c r="I48">
        <v>8899000000</v>
      </c>
      <c r="J48">
        <v>0</v>
      </c>
      <c r="K48">
        <v>-1195000000</v>
      </c>
      <c r="L48">
        <v>0</v>
      </c>
      <c r="M48">
        <v>0</v>
      </c>
      <c r="N48">
        <v>2589000000</v>
      </c>
      <c r="O48">
        <v>0</v>
      </c>
      <c r="P48">
        <v>0</v>
      </c>
      <c r="Q48">
        <v>0</v>
      </c>
      <c r="R48">
        <v>0</v>
      </c>
      <c r="S48">
        <v>0</v>
      </c>
      <c r="T48">
        <v>0</v>
      </c>
      <c r="U48">
        <v>0</v>
      </c>
      <c r="V48">
        <v>0</v>
      </c>
      <c r="W48">
        <v>0</v>
      </c>
      <c r="X48">
        <v>0</v>
      </c>
      <c r="Y48">
        <v>0</v>
      </c>
      <c r="Z48">
        <v>0</v>
      </c>
      <c r="AA48">
        <v>0</v>
      </c>
      <c r="AB48">
        <v>0</v>
      </c>
      <c r="AC48">
        <v>14974000000</v>
      </c>
    </row>
    <row r="49" spans="1:29" ht="15.75" customHeight="1">
      <c r="A49" s="24">
        <v>44926</v>
      </c>
      <c r="B49" t="s">
        <v>45</v>
      </c>
      <c r="C49">
        <v>14724000000</v>
      </c>
      <c r="D49">
        <v>0</v>
      </c>
      <c r="E49">
        <v>0</v>
      </c>
      <c r="F49">
        <v>0</v>
      </c>
      <c r="G49">
        <v>0</v>
      </c>
      <c r="H49">
        <v>3543000000</v>
      </c>
      <c r="I49">
        <v>7172000000</v>
      </c>
      <c r="J49">
        <v>0</v>
      </c>
      <c r="K49">
        <v>-6465000000</v>
      </c>
      <c r="L49">
        <v>0</v>
      </c>
      <c r="M49">
        <v>-11973000000</v>
      </c>
      <c r="N49">
        <v>-3527000000</v>
      </c>
      <c r="O49">
        <v>0</v>
      </c>
      <c r="P49">
        <v>0</v>
      </c>
      <c r="Q49">
        <v>0</v>
      </c>
      <c r="R49">
        <v>0</v>
      </c>
      <c r="S49">
        <v>0</v>
      </c>
      <c r="T49">
        <v>0</v>
      </c>
      <c r="U49">
        <v>0</v>
      </c>
      <c r="V49">
        <v>0</v>
      </c>
      <c r="W49">
        <v>0</v>
      </c>
      <c r="X49">
        <v>0</v>
      </c>
      <c r="Y49">
        <v>541000000</v>
      </c>
      <c r="Z49">
        <v>0</v>
      </c>
      <c r="AA49">
        <v>0</v>
      </c>
      <c r="AB49">
        <v>0</v>
      </c>
      <c r="AC49">
        <v>12556000000</v>
      </c>
    </row>
    <row r="50" spans="1:29" ht="15.75" customHeight="1">
      <c r="A50" s="24">
        <v>44561</v>
      </c>
      <c r="B50" t="s">
        <v>45</v>
      </c>
      <c r="C50">
        <v>11497000000</v>
      </c>
      <c r="D50">
        <v>0</v>
      </c>
      <c r="E50">
        <v>0</v>
      </c>
      <c r="F50">
        <v>0</v>
      </c>
      <c r="G50">
        <v>0</v>
      </c>
      <c r="H50">
        <v>2911000000</v>
      </c>
      <c r="I50">
        <v>8014000000</v>
      </c>
      <c r="J50">
        <v>130000000</v>
      </c>
      <c r="K50">
        <v>-1709000000</v>
      </c>
      <c r="L50">
        <v>0</v>
      </c>
      <c r="M50">
        <v>-7868000000</v>
      </c>
      <c r="N50">
        <v>-5203000000</v>
      </c>
      <c r="O50">
        <v>0</v>
      </c>
      <c r="P50">
        <v>0</v>
      </c>
      <c r="Q50">
        <v>0</v>
      </c>
      <c r="R50">
        <v>0</v>
      </c>
      <c r="S50">
        <v>0</v>
      </c>
      <c r="T50">
        <v>0</v>
      </c>
      <c r="U50">
        <v>0</v>
      </c>
      <c r="V50">
        <v>0</v>
      </c>
      <c r="W50">
        <v>0</v>
      </c>
      <c r="X50">
        <v>0</v>
      </c>
      <c r="Y50">
        <v>548000000</v>
      </c>
      <c r="Z50">
        <v>0</v>
      </c>
      <c r="AA50">
        <v>-1574000000</v>
      </c>
      <c r="AB50">
        <v>0</v>
      </c>
      <c r="AC50">
        <v>5519000000</v>
      </c>
    </row>
    <row r="51" spans="1:29" ht="15.75" customHeight="1">
      <c r="A51" s="24">
        <v>44196</v>
      </c>
      <c r="B51" t="s">
        <v>45</v>
      </c>
      <c r="C51">
        <v>5943000000</v>
      </c>
      <c r="D51">
        <v>0</v>
      </c>
      <c r="E51">
        <v>0</v>
      </c>
      <c r="F51">
        <v>0</v>
      </c>
      <c r="G51">
        <v>0</v>
      </c>
      <c r="H51">
        <v>2322000000</v>
      </c>
      <c r="I51">
        <v>3242000000</v>
      </c>
      <c r="J51">
        <v>-652000000</v>
      </c>
      <c r="K51">
        <v>-422000000</v>
      </c>
      <c r="L51">
        <v>0</v>
      </c>
      <c r="M51">
        <v>-3132000000</v>
      </c>
      <c r="N51">
        <v>9973000000</v>
      </c>
      <c r="O51">
        <v>0</v>
      </c>
      <c r="P51">
        <v>0</v>
      </c>
      <c r="Q51">
        <v>0</v>
      </c>
      <c r="R51">
        <v>0</v>
      </c>
      <c r="S51">
        <v>0</v>
      </c>
      <c r="T51">
        <v>0</v>
      </c>
      <c r="U51">
        <v>0</v>
      </c>
      <c r="V51">
        <v>0</v>
      </c>
      <c r="W51">
        <v>0</v>
      </c>
      <c r="X51">
        <v>0</v>
      </c>
      <c r="Y51">
        <v>12502000000</v>
      </c>
      <c r="Z51">
        <v>0</v>
      </c>
      <c r="AA51">
        <v>12784000000</v>
      </c>
      <c r="AB51">
        <v>0</v>
      </c>
      <c r="AC51">
        <v>690000000</v>
      </c>
    </row>
    <row r="52" spans="1:29" ht="15.75" customHeight="1">
      <c r="A52" s="24">
        <v>43830</v>
      </c>
      <c r="B52" t="s">
        <v>45</v>
      </c>
      <c r="C52">
        <v>2405000000</v>
      </c>
      <c r="D52">
        <v>0</v>
      </c>
      <c r="E52">
        <v>0</v>
      </c>
      <c r="F52">
        <v>0</v>
      </c>
      <c r="G52">
        <v>0</v>
      </c>
      <c r="H52">
        <v>2154000000</v>
      </c>
      <c r="I52">
        <v>1437000000</v>
      </c>
      <c r="J52">
        <v>0</v>
      </c>
      <c r="K52">
        <v>-429000000</v>
      </c>
      <c r="L52">
        <v>0</v>
      </c>
      <c r="M52">
        <v>-1436000000</v>
      </c>
      <c r="N52">
        <v>1529000000</v>
      </c>
      <c r="O52">
        <v>0</v>
      </c>
      <c r="P52">
        <v>0</v>
      </c>
      <c r="Q52">
        <v>0</v>
      </c>
      <c r="R52">
        <v>0</v>
      </c>
      <c r="S52">
        <v>0</v>
      </c>
      <c r="T52">
        <v>0</v>
      </c>
      <c r="U52">
        <v>0</v>
      </c>
      <c r="V52">
        <v>0</v>
      </c>
      <c r="W52">
        <v>0</v>
      </c>
      <c r="X52">
        <v>0</v>
      </c>
      <c r="Y52">
        <v>1285000000</v>
      </c>
      <c r="Z52">
        <v>0</v>
      </c>
      <c r="AA52">
        <v>0</v>
      </c>
      <c r="AB52">
        <v>0</v>
      </c>
      <c r="AC52">
        <v>-775000000</v>
      </c>
    </row>
    <row r="53" spans="1:29" ht="15.75" customHeight="1">
      <c r="A53" s="24">
        <v>43465</v>
      </c>
      <c r="B53" t="s">
        <v>45</v>
      </c>
      <c r="C53">
        <v>2098000000</v>
      </c>
      <c r="D53">
        <v>0</v>
      </c>
      <c r="E53">
        <v>0</v>
      </c>
      <c r="F53">
        <v>0</v>
      </c>
      <c r="G53">
        <v>0</v>
      </c>
      <c r="H53">
        <v>1901050000</v>
      </c>
      <c r="I53">
        <v>2319000000</v>
      </c>
      <c r="J53">
        <v>-496732000</v>
      </c>
      <c r="K53">
        <v>-1023000000</v>
      </c>
      <c r="L53">
        <v>0</v>
      </c>
      <c r="M53">
        <v>-2337428000</v>
      </c>
      <c r="N53">
        <v>574000000</v>
      </c>
      <c r="O53">
        <v>0</v>
      </c>
      <c r="P53">
        <v>0</v>
      </c>
      <c r="Q53">
        <v>0</v>
      </c>
      <c r="R53">
        <v>0</v>
      </c>
      <c r="S53">
        <v>0</v>
      </c>
      <c r="T53">
        <v>0</v>
      </c>
      <c r="U53">
        <v>0</v>
      </c>
      <c r="V53">
        <v>0</v>
      </c>
      <c r="W53">
        <v>0</v>
      </c>
      <c r="X53">
        <v>0</v>
      </c>
      <c r="Y53">
        <v>505541000</v>
      </c>
      <c r="Z53">
        <v>0</v>
      </c>
      <c r="AA53">
        <v>334129000</v>
      </c>
      <c r="AB53">
        <v>0</v>
      </c>
      <c r="AC53">
        <v>-1062582000</v>
      </c>
    </row>
    <row r="54" spans="1:29" ht="15.75" customHeight="1">
      <c r="A54" s="24">
        <v>43100</v>
      </c>
      <c r="B54" t="s">
        <v>45</v>
      </c>
      <c r="C54">
        <v>-61000000</v>
      </c>
      <c r="D54">
        <v>0</v>
      </c>
      <c r="E54">
        <v>0</v>
      </c>
      <c r="F54">
        <v>0</v>
      </c>
      <c r="G54">
        <v>0</v>
      </c>
      <c r="H54">
        <v>1636000000</v>
      </c>
      <c r="I54">
        <v>4081354000</v>
      </c>
      <c r="J54">
        <v>-24635000</v>
      </c>
      <c r="K54">
        <v>-179000000</v>
      </c>
      <c r="L54">
        <v>0</v>
      </c>
      <c r="M54">
        <v>-4196000000</v>
      </c>
      <c r="N54">
        <v>4415000000</v>
      </c>
      <c r="O54">
        <v>0</v>
      </c>
      <c r="P54">
        <v>0</v>
      </c>
      <c r="Q54">
        <v>0</v>
      </c>
      <c r="R54">
        <v>0</v>
      </c>
      <c r="S54">
        <v>0</v>
      </c>
      <c r="T54">
        <v>0</v>
      </c>
      <c r="U54">
        <v>0</v>
      </c>
      <c r="V54">
        <v>0</v>
      </c>
      <c r="W54">
        <v>0</v>
      </c>
      <c r="X54">
        <v>0</v>
      </c>
      <c r="Y54">
        <v>1009649000</v>
      </c>
      <c r="Z54">
        <v>0</v>
      </c>
      <c r="AA54">
        <v>-25302000</v>
      </c>
      <c r="AB54">
        <v>39455000</v>
      </c>
      <c r="AC54">
        <v>-2241000000</v>
      </c>
    </row>
    <row r="55" spans="1:29" ht="15.75" customHeight="1">
      <c r="A55" s="24">
        <v>42735</v>
      </c>
      <c r="B55" t="s">
        <v>45</v>
      </c>
      <c r="C55">
        <v>-123829000</v>
      </c>
      <c r="D55">
        <v>0</v>
      </c>
      <c r="E55">
        <v>0</v>
      </c>
      <c r="F55">
        <v>0</v>
      </c>
      <c r="G55">
        <v>0</v>
      </c>
      <c r="H55">
        <v>947099000</v>
      </c>
      <c r="I55">
        <v>1440471000</v>
      </c>
      <c r="J55">
        <v>-213097000</v>
      </c>
      <c r="K55">
        <v>-632867000</v>
      </c>
      <c r="L55">
        <v>0</v>
      </c>
      <c r="M55">
        <v>-1081085000</v>
      </c>
      <c r="N55">
        <v>3743976000</v>
      </c>
      <c r="O55">
        <v>0</v>
      </c>
      <c r="P55">
        <v>0</v>
      </c>
      <c r="Q55">
        <v>0</v>
      </c>
      <c r="R55">
        <v>0</v>
      </c>
      <c r="S55">
        <v>0</v>
      </c>
      <c r="T55">
        <v>0</v>
      </c>
      <c r="U55">
        <v>0</v>
      </c>
      <c r="V55">
        <v>0</v>
      </c>
      <c r="W55">
        <v>0</v>
      </c>
      <c r="X55">
        <v>0</v>
      </c>
      <c r="Y55">
        <v>2045828000</v>
      </c>
      <c r="Z55">
        <v>0</v>
      </c>
      <c r="AA55">
        <v>2196308000</v>
      </c>
      <c r="AB55">
        <v>-7409000</v>
      </c>
      <c r="AC55">
        <v>-773046000</v>
      </c>
    </row>
    <row r="56" spans="1:29" ht="15.75" customHeight="1">
      <c r="A56" s="24">
        <v>42369</v>
      </c>
      <c r="B56" t="s">
        <v>45</v>
      </c>
      <c r="C56">
        <v>-524499000</v>
      </c>
      <c r="D56">
        <v>0</v>
      </c>
      <c r="E56">
        <v>0</v>
      </c>
      <c r="F56">
        <v>0</v>
      </c>
      <c r="G56">
        <v>0</v>
      </c>
      <c r="H56">
        <v>422590000</v>
      </c>
      <c r="I56">
        <v>1634850000</v>
      </c>
      <c r="J56">
        <v>46267000</v>
      </c>
      <c r="K56">
        <v>-1573860000</v>
      </c>
      <c r="L56">
        <v>0</v>
      </c>
      <c r="M56">
        <v>-1673551000</v>
      </c>
      <c r="N56">
        <v>1523523000</v>
      </c>
      <c r="O56">
        <v>0</v>
      </c>
      <c r="P56">
        <v>0</v>
      </c>
      <c r="Q56">
        <v>0</v>
      </c>
      <c r="R56">
        <v>0</v>
      </c>
      <c r="S56">
        <v>0</v>
      </c>
      <c r="T56">
        <v>0</v>
      </c>
      <c r="U56">
        <v>0</v>
      </c>
      <c r="V56">
        <v>0</v>
      </c>
      <c r="W56">
        <v>0</v>
      </c>
      <c r="X56">
        <v>0</v>
      </c>
      <c r="Y56">
        <v>839586000</v>
      </c>
      <c r="Z56">
        <v>0</v>
      </c>
      <c r="AA56">
        <v>-708805000</v>
      </c>
      <c r="AB56">
        <v>-34278000</v>
      </c>
      <c r="AC56">
        <v>-888663000</v>
      </c>
    </row>
    <row r="57" spans="1:29" ht="15.75" customHeight="1">
      <c r="A57" s="24">
        <v>42004</v>
      </c>
      <c r="B57" t="s">
        <v>45</v>
      </c>
      <c r="C57">
        <v>-57337000</v>
      </c>
      <c r="D57">
        <v>0</v>
      </c>
      <c r="E57">
        <v>0</v>
      </c>
      <c r="F57">
        <v>0</v>
      </c>
      <c r="G57">
        <v>0</v>
      </c>
      <c r="H57">
        <v>231931000</v>
      </c>
      <c r="I57">
        <v>969885000</v>
      </c>
      <c r="J57">
        <v>-183658000</v>
      </c>
      <c r="K57">
        <v>-1050264000</v>
      </c>
      <c r="L57">
        <v>0</v>
      </c>
      <c r="M57">
        <v>-990444000</v>
      </c>
      <c r="N57">
        <v>2143130000</v>
      </c>
      <c r="O57">
        <v>0</v>
      </c>
      <c r="P57">
        <v>0</v>
      </c>
      <c r="Q57">
        <v>0</v>
      </c>
      <c r="R57">
        <v>0</v>
      </c>
      <c r="S57">
        <v>0</v>
      </c>
      <c r="T57">
        <v>0</v>
      </c>
      <c r="U57">
        <v>0</v>
      </c>
      <c r="V57">
        <v>0</v>
      </c>
      <c r="W57">
        <v>0</v>
      </c>
      <c r="X57">
        <v>0</v>
      </c>
      <c r="Y57">
        <v>454466000</v>
      </c>
      <c r="Z57">
        <v>0</v>
      </c>
      <c r="AA57">
        <v>1059824000</v>
      </c>
      <c r="AB57">
        <v>-35525000</v>
      </c>
      <c r="AC57">
        <v>-294040000</v>
      </c>
    </row>
    <row r="58" spans="1:29" ht="15.75" customHeight="1">
      <c r="A58" s="24">
        <v>41639</v>
      </c>
      <c r="B58" t="s">
        <v>45</v>
      </c>
      <c r="C58">
        <v>264804000</v>
      </c>
      <c r="D58">
        <v>0</v>
      </c>
      <c r="E58">
        <v>0</v>
      </c>
      <c r="F58">
        <v>0</v>
      </c>
      <c r="G58">
        <v>0</v>
      </c>
      <c r="H58">
        <v>120784000</v>
      </c>
      <c r="I58">
        <v>264224000</v>
      </c>
      <c r="J58">
        <v>-21917000</v>
      </c>
      <c r="K58">
        <v>-460561000</v>
      </c>
      <c r="L58">
        <v>0</v>
      </c>
      <c r="M58">
        <v>-249417000</v>
      </c>
      <c r="N58">
        <v>635422000</v>
      </c>
      <c r="O58">
        <v>0</v>
      </c>
      <c r="P58">
        <v>0</v>
      </c>
      <c r="Q58">
        <v>0</v>
      </c>
      <c r="R58">
        <v>0</v>
      </c>
      <c r="S58">
        <v>0</v>
      </c>
      <c r="T58">
        <v>0</v>
      </c>
      <c r="U58">
        <v>0</v>
      </c>
      <c r="V58">
        <v>0</v>
      </c>
      <c r="W58">
        <v>0</v>
      </c>
      <c r="X58">
        <v>0</v>
      </c>
      <c r="Y58">
        <v>253724000</v>
      </c>
      <c r="Z58">
        <v>0</v>
      </c>
      <c r="AA58">
        <v>643999000</v>
      </c>
      <c r="AB58">
        <v>0</v>
      </c>
      <c r="AC58">
        <v>-74014000</v>
      </c>
    </row>
    <row r="59" spans="1:29" ht="15.75" customHeight="1">
      <c r="A59" s="24">
        <v>41274</v>
      </c>
      <c r="B59" t="s">
        <v>45</v>
      </c>
      <c r="C59">
        <v>-263815000</v>
      </c>
      <c r="D59">
        <v>0</v>
      </c>
      <c r="E59">
        <v>0</v>
      </c>
      <c r="F59">
        <v>0</v>
      </c>
      <c r="G59">
        <v>0</v>
      </c>
      <c r="H59">
        <v>28825000</v>
      </c>
      <c r="I59">
        <v>239228000</v>
      </c>
      <c r="J59">
        <v>-17303000</v>
      </c>
      <c r="K59">
        <v>4929000</v>
      </c>
      <c r="L59">
        <v>0</v>
      </c>
      <c r="M59">
        <v>-206930000</v>
      </c>
      <c r="N59">
        <v>419635000</v>
      </c>
      <c r="O59">
        <v>0</v>
      </c>
      <c r="P59">
        <v>0</v>
      </c>
      <c r="Q59">
        <v>0</v>
      </c>
      <c r="R59">
        <v>0</v>
      </c>
      <c r="S59">
        <v>0</v>
      </c>
      <c r="T59">
        <v>0</v>
      </c>
      <c r="U59">
        <v>0</v>
      </c>
      <c r="V59">
        <v>0</v>
      </c>
      <c r="W59">
        <v>0</v>
      </c>
      <c r="X59">
        <v>0</v>
      </c>
      <c r="Y59">
        <v>24885000</v>
      </c>
      <c r="Z59">
        <v>0</v>
      </c>
      <c r="AA59">
        <v>-53376000</v>
      </c>
      <c r="AB59">
        <v>0</v>
      </c>
      <c r="AC59">
        <v>-396213000</v>
      </c>
    </row>
    <row r="60" spans="1:29" ht="15.75" customHeight="1">
      <c r="A60" s="24">
        <v>40908</v>
      </c>
      <c r="B60" t="s">
        <v>45</v>
      </c>
      <c r="C60">
        <v>-114364000</v>
      </c>
      <c r="D60">
        <v>0</v>
      </c>
      <c r="E60">
        <v>0</v>
      </c>
      <c r="F60">
        <v>0</v>
      </c>
      <c r="G60">
        <v>0</v>
      </c>
      <c r="H60">
        <v>16919000</v>
      </c>
      <c r="I60">
        <v>184226000</v>
      </c>
      <c r="J60">
        <v>-2829000</v>
      </c>
      <c r="K60">
        <v>-13638000</v>
      </c>
      <c r="L60">
        <v>0</v>
      </c>
      <c r="M60">
        <v>-175928000</v>
      </c>
      <c r="N60">
        <v>446000000</v>
      </c>
      <c r="O60">
        <v>0</v>
      </c>
      <c r="P60">
        <v>0</v>
      </c>
      <c r="Q60">
        <v>0</v>
      </c>
      <c r="R60">
        <v>0</v>
      </c>
      <c r="S60">
        <v>0</v>
      </c>
      <c r="T60">
        <v>0</v>
      </c>
      <c r="U60">
        <v>0</v>
      </c>
      <c r="V60">
        <v>0</v>
      </c>
      <c r="W60">
        <v>0</v>
      </c>
      <c r="X60">
        <v>0</v>
      </c>
      <c r="Y60">
        <v>69583000</v>
      </c>
      <c r="Z60">
        <v>0</v>
      </c>
      <c r="AA60">
        <v>155708000</v>
      </c>
      <c r="AB60">
        <v>0</v>
      </c>
      <c r="AC60">
        <v>-254411000</v>
      </c>
    </row>
    <row r="61" spans="1:29" ht="15.75" customHeight="1">
      <c r="A61" s="24">
        <v>40543</v>
      </c>
      <c r="B61" t="s">
        <v>45</v>
      </c>
      <c r="C61">
        <v>-127817000</v>
      </c>
      <c r="D61">
        <v>0</v>
      </c>
      <c r="E61">
        <v>0</v>
      </c>
      <c r="F61">
        <v>0</v>
      </c>
      <c r="G61">
        <v>0</v>
      </c>
      <c r="H61">
        <v>10623000</v>
      </c>
      <c r="I61">
        <v>40203000</v>
      </c>
      <c r="J61">
        <v>0</v>
      </c>
      <c r="K61">
        <v>-20115000</v>
      </c>
      <c r="L61">
        <v>0</v>
      </c>
      <c r="M61">
        <v>0</v>
      </c>
      <c r="N61">
        <v>338045000</v>
      </c>
      <c r="O61">
        <v>0</v>
      </c>
      <c r="P61">
        <v>0</v>
      </c>
      <c r="Q61">
        <v>0</v>
      </c>
      <c r="R61">
        <v>0</v>
      </c>
      <c r="S61">
        <v>0</v>
      </c>
      <c r="T61">
        <v>0</v>
      </c>
      <c r="U61">
        <v>0</v>
      </c>
      <c r="V61">
        <v>0</v>
      </c>
      <c r="W61">
        <v>0</v>
      </c>
      <c r="X61">
        <v>0</v>
      </c>
      <c r="Y61">
        <v>0</v>
      </c>
      <c r="Z61">
        <v>0</v>
      </c>
      <c r="AA61">
        <v>0</v>
      </c>
      <c r="AB61">
        <v>0</v>
      </c>
      <c r="AC61">
        <v>-154328000</v>
      </c>
    </row>
    <row r="62" spans="1:29" ht="15.75" customHeight="1">
      <c r="A62" s="24">
        <v>40178</v>
      </c>
      <c r="B62" t="s">
        <v>45</v>
      </c>
      <c r="C62">
        <v>-80825000</v>
      </c>
      <c r="D62">
        <v>0</v>
      </c>
      <c r="E62">
        <v>0</v>
      </c>
      <c r="F62">
        <v>0</v>
      </c>
      <c r="G62">
        <v>0</v>
      </c>
      <c r="H62">
        <v>6940000</v>
      </c>
      <c r="I62">
        <v>11884000</v>
      </c>
      <c r="J62">
        <v>0</v>
      </c>
      <c r="K62">
        <v>-7925000</v>
      </c>
      <c r="L62">
        <v>0</v>
      </c>
      <c r="M62">
        <v>0</v>
      </c>
      <c r="N62">
        <v>155419000</v>
      </c>
      <c r="O62">
        <v>0</v>
      </c>
      <c r="P62">
        <v>0</v>
      </c>
      <c r="Q62">
        <v>0</v>
      </c>
      <c r="R62">
        <v>0</v>
      </c>
      <c r="S62">
        <v>0</v>
      </c>
      <c r="T62">
        <v>0</v>
      </c>
      <c r="U62">
        <v>0</v>
      </c>
      <c r="V62">
        <v>0</v>
      </c>
      <c r="W62">
        <v>0</v>
      </c>
      <c r="X62">
        <v>0</v>
      </c>
      <c r="Y62">
        <v>0</v>
      </c>
      <c r="Z62">
        <v>0</v>
      </c>
      <c r="AA62">
        <v>0</v>
      </c>
      <c r="AB62">
        <v>0</v>
      </c>
      <c r="AC62">
        <v>-55740000</v>
      </c>
    </row>
    <row r="63" spans="1:29" ht="15.75" customHeight="1">
      <c r="A63" s="24">
        <v>39813</v>
      </c>
      <c r="B63" t="s">
        <v>45</v>
      </c>
      <c r="C63">
        <v>-52412000</v>
      </c>
      <c r="D63">
        <v>0</v>
      </c>
      <c r="E63">
        <v>0</v>
      </c>
      <c r="F63">
        <v>0</v>
      </c>
      <c r="G63">
        <v>0</v>
      </c>
      <c r="H63">
        <v>4157000</v>
      </c>
      <c r="I63">
        <v>10630000</v>
      </c>
      <c r="J63">
        <v>0</v>
      </c>
      <c r="K63">
        <v>-18839000</v>
      </c>
      <c r="L63">
        <v>0</v>
      </c>
      <c r="M63">
        <v>0</v>
      </c>
      <c r="N63">
        <v>56068000</v>
      </c>
      <c r="O63">
        <v>0</v>
      </c>
      <c r="P63">
        <v>0</v>
      </c>
      <c r="Q63">
        <v>0</v>
      </c>
      <c r="R63">
        <v>0</v>
      </c>
      <c r="S63">
        <v>0</v>
      </c>
      <c r="T63">
        <v>0</v>
      </c>
      <c r="U63">
        <v>0</v>
      </c>
      <c r="V63">
        <v>0</v>
      </c>
      <c r="W63">
        <v>0</v>
      </c>
      <c r="X63">
        <v>0</v>
      </c>
      <c r="Y63">
        <v>0</v>
      </c>
      <c r="Z63">
        <v>0</v>
      </c>
      <c r="AA63">
        <v>0</v>
      </c>
      <c r="AB63">
        <v>0</v>
      </c>
      <c r="AC63">
        <v>-82782000</v>
      </c>
    </row>
    <row r="64" spans="1:29" ht="15.75" customHeight="1">
      <c r="A64" s="24">
        <v>39447</v>
      </c>
      <c r="B64" t="s">
        <v>45</v>
      </c>
      <c r="C64">
        <v>-53469000</v>
      </c>
      <c r="D64">
        <v>0</v>
      </c>
      <c r="E64">
        <v>0</v>
      </c>
      <c r="F64">
        <v>0</v>
      </c>
      <c r="G64">
        <v>0</v>
      </c>
      <c r="H64">
        <v>2895000</v>
      </c>
      <c r="I64">
        <v>9802000</v>
      </c>
      <c r="J64">
        <v>0</v>
      </c>
      <c r="K64">
        <v>-2108000</v>
      </c>
      <c r="L64">
        <v>0</v>
      </c>
      <c r="M64">
        <v>0</v>
      </c>
      <c r="N64">
        <v>45041000</v>
      </c>
      <c r="O64">
        <v>0</v>
      </c>
      <c r="P64">
        <v>0</v>
      </c>
      <c r="Q64">
        <v>0</v>
      </c>
      <c r="R64">
        <v>0</v>
      </c>
      <c r="S64">
        <v>0</v>
      </c>
      <c r="T64">
        <v>0</v>
      </c>
      <c r="U64">
        <v>0</v>
      </c>
      <c r="V64">
        <v>0</v>
      </c>
      <c r="W64">
        <v>0</v>
      </c>
      <c r="X64">
        <v>0</v>
      </c>
      <c r="Y64">
        <v>0</v>
      </c>
      <c r="Z64">
        <v>0</v>
      </c>
      <c r="AA64">
        <v>0</v>
      </c>
      <c r="AB64">
        <v>0</v>
      </c>
      <c r="AC64">
        <v>-78157000</v>
      </c>
    </row>
    <row r="65" spans="1:29" ht="15.75" customHeight="1">
      <c r="A65" s="24">
        <v>39082</v>
      </c>
      <c r="B65">
        <v>0</v>
      </c>
      <c r="C65">
        <v>-3428000</v>
      </c>
      <c r="D65">
        <v>0</v>
      </c>
      <c r="E65">
        <v>0</v>
      </c>
      <c r="F65">
        <v>0</v>
      </c>
      <c r="G65">
        <v>0</v>
      </c>
      <c r="H65">
        <v>615000</v>
      </c>
      <c r="I65">
        <v>6505000</v>
      </c>
      <c r="J65">
        <v>0</v>
      </c>
      <c r="K65">
        <v>0</v>
      </c>
      <c r="L65">
        <v>0</v>
      </c>
      <c r="M65">
        <v>0</v>
      </c>
      <c r="N65">
        <v>39807000</v>
      </c>
      <c r="O65">
        <v>0</v>
      </c>
      <c r="P65">
        <v>0</v>
      </c>
      <c r="Q65">
        <v>0</v>
      </c>
      <c r="R65">
        <v>0</v>
      </c>
      <c r="S65">
        <v>0</v>
      </c>
      <c r="T65">
        <v>0</v>
      </c>
      <c r="U65">
        <v>0</v>
      </c>
      <c r="V65">
        <v>0</v>
      </c>
      <c r="W65">
        <v>0</v>
      </c>
      <c r="X65">
        <v>0</v>
      </c>
      <c r="Y65">
        <v>0</v>
      </c>
      <c r="Z65">
        <v>0</v>
      </c>
      <c r="AA65">
        <v>0</v>
      </c>
      <c r="AB65">
        <v>0</v>
      </c>
      <c r="AC65">
        <v>-29957000</v>
      </c>
    </row>
    <row r="66" spans="1:29" ht="15.75" customHeight="1">
      <c r="A66" s="24">
        <v>39478</v>
      </c>
      <c r="B66" t="s">
        <v>45</v>
      </c>
      <c r="C66">
        <v>441550000</v>
      </c>
      <c r="D66" t="s">
        <v>46</v>
      </c>
      <c r="E66" t="s">
        <v>46</v>
      </c>
      <c r="F66" t="s">
        <v>46</v>
      </c>
      <c r="G66" t="s">
        <v>46</v>
      </c>
      <c r="H66">
        <v>234130000</v>
      </c>
      <c r="I66">
        <v>139794000</v>
      </c>
      <c r="J66" t="s">
        <v>46</v>
      </c>
      <c r="K66">
        <v>95893000</v>
      </c>
      <c r="L66" t="s">
        <v>46</v>
      </c>
      <c r="M66" t="s">
        <v>46</v>
      </c>
      <c r="N66">
        <v>6734242000</v>
      </c>
      <c r="O66" t="s">
        <v>46</v>
      </c>
      <c r="P66" t="s">
        <v>46</v>
      </c>
      <c r="Q66" t="s">
        <v>46</v>
      </c>
      <c r="R66" t="s">
        <v>46</v>
      </c>
      <c r="S66">
        <v>15710000</v>
      </c>
      <c r="T66">
        <v>15710000</v>
      </c>
      <c r="U66" t="s">
        <v>46</v>
      </c>
      <c r="V66" t="s">
        <v>46</v>
      </c>
      <c r="W66" t="s">
        <v>46</v>
      </c>
      <c r="X66" t="s">
        <v>46</v>
      </c>
      <c r="Y66">
        <v>-541000</v>
      </c>
      <c r="Z66" t="s">
        <v>46</v>
      </c>
      <c r="AA66" t="s">
        <v>46</v>
      </c>
      <c r="AB66" t="s">
        <v>46</v>
      </c>
      <c r="AC66">
        <v>-12816000</v>
      </c>
    </row>
    <row r="67" spans="1:29" ht="15.75" customHeight="1">
      <c r="A67" s="24">
        <v>39113</v>
      </c>
      <c r="B67" t="s">
        <v>45</v>
      </c>
      <c r="C67">
        <v>405357000</v>
      </c>
      <c r="D67" t="s">
        <v>46</v>
      </c>
      <c r="E67" t="s">
        <v>46</v>
      </c>
      <c r="F67" t="s">
        <v>46</v>
      </c>
      <c r="G67" t="s">
        <v>46</v>
      </c>
      <c r="H67">
        <v>200608000</v>
      </c>
      <c r="I67">
        <v>261515000</v>
      </c>
      <c r="J67" t="s">
        <v>46</v>
      </c>
      <c r="K67">
        <v>-28057000</v>
      </c>
      <c r="L67" t="s">
        <v>46</v>
      </c>
      <c r="M67" t="s">
        <v>46</v>
      </c>
      <c r="N67">
        <v>-134714000</v>
      </c>
      <c r="O67" t="s">
        <v>46</v>
      </c>
      <c r="P67" t="s">
        <v>46</v>
      </c>
      <c r="Q67" t="s">
        <v>46</v>
      </c>
      <c r="R67" t="s">
        <v>46</v>
      </c>
      <c r="S67">
        <v>62472000</v>
      </c>
      <c r="T67">
        <v>62472000</v>
      </c>
      <c r="U67" t="s">
        <v>46</v>
      </c>
      <c r="V67" t="s">
        <v>46</v>
      </c>
      <c r="W67" t="s">
        <v>46</v>
      </c>
      <c r="X67" t="s">
        <v>46</v>
      </c>
      <c r="Y67">
        <v>-79947000</v>
      </c>
      <c r="Z67" t="s">
        <v>46</v>
      </c>
      <c r="AA67" t="s">
        <v>46</v>
      </c>
      <c r="AB67" t="s">
        <v>46</v>
      </c>
      <c r="AC67">
        <v>137943000</v>
      </c>
    </row>
    <row r="68" spans="1:29" ht="15.75" customHeight="1">
      <c r="A68" s="24">
        <v>38748</v>
      </c>
      <c r="B68" t="s">
        <v>45</v>
      </c>
      <c r="C68">
        <v>555485000</v>
      </c>
      <c r="D68" t="s">
        <v>46</v>
      </c>
      <c r="E68" t="s">
        <v>46</v>
      </c>
      <c r="F68" t="s">
        <v>46</v>
      </c>
      <c r="G68" t="s">
        <v>46</v>
      </c>
      <c r="H68">
        <v>186824000</v>
      </c>
      <c r="I68">
        <v>284112000</v>
      </c>
      <c r="J68" t="s">
        <v>46</v>
      </c>
      <c r="K68">
        <v>-97877000</v>
      </c>
      <c r="L68" t="s">
        <v>46</v>
      </c>
      <c r="M68" t="s">
        <v>46</v>
      </c>
      <c r="N68">
        <v>-323303000</v>
      </c>
      <c r="O68" t="s">
        <v>46</v>
      </c>
      <c r="P68" t="s">
        <v>46</v>
      </c>
      <c r="Q68" t="s">
        <v>46</v>
      </c>
      <c r="R68" t="s">
        <v>46</v>
      </c>
      <c r="S68">
        <v>56183000</v>
      </c>
      <c r="T68">
        <v>56183000</v>
      </c>
      <c r="U68" t="s">
        <v>46</v>
      </c>
      <c r="V68" t="s">
        <v>46</v>
      </c>
      <c r="W68" t="s">
        <v>46</v>
      </c>
      <c r="X68" t="s">
        <v>46</v>
      </c>
      <c r="Y68">
        <v>-297602000</v>
      </c>
      <c r="Z68" t="s">
        <v>46</v>
      </c>
      <c r="AA68" t="s">
        <v>46</v>
      </c>
      <c r="AB68" t="s">
        <v>46</v>
      </c>
      <c r="AC68">
        <v>350155000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979F5-FB4C-4353-A10D-3D7610803EC4}">
  <sheetPr codeName="Sheet10"/>
  <dimension ref="A1:AL251"/>
  <sheetViews>
    <sheetView workbookViewId="0">
      <selection activeCell="A34" sqref="A34"/>
    </sheetView>
  </sheetViews>
  <sheetFormatPr baseColWidth="10" defaultColWidth="8.83203125" defaultRowHeight="13"/>
  <cols>
    <col min="1" max="1" width="23.6640625" bestFit="1" customWidth="1"/>
    <col min="6" max="6" width="18.5" customWidth="1"/>
  </cols>
  <sheetData>
    <row r="1" spans="1:26">
      <c r="A1" t="s">
        <v>233</v>
      </c>
    </row>
    <row r="2" spans="1:26">
      <c r="A2" t="s">
        <v>43</v>
      </c>
      <c r="B2" t="s">
        <v>18</v>
      </c>
      <c r="C2" t="s">
        <v>19</v>
      </c>
      <c r="D2" t="s">
        <v>20</v>
      </c>
      <c r="E2" t="s">
        <v>21</v>
      </c>
      <c r="F2" t="s">
        <v>22</v>
      </c>
      <c r="G2" t="s">
        <v>23</v>
      </c>
      <c r="H2" t="s">
        <v>24</v>
      </c>
      <c r="I2" t="s">
        <v>25</v>
      </c>
      <c r="J2" t="s">
        <v>26</v>
      </c>
      <c r="K2" t="s">
        <v>27</v>
      </c>
      <c r="L2" t="s">
        <v>28</v>
      </c>
      <c r="M2" t="s">
        <v>29</v>
      </c>
      <c r="N2" t="s">
        <v>30</v>
      </c>
      <c r="O2" t="s">
        <v>31</v>
      </c>
      <c r="P2" t="s">
        <v>32</v>
      </c>
      <c r="Q2" t="s">
        <v>33</v>
      </c>
      <c r="R2" t="s">
        <v>34</v>
      </c>
      <c r="S2" t="s">
        <v>35</v>
      </c>
      <c r="T2" t="s">
        <v>36</v>
      </c>
      <c r="U2" t="s">
        <v>37</v>
      </c>
      <c r="V2" t="s">
        <v>38</v>
      </c>
      <c r="W2" t="s">
        <v>39</v>
      </c>
      <c r="X2" t="s">
        <v>40</v>
      </c>
      <c r="Y2" t="s">
        <v>41</v>
      </c>
      <c r="Z2" t="s">
        <v>42</v>
      </c>
    </row>
    <row r="3" spans="1:26">
      <c r="A3" s="24">
        <v>45747</v>
      </c>
      <c r="B3" t="s">
        <v>45</v>
      </c>
      <c r="C3">
        <v>44867000000</v>
      </c>
      <c r="D3">
        <v>95359000000</v>
      </c>
      <c r="E3">
        <v>50492000000</v>
      </c>
      <c r="F3">
        <v>50492000000</v>
      </c>
      <c r="G3">
        <v>29589000000</v>
      </c>
      <c r="H3">
        <v>6728000000</v>
      </c>
      <c r="I3">
        <v>8550000000</v>
      </c>
      <c r="J3">
        <v>15278000000</v>
      </c>
      <c r="K3">
        <v>0</v>
      </c>
      <c r="L3">
        <v>0</v>
      </c>
      <c r="M3">
        <v>0</v>
      </c>
      <c r="N3">
        <v>0</v>
      </c>
      <c r="O3">
        <v>0</v>
      </c>
      <c r="P3">
        <v>0</v>
      </c>
      <c r="Q3">
        <v>0</v>
      </c>
      <c r="R3">
        <v>2661000000</v>
      </c>
      <c r="S3">
        <v>29310000000</v>
      </c>
      <c r="T3">
        <v>4530000000</v>
      </c>
      <c r="U3">
        <v>0</v>
      </c>
      <c r="V3">
        <v>24780000000</v>
      </c>
      <c r="W3">
        <v>0</v>
      </c>
      <c r="X3">
        <v>29589000000</v>
      </c>
      <c r="Y3">
        <v>32250000000</v>
      </c>
      <c r="Z3">
        <v>24780000000</v>
      </c>
    </row>
    <row r="4" spans="1:26">
      <c r="A4" s="24" t="s">
        <v>234</v>
      </c>
      <c r="B4" t="s">
        <v>45</v>
      </c>
      <c r="C4">
        <v>58275000000</v>
      </c>
      <c r="D4">
        <v>124300000000</v>
      </c>
      <c r="E4">
        <v>66025000000</v>
      </c>
      <c r="F4">
        <v>66025000000</v>
      </c>
      <c r="G4">
        <v>42832000000</v>
      </c>
      <c r="H4">
        <v>7175000000</v>
      </c>
      <c r="I4">
        <v>8268000000</v>
      </c>
      <c r="J4">
        <v>15443000000</v>
      </c>
      <c r="K4">
        <v>0</v>
      </c>
      <c r="L4">
        <v>0</v>
      </c>
      <c r="M4">
        <v>0</v>
      </c>
      <c r="N4">
        <v>0</v>
      </c>
      <c r="O4">
        <v>0</v>
      </c>
      <c r="P4">
        <v>0</v>
      </c>
      <c r="Q4">
        <v>0</v>
      </c>
      <c r="R4">
        <v>3080000000</v>
      </c>
      <c r="S4">
        <v>42584000000</v>
      </c>
      <c r="T4">
        <v>6254000000</v>
      </c>
      <c r="U4">
        <v>0</v>
      </c>
      <c r="V4">
        <v>36330000000</v>
      </c>
      <c r="W4">
        <v>0</v>
      </c>
      <c r="X4">
        <v>42832000000</v>
      </c>
      <c r="Y4">
        <v>45912000000</v>
      </c>
      <c r="Z4">
        <v>36330000000</v>
      </c>
    </row>
    <row r="5" spans="1:26">
      <c r="A5" s="24" t="s">
        <v>43</v>
      </c>
      <c r="B5" t="s">
        <v>45</v>
      </c>
      <c r="C5">
        <v>43879000000</v>
      </c>
      <c r="D5">
        <v>94930000000</v>
      </c>
      <c r="E5">
        <v>51051000000</v>
      </c>
      <c r="F5">
        <v>51051000000</v>
      </c>
      <c r="G5">
        <v>29591000000</v>
      </c>
      <c r="H5">
        <v>6523000000</v>
      </c>
      <c r="I5">
        <v>7765000000</v>
      </c>
      <c r="J5">
        <v>14288000000</v>
      </c>
      <c r="K5">
        <v>0</v>
      </c>
      <c r="L5">
        <v>0</v>
      </c>
      <c r="M5">
        <v>0</v>
      </c>
      <c r="N5">
        <v>0</v>
      </c>
      <c r="O5">
        <v>0</v>
      </c>
      <c r="P5">
        <v>0</v>
      </c>
      <c r="Q5">
        <v>0</v>
      </c>
      <c r="R5">
        <v>2911000000</v>
      </c>
      <c r="S5">
        <v>29610000000</v>
      </c>
      <c r="T5">
        <v>14874000000</v>
      </c>
      <c r="U5">
        <v>0</v>
      </c>
      <c r="V5">
        <v>14736000000</v>
      </c>
      <c r="W5">
        <v>0</v>
      </c>
      <c r="X5">
        <v>29591000000</v>
      </c>
      <c r="Y5">
        <v>32502000000</v>
      </c>
      <c r="Z5">
        <v>14736000000</v>
      </c>
    </row>
    <row r="6" spans="1:26">
      <c r="A6" s="24">
        <v>45473</v>
      </c>
      <c r="B6" t="s">
        <v>45</v>
      </c>
      <c r="C6">
        <v>39678000000</v>
      </c>
      <c r="D6">
        <v>85777000000</v>
      </c>
      <c r="E6">
        <v>46099000000</v>
      </c>
      <c r="F6">
        <v>46099000000</v>
      </c>
      <c r="G6">
        <v>25352000000</v>
      </c>
      <c r="H6">
        <v>6320000000</v>
      </c>
      <c r="I6">
        <v>8006000000</v>
      </c>
      <c r="J6">
        <v>14326000000</v>
      </c>
      <c r="K6">
        <v>0</v>
      </c>
      <c r="L6">
        <v>0</v>
      </c>
      <c r="M6">
        <v>0</v>
      </c>
      <c r="N6">
        <v>0</v>
      </c>
      <c r="O6">
        <v>0</v>
      </c>
      <c r="P6">
        <v>0</v>
      </c>
      <c r="Q6">
        <v>0</v>
      </c>
      <c r="R6">
        <v>2850000000</v>
      </c>
      <c r="S6">
        <v>25494000000</v>
      </c>
      <c r="T6">
        <v>4046000000</v>
      </c>
      <c r="U6">
        <v>0</v>
      </c>
      <c r="V6">
        <v>21448000000</v>
      </c>
      <c r="W6">
        <v>0</v>
      </c>
      <c r="X6">
        <v>25352000000</v>
      </c>
      <c r="Y6">
        <v>28202000000</v>
      </c>
      <c r="Z6">
        <v>21448000000</v>
      </c>
    </row>
    <row r="7" spans="1:26">
      <c r="A7" s="24" t="s">
        <v>235</v>
      </c>
      <c r="B7" t="s">
        <v>45</v>
      </c>
      <c r="C7">
        <v>42271000000</v>
      </c>
      <c r="D7">
        <v>90753000000</v>
      </c>
      <c r="E7">
        <v>48482000000</v>
      </c>
      <c r="F7">
        <v>48482000000</v>
      </c>
      <c r="G7">
        <v>27900000000</v>
      </c>
      <c r="H7">
        <v>6468000000</v>
      </c>
      <c r="I7">
        <v>7903000000</v>
      </c>
      <c r="J7">
        <v>14213000000</v>
      </c>
      <c r="K7">
        <v>0</v>
      </c>
      <c r="L7">
        <v>0</v>
      </c>
      <c r="M7">
        <v>0</v>
      </c>
      <c r="N7">
        <v>0</v>
      </c>
      <c r="O7">
        <v>0</v>
      </c>
      <c r="P7">
        <v>0</v>
      </c>
      <c r="Q7">
        <v>0</v>
      </c>
      <c r="R7">
        <v>2836000000</v>
      </c>
      <c r="S7">
        <v>28058000000</v>
      </c>
      <c r="T7">
        <v>4422000000</v>
      </c>
      <c r="U7">
        <v>0</v>
      </c>
      <c r="V7">
        <v>23636000000</v>
      </c>
      <c r="W7">
        <v>0</v>
      </c>
      <c r="X7">
        <v>27900000000</v>
      </c>
      <c r="Y7">
        <v>30736000000</v>
      </c>
      <c r="Z7">
        <v>23636000000</v>
      </c>
    </row>
    <row r="8" spans="1:26">
      <c r="A8" s="24" t="s">
        <v>43</v>
      </c>
      <c r="B8" t="s">
        <v>45</v>
      </c>
      <c r="C8">
        <v>54855000000</v>
      </c>
      <c r="D8">
        <v>119575000000</v>
      </c>
      <c r="E8">
        <v>64720000000</v>
      </c>
      <c r="F8">
        <v>64720000000</v>
      </c>
      <c r="G8">
        <v>40373000000</v>
      </c>
      <c r="H8">
        <v>6786000000</v>
      </c>
      <c r="I8">
        <v>7696000000</v>
      </c>
      <c r="J8">
        <v>14532000000</v>
      </c>
      <c r="K8">
        <v>0</v>
      </c>
      <c r="L8">
        <v>0</v>
      </c>
      <c r="M8">
        <v>0</v>
      </c>
      <c r="N8">
        <v>1002000000</v>
      </c>
      <c r="O8">
        <v>0</v>
      </c>
      <c r="P8">
        <v>0</v>
      </c>
      <c r="Q8">
        <v>0</v>
      </c>
      <c r="R8">
        <v>2848000000</v>
      </c>
      <c r="S8">
        <v>40323000000</v>
      </c>
      <c r="T8">
        <v>6407000000</v>
      </c>
      <c r="U8">
        <v>0</v>
      </c>
      <c r="V8">
        <v>33916000000</v>
      </c>
      <c r="W8">
        <v>0</v>
      </c>
      <c r="X8">
        <v>40373000000</v>
      </c>
      <c r="Y8">
        <v>43221000000</v>
      </c>
      <c r="Z8">
        <v>33916000000</v>
      </c>
    </row>
    <row r="9" spans="1:26">
      <c r="A9" s="24">
        <v>45199</v>
      </c>
      <c r="B9" t="s">
        <v>45</v>
      </c>
      <c r="C9">
        <v>40427000000</v>
      </c>
      <c r="D9">
        <v>89498000000</v>
      </c>
      <c r="E9">
        <v>49071000000</v>
      </c>
      <c r="F9">
        <v>49071000000</v>
      </c>
      <c r="G9">
        <v>26969000000</v>
      </c>
      <c r="H9">
        <v>6151000000</v>
      </c>
      <c r="I9">
        <v>7307000000</v>
      </c>
      <c r="J9">
        <v>13411000000</v>
      </c>
      <c r="K9">
        <v>0</v>
      </c>
      <c r="L9">
        <v>-18000000</v>
      </c>
      <c r="M9">
        <v>984000000</v>
      </c>
      <c r="N9">
        <v>1002000000</v>
      </c>
      <c r="O9">
        <v>0</v>
      </c>
      <c r="P9">
        <v>565000000</v>
      </c>
      <c r="Q9">
        <v>0</v>
      </c>
      <c r="R9">
        <v>2653000000</v>
      </c>
      <c r="S9">
        <v>26998000000</v>
      </c>
      <c r="T9">
        <v>4042000000</v>
      </c>
      <c r="U9">
        <v>0</v>
      </c>
      <c r="V9">
        <v>22956000000</v>
      </c>
      <c r="W9">
        <v>0</v>
      </c>
      <c r="X9">
        <v>26969000000</v>
      </c>
      <c r="Y9">
        <v>29622000000</v>
      </c>
      <c r="Z9">
        <v>22956000000</v>
      </c>
    </row>
    <row r="10" spans="1:26">
      <c r="A10" s="24">
        <v>45107</v>
      </c>
      <c r="B10" t="s">
        <v>45</v>
      </c>
      <c r="C10">
        <v>36413000000</v>
      </c>
      <c r="D10">
        <v>81797000000</v>
      </c>
      <c r="E10">
        <v>45384000000</v>
      </c>
      <c r="F10">
        <v>45384000000</v>
      </c>
      <c r="G10">
        <v>22998000000</v>
      </c>
      <c r="H10">
        <v>5973000000</v>
      </c>
      <c r="I10">
        <v>7442000000</v>
      </c>
      <c r="J10">
        <v>13415000000</v>
      </c>
      <c r="K10">
        <v>0</v>
      </c>
      <c r="L10">
        <v>-18000000</v>
      </c>
      <c r="M10">
        <v>980000000</v>
      </c>
      <c r="N10">
        <v>998000000</v>
      </c>
      <c r="O10">
        <v>0</v>
      </c>
      <c r="P10">
        <v>-265000000</v>
      </c>
      <c r="Q10">
        <v>0</v>
      </c>
      <c r="R10">
        <v>3052000000</v>
      </c>
      <c r="S10">
        <v>22733000000</v>
      </c>
      <c r="T10">
        <v>2852000000</v>
      </c>
      <c r="U10">
        <v>0</v>
      </c>
      <c r="V10">
        <v>19881000000</v>
      </c>
      <c r="W10">
        <v>0</v>
      </c>
      <c r="X10">
        <v>22998000000</v>
      </c>
      <c r="Y10">
        <v>26050000000</v>
      </c>
      <c r="Z10">
        <v>19881000000</v>
      </c>
    </row>
    <row r="11" spans="1:26">
      <c r="A11" s="24">
        <v>45016</v>
      </c>
      <c r="B11" t="s">
        <v>45</v>
      </c>
      <c r="C11">
        <v>41976000000</v>
      </c>
      <c r="D11">
        <v>94836000000</v>
      </c>
      <c r="E11">
        <v>52860000000</v>
      </c>
      <c r="F11">
        <v>52860000000</v>
      </c>
      <c r="G11">
        <v>28318000000</v>
      </c>
      <c r="H11">
        <v>6201000000</v>
      </c>
      <c r="I11">
        <v>7457000000</v>
      </c>
      <c r="J11">
        <v>13594000000</v>
      </c>
      <c r="K11">
        <v>0</v>
      </c>
      <c r="L11">
        <v>-12000000</v>
      </c>
      <c r="M11">
        <v>918000000</v>
      </c>
      <c r="N11">
        <v>930000000</v>
      </c>
      <c r="O11">
        <v>0</v>
      </c>
      <c r="P11">
        <v>64000000</v>
      </c>
      <c r="Q11">
        <v>0</v>
      </c>
      <c r="R11">
        <v>2898000000</v>
      </c>
      <c r="S11">
        <v>28382000000</v>
      </c>
      <c r="T11">
        <v>4222000000</v>
      </c>
      <c r="U11">
        <v>0</v>
      </c>
      <c r="V11">
        <v>24160000000</v>
      </c>
      <c r="W11">
        <v>0</v>
      </c>
      <c r="X11">
        <v>28318000000</v>
      </c>
      <c r="Y11">
        <v>31216000000</v>
      </c>
      <c r="Z11">
        <v>24160000000</v>
      </c>
    </row>
    <row r="12" spans="1:26">
      <c r="A12" s="24">
        <v>44926</v>
      </c>
      <c r="B12" t="s">
        <v>45</v>
      </c>
      <c r="C12">
        <v>50332000000</v>
      </c>
      <c r="D12">
        <v>117154000000</v>
      </c>
      <c r="E12">
        <v>66822000000</v>
      </c>
      <c r="F12">
        <v>66822000000</v>
      </c>
      <c r="G12">
        <v>36016000000</v>
      </c>
      <c r="H12">
        <v>6607000000</v>
      </c>
      <c r="I12">
        <v>7709000000</v>
      </c>
      <c r="J12">
        <v>14709000000</v>
      </c>
      <c r="K12">
        <v>0</v>
      </c>
      <c r="L12">
        <v>-135000000</v>
      </c>
      <c r="M12">
        <v>868000000</v>
      </c>
      <c r="N12">
        <v>1003000000</v>
      </c>
      <c r="O12">
        <v>0</v>
      </c>
      <c r="P12">
        <v>-393000000</v>
      </c>
      <c r="Q12">
        <v>0</v>
      </c>
      <c r="R12">
        <v>2916000000</v>
      </c>
      <c r="S12">
        <v>35623000000</v>
      </c>
      <c r="T12">
        <v>5625000000</v>
      </c>
      <c r="U12">
        <v>0</v>
      </c>
      <c r="V12">
        <v>29998000000</v>
      </c>
      <c r="W12">
        <v>0</v>
      </c>
      <c r="X12">
        <v>36016000000</v>
      </c>
      <c r="Y12">
        <v>38932000000</v>
      </c>
      <c r="Z12">
        <v>29998000000</v>
      </c>
    </row>
    <row r="13" spans="1:26">
      <c r="A13" s="24">
        <v>44834</v>
      </c>
      <c r="B13" t="s">
        <v>45</v>
      </c>
      <c r="C13">
        <v>38095000000</v>
      </c>
      <c r="D13">
        <v>90146000000</v>
      </c>
      <c r="E13">
        <v>52051000000</v>
      </c>
      <c r="F13">
        <v>52051000000</v>
      </c>
      <c r="G13">
        <v>24894000000</v>
      </c>
      <c r="H13">
        <v>6440000000</v>
      </c>
      <c r="I13">
        <v>6761000000</v>
      </c>
      <c r="J13">
        <v>13201000000</v>
      </c>
      <c r="K13">
        <v>0</v>
      </c>
      <c r="L13">
        <v>-74000000</v>
      </c>
      <c r="M13">
        <v>753000000</v>
      </c>
      <c r="N13">
        <v>827000000</v>
      </c>
      <c r="O13">
        <v>0</v>
      </c>
      <c r="P13">
        <v>237000000</v>
      </c>
      <c r="Q13">
        <v>0</v>
      </c>
      <c r="R13">
        <v>2865000000</v>
      </c>
      <c r="S13">
        <v>24657000000</v>
      </c>
      <c r="T13">
        <v>3936000000</v>
      </c>
      <c r="U13">
        <v>0</v>
      </c>
      <c r="V13">
        <v>20721000000</v>
      </c>
      <c r="W13">
        <v>0</v>
      </c>
      <c r="X13">
        <v>25484000000</v>
      </c>
      <c r="Y13">
        <v>28349000000</v>
      </c>
      <c r="Z13">
        <v>20721000000</v>
      </c>
    </row>
    <row r="14" spans="1:26">
      <c r="A14" s="24">
        <v>44742</v>
      </c>
      <c r="B14" t="s">
        <v>45</v>
      </c>
      <c r="C14">
        <v>35885000000</v>
      </c>
      <c r="D14">
        <v>82959000000</v>
      </c>
      <c r="E14">
        <v>47074000000</v>
      </c>
      <c r="F14">
        <v>47074000000</v>
      </c>
      <c r="G14">
        <v>23076000000</v>
      </c>
      <c r="H14">
        <v>6012000000</v>
      </c>
      <c r="I14">
        <v>6797000000</v>
      </c>
      <c r="J14">
        <v>12809000000</v>
      </c>
      <c r="K14">
        <v>0</v>
      </c>
      <c r="L14">
        <v>3000000</v>
      </c>
      <c r="M14">
        <v>722000000</v>
      </c>
      <c r="N14">
        <v>719000000</v>
      </c>
      <c r="O14">
        <v>0</v>
      </c>
      <c r="P14">
        <v>10000000</v>
      </c>
      <c r="Q14">
        <v>0</v>
      </c>
      <c r="R14">
        <v>2805000000</v>
      </c>
      <c r="S14">
        <v>23066000000</v>
      </c>
      <c r="T14">
        <v>3624000000</v>
      </c>
      <c r="U14">
        <v>0</v>
      </c>
      <c r="V14">
        <v>19442000000</v>
      </c>
      <c r="W14">
        <v>0</v>
      </c>
      <c r="X14">
        <v>23785000000</v>
      </c>
      <c r="Y14">
        <v>26590000000</v>
      </c>
      <c r="Z14">
        <v>19442000000</v>
      </c>
    </row>
    <row r="15" spans="1:26">
      <c r="A15" s="24">
        <v>44651</v>
      </c>
      <c r="B15" t="s">
        <v>45</v>
      </c>
      <c r="C15">
        <v>42559000000</v>
      </c>
      <c r="D15">
        <v>97278000000</v>
      </c>
      <c r="E15">
        <v>54719000000</v>
      </c>
      <c r="F15">
        <v>54719000000</v>
      </c>
      <c r="G15">
        <v>29979000000</v>
      </c>
      <c r="H15">
        <v>6193000000</v>
      </c>
      <c r="I15">
        <v>6387000000</v>
      </c>
      <c r="J15">
        <v>12580000000</v>
      </c>
      <c r="K15">
        <v>0</v>
      </c>
      <c r="L15">
        <v>9000000</v>
      </c>
      <c r="M15">
        <v>700000000</v>
      </c>
      <c r="N15">
        <v>691000000</v>
      </c>
      <c r="O15">
        <v>0</v>
      </c>
      <c r="P15">
        <v>160000000</v>
      </c>
      <c r="Q15">
        <v>0</v>
      </c>
      <c r="R15">
        <v>2737000000</v>
      </c>
      <c r="S15">
        <v>30139000000</v>
      </c>
      <c r="T15">
        <v>5129000000</v>
      </c>
      <c r="U15">
        <v>0</v>
      </c>
      <c r="V15">
        <v>25010000000</v>
      </c>
      <c r="W15">
        <v>0</v>
      </c>
      <c r="X15">
        <v>30830000000</v>
      </c>
      <c r="Y15">
        <v>33567000000</v>
      </c>
      <c r="Z15">
        <v>25010000000</v>
      </c>
    </row>
    <row r="16" spans="1:26">
      <c r="A16" s="24">
        <v>44561</v>
      </c>
      <c r="B16" t="s">
        <v>45</v>
      </c>
      <c r="C16">
        <v>54243000000</v>
      </c>
      <c r="D16">
        <v>123945000000</v>
      </c>
      <c r="E16">
        <v>69702000000</v>
      </c>
      <c r="F16">
        <v>69702000000</v>
      </c>
      <c r="G16">
        <v>41488000000</v>
      </c>
      <c r="H16">
        <v>6449000000</v>
      </c>
      <c r="I16">
        <v>6306000000</v>
      </c>
      <c r="J16">
        <v>12755000000</v>
      </c>
      <c r="K16">
        <v>0</v>
      </c>
      <c r="L16">
        <v>-44000000</v>
      </c>
      <c r="M16">
        <v>650000000</v>
      </c>
      <c r="N16">
        <v>694000000</v>
      </c>
      <c r="O16">
        <v>0</v>
      </c>
      <c r="P16">
        <v>247000000</v>
      </c>
      <c r="Q16">
        <v>0</v>
      </c>
      <c r="R16">
        <v>2697000000</v>
      </c>
      <c r="S16">
        <v>41241000000</v>
      </c>
      <c r="T16">
        <v>6611000000</v>
      </c>
      <c r="U16">
        <v>0</v>
      </c>
      <c r="V16">
        <v>34630000000</v>
      </c>
      <c r="W16">
        <v>0</v>
      </c>
      <c r="X16">
        <v>41935000000</v>
      </c>
      <c r="Y16">
        <v>44632000000</v>
      </c>
      <c r="Z16">
        <v>34630000000</v>
      </c>
    </row>
    <row r="17" spans="1:26">
      <c r="A17" s="24">
        <v>44469</v>
      </c>
      <c r="B17" t="s">
        <v>45</v>
      </c>
      <c r="C17">
        <v>35174000000</v>
      </c>
      <c r="D17">
        <v>83360000000</v>
      </c>
      <c r="E17">
        <v>48186000000</v>
      </c>
      <c r="F17">
        <v>48186000000</v>
      </c>
      <c r="G17">
        <v>23786000000</v>
      </c>
      <c r="H17">
        <v>5616000000</v>
      </c>
      <c r="I17">
        <v>5772000000</v>
      </c>
      <c r="J17">
        <v>11388000000</v>
      </c>
      <c r="K17">
        <v>0</v>
      </c>
      <c r="L17">
        <v>-13000000</v>
      </c>
      <c r="M17">
        <v>659000000</v>
      </c>
      <c r="N17">
        <v>672000000</v>
      </c>
      <c r="O17">
        <v>0</v>
      </c>
      <c r="P17">
        <v>538000000</v>
      </c>
      <c r="Q17">
        <v>0</v>
      </c>
      <c r="R17">
        <v>2989000000</v>
      </c>
      <c r="S17">
        <v>23248000000</v>
      </c>
      <c r="T17">
        <v>2697000000</v>
      </c>
      <c r="U17">
        <v>0</v>
      </c>
      <c r="V17">
        <v>20551000000</v>
      </c>
      <c r="W17">
        <v>0</v>
      </c>
      <c r="X17">
        <v>23920000000</v>
      </c>
      <c r="Y17">
        <v>26909000000</v>
      </c>
      <c r="Z17">
        <v>20551000000</v>
      </c>
    </row>
    <row r="18" spans="1:26">
      <c r="A18" s="24">
        <v>44377</v>
      </c>
      <c r="B18" t="s">
        <v>45</v>
      </c>
      <c r="C18">
        <v>35255000000</v>
      </c>
      <c r="D18">
        <v>81434000000</v>
      </c>
      <c r="E18">
        <v>46179000000</v>
      </c>
      <c r="F18">
        <v>46179000000</v>
      </c>
      <c r="G18">
        <v>24126000000</v>
      </c>
      <c r="H18">
        <v>5412000000</v>
      </c>
      <c r="I18">
        <v>5717000000</v>
      </c>
      <c r="J18">
        <v>11129000000</v>
      </c>
      <c r="K18">
        <v>0</v>
      </c>
      <c r="L18">
        <v>54000000</v>
      </c>
      <c r="M18">
        <v>719000000</v>
      </c>
      <c r="N18">
        <v>665000000</v>
      </c>
      <c r="O18">
        <v>0</v>
      </c>
      <c r="P18">
        <v>243000000</v>
      </c>
      <c r="Q18">
        <v>0</v>
      </c>
      <c r="R18">
        <v>2832000000</v>
      </c>
      <c r="S18">
        <v>24369000000</v>
      </c>
      <c r="T18">
        <v>2625000000</v>
      </c>
      <c r="U18">
        <v>0</v>
      </c>
      <c r="V18">
        <v>21744000000</v>
      </c>
      <c r="W18">
        <v>0</v>
      </c>
      <c r="X18">
        <v>25034000000</v>
      </c>
      <c r="Y18">
        <v>27866000000</v>
      </c>
      <c r="Z18">
        <v>21744000000</v>
      </c>
    </row>
    <row r="19" spans="1:26">
      <c r="A19" s="24">
        <v>44286</v>
      </c>
      <c r="B19" t="s">
        <v>45</v>
      </c>
      <c r="C19">
        <v>38079000000</v>
      </c>
      <c r="D19">
        <v>89584000000</v>
      </c>
      <c r="E19">
        <v>51505000000</v>
      </c>
      <c r="F19">
        <v>51505000000</v>
      </c>
      <c r="G19">
        <v>27503000000</v>
      </c>
      <c r="H19">
        <v>5314000000</v>
      </c>
      <c r="I19">
        <v>5262000000</v>
      </c>
      <c r="J19">
        <v>10576000000</v>
      </c>
      <c r="K19">
        <v>0</v>
      </c>
      <c r="L19">
        <v>48000000</v>
      </c>
      <c r="M19">
        <v>718000000</v>
      </c>
      <c r="N19">
        <v>670000000</v>
      </c>
      <c r="O19">
        <v>0</v>
      </c>
      <c r="P19">
        <v>508000000</v>
      </c>
      <c r="Q19">
        <v>0</v>
      </c>
      <c r="R19">
        <v>2797000000</v>
      </c>
      <c r="S19">
        <v>28011000000</v>
      </c>
      <c r="T19">
        <v>4381000000</v>
      </c>
      <c r="U19">
        <v>0</v>
      </c>
      <c r="V19">
        <v>23630000000</v>
      </c>
      <c r="W19">
        <v>0</v>
      </c>
      <c r="X19">
        <v>28681000000</v>
      </c>
      <c r="Y19">
        <v>31478000000</v>
      </c>
      <c r="Z19">
        <v>23630000000</v>
      </c>
    </row>
    <row r="20" spans="1:26">
      <c r="A20" s="24">
        <v>44196</v>
      </c>
      <c r="B20" t="s">
        <v>45</v>
      </c>
      <c r="C20">
        <v>44328000000</v>
      </c>
      <c r="D20">
        <v>111439000000</v>
      </c>
      <c r="E20">
        <v>67111000000</v>
      </c>
      <c r="F20">
        <v>67111000000</v>
      </c>
      <c r="G20">
        <v>33534000000</v>
      </c>
      <c r="H20">
        <v>5631000000</v>
      </c>
      <c r="I20">
        <v>5163000000</v>
      </c>
      <c r="J20">
        <v>10794000000</v>
      </c>
      <c r="K20">
        <v>0</v>
      </c>
      <c r="L20">
        <v>109000000</v>
      </c>
      <c r="M20">
        <v>747000000</v>
      </c>
      <c r="N20">
        <v>638000000</v>
      </c>
      <c r="O20">
        <v>0</v>
      </c>
      <c r="P20">
        <v>45000000</v>
      </c>
      <c r="Q20">
        <v>0</v>
      </c>
      <c r="R20">
        <v>2666000000</v>
      </c>
      <c r="S20">
        <v>33579000000</v>
      </c>
      <c r="T20">
        <v>4824000000</v>
      </c>
      <c r="U20">
        <v>0</v>
      </c>
      <c r="V20">
        <v>28755000000</v>
      </c>
      <c r="W20">
        <v>0</v>
      </c>
      <c r="X20">
        <v>34217000000</v>
      </c>
      <c r="Y20">
        <v>36883000000</v>
      </c>
      <c r="Z20">
        <v>28755000000</v>
      </c>
    </row>
    <row r="21" spans="1:26">
      <c r="A21" s="24">
        <v>44104</v>
      </c>
      <c r="B21" t="s">
        <v>45</v>
      </c>
      <c r="C21">
        <v>24689000000</v>
      </c>
      <c r="D21">
        <v>64698000000</v>
      </c>
      <c r="E21">
        <v>40009000000</v>
      </c>
      <c r="F21">
        <v>40009000000</v>
      </c>
      <c r="G21">
        <v>14775000000</v>
      </c>
      <c r="H21">
        <v>4936000000</v>
      </c>
      <c r="I21">
        <v>4978000000</v>
      </c>
      <c r="J21">
        <v>9914000000</v>
      </c>
      <c r="K21">
        <v>0</v>
      </c>
      <c r="L21">
        <v>134000000</v>
      </c>
      <c r="M21">
        <v>134000000</v>
      </c>
      <c r="N21">
        <v>634000000</v>
      </c>
      <c r="O21">
        <v>0</v>
      </c>
      <c r="P21">
        <v>126000000</v>
      </c>
      <c r="Q21">
        <v>0</v>
      </c>
      <c r="R21">
        <v>2702000000</v>
      </c>
      <c r="S21">
        <v>14901000000</v>
      </c>
      <c r="T21">
        <v>2228000000</v>
      </c>
      <c r="U21">
        <v>0</v>
      </c>
      <c r="V21">
        <v>12673000000</v>
      </c>
      <c r="W21">
        <v>0</v>
      </c>
      <c r="X21">
        <v>15535000000</v>
      </c>
      <c r="Y21">
        <v>18237000000</v>
      </c>
      <c r="Z21">
        <v>12673000000</v>
      </c>
    </row>
    <row r="22" spans="1:26">
      <c r="A22" s="24">
        <v>44012</v>
      </c>
      <c r="B22" t="s">
        <v>45</v>
      </c>
      <c r="C22">
        <v>22680000000</v>
      </c>
      <c r="D22">
        <v>59685000000</v>
      </c>
      <c r="E22">
        <v>37005000000</v>
      </c>
      <c r="F22">
        <v>37005000000</v>
      </c>
      <c r="G22">
        <v>13091000000</v>
      </c>
      <c r="H22">
        <v>4831000000</v>
      </c>
      <c r="I22">
        <v>4758000000</v>
      </c>
      <c r="J22">
        <v>9589000000</v>
      </c>
      <c r="K22">
        <v>0</v>
      </c>
      <c r="L22">
        <v>204000000</v>
      </c>
      <c r="M22">
        <v>901000000</v>
      </c>
      <c r="N22">
        <v>697000000</v>
      </c>
      <c r="O22">
        <v>0</v>
      </c>
      <c r="P22">
        <v>46000000</v>
      </c>
      <c r="Q22">
        <v>0</v>
      </c>
      <c r="R22">
        <v>2752000000</v>
      </c>
      <c r="S22">
        <v>13137000000</v>
      </c>
      <c r="T22">
        <v>1884000000</v>
      </c>
      <c r="U22">
        <v>0</v>
      </c>
      <c r="V22">
        <v>11253000000</v>
      </c>
      <c r="W22">
        <v>0</v>
      </c>
      <c r="X22">
        <v>13834000000</v>
      </c>
      <c r="Y22">
        <v>16586000000</v>
      </c>
      <c r="Z22">
        <v>11253000000</v>
      </c>
    </row>
    <row r="23" spans="1:26">
      <c r="A23" s="24">
        <v>43921</v>
      </c>
      <c r="B23" t="s">
        <v>45</v>
      </c>
      <c r="C23">
        <v>22370000000</v>
      </c>
      <c r="D23">
        <v>58313000000</v>
      </c>
      <c r="E23">
        <v>35943000000</v>
      </c>
      <c r="F23">
        <v>35943000000</v>
      </c>
      <c r="G23">
        <v>12853000000</v>
      </c>
      <c r="H23">
        <v>4952000000</v>
      </c>
      <c r="I23">
        <v>4565000000</v>
      </c>
      <c r="J23">
        <v>9517000000</v>
      </c>
      <c r="K23">
        <v>0</v>
      </c>
      <c r="L23">
        <v>292000000</v>
      </c>
      <c r="M23">
        <v>1049000000</v>
      </c>
      <c r="N23">
        <v>757000000</v>
      </c>
      <c r="O23">
        <v>0</v>
      </c>
      <c r="P23">
        <v>282000000</v>
      </c>
      <c r="Q23">
        <v>0</v>
      </c>
      <c r="R23">
        <v>2786000000</v>
      </c>
      <c r="S23">
        <v>13135000000</v>
      </c>
      <c r="T23">
        <v>1886000000</v>
      </c>
      <c r="U23">
        <v>0</v>
      </c>
      <c r="V23">
        <v>11249000000</v>
      </c>
      <c r="W23">
        <v>0</v>
      </c>
      <c r="X23">
        <v>13892000000</v>
      </c>
      <c r="Y23">
        <v>16678000000</v>
      </c>
      <c r="Z23">
        <v>11249000000</v>
      </c>
    </row>
    <row r="24" spans="1:26">
      <c r="A24" s="24">
        <v>43830</v>
      </c>
      <c r="B24" t="s">
        <v>45</v>
      </c>
      <c r="C24">
        <v>35217000000</v>
      </c>
      <c r="D24">
        <v>91819000000</v>
      </c>
      <c r="E24">
        <v>56602000000</v>
      </c>
      <c r="F24">
        <v>56602000000</v>
      </c>
      <c r="G24">
        <v>25569000000</v>
      </c>
      <c r="H24">
        <v>5197000000</v>
      </c>
      <c r="I24">
        <v>4451000000</v>
      </c>
      <c r="J24">
        <v>9648000000</v>
      </c>
      <c r="K24">
        <v>0</v>
      </c>
      <c r="L24">
        <v>260000000</v>
      </c>
      <c r="M24">
        <v>1045000000</v>
      </c>
      <c r="N24">
        <v>785000000</v>
      </c>
      <c r="O24">
        <v>0</v>
      </c>
      <c r="P24">
        <v>349000000</v>
      </c>
      <c r="Q24">
        <v>0</v>
      </c>
      <c r="R24">
        <v>2816000000</v>
      </c>
      <c r="S24">
        <v>25918000000</v>
      </c>
      <c r="T24">
        <v>3682000000</v>
      </c>
      <c r="U24">
        <v>0</v>
      </c>
      <c r="V24">
        <v>22236000000</v>
      </c>
      <c r="W24">
        <v>0</v>
      </c>
      <c r="X24">
        <v>26703000000</v>
      </c>
      <c r="Y24">
        <v>29519000000</v>
      </c>
      <c r="Z24">
        <v>22236000000</v>
      </c>
    </row>
    <row r="25" spans="1:26">
      <c r="A25" s="24">
        <v>43738</v>
      </c>
      <c r="B25" t="s">
        <v>45</v>
      </c>
      <c r="C25">
        <v>24313000000</v>
      </c>
      <c r="D25">
        <v>64040000000</v>
      </c>
      <c r="E25">
        <v>39727000000</v>
      </c>
      <c r="F25">
        <v>39727000000</v>
      </c>
      <c r="G25">
        <v>15625000000</v>
      </c>
      <c r="H25">
        <v>4578000000</v>
      </c>
      <c r="I25">
        <v>4110000000</v>
      </c>
      <c r="J25">
        <v>8688000000</v>
      </c>
      <c r="K25">
        <v>0</v>
      </c>
      <c r="L25">
        <v>296000000</v>
      </c>
      <c r="M25">
        <v>1106000000</v>
      </c>
      <c r="N25">
        <v>810000000</v>
      </c>
      <c r="O25">
        <v>0</v>
      </c>
      <c r="P25">
        <v>502000000</v>
      </c>
      <c r="Q25">
        <v>0</v>
      </c>
      <c r="R25">
        <v>3179000000</v>
      </c>
      <c r="S25">
        <v>16127000000</v>
      </c>
      <c r="T25">
        <v>2441000000</v>
      </c>
      <c r="U25">
        <v>0</v>
      </c>
      <c r="V25">
        <v>13686000000</v>
      </c>
      <c r="W25">
        <v>0</v>
      </c>
      <c r="X25">
        <v>15690000000</v>
      </c>
      <c r="Y25">
        <v>18869000000</v>
      </c>
      <c r="Z25">
        <v>13686000000</v>
      </c>
    </row>
    <row r="26" spans="1:26">
      <c r="A26" s="24">
        <v>43646</v>
      </c>
      <c r="B26" t="s">
        <v>45</v>
      </c>
      <c r="C26">
        <v>20227000000</v>
      </c>
      <c r="D26">
        <v>53809000000</v>
      </c>
      <c r="E26">
        <v>33582000000</v>
      </c>
      <c r="F26">
        <v>33582000000</v>
      </c>
      <c r="G26">
        <v>11544000000</v>
      </c>
      <c r="H26">
        <v>4426000000</v>
      </c>
      <c r="I26">
        <v>4257000000</v>
      </c>
      <c r="J26">
        <v>8683000000</v>
      </c>
      <c r="K26">
        <v>0</v>
      </c>
      <c r="L26">
        <v>324000000</v>
      </c>
      <c r="M26">
        <v>1190000000</v>
      </c>
      <c r="N26">
        <v>866000000</v>
      </c>
      <c r="O26">
        <v>0</v>
      </c>
      <c r="P26">
        <v>367000000</v>
      </c>
      <c r="Q26">
        <v>0</v>
      </c>
      <c r="R26">
        <v>2933000000</v>
      </c>
      <c r="S26">
        <v>11911000000</v>
      </c>
      <c r="T26">
        <v>1867000000</v>
      </c>
      <c r="U26">
        <v>0</v>
      </c>
      <c r="V26">
        <v>10044000000</v>
      </c>
      <c r="W26">
        <v>0</v>
      </c>
      <c r="X26">
        <v>12777000000</v>
      </c>
      <c r="Y26">
        <v>15710000000</v>
      </c>
      <c r="Z26">
        <v>10044000000</v>
      </c>
    </row>
    <row r="27" spans="1:26">
      <c r="A27" s="24">
        <v>43555</v>
      </c>
      <c r="B27" t="s">
        <v>45</v>
      </c>
      <c r="C27">
        <v>21821000000</v>
      </c>
      <c r="D27">
        <v>58015000000</v>
      </c>
      <c r="E27">
        <v>36194000000</v>
      </c>
      <c r="F27">
        <v>36194000000</v>
      </c>
      <c r="G27">
        <v>13415000000</v>
      </c>
      <c r="H27">
        <v>4458000000</v>
      </c>
      <c r="I27">
        <v>3948000000</v>
      </c>
      <c r="J27">
        <v>8406000000</v>
      </c>
      <c r="K27">
        <v>0</v>
      </c>
      <c r="L27">
        <v>348000000</v>
      </c>
      <c r="M27">
        <v>1358000000</v>
      </c>
      <c r="N27">
        <v>1010000000</v>
      </c>
      <c r="O27">
        <v>0</v>
      </c>
      <c r="P27">
        <v>378000000</v>
      </c>
      <c r="Q27">
        <v>0</v>
      </c>
      <c r="R27">
        <v>3040000000</v>
      </c>
      <c r="S27">
        <v>13793000000</v>
      </c>
      <c r="T27">
        <v>2232000000</v>
      </c>
      <c r="U27">
        <v>0</v>
      </c>
      <c r="V27">
        <v>11561000000</v>
      </c>
      <c r="W27">
        <v>0</v>
      </c>
      <c r="X27">
        <v>14803000000</v>
      </c>
      <c r="Y27">
        <v>17843000000</v>
      </c>
      <c r="Z27">
        <v>11561000000</v>
      </c>
    </row>
    <row r="28" spans="1:26">
      <c r="A28" s="24">
        <v>43465</v>
      </c>
      <c r="B28" t="s">
        <v>45</v>
      </c>
      <c r="C28">
        <v>32031000000</v>
      </c>
      <c r="D28">
        <v>84310000000</v>
      </c>
      <c r="E28">
        <v>52279000000</v>
      </c>
      <c r="F28">
        <v>52279000000</v>
      </c>
      <c r="G28">
        <v>23346000000</v>
      </c>
      <c r="H28">
        <v>4783000000</v>
      </c>
      <c r="I28">
        <v>3902000000</v>
      </c>
      <c r="J28">
        <v>8685000000</v>
      </c>
      <c r="K28">
        <v>0</v>
      </c>
      <c r="L28">
        <v>0</v>
      </c>
      <c r="M28">
        <v>0</v>
      </c>
      <c r="N28">
        <v>890000000</v>
      </c>
      <c r="O28">
        <v>0</v>
      </c>
      <c r="P28">
        <v>560000000</v>
      </c>
      <c r="Q28">
        <v>0</v>
      </c>
      <c r="R28">
        <v>3395000000</v>
      </c>
      <c r="S28">
        <v>23906000000</v>
      </c>
      <c r="T28">
        <v>3941000000</v>
      </c>
      <c r="U28">
        <v>0</v>
      </c>
      <c r="V28">
        <v>19965000000</v>
      </c>
      <c r="W28">
        <v>0</v>
      </c>
      <c r="X28">
        <v>24796000000</v>
      </c>
      <c r="Y28">
        <v>28191000000</v>
      </c>
      <c r="Z28">
        <v>19965000000</v>
      </c>
    </row>
    <row r="29" spans="1:26">
      <c r="A29" s="24">
        <v>43373</v>
      </c>
      <c r="B29" t="s">
        <v>45</v>
      </c>
      <c r="C29">
        <v>24084000000</v>
      </c>
      <c r="D29">
        <v>62900000000</v>
      </c>
      <c r="E29">
        <v>38816000000</v>
      </c>
      <c r="F29">
        <v>38816000000</v>
      </c>
      <c r="G29">
        <v>16118000000</v>
      </c>
      <c r="H29">
        <v>4216000000</v>
      </c>
      <c r="I29">
        <v>3750000000</v>
      </c>
      <c r="J29">
        <v>7966000000</v>
      </c>
      <c r="K29">
        <v>0</v>
      </c>
      <c r="L29">
        <v>0</v>
      </c>
      <c r="M29">
        <v>0</v>
      </c>
      <c r="N29">
        <v>868000000</v>
      </c>
      <c r="O29">
        <v>0</v>
      </c>
      <c r="P29">
        <v>303000000</v>
      </c>
      <c r="Q29">
        <v>0</v>
      </c>
      <c r="R29">
        <v>2754000000</v>
      </c>
      <c r="S29">
        <v>16421000000</v>
      </c>
      <c r="T29">
        <v>2296000000</v>
      </c>
      <c r="U29">
        <v>0</v>
      </c>
      <c r="V29">
        <v>14125000000</v>
      </c>
      <c r="W29">
        <v>0</v>
      </c>
      <c r="X29">
        <v>17289000000</v>
      </c>
      <c r="Y29">
        <v>20043000000</v>
      </c>
      <c r="Z29">
        <v>14125000000</v>
      </c>
    </row>
    <row r="30" spans="1:26">
      <c r="A30" s="24">
        <v>43281</v>
      </c>
      <c r="B30" t="s">
        <v>45</v>
      </c>
      <c r="C30">
        <v>20421000000</v>
      </c>
      <c r="D30">
        <v>53265000000</v>
      </c>
      <c r="E30">
        <v>32844000000</v>
      </c>
      <c r="F30">
        <v>32844000000</v>
      </c>
      <c r="G30">
        <v>12612000000</v>
      </c>
      <c r="H30">
        <v>4108000000</v>
      </c>
      <c r="I30">
        <v>3701000000</v>
      </c>
      <c r="J30">
        <v>7809000000</v>
      </c>
      <c r="K30">
        <v>0</v>
      </c>
      <c r="L30">
        <v>0</v>
      </c>
      <c r="M30">
        <v>0</v>
      </c>
      <c r="N30">
        <v>846000000</v>
      </c>
      <c r="O30">
        <v>0</v>
      </c>
      <c r="P30">
        <v>672000000</v>
      </c>
      <c r="Q30">
        <v>0</v>
      </c>
      <c r="R30">
        <v>2665000000</v>
      </c>
      <c r="S30">
        <v>13284000000</v>
      </c>
      <c r="T30">
        <v>1765000000</v>
      </c>
      <c r="U30">
        <v>0</v>
      </c>
      <c r="V30">
        <v>11519000000</v>
      </c>
      <c r="W30">
        <v>0</v>
      </c>
      <c r="X30">
        <v>12612000000</v>
      </c>
      <c r="Y30">
        <v>15277000000</v>
      </c>
      <c r="Z30">
        <v>11519000000</v>
      </c>
    </row>
    <row r="31" spans="1:26">
      <c r="A31" s="24">
        <v>43190</v>
      </c>
      <c r="B31" t="s">
        <v>45</v>
      </c>
      <c r="C31">
        <v>23422000000</v>
      </c>
      <c r="D31">
        <v>61137000000</v>
      </c>
      <c r="E31">
        <v>37715000000</v>
      </c>
      <c r="F31">
        <v>37715000000</v>
      </c>
      <c r="G31">
        <v>15894000000</v>
      </c>
      <c r="H31">
        <v>4150000000</v>
      </c>
      <c r="I31">
        <v>3378000000</v>
      </c>
      <c r="J31">
        <v>7528000000</v>
      </c>
      <c r="K31">
        <v>0</v>
      </c>
      <c r="L31">
        <v>0</v>
      </c>
      <c r="M31">
        <v>0</v>
      </c>
      <c r="N31">
        <v>792000000</v>
      </c>
      <c r="O31">
        <v>0</v>
      </c>
      <c r="P31">
        <v>274000000</v>
      </c>
      <c r="Q31">
        <v>0</v>
      </c>
      <c r="R31">
        <v>2739000000</v>
      </c>
      <c r="S31">
        <v>16168000000</v>
      </c>
      <c r="T31">
        <v>2346000000</v>
      </c>
      <c r="U31">
        <v>0</v>
      </c>
      <c r="V31">
        <v>13822000000</v>
      </c>
      <c r="W31">
        <v>0</v>
      </c>
      <c r="X31">
        <v>16960000000</v>
      </c>
      <c r="Y31">
        <v>19699000000</v>
      </c>
      <c r="Z31">
        <v>13822000000</v>
      </c>
    </row>
    <row r="32" spans="1:26">
      <c r="A32" s="24">
        <v>43100</v>
      </c>
      <c r="B32" t="s">
        <v>45</v>
      </c>
      <c r="C32">
        <v>33912000000</v>
      </c>
      <c r="D32">
        <v>88293000000</v>
      </c>
      <c r="E32">
        <v>54381000000</v>
      </c>
      <c r="F32">
        <v>54381000000</v>
      </c>
      <c r="G32">
        <v>26274000000</v>
      </c>
      <c r="H32">
        <v>4231000000</v>
      </c>
      <c r="I32">
        <v>3407000000</v>
      </c>
      <c r="J32">
        <v>7638000000</v>
      </c>
      <c r="K32">
        <v>0</v>
      </c>
      <c r="L32">
        <v>0</v>
      </c>
      <c r="M32">
        <v>0</v>
      </c>
      <c r="N32">
        <v>734000000</v>
      </c>
      <c r="O32">
        <v>0</v>
      </c>
      <c r="P32">
        <v>756000000</v>
      </c>
      <c r="Q32">
        <v>0</v>
      </c>
      <c r="R32">
        <v>2745000000</v>
      </c>
      <c r="S32">
        <v>27030000000</v>
      </c>
      <c r="T32">
        <v>6965000000</v>
      </c>
      <c r="U32">
        <v>0</v>
      </c>
      <c r="V32">
        <v>20065000000</v>
      </c>
      <c r="W32">
        <v>0</v>
      </c>
      <c r="X32">
        <v>26274000000</v>
      </c>
      <c r="Y32">
        <v>29019000000</v>
      </c>
      <c r="Z32">
        <v>20065000000</v>
      </c>
    </row>
    <row r="33" spans="1:38">
      <c r="A33" s="24">
        <v>43008</v>
      </c>
      <c r="B33" t="s">
        <v>45</v>
      </c>
      <c r="C33">
        <v>19931000000</v>
      </c>
      <c r="D33">
        <v>52579000000</v>
      </c>
      <c r="E33">
        <v>32648000000</v>
      </c>
      <c r="F33">
        <v>32648000000</v>
      </c>
      <c r="G33">
        <v>13120000000</v>
      </c>
      <c r="H33">
        <v>3814000000</v>
      </c>
      <c r="I33">
        <v>2997000000</v>
      </c>
      <c r="J33">
        <v>6811000000</v>
      </c>
      <c r="K33">
        <v>0</v>
      </c>
      <c r="L33">
        <v>0</v>
      </c>
      <c r="M33">
        <v>0</v>
      </c>
      <c r="N33">
        <v>666000000</v>
      </c>
      <c r="O33">
        <v>0</v>
      </c>
      <c r="P33">
        <v>797000000</v>
      </c>
      <c r="Q33">
        <v>0</v>
      </c>
      <c r="R33">
        <v>2484000000</v>
      </c>
      <c r="S33">
        <v>13917000000</v>
      </c>
      <c r="T33">
        <v>3203000000</v>
      </c>
      <c r="U33">
        <v>0</v>
      </c>
      <c r="V33">
        <v>10714000000</v>
      </c>
      <c r="W33">
        <v>0</v>
      </c>
      <c r="X33">
        <v>14583000000</v>
      </c>
      <c r="Y33">
        <v>17067000000</v>
      </c>
      <c r="Z33">
        <v>10714000000</v>
      </c>
    </row>
    <row r="34" spans="1:38">
      <c r="A34" s="24">
        <v>42916</v>
      </c>
      <c r="B34" t="s">
        <v>45</v>
      </c>
      <c r="C34">
        <v>17488000000</v>
      </c>
      <c r="D34">
        <v>45408000000</v>
      </c>
      <c r="E34">
        <v>27920000000</v>
      </c>
      <c r="F34">
        <v>27920000000</v>
      </c>
      <c r="G34">
        <v>10768000000</v>
      </c>
      <c r="H34">
        <v>3783000000</v>
      </c>
      <c r="I34">
        <v>2937000000</v>
      </c>
      <c r="J34">
        <v>6720000000</v>
      </c>
      <c r="K34">
        <v>0</v>
      </c>
      <c r="L34">
        <v>0</v>
      </c>
      <c r="M34">
        <v>0</v>
      </c>
      <c r="N34">
        <v>602000000</v>
      </c>
      <c r="O34">
        <v>0</v>
      </c>
      <c r="P34">
        <v>540000000</v>
      </c>
      <c r="Q34">
        <v>0</v>
      </c>
      <c r="R34">
        <v>2354000000</v>
      </c>
      <c r="S34">
        <v>11308000000</v>
      </c>
      <c r="T34">
        <v>2591000000</v>
      </c>
      <c r="U34">
        <v>0</v>
      </c>
      <c r="V34">
        <v>8717000000</v>
      </c>
      <c r="W34">
        <v>0</v>
      </c>
      <c r="X34">
        <v>10768000000</v>
      </c>
      <c r="Y34">
        <v>13122000000</v>
      </c>
      <c r="Z34">
        <v>8717000000</v>
      </c>
      <c r="AA34" t="s">
        <v>76</v>
      </c>
      <c r="AB34" t="s">
        <v>77</v>
      </c>
      <c r="AC34" t="s">
        <v>78</v>
      </c>
      <c r="AD34" t="s">
        <v>79</v>
      </c>
      <c r="AE34" t="s">
        <v>80</v>
      </c>
      <c r="AF34" t="s">
        <v>81</v>
      </c>
      <c r="AG34" t="s">
        <v>82</v>
      </c>
      <c r="AH34" t="s">
        <v>83</v>
      </c>
      <c r="AI34" t="s">
        <v>84</v>
      </c>
      <c r="AJ34" t="s">
        <v>85</v>
      </c>
      <c r="AK34" t="s">
        <v>86</v>
      </c>
      <c r="AL34" t="s">
        <v>87</v>
      </c>
    </row>
    <row r="35" spans="1:38">
      <c r="A35" s="24">
        <v>42825</v>
      </c>
      <c r="B35" t="s">
        <v>45</v>
      </c>
      <c r="C35">
        <v>20591000000</v>
      </c>
      <c r="D35">
        <v>52896000000</v>
      </c>
      <c r="E35">
        <v>32305000000</v>
      </c>
      <c r="F35">
        <v>32305000000</v>
      </c>
      <c r="G35">
        <v>14097000000</v>
      </c>
      <c r="H35">
        <v>3718000000</v>
      </c>
      <c r="I35">
        <v>2776000000</v>
      </c>
      <c r="J35">
        <v>6494000000</v>
      </c>
      <c r="K35">
        <v>0</v>
      </c>
      <c r="L35">
        <v>0</v>
      </c>
      <c r="M35">
        <v>0</v>
      </c>
      <c r="N35">
        <v>530000000</v>
      </c>
      <c r="O35">
        <v>0</v>
      </c>
      <c r="P35">
        <v>587000000</v>
      </c>
      <c r="Q35">
        <v>0</v>
      </c>
      <c r="R35">
        <v>2332000000</v>
      </c>
      <c r="S35">
        <v>14684000000</v>
      </c>
      <c r="T35">
        <v>3655000000</v>
      </c>
      <c r="U35">
        <v>0</v>
      </c>
      <c r="V35">
        <v>11029000000</v>
      </c>
      <c r="W35">
        <v>0</v>
      </c>
      <c r="X35">
        <v>14097000000</v>
      </c>
      <c r="Y35">
        <v>16429000000</v>
      </c>
      <c r="Z35">
        <v>11029000000</v>
      </c>
      <c r="AA35">
        <v>44918000</v>
      </c>
      <c r="AB35">
        <v>743983000</v>
      </c>
      <c r="AC35" t="s">
        <v>46</v>
      </c>
      <c r="AD35" t="s">
        <v>46</v>
      </c>
      <c r="AE35">
        <v>788901000</v>
      </c>
      <c r="AF35">
        <v>583347000</v>
      </c>
      <c r="AG35">
        <v>150849000</v>
      </c>
      <c r="AH35">
        <v>3279494000</v>
      </c>
      <c r="AI35" t="s">
        <v>46</v>
      </c>
      <c r="AJ35">
        <v>-1078107000</v>
      </c>
      <c r="AK35">
        <v>124000</v>
      </c>
      <c r="AL35">
        <v>246933000</v>
      </c>
    </row>
    <row r="36" spans="1:38">
      <c r="A36" s="24">
        <v>42735</v>
      </c>
      <c r="B36" t="s">
        <v>45</v>
      </c>
      <c r="C36">
        <v>30176000000</v>
      </c>
      <c r="D36">
        <v>78351000000</v>
      </c>
      <c r="E36">
        <v>48175000000</v>
      </c>
      <c r="F36">
        <v>48175000000</v>
      </c>
      <c r="G36">
        <v>23359000000</v>
      </c>
      <c r="H36">
        <v>3946000000</v>
      </c>
      <c r="I36">
        <v>2871000000</v>
      </c>
      <c r="J36">
        <v>6817000000</v>
      </c>
      <c r="K36">
        <v>0</v>
      </c>
      <c r="L36">
        <v>0</v>
      </c>
      <c r="M36">
        <v>0</v>
      </c>
      <c r="N36">
        <v>525000000</v>
      </c>
      <c r="O36">
        <v>0</v>
      </c>
      <c r="P36">
        <v>821000000</v>
      </c>
      <c r="Q36">
        <v>0</v>
      </c>
      <c r="R36">
        <v>2987000000</v>
      </c>
      <c r="S36">
        <v>24180000000</v>
      </c>
      <c r="T36">
        <v>6289000000</v>
      </c>
      <c r="U36">
        <v>0</v>
      </c>
      <c r="V36">
        <v>17891000000</v>
      </c>
      <c r="W36">
        <v>0</v>
      </c>
      <c r="X36">
        <v>23359000000</v>
      </c>
      <c r="Y36">
        <v>26346000000</v>
      </c>
      <c r="Z36">
        <v>17891000000</v>
      </c>
      <c r="AA36">
        <v>48341000</v>
      </c>
      <c r="AB36">
        <v>743610000</v>
      </c>
      <c r="AC36" t="s">
        <v>46</v>
      </c>
      <c r="AD36" t="s">
        <v>46</v>
      </c>
      <c r="AE36">
        <v>791951000</v>
      </c>
      <c r="AF36">
        <v>542250000</v>
      </c>
      <c r="AG36">
        <v>77414000</v>
      </c>
      <c r="AH36">
        <v>3057933000</v>
      </c>
      <c r="AI36" t="s">
        <v>46</v>
      </c>
      <c r="AJ36">
        <v>-985825000</v>
      </c>
      <c r="AK36">
        <v>124000</v>
      </c>
      <c r="AL36">
        <v>245536000</v>
      </c>
    </row>
    <row r="37" spans="1:38">
      <c r="A37" s="24">
        <v>42643</v>
      </c>
      <c r="B37" t="s">
        <v>45</v>
      </c>
      <c r="C37">
        <v>17813000000</v>
      </c>
      <c r="D37">
        <v>46852000000</v>
      </c>
      <c r="E37">
        <v>29039000000</v>
      </c>
      <c r="F37">
        <v>29039000000</v>
      </c>
      <c r="G37">
        <v>11761000000</v>
      </c>
      <c r="H37">
        <v>3482000000</v>
      </c>
      <c r="I37">
        <v>2570000000</v>
      </c>
      <c r="J37">
        <v>6052000000</v>
      </c>
      <c r="K37">
        <v>0</v>
      </c>
      <c r="L37">
        <v>0</v>
      </c>
      <c r="M37">
        <v>0</v>
      </c>
      <c r="N37">
        <v>450000000</v>
      </c>
      <c r="O37">
        <v>0</v>
      </c>
      <c r="P37">
        <v>427000000</v>
      </c>
      <c r="Q37">
        <v>0</v>
      </c>
      <c r="R37">
        <v>2548000000</v>
      </c>
      <c r="S37">
        <v>12188000000</v>
      </c>
      <c r="T37">
        <v>3174000000</v>
      </c>
      <c r="U37">
        <v>0</v>
      </c>
      <c r="V37">
        <v>9014000000</v>
      </c>
      <c r="W37">
        <v>0</v>
      </c>
      <c r="X37">
        <v>12638000000</v>
      </c>
      <c r="Y37">
        <v>15186000000</v>
      </c>
      <c r="Z37">
        <v>9014000000</v>
      </c>
      <c r="AA37">
        <v>48735000</v>
      </c>
      <c r="AB37">
        <v>743238000</v>
      </c>
      <c r="AC37" t="s">
        <v>46</v>
      </c>
      <c r="AD37" t="s">
        <v>46</v>
      </c>
      <c r="AE37">
        <v>791973000</v>
      </c>
      <c r="AF37">
        <v>324726000</v>
      </c>
      <c r="AG37">
        <v>63890000</v>
      </c>
      <c r="AH37">
        <v>2852915000</v>
      </c>
      <c r="AI37" t="s">
        <v>46</v>
      </c>
      <c r="AJ37">
        <v>-969003000</v>
      </c>
      <c r="AK37">
        <v>123000</v>
      </c>
      <c r="AL37">
        <v>251265000</v>
      </c>
    </row>
    <row r="38" spans="1:38">
      <c r="A38" s="24">
        <v>42551</v>
      </c>
      <c r="B38" t="s">
        <v>45</v>
      </c>
      <c r="C38">
        <v>16106000000</v>
      </c>
      <c r="D38">
        <v>42358000000</v>
      </c>
      <c r="E38">
        <v>26252000000</v>
      </c>
      <c r="F38">
        <v>26252000000</v>
      </c>
      <c r="G38">
        <v>10105000000</v>
      </c>
      <c r="H38">
        <v>3441000000</v>
      </c>
      <c r="I38">
        <v>2560000000</v>
      </c>
      <c r="J38">
        <v>6001000000</v>
      </c>
      <c r="K38">
        <v>0</v>
      </c>
      <c r="L38">
        <v>0</v>
      </c>
      <c r="M38">
        <v>0</v>
      </c>
      <c r="N38">
        <v>409000000</v>
      </c>
      <c r="O38">
        <v>0</v>
      </c>
      <c r="P38">
        <v>364000000</v>
      </c>
      <c r="Q38">
        <v>0</v>
      </c>
      <c r="R38">
        <v>2526000000</v>
      </c>
      <c r="S38">
        <v>10469000000</v>
      </c>
      <c r="T38">
        <v>2673000000</v>
      </c>
      <c r="U38">
        <v>0</v>
      </c>
      <c r="V38">
        <v>7796000000</v>
      </c>
      <c r="W38">
        <v>0</v>
      </c>
      <c r="X38">
        <v>10105000000</v>
      </c>
      <c r="Y38">
        <v>12631000000</v>
      </c>
      <c r="Z38">
        <v>7796000000</v>
      </c>
      <c r="AA38">
        <v>50110000</v>
      </c>
      <c r="AB38">
        <v>742866000</v>
      </c>
      <c r="AC38" t="s">
        <v>46</v>
      </c>
      <c r="AD38" t="s">
        <v>46</v>
      </c>
      <c r="AE38">
        <v>792976000</v>
      </c>
      <c r="AF38">
        <v>321018000</v>
      </c>
      <c r="AG38">
        <v>52511000</v>
      </c>
      <c r="AH38">
        <v>2535540000</v>
      </c>
      <c r="AI38" t="s">
        <v>46</v>
      </c>
      <c r="AJ38">
        <v>-1016016000</v>
      </c>
      <c r="AK38">
        <v>122000</v>
      </c>
      <c r="AL38">
        <v>250164000</v>
      </c>
    </row>
    <row r="39" spans="1:38">
      <c r="A39" s="24">
        <v>42460</v>
      </c>
      <c r="B39" t="s">
        <v>45</v>
      </c>
      <c r="C39">
        <v>19921000000</v>
      </c>
      <c r="D39">
        <v>50557000000</v>
      </c>
      <c r="E39">
        <v>30636000000</v>
      </c>
      <c r="F39">
        <v>30636000000</v>
      </c>
      <c r="G39">
        <v>13987000000</v>
      </c>
      <c r="H39">
        <v>3423000000</v>
      </c>
      <c r="I39">
        <v>2511000000</v>
      </c>
      <c r="J39">
        <v>5934000000</v>
      </c>
      <c r="K39">
        <v>0</v>
      </c>
      <c r="L39">
        <v>0</v>
      </c>
      <c r="M39">
        <v>0</v>
      </c>
      <c r="N39">
        <v>321000000</v>
      </c>
      <c r="O39">
        <v>0</v>
      </c>
      <c r="P39">
        <v>155000000</v>
      </c>
      <c r="Q39">
        <v>0</v>
      </c>
      <c r="R39">
        <v>2477000000</v>
      </c>
      <c r="S39">
        <v>14142000000</v>
      </c>
      <c r="T39">
        <v>3626000000</v>
      </c>
      <c r="U39">
        <v>0</v>
      </c>
      <c r="V39">
        <v>10516000000</v>
      </c>
      <c r="W39">
        <v>0</v>
      </c>
      <c r="X39">
        <v>13987000000</v>
      </c>
      <c r="Y39">
        <v>16464000000</v>
      </c>
      <c r="Z39">
        <v>10516000000</v>
      </c>
      <c r="AA39">
        <v>50380000</v>
      </c>
      <c r="AB39">
        <v>742494000</v>
      </c>
      <c r="AC39" t="s">
        <v>46</v>
      </c>
      <c r="AD39" t="s">
        <v>46</v>
      </c>
      <c r="AE39">
        <v>792874000</v>
      </c>
      <c r="AF39">
        <v>370042000</v>
      </c>
      <c r="AG39">
        <v>50086000</v>
      </c>
      <c r="AH39">
        <v>2303950000</v>
      </c>
      <c r="AI39" t="s">
        <v>46</v>
      </c>
      <c r="AJ39">
        <v>-1058836000</v>
      </c>
      <c r="AK39">
        <v>121000</v>
      </c>
      <c r="AL39">
        <v>247936000</v>
      </c>
    </row>
    <row r="40" spans="1:38">
      <c r="A40" s="24">
        <v>42369</v>
      </c>
      <c r="B40" t="s">
        <v>45</v>
      </c>
      <c r="C40">
        <v>30423000000</v>
      </c>
      <c r="D40">
        <v>75872000000</v>
      </c>
      <c r="E40">
        <v>45449000000</v>
      </c>
      <c r="F40">
        <v>45449000000</v>
      </c>
      <c r="G40">
        <v>24171000000</v>
      </c>
      <c r="H40">
        <v>3848000000</v>
      </c>
      <c r="I40">
        <v>2404000000</v>
      </c>
      <c r="J40">
        <v>6252000000</v>
      </c>
      <c r="K40">
        <v>0</v>
      </c>
      <c r="L40">
        <v>0</v>
      </c>
      <c r="M40">
        <v>0</v>
      </c>
      <c r="N40">
        <v>276000000</v>
      </c>
      <c r="O40">
        <v>0</v>
      </c>
      <c r="P40">
        <v>402000000</v>
      </c>
      <c r="Q40">
        <v>0</v>
      </c>
      <c r="R40">
        <v>2954000000</v>
      </c>
      <c r="S40">
        <v>24573000000</v>
      </c>
      <c r="T40">
        <v>6212000000</v>
      </c>
      <c r="U40">
        <v>0</v>
      </c>
      <c r="V40">
        <v>18361000000</v>
      </c>
      <c r="W40">
        <v>0</v>
      </c>
      <c r="X40">
        <v>24171000000</v>
      </c>
      <c r="Y40">
        <v>27125000000</v>
      </c>
      <c r="Z40">
        <v>18361000000</v>
      </c>
      <c r="AA40">
        <v>52801000</v>
      </c>
      <c r="AB40">
        <v>742122000</v>
      </c>
      <c r="AC40" t="s">
        <v>46</v>
      </c>
      <c r="AD40" t="s">
        <v>46</v>
      </c>
      <c r="AE40">
        <v>794923000</v>
      </c>
      <c r="AF40">
        <v>321839000</v>
      </c>
      <c r="AG40">
        <v>38933000</v>
      </c>
      <c r="AH40">
        <v>2028950000</v>
      </c>
      <c r="AI40" t="s">
        <v>46</v>
      </c>
      <c r="AJ40">
        <v>-1112535000</v>
      </c>
      <c r="AK40">
        <v>120000</v>
      </c>
      <c r="AL40">
        <v>243799000</v>
      </c>
    </row>
    <row r="41" spans="1:38">
      <c r="A41" s="24">
        <v>42277</v>
      </c>
      <c r="B41" t="s">
        <v>45</v>
      </c>
      <c r="C41">
        <v>20548000000</v>
      </c>
      <c r="D41">
        <v>51501000000</v>
      </c>
      <c r="E41">
        <v>30953000000</v>
      </c>
      <c r="F41">
        <v>30953000000</v>
      </c>
      <c r="G41">
        <v>14623000000</v>
      </c>
      <c r="H41">
        <v>3705000000</v>
      </c>
      <c r="I41">
        <v>2220000000</v>
      </c>
      <c r="J41">
        <v>5925000000</v>
      </c>
      <c r="K41">
        <v>0</v>
      </c>
      <c r="L41">
        <v>0</v>
      </c>
      <c r="M41">
        <v>0</v>
      </c>
      <c r="N41">
        <v>238000000</v>
      </c>
      <c r="O41">
        <v>0</v>
      </c>
      <c r="P41">
        <v>439000000</v>
      </c>
      <c r="Q41">
        <v>0</v>
      </c>
      <c r="R41">
        <v>3119000000</v>
      </c>
      <c r="S41">
        <v>15062000000</v>
      </c>
      <c r="T41">
        <v>3938000000</v>
      </c>
      <c r="U41">
        <v>0</v>
      </c>
      <c r="V41">
        <v>11124000000</v>
      </c>
      <c r="W41">
        <v>0</v>
      </c>
      <c r="X41">
        <v>14623000000</v>
      </c>
      <c r="Y41">
        <v>17742000000</v>
      </c>
      <c r="Z41">
        <v>11124000000</v>
      </c>
      <c r="AA41">
        <v>48821000</v>
      </c>
      <c r="AB41">
        <v>741750000</v>
      </c>
      <c r="AC41" t="s">
        <v>46</v>
      </c>
      <c r="AD41" t="s">
        <v>46</v>
      </c>
      <c r="AE41">
        <v>790571000</v>
      </c>
      <c r="AF41">
        <v>266119000</v>
      </c>
      <c r="AG41">
        <v>32820000</v>
      </c>
      <c r="AH41">
        <v>1838207000</v>
      </c>
      <c r="AI41" t="s">
        <v>46</v>
      </c>
      <c r="AJ41">
        <v>-1139200000</v>
      </c>
      <c r="AK41">
        <v>119000</v>
      </c>
      <c r="AL41">
        <v>242144000</v>
      </c>
    </row>
    <row r="42" spans="1:38">
      <c r="A42" s="24">
        <v>42185</v>
      </c>
      <c r="B42" t="s">
        <v>45</v>
      </c>
      <c r="C42">
        <v>19681000000</v>
      </c>
      <c r="D42">
        <v>49605000000</v>
      </c>
      <c r="E42">
        <v>29924000000</v>
      </c>
      <c r="F42">
        <v>29924000000</v>
      </c>
      <c r="G42">
        <v>14083000000</v>
      </c>
      <c r="H42">
        <v>3564000000</v>
      </c>
      <c r="I42">
        <v>2034000000</v>
      </c>
      <c r="J42">
        <v>5598000000</v>
      </c>
      <c r="K42">
        <v>0</v>
      </c>
      <c r="L42">
        <v>0</v>
      </c>
      <c r="M42">
        <v>0</v>
      </c>
      <c r="N42">
        <v>201000000</v>
      </c>
      <c r="O42">
        <v>0</v>
      </c>
      <c r="P42">
        <v>390000000</v>
      </c>
      <c r="Q42">
        <v>0</v>
      </c>
      <c r="R42">
        <v>3084000000</v>
      </c>
      <c r="S42">
        <v>14473000000</v>
      </c>
      <c r="T42">
        <v>3796000000</v>
      </c>
      <c r="U42">
        <v>0</v>
      </c>
      <c r="V42">
        <v>10677000000</v>
      </c>
      <c r="W42">
        <v>0</v>
      </c>
      <c r="X42">
        <v>14083000000</v>
      </c>
      <c r="Y42">
        <v>17167000000</v>
      </c>
      <c r="Z42">
        <v>10677000000</v>
      </c>
      <c r="AA42">
        <v>52989000</v>
      </c>
      <c r="AB42">
        <v>741377000</v>
      </c>
      <c r="AC42" t="s">
        <v>46</v>
      </c>
      <c r="AD42" t="s">
        <v>46</v>
      </c>
      <c r="AE42">
        <v>794366000</v>
      </c>
      <c r="AF42">
        <v>242430000</v>
      </c>
      <c r="AG42">
        <v>29797000</v>
      </c>
      <c r="AH42">
        <v>1605301000</v>
      </c>
      <c r="AI42" t="s">
        <v>46</v>
      </c>
      <c r="AJ42">
        <v>-1147672000</v>
      </c>
      <c r="AK42">
        <v>118000</v>
      </c>
      <c r="AL42">
        <v>240598000</v>
      </c>
    </row>
    <row r="43" spans="1:38">
      <c r="A43" s="24">
        <v>42094</v>
      </c>
      <c r="B43" t="s">
        <v>45</v>
      </c>
      <c r="C43">
        <v>23656000000</v>
      </c>
      <c r="D43">
        <v>58010000000</v>
      </c>
      <c r="E43">
        <v>34354000000</v>
      </c>
      <c r="F43">
        <v>34354000000</v>
      </c>
      <c r="G43">
        <v>18278000000</v>
      </c>
      <c r="H43">
        <v>3460000000</v>
      </c>
      <c r="I43">
        <v>1918000000</v>
      </c>
      <c r="J43">
        <v>5378000000</v>
      </c>
      <c r="K43">
        <v>0</v>
      </c>
      <c r="L43">
        <v>0</v>
      </c>
      <c r="M43">
        <v>0</v>
      </c>
      <c r="N43">
        <v>163000000</v>
      </c>
      <c r="O43">
        <v>0</v>
      </c>
      <c r="P43">
        <v>286000000</v>
      </c>
      <c r="Q43">
        <v>0</v>
      </c>
      <c r="R43">
        <v>2479000000</v>
      </c>
      <c r="S43">
        <v>18564000000</v>
      </c>
      <c r="T43">
        <v>4995000000</v>
      </c>
      <c r="U43">
        <v>0</v>
      </c>
      <c r="V43">
        <v>13569000000</v>
      </c>
      <c r="W43">
        <v>0</v>
      </c>
      <c r="X43">
        <v>18278000000</v>
      </c>
      <c r="Y43">
        <v>20757000000</v>
      </c>
      <c r="Z43">
        <v>13569000000</v>
      </c>
      <c r="AA43">
        <v>42613000</v>
      </c>
      <c r="AB43">
        <v>741005000</v>
      </c>
      <c r="AC43" t="s">
        <v>46</v>
      </c>
      <c r="AD43" t="s">
        <v>46</v>
      </c>
      <c r="AE43">
        <v>783618000</v>
      </c>
      <c r="AF43">
        <v>323170000</v>
      </c>
      <c r="AG43">
        <v>29567000</v>
      </c>
      <c r="AH43">
        <v>1463641000</v>
      </c>
      <c r="AI43" t="s">
        <v>46</v>
      </c>
      <c r="AJ43">
        <v>-1148163000</v>
      </c>
      <c r="AK43">
        <v>118000</v>
      </c>
      <c r="AL43">
        <v>235027000</v>
      </c>
    </row>
    <row r="44" spans="1:38">
      <c r="A44" s="24">
        <v>42004</v>
      </c>
      <c r="B44" t="s">
        <v>45</v>
      </c>
      <c r="C44">
        <v>29741000000</v>
      </c>
      <c r="D44">
        <v>74599000000</v>
      </c>
      <c r="E44">
        <v>44858000000</v>
      </c>
      <c r="F44">
        <v>44858000000</v>
      </c>
      <c r="G44">
        <v>24246000000</v>
      </c>
      <c r="H44">
        <v>3600000000</v>
      </c>
      <c r="I44">
        <v>1895000000</v>
      </c>
      <c r="J44">
        <v>5495000000</v>
      </c>
      <c r="K44">
        <v>0</v>
      </c>
      <c r="L44">
        <v>0</v>
      </c>
      <c r="M44">
        <v>0</v>
      </c>
      <c r="N44">
        <v>131000000</v>
      </c>
      <c r="O44">
        <v>0</v>
      </c>
      <c r="P44">
        <v>170000000</v>
      </c>
      <c r="Q44">
        <v>0</v>
      </c>
      <c r="R44">
        <v>2575000000</v>
      </c>
      <c r="S44">
        <v>24416000000</v>
      </c>
      <c r="T44">
        <v>6392000000</v>
      </c>
      <c r="U44">
        <v>0</v>
      </c>
      <c r="V44">
        <v>18024000000</v>
      </c>
      <c r="W44">
        <v>0</v>
      </c>
      <c r="X44">
        <v>24246000000</v>
      </c>
      <c r="Y44">
        <v>26821000000</v>
      </c>
      <c r="Z44">
        <v>18024000000</v>
      </c>
      <c r="AA44">
        <v>28407000</v>
      </c>
      <c r="AB44">
        <v>740633000</v>
      </c>
      <c r="AC44" t="s">
        <v>46</v>
      </c>
      <c r="AD44" t="s">
        <v>46</v>
      </c>
      <c r="AE44">
        <v>769040000</v>
      </c>
      <c r="AF44">
        <v>223695000</v>
      </c>
      <c r="AG44">
        <v>23825000</v>
      </c>
      <c r="AH44">
        <v>1314289000</v>
      </c>
      <c r="AI44" t="s">
        <v>46</v>
      </c>
      <c r="AJ44">
        <v>-1100682000</v>
      </c>
      <c r="AK44">
        <v>117000</v>
      </c>
      <c r="AL44">
        <v>233785000</v>
      </c>
    </row>
    <row r="45" spans="1:38">
      <c r="A45" s="24">
        <v>41912</v>
      </c>
      <c r="B45" t="s">
        <v>45</v>
      </c>
      <c r="C45">
        <v>16009000000</v>
      </c>
      <c r="D45">
        <v>42123000000</v>
      </c>
      <c r="E45">
        <v>26114000000</v>
      </c>
      <c r="F45">
        <v>26114000000</v>
      </c>
      <c r="G45">
        <v>11165000000</v>
      </c>
      <c r="H45">
        <v>1958000000</v>
      </c>
      <c r="I45">
        <v>1686000000</v>
      </c>
      <c r="J45">
        <v>4844000000</v>
      </c>
      <c r="K45">
        <v>0</v>
      </c>
      <c r="L45">
        <v>0</v>
      </c>
      <c r="M45">
        <v>0</v>
      </c>
      <c r="N45">
        <v>115000000</v>
      </c>
      <c r="O45">
        <v>0</v>
      </c>
      <c r="P45">
        <v>307000000</v>
      </c>
      <c r="Q45">
        <v>0</v>
      </c>
      <c r="R45">
        <v>1969000000</v>
      </c>
      <c r="S45">
        <v>11472000000</v>
      </c>
      <c r="T45">
        <v>3005000000</v>
      </c>
      <c r="U45">
        <v>0</v>
      </c>
      <c r="V45">
        <v>8467000000</v>
      </c>
      <c r="W45">
        <v>0</v>
      </c>
      <c r="X45">
        <v>11165000000</v>
      </c>
      <c r="Y45">
        <v>13134000000</v>
      </c>
      <c r="Z45">
        <v>8467000000</v>
      </c>
      <c r="AA45">
        <v>31656000</v>
      </c>
      <c r="AB45">
        <v>740261000</v>
      </c>
      <c r="AC45" t="s">
        <v>46</v>
      </c>
      <c r="AD45" t="s">
        <v>46</v>
      </c>
      <c r="AE45">
        <v>771917000</v>
      </c>
      <c r="AF45">
        <v>211243000</v>
      </c>
      <c r="AG45">
        <v>19444000</v>
      </c>
      <c r="AH45">
        <v>1225419000</v>
      </c>
      <c r="AI45" t="s">
        <v>46</v>
      </c>
      <c r="AJ45">
        <v>-1045726000</v>
      </c>
      <c r="AK45">
        <v>116000</v>
      </c>
      <c r="AL45">
        <v>232554000</v>
      </c>
    </row>
    <row r="46" spans="1:38">
      <c r="A46" s="24">
        <v>41820</v>
      </c>
      <c r="B46" t="s">
        <v>45</v>
      </c>
      <c r="C46">
        <v>14735000000</v>
      </c>
      <c r="D46">
        <v>37432000000</v>
      </c>
      <c r="E46">
        <v>22697000000</v>
      </c>
      <c r="F46">
        <v>22697000000</v>
      </c>
      <c r="G46">
        <v>10282000000</v>
      </c>
      <c r="H46">
        <v>2850000000</v>
      </c>
      <c r="I46">
        <v>1603000000</v>
      </c>
      <c r="J46">
        <v>4453000000</v>
      </c>
      <c r="K46">
        <v>0</v>
      </c>
      <c r="L46">
        <v>0</v>
      </c>
      <c r="M46">
        <v>0</v>
      </c>
      <c r="N46">
        <v>100000000</v>
      </c>
      <c r="O46">
        <v>0</v>
      </c>
      <c r="P46">
        <v>202000000</v>
      </c>
      <c r="Q46">
        <v>0</v>
      </c>
      <c r="R46">
        <v>1946000000</v>
      </c>
      <c r="S46">
        <v>10484000000</v>
      </c>
      <c r="T46">
        <v>2736000000</v>
      </c>
      <c r="U46">
        <v>0</v>
      </c>
      <c r="V46">
        <v>7748000000</v>
      </c>
      <c r="W46">
        <v>0</v>
      </c>
      <c r="X46">
        <v>10282000000</v>
      </c>
      <c r="Y46">
        <v>12228000000</v>
      </c>
      <c r="Z46">
        <v>7748000000</v>
      </c>
      <c r="AA46">
        <v>32164000</v>
      </c>
      <c r="AB46">
        <v>739889000</v>
      </c>
      <c r="AC46" t="s">
        <v>46</v>
      </c>
      <c r="AD46" t="s">
        <v>46</v>
      </c>
      <c r="AE46">
        <v>772053000</v>
      </c>
      <c r="AF46">
        <v>216947000</v>
      </c>
      <c r="AG46">
        <v>465596000</v>
      </c>
      <c r="AH46">
        <v>1102541000</v>
      </c>
      <c r="AI46" t="s">
        <v>46</v>
      </c>
      <c r="AJ46">
        <v>-996441000</v>
      </c>
      <c r="AK46">
        <v>116000</v>
      </c>
      <c r="AL46">
        <v>231179000</v>
      </c>
    </row>
    <row r="47" spans="1:38">
      <c r="A47" s="24">
        <v>41729</v>
      </c>
      <c r="B47" t="s">
        <v>45</v>
      </c>
      <c r="C47">
        <v>17947000000</v>
      </c>
      <c r="D47">
        <v>45646000000</v>
      </c>
      <c r="E47">
        <v>27699000000</v>
      </c>
      <c r="F47">
        <v>27699000000</v>
      </c>
      <c r="G47">
        <v>13593000000</v>
      </c>
      <c r="H47">
        <v>2932000000</v>
      </c>
      <c r="I47">
        <v>1422000000</v>
      </c>
      <c r="J47">
        <v>4354000000</v>
      </c>
      <c r="K47">
        <v>0</v>
      </c>
      <c r="L47">
        <v>0</v>
      </c>
      <c r="M47">
        <v>0</v>
      </c>
      <c r="N47">
        <v>85000000</v>
      </c>
      <c r="O47">
        <v>0</v>
      </c>
      <c r="P47">
        <v>225000000</v>
      </c>
      <c r="Q47">
        <v>0</v>
      </c>
      <c r="R47">
        <v>1887000000</v>
      </c>
      <c r="S47">
        <v>13818000000</v>
      </c>
      <c r="T47">
        <v>3595000000</v>
      </c>
      <c r="U47">
        <v>0</v>
      </c>
      <c r="V47">
        <v>10223000000</v>
      </c>
      <c r="W47">
        <v>0</v>
      </c>
      <c r="X47">
        <v>13593000000</v>
      </c>
      <c r="Y47">
        <v>15480000000</v>
      </c>
      <c r="Z47">
        <v>10223000000</v>
      </c>
      <c r="AA47">
        <v>35199000</v>
      </c>
      <c r="AB47">
        <v>739517000</v>
      </c>
      <c r="AC47" t="s">
        <v>46</v>
      </c>
      <c r="AD47" t="s">
        <v>46</v>
      </c>
      <c r="AE47">
        <v>774716000</v>
      </c>
      <c r="AF47">
        <v>192359000</v>
      </c>
      <c r="AG47">
        <v>25379000</v>
      </c>
      <c r="AH47">
        <v>1025764000</v>
      </c>
      <c r="AI47" t="s">
        <v>46</v>
      </c>
      <c r="AJ47">
        <v>-964918000</v>
      </c>
      <c r="AK47">
        <v>115000</v>
      </c>
      <c r="AL47">
        <v>229662000</v>
      </c>
    </row>
    <row r="48" spans="1:38">
      <c r="A48" s="24">
        <v>41639</v>
      </c>
      <c r="B48" t="s">
        <v>45</v>
      </c>
      <c r="C48">
        <v>21846000000</v>
      </c>
      <c r="D48">
        <v>57594000000</v>
      </c>
      <c r="E48">
        <v>35748000000</v>
      </c>
      <c r="F48">
        <v>35748000000</v>
      </c>
      <c r="G48">
        <v>17463000000</v>
      </c>
      <c r="H48">
        <v>3053000000</v>
      </c>
      <c r="I48">
        <v>1330000000</v>
      </c>
      <c r="J48">
        <v>4383000000</v>
      </c>
      <c r="K48">
        <v>0</v>
      </c>
      <c r="L48">
        <v>0</v>
      </c>
      <c r="M48">
        <v>0</v>
      </c>
      <c r="N48">
        <v>84000000</v>
      </c>
      <c r="O48">
        <v>0</v>
      </c>
      <c r="P48">
        <v>246000000</v>
      </c>
      <c r="Q48">
        <v>0</v>
      </c>
      <c r="R48">
        <v>2144000000</v>
      </c>
      <c r="S48">
        <v>17709000000</v>
      </c>
      <c r="T48">
        <v>4637000000</v>
      </c>
      <c r="U48">
        <v>0</v>
      </c>
      <c r="V48">
        <v>13072000000</v>
      </c>
      <c r="W48">
        <v>0</v>
      </c>
      <c r="X48">
        <v>17463000000</v>
      </c>
      <c r="Y48">
        <v>19607000000</v>
      </c>
      <c r="Z48">
        <v>13072000000</v>
      </c>
      <c r="AA48">
        <v>37601000</v>
      </c>
      <c r="AB48">
        <v>739145000</v>
      </c>
      <c r="AC48" t="s">
        <v>46</v>
      </c>
      <c r="AD48" t="s">
        <v>46</v>
      </c>
      <c r="AE48">
        <v>776746000</v>
      </c>
      <c r="AF48">
        <v>176087000</v>
      </c>
      <c r="AG48">
        <v>341520000</v>
      </c>
      <c r="AH48">
        <v>948182000</v>
      </c>
      <c r="AI48" t="s">
        <v>46</v>
      </c>
      <c r="AJ48">
        <v>-922938000</v>
      </c>
      <c r="AK48">
        <v>115000</v>
      </c>
      <c r="AL48">
        <v>228293000</v>
      </c>
    </row>
    <row r="49" spans="1:38">
      <c r="A49" s="24">
        <v>41547</v>
      </c>
      <c r="B49" t="s">
        <v>45</v>
      </c>
      <c r="C49">
        <v>13871000000</v>
      </c>
      <c r="D49">
        <v>37472000000</v>
      </c>
      <c r="E49">
        <v>23601000000</v>
      </c>
      <c r="F49">
        <v>23601000000</v>
      </c>
      <c r="G49">
        <v>10030000000</v>
      </c>
      <c r="H49">
        <v>1573000000</v>
      </c>
      <c r="I49">
        <v>1168000000</v>
      </c>
      <c r="J49">
        <v>3841000000</v>
      </c>
      <c r="K49">
        <v>0</v>
      </c>
      <c r="L49">
        <v>0</v>
      </c>
      <c r="M49">
        <v>0</v>
      </c>
      <c r="N49">
        <v>83000000</v>
      </c>
      <c r="O49">
        <v>0</v>
      </c>
      <c r="P49">
        <v>113000000</v>
      </c>
      <c r="Q49">
        <v>0</v>
      </c>
      <c r="R49">
        <v>1783000000</v>
      </c>
      <c r="S49">
        <v>10143000000</v>
      </c>
      <c r="T49">
        <v>2631000000</v>
      </c>
      <c r="U49">
        <v>0</v>
      </c>
      <c r="V49">
        <v>7512000000</v>
      </c>
      <c r="W49">
        <v>0</v>
      </c>
      <c r="X49">
        <v>10030000000</v>
      </c>
      <c r="Y49">
        <v>11813000000</v>
      </c>
      <c r="Z49">
        <v>7512000000</v>
      </c>
      <c r="AA49">
        <v>38752000</v>
      </c>
      <c r="AB49">
        <v>738772000</v>
      </c>
      <c r="AC49" t="s">
        <v>46</v>
      </c>
      <c r="AD49" t="s">
        <v>46</v>
      </c>
      <c r="AE49">
        <v>777524000</v>
      </c>
      <c r="AF49">
        <v>215469000</v>
      </c>
      <c r="AG49">
        <v>38278000</v>
      </c>
      <c r="AH49">
        <v>904268000</v>
      </c>
      <c r="AI49" t="s">
        <v>46</v>
      </c>
      <c r="AJ49">
        <v>-872483000</v>
      </c>
      <c r="AK49">
        <v>114000</v>
      </c>
      <c r="AL49">
        <v>226362000</v>
      </c>
    </row>
    <row r="50" spans="1:38">
      <c r="A50" s="24">
        <v>41455</v>
      </c>
      <c r="B50" t="s">
        <v>45</v>
      </c>
      <c r="C50">
        <v>13024000000</v>
      </c>
      <c r="D50">
        <v>35323000000</v>
      </c>
      <c r="E50">
        <v>22299000000</v>
      </c>
      <c r="F50">
        <v>22299000000</v>
      </c>
      <c r="G50">
        <v>9201000000</v>
      </c>
      <c r="H50">
        <v>2645000000</v>
      </c>
      <c r="I50">
        <v>1178000000</v>
      </c>
      <c r="J50">
        <v>3823000000</v>
      </c>
      <c r="K50">
        <v>0</v>
      </c>
      <c r="L50">
        <v>0</v>
      </c>
      <c r="M50">
        <v>0</v>
      </c>
      <c r="N50">
        <v>53000000</v>
      </c>
      <c r="O50">
        <v>0</v>
      </c>
      <c r="P50">
        <v>234000000</v>
      </c>
      <c r="Q50">
        <v>0</v>
      </c>
      <c r="R50">
        <v>1694000000</v>
      </c>
      <c r="S50">
        <v>9435000000</v>
      </c>
      <c r="T50">
        <v>2535000000</v>
      </c>
      <c r="U50">
        <v>0</v>
      </c>
      <c r="V50">
        <v>6900000000</v>
      </c>
      <c r="W50">
        <v>0</v>
      </c>
      <c r="X50">
        <v>9488000000</v>
      </c>
      <c r="Y50">
        <v>11182000000</v>
      </c>
      <c r="Z50">
        <v>6900000000</v>
      </c>
      <c r="AA50">
        <v>40791000</v>
      </c>
      <c r="AB50">
        <v>738400000</v>
      </c>
      <c r="AC50" t="s">
        <v>46</v>
      </c>
      <c r="AD50" t="s">
        <v>46</v>
      </c>
      <c r="AE50">
        <v>779191000</v>
      </c>
      <c r="AF50">
        <v>173838000</v>
      </c>
      <c r="AG50">
        <v>266656000</v>
      </c>
      <c r="AH50">
        <v>849264000</v>
      </c>
      <c r="AI50" t="s">
        <v>46</v>
      </c>
      <c r="AJ50">
        <v>-815165000</v>
      </c>
      <c r="AK50">
        <v>113000</v>
      </c>
      <c r="AL50">
        <v>224153000</v>
      </c>
    </row>
    <row r="51" spans="1:38">
      <c r="A51" s="24">
        <v>41364</v>
      </c>
      <c r="B51" t="s">
        <v>45</v>
      </c>
      <c r="C51">
        <v>16349000000</v>
      </c>
      <c r="D51">
        <v>43603000000</v>
      </c>
      <c r="E51">
        <v>27254000000</v>
      </c>
      <c r="F51">
        <v>27254000000</v>
      </c>
      <c r="G51">
        <v>12558000000</v>
      </c>
      <c r="H51">
        <v>2672000000</v>
      </c>
      <c r="I51">
        <v>1119000000</v>
      </c>
      <c r="J51">
        <v>3791000000</v>
      </c>
      <c r="K51">
        <v>0</v>
      </c>
      <c r="L51">
        <v>0</v>
      </c>
      <c r="M51">
        <v>0</v>
      </c>
      <c r="N51">
        <v>347000000</v>
      </c>
      <c r="O51">
        <v>0</v>
      </c>
      <c r="P51">
        <v>347000000</v>
      </c>
      <c r="Q51">
        <v>0</v>
      </c>
      <c r="R51">
        <v>1692000000</v>
      </c>
      <c r="S51">
        <v>12905000000</v>
      </c>
      <c r="T51">
        <v>3358000000</v>
      </c>
      <c r="U51">
        <v>0</v>
      </c>
      <c r="V51">
        <v>9547000000</v>
      </c>
      <c r="W51">
        <v>0</v>
      </c>
      <c r="X51">
        <v>12905000000</v>
      </c>
      <c r="Y51">
        <v>14597000000</v>
      </c>
      <c r="Z51">
        <v>9547000000</v>
      </c>
      <c r="AA51">
        <v>40963000</v>
      </c>
      <c r="AB51">
        <v>738029000</v>
      </c>
      <c r="AC51" t="s">
        <v>46</v>
      </c>
      <c r="AD51" t="s">
        <v>46</v>
      </c>
      <c r="AE51">
        <v>778992000</v>
      </c>
      <c r="AF51">
        <v>131546000</v>
      </c>
      <c r="AG51">
        <v>17184000</v>
      </c>
      <c r="AH51">
        <v>870574000</v>
      </c>
      <c r="AI51" t="s">
        <v>46</v>
      </c>
      <c r="AJ51">
        <v>-730116000</v>
      </c>
      <c r="AK51">
        <v>112000</v>
      </c>
      <c r="AL51">
        <v>221700000</v>
      </c>
    </row>
    <row r="52" spans="1:38">
      <c r="A52" s="24">
        <v>41274</v>
      </c>
      <c r="B52" t="s">
        <v>45</v>
      </c>
      <c r="C52">
        <v>21060000000</v>
      </c>
      <c r="D52">
        <v>54512000000</v>
      </c>
      <c r="E52">
        <v>33452000000</v>
      </c>
      <c r="F52">
        <v>33452000000</v>
      </c>
      <c r="G52">
        <v>17210000000</v>
      </c>
      <c r="H52">
        <v>2840000000</v>
      </c>
      <c r="I52">
        <v>1010000000</v>
      </c>
      <c r="J52">
        <v>3850000000</v>
      </c>
      <c r="K52">
        <v>0</v>
      </c>
      <c r="L52">
        <v>0</v>
      </c>
      <c r="M52">
        <v>0</v>
      </c>
      <c r="N52">
        <v>462000000</v>
      </c>
      <c r="O52">
        <v>0</v>
      </c>
      <c r="P52">
        <v>462000000</v>
      </c>
      <c r="Q52">
        <v>0</v>
      </c>
      <c r="R52">
        <v>1588000000</v>
      </c>
      <c r="S52">
        <v>17672000000</v>
      </c>
      <c r="T52">
        <v>4594000000</v>
      </c>
      <c r="U52">
        <v>0</v>
      </c>
      <c r="V52">
        <v>13078000000</v>
      </c>
      <c r="W52">
        <v>0</v>
      </c>
      <c r="X52">
        <v>17672000000</v>
      </c>
      <c r="Y52">
        <v>19260000000</v>
      </c>
      <c r="Z52">
        <v>13078000000</v>
      </c>
      <c r="AA52">
        <v>42652000</v>
      </c>
      <c r="AB52" t="s">
        <v>46</v>
      </c>
      <c r="AC52" t="s">
        <v>46</v>
      </c>
      <c r="AD52" t="s">
        <v>46</v>
      </c>
      <c r="AE52">
        <v>42652000</v>
      </c>
      <c r="AF52">
        <v>97582000</v>
      </c>
      <c r="AG52">
        <v>15676000</v>
      </c>
      <c r="AH52">
        <v>813485000</v>
      </c>
      <c r="AI52" t="s">
        <v>46</v>
      </c>
      <c r="AJ52">
        <v>-711114000</v>
      </c>
      <c r="AK52">
        <v>111000</v>
      </c>
      <c r="AL52">
        <v>219401000</v>
      </c>
    </row>
    <row r="53" spans="1:38">
      <c r="A53" s="24">
        <v>41182</v>
      </c>
      <c r="B53" t="s">
        <v>45</v>
      </c>
      <c r="C53">
        <v>14401000000</v>
      </c>
      <c r="D53">
        <v>35966000000</v>
      </c>
      <c r="E53">
        <v>21565000000</v>
      </c>
      <c r="F53">
        <v>21565000000</v>
      </c>
      <c r="G53">
        <v>10944000000</v>
      </c>
      <c r="H53">
        <v>1551000000</v>
      </c>
      <c r="I53">
        <v>906000000</v>
      </c>
      <c r="J53">
        <v>3457000000</v>
      </c>
      <c r="K53">
        <v>0</v>
      </c>
      <c r="L53">
        <v>0</v>
      </c>
      <c r="M53">
        <v>0</v>
      </c>
      <c r="N53">
        <v>51000000</v>
      </c>
      <c r="O53">
        <v>0</v>
      </c>
      <c r="P53">
        <v>-51000000</v>
      </c>
      <c r="Q53">
        <v>0</v>
      </c>
      <c r="R53">
        <v>981000000</v>
      </c>
      <c r="S53">
        <v>10893000000</v>
      </c>
      <c r="T53">
        <v>2670000000</v>
      </c>
      <c r="U53">
        <v>0</v>
      </c>
      <c r="V53">
        <v>8223000000</v>
      </c>
      <c r="W53">
        <v>0</v>
      </c>
      <c r="X53">
        <v>10944000000</v>
      </c>
      <c r="Y53">
        <v>11925000000</v>
      </c>
      <c r="Z53">
        <v>8223000000</v>
      </c>
      <c r="AA53">
        <v>44777000</v>
      </c>
      <c r="AB53" t="s">
        <v>46</v>
      </c>
      <c r="AC53" t="s">
        <v>46</v>
      </c>
      <c r="AD53" t="s">
        <v>46</v>
      </c>
      <c r="AE53">
        <v>44777000</v>
      </c>
      <c r="AF53">
        <v>60807000</v>
      </c>
      <c r="AG53">
        <v>10752000</v>
      </c>
      <c r="AH53">
        <v>790965000</v>
      </c>
      <c r="AI53" t="s">
        <v>46</v>
      </c>
      <c r="AJ53">
        <v>-686583000</v>
      </c>
      <c r="AK53">
        <v>110000</v>
      </c>
      <c r="AL53">
        <v>216695000</v>
      </c>
    </row>
    <row r="54" spans="1:38">
      <c r="A54" s="24">
        <v>41090</v>
      </c>
      <c r="B54" t="s">
        <v>45</v>
      </c>
      <c r="C54">
        <v>14994000000</v>
      </c>
      <c r="D54">
        <v>35023000000</v>
      </c>
      <c r="E54">
        <v>20029000000</v>
      </c>
      <c r="F54">
        <v>20029000000</v>
      </c>
      <c r="G54">
        <v>11573000000</v>
      </c>
      <c r="H54">
        <v>2545000000</v>
      </c>
      <c r="I54">
        <v>876000000</v>
      </c>
      <c r="J54">
        <v>3421000000</v>
      </c>
      <c r="K54">
        <v>0</v>
      </c>
      <c r="L54">
        <v>0</v>
      </c>
      <c r="M54">
        <v>0</v>
      </c>
      <c r="N54">
        <v>288000000</v>
      </c>
      <c r="O54">
        <v>0</v>
      </c>
      <c r="P54">
        <v>288000000</v>
      </c>
      <c r="Q54">
        <v>0</v>
      </c>
      <c r="R54">
        <v>835000000</v>
      </c>
      <c r="S54">
        <v>11861000000</v>
      </c>
      <c r="T54">
        <v>3037000000</v>
      </c>
      <c r="U54">
        <v>0</v>
      </c>
      <c r="V54">
        <v>8824000000</v>
      </c>
      <c r="W54">
        <v>0</v>
      </c>
      <c r="X54">
        <v>11861000000</v>
      </c>
      <c r="Y54">
        <v>12696000000</v>
      </c>
      <c r="Z54">
        <v>8824000000</v>
      </c>
      <c r="AA54">
        <v>39580000</v>
      </c>
      <c r="AB54" t="s">
        <v>46</v>
      </c>
      <c r="AC54" t="s">
        <v>46</v>
      </c>
      <c r="AD54" t="s">
        <v>46</v>
      </c>
      <c r="AE54">
        <v>39580000</v>
      </c>
      <c r="AF54">
        <v>70201000</v>
      </c>
      <c r="AG54">
        <v>7288000</v>
      </c>
      <c r="AH54">
        <v>752153000</v>
      </c>
      <c r="AI54" t="s">
        <v>46</v>
      </c>
      <c r="AJ54">
        <v>-656709000</v>
      </c>
      <c r="AK54">
        <v>108000</v>
      </c>
      <c r="AL54">
        <v>213129000</v>
      </c>
    </row>
    <row r="55" spans="1:38">
      <c r="A55" s="24">
        <v>40999</v>
      </c>
      <c r="B55" t="s">
        <v>45</v>
      </c>
      <c r="C55">
        <v>18564000000</v>
      </c>
      <c r="D55">
        <v>39186000000</v>
      </c>
      <c r="E55">
        <v>20622000000</v>
      </c>
      <c r="F55">
        <v>20622000000</v>
      </c>
      <c r="G55">
        <v>15384000000</v>
      </c>
      <c r="H55">
        <v>2339000000</v>
      </c>
      <c r="I55">
        <v>841000000</v>
      </c>
      <c r="J55">
        <v>3180000000</v>
      </c>
      <c r="K55">
        <v>0</v>
      </c>
      <c r="L55">
        <v>0</v>
      </c>
      <c r="M55">
        <v>0</v>
      </c>
      <c r="N55">
        <v>148000000</v>
      </c>
      <c r="O55">
        <v>0</v>
      </c>
      <c r="P55">
        <v>148000000</v>
      </c>
      <c r="Q55">
        <v>0</v>
      </c>
      <c r="R55">
        <v>740000000</v>
      </c>
      <c r="S55">
        <v>15532000000</v>
      </c>
      <c r="T55">
        <v>3910000000</v>
      </c>
      <c r="U55">
        <v>0</v>
      </c>
      <c r="V55">
        <v>11622000000</v>
      </c>
      <c r="W55">
        <v>0</v>
      </c>
      <c r="X55">
        <v>15384000000</v>
      </c>
      <c r="Y55">
        <v>16124000000</v>
      </c>
      <c r="Z55">
        <v>11622000000</v>
      </c>
      <c r="AA55" t="s">
        <v>46</v>
      </c>
      <c r="AB55" t="s">
        <v>46</v>
      </c>
      <c r="AC55" t="s">
        <v>46</v>
      </c>
      <c r="AD55" t="s">
        <v>46</v>
      </c>
      <c r="AE55" t="s">
        <v>46</v>
      </c>
      <c r="AF55">
        <v>78766000</v>
      </c>
      <c r="AG55">
        <v>11020000</v>
      </c>
      <c r="AH55">
        <v>742107000</v>
      </c>
      <c r="AI55" t="s">
        <v>46</v>
      </c>
      <c r="AJ55">
        <v>-637487000</v>
      </c>
      <c r="AK55">
        <v>106000</v>
      </c>
      <c r="AL55">
        <v>207565000</v>
      </c>
    </row>
    <row r="56" spans="1:38">
      <c r="A56" s="24">
        <v>40908</v>
      </c>
      <c r="B56" t="s">
        <v>45</v>
      </c>
      <c r="C56">
        <v>20703000000</v>
      </c>
      <c r="D56">
        <v>46333000000</v>
      </c>
      <c r="E56">
        <v>25630000000</v>
      </c>
      <c r="F56">
        <v>25630000000</v>
      </c>
      <c r="G56">
        <v>17340000000</v>
      </c>
      <c r="H56">
        <v>2605000000</v>
      </c>
      <c r="I56">
        <v>758000000</v>
      </c>
      <c r="J56">
        <v>3363000000</v>
      </c>
      <c r="K56">
        <v>0</v>
      </c>
      <c r="L56">
        <v>0</v>
      </c>
      <c r="M56">
        <v>0</v>
      </c>
      <c r="N56">
        <v>137000000</v>
      </c>
      <c r="O56">
        <v>0</v>
      </c>
      <c r="P56">
        <v>137000000</v>
      </c>
      <c r="Q56">
        <v>0</v>
      </c>
      <c r="R56">
        <v>721000000</v>
      </c>
      <c r="S56">
        <v>17477000000</v>
      </c>
      <c r="T56">
        <v>4413000000</v>
      </c>
      <c r="U56">
        <v>0</v>
      </c>
      <c r="V56">
        <v>13064000000</v>
      </c>
      <c r="W56">
        <v>0</v>
      </c>
      <c r="X56">
        <v>17340000000</v>
      </c>
      <c r="Y56">
        <v>18061000000</v>
      </c>
      <c r="Z56">
        <v>13064000000</v>
      </c>
      <c r="AA56" t="s">
        <v>46</v>
      </c>
      <c r="AB56" t="s">
        <v>46</v>
      </c>
      <c r="AC56" t="s">
        <v>46</v>
      </c>
      <c r="AD56" t="s">
        <v>46</v>
      </c>
      <c r="AE56" t="s">
        <v>46</v>
      </c>
      <c r="AF56">
        <v>74559000</v>
      </c>
      <c r="AG56">
        <v>11570000</v>
      </c>
      <c r="AH56">
        <v>717042000</v>
      </c>
      <c r="AI56" t="s">
        <v>46</v>
      </c>
      <c r="AJ56">
        <v>-609079000</v>
      </c>
      <c r="AK56">
        <v>103000</v>
      </c>
      <c r="AL56">
        <v>204096000</v>
      </c>
    </row>
    <row r="57" spans="1:38">
      <c r="A57" s="24">
        <v>40816</v>
      </c>
      <c r="B57" t="s">
        <v>45</v>
      </c>
      <c r="C57">
        <v>11380000000</v>
      </c>
      <c r="D57">
        <v>28270000000</v>
      </c>
      <c r="E57">
        <v>16890000000</v>
      </c>
      <c r="F57">
        <v>16890000000</v>
      </c>
      <c r="G57">
        <v>8710000000</v>
      </c>
      <c r="H57">
        <v>2025000000</v>
      </c>
      <c r="I57">
        <v>645000000</v>
      </c>
      <c r="J57">
        <v>2670000000</v>
      </c>
      <c r="K57">
        <v>0</v>
      </c>
      <c r="L57">
        <v>0</v>
      </c>
      <c r="M57">
        <v>0</v>
      </c>
      <c r="N57">
        <v>81000000</v>
      </c>
      <c r="O57">
        <v>0</v>
      </c>
      <c r="P57">
        <v>81000000</v>
      </c>
      <c r="Q57">
        <v>0</v>
      </c>
      <c r="R57">
        <v>543000000</v>
      </c>
      <c r="S57">
        <v>8791000000</v>
      </c>
      <c r="T57">
        <v>2168000000</v>
      </c>
      <c r="U57">
        <v>0</v>
      </c>
      <c r="V57">
        <v>6623000000</v>
      </c>
      <c r="W57">
        <v>0</v>
      </c>
      <c r="X57">
        <v>8710000000</v>
      </c>
      <c r="Y57">
        <v>9253000000</v>
      </c>
      <c r="Z57">
        <v>6623000000</v>
      </c>
      <c r="AA57" t="s">
        <v>46</v>
      </c>
      <c r="AB57" t="s">
        <v>46</v>
      </c>
      <c r="AC57" t="s">
        <v>46</v>
      </c>
      <c r="AD57" t="s">
        <v>46</v>
      </c>
      <c r="AE57" t="s">
        <v>46</v>
      </c>
      <c r="AF57">
        <v>60704000</v>
      </c>
      <c r="AG57">
        <v>11897000</v>
      </c>
      <c r="AH57">
        <v>728097000</v>
      </c>
      <c r="AI57" t="s">
        <v>46</v>
      </c>
      <c r="AJ57">
        <v>-573574000</v>
      </c>
      <c r="AK57">
        <v>103000</v>
      </c>
      <c r="AL57">
        <v>130091000</v>
      </c>
    </row>
    <row r="58" spans="1:38">
      <c r="A58" s="24">
        <v>40724</v>
      </c>
      <c r="B58" t="s">
        <v>45</v>
      </c>
      <c r="C58">
        <v>11922000000</v>
      </c>
      <c r="D58">
        <v>28571000000</v>
      </c>
      <c r="E58">
        <v>16649000000</v>
      </c>
      <c r="F58">
        <v>16649000000</v>
      </c>
      <c r="G58">
        <v>9379000000</v>
      </c>
      <c r="H58">
        <v>1915000000</v>
      </c>
      <c r="I58">
        <v>628000000</v>
      </c>
      <c r="J58">
        <v>2543000000</v>
      </c>
      <c r="K58">
        <v>0</v>
      </c>
      <c r="L58">
        <v>0</v>
      </c>
      <c r="M58">
        <v>0</v>
      </c>
      <c r="N58">
        <v>172000000</v>
      </c>
      <c r="O58">
        <v>0</v>
      </c>
      <c r="P58">
        <v>172000000</v>
      </c>
      <c r="Q58">
        <v>0</v>
      </c>
      <c r="R58">
        <v>481000000</v>
      </c>
      <c r="S58">
        <v>9551000000</v>
      </c>
      <c r="T58">
        <v>2243000000</v>
      </c>
      <c r="U58">
        <v>0</v>
      </c>
      <c r="V58">
        <v>7308000000</v>
      </c>
      <c r="W58">
        <v>0</v>
      </c>
      <c r="X58">
        <v>9379000000</v>
      </c>
      <c r="Y58">
        <v>9860000000</v>
      </c>
      <c r="Z58">
        <v>7308000000</v>
      </c>
      <c r="AA58" t="s">
        <v>46</v>
      </c>
      <c r="AB58" t="s">
        <v>46</v>
      </c>
      <c r="AC58" t="s">
        <v>46</v>
      </c>
      <c r="AD58" t="s">
        <v>46</v>
      </c>
      <c r="AE58" t="s">
        <v>46</v>
      </c>
      <c r="AF58">
        <v>48535000</v>
      </c>
      <c r="AG58">
        <v>10964000</v>
      </c>
      <c r="AH58">
        <v>-485177000</v>
      </c>
      <c r="AI58" t="s">
        <v>46</v>
      </c>
      <c r="AJ58">
        <v>-521685000</v>
      </c>
      <c r="AK58">
        <v>24000</v>
      </c>
      <c r="AL58">
        <v>196688971</v>
      </c>
    </row>
    <row r="59" spans="1:38">
      <c r="A59" s="24">
        <v>40633</v>
      </c>
      <c r="B59" t="s">
        <v>45</v>
      </c>
      <c r="C59">
        <v>10218000000</v>
      </c>
      <c r="D59">
        <v>24667000000</v>
      </c>
      <c r="E59">
        <v>14449000000</v>
      </c>
      <c r="F59">
        <v>14449000000</v>
      </c>
      <c r="G59">
        <v>7874000000</v>
      </c>
      <c r="H59">
        <v>1763000000</v>
      </c>
      <c r="I59">
        <v>581000000</v>
      </c>
      <c r="J59">
        <v>2344000000</v>
      </c>
      <c r="K59">
        <v>0</v>
      </c>
      <c r="L59">
        <v>0</v>
      </c>
      <c r="M59">
        <v>0</v>
      </c>
      <c r="N59">
        <v>26000000</v>
      </c>
      <c r="O59">
        <v>0</v>
      </c>
      <c r="P59">
        <v>26000000</v>
      </c>
      <c r="Q59">
        <v>0</v>
      </c>
      <c r="R59">
        <v>434000000</v>
      </c>
      <c r="S59">
        <v>7900000000</v>
      </c>
      <c r="T59">
        <v>1913000000</v>
      </c>
      <c r="U59">
        <v>0</v>
      </c>
      <c r="V59">
        <v>5987000000</v>
      </c>
      <c r="W59">
        <v>0</v>
      </c>
      <c r="X59">
        <v>7874000000</v>
      </c>
      <c r="Y59">
        <v>8308000000</v>
      </c>
      <c r="Z59">
        <v>5987000000</v>
      </c>
      <c r="AA59" t="s">
        <v>46</v>
      </c>
      <c r="AB59">
        <v>0</v>
      </c>
      <c r="AC59">
        <v>0</v>
      </c>
      <c r="AD59" t="s">
        <v>46</v>
      </c>
      <c r="AE59" t="s">
        <v>46</v>
      </c>
      <c r="AF59">
        <v>55865000</v>
      </c>
      <c r="AG59">
        <v>5776000</v>
      </c>
      <c r="AH59">
        <v>74656000</v>
      </c>
      <c r="AI59">
        <v>0</v>
      </c>
      <c r="AJ59">
        <v>-529488000</v>
      </c>
      <c r="AK59">
        <v>90000</v>
      </c>
      <c r="AL59">
        <v>171202000</v>
      </c>
    </row>
    <row r="60" spans="1:38">
      <c r="A60" s="24">
        <v>40543</v>
      </c>
      <c r="B60" t="s">
        <v>45</v>
      </c>
      <c r="C60">
        <v>10298000000</v>
      </c>
      <c r="D60">
        <v>26741000000</v>
      </c>
      <c r="E60">
        <v>16443000000</v>
      </c>
      <c r="F60">
        <v>16443000000</v>
      </c>
      <c r="G60">
        <v>7827000000</v>
      </c>
      <c r="H60">
        <v>1896000000</v>
      </c>
      <c r="I60">
        <v>575000000</v>
      </c>
      <c r="J60">
        <v>2471000000</v>
      </c>
      <c r="K60">
        <v>0</v>
      </c>
      <c r="L60">
        <v>0</v>
      </c>
      <c r="M60">
        <v>0</v>
      </c>
      <c r="N60">
        <v>136000000</v>
      </c>
      <c r="O60">
        <v>0</v>
      </c>
      <c r="P60">
        <v>136000000</v>
      </c>
      <c r="Q60">
        <v>0</v>
      </c>
      <c r="R60">
        <v>356000000</v>
      </c>
      <c r="S60">
        <v>7963000000</v>
      </c>
      <c r="T60">
        <v>1959000000</v>
      </c>
      <c r="U60">
        <v>0</v>
      </c>
      <c r="V60">
        <v>6004000000</v>
      </c>
      <c r="W60">
        <v>0</v>
      </c>
      <c r="X60">
        <v>7827000000</v>
      </c>
      <c r="Y60">
        <v>8183000000</v>
      </c>
      <c r="Z60">
        <v>6004000000</v>
      </c>
      <c r="AA60" t="s">
        <v>46</v>
      </c>
      <c r="AB60" t="s">
        <v>46</v>
      </c>
      <c r="AC60" t="s">
        <v>46</v>
      </c>
      <c r="AD60" t="s">
        <v>46</v>
      </c>
      <c r="AE60" t="s">
        <v>46</v>
      </c>
      <c r="AF60">
        <v>217951000</v>
      </c>
      <c r="AG60" t="s">
        <v>46</v>
      </c>
      <c r="AH60">
        <v>96559000</v>
      </c>
      <c r="AI60" t="s">
        <v>46</v>
      </c>
      <c r="AJ60">
        <v>-487866000</v>
      </c>
      <c r="AK60">
        <v>23000</v>
      </c>
      <c r="AL60">
        <v>171202000</v>
      </c>
    </row>
    <row r="61" spans="1:38">
      <c r="A61" s="24">
        <v>40451</v>
      </c>
      <c r="B61" t="s">
        <v>45</v>
      </c>
      <c r="C61">
        <v>7512000000</v>
      </c>
      <c r="D61">
        <v>20343000000</v>
      </c>
      <c r="E61">
        <v>12831000000</v>
      </c>
      <c r="F61">
        <v>12831000000</v>
      </c>
      <c r="G61">
        <v>5447000000</v>
      </c>
      <c r="H61">
        <v>1571000000</v>
      </c>
      <c r="I61">
        <v>494000000</v>
      </c>
      <c r="J61">
        <v>2065000000</v>
      </c>
      <c r="K61">
        <v>0</v>
      </c>
      <c r="L61">
        <v>0</v>
      </c>
      <c r="M61">
        <v>0</v>
      </c>
      <c r="N61">
        <v>14000000</v>
      </c>
      <c r="O61">
        <v>0</v>
      </c>
      <c r="P61">
        <v>14000000</v>
      </c>
      <c r="Q61">
        <v>0</v>
      </c>
      <c r="R61">
        <v>329000000</v>
      </c>
      <c r="S61">
        <v>5461000000</v>
      </c>
      <c r="T61">
        <v>1153000000</v>
      </c>
      <c r="U61">
        <v>0</v>
      </c>
      <c r="V61">
        <v>4308000000</v>
      </c>
      <c r="W61">
        <v>0</v>
      </c>
      <c r="X61">
        <v>5447000000</v>
      </c>
      <c r="Y61">
        <v>5776000000</v>
      </c>
      <c r="Z61">
        <v>4308000000</v>
      </c>
      <c r="AA61" t="s">
        <v>46</v>
      </c>
      <c r="AB61" t="s">
        <v>46</v>
      </c>
      <c r="AC61" t="s">
        <v>46</v>
      </c>
      <c r="AD61" t="s">
        <v>46</v>
      </c>
      <c r="AE61" t="s">
        <v>46</v>
      </c>
      <c r="AF61" t="s">
        <v>46</v>
      </c>
      <c r="AG61" t="s">
        <v>46</v>
      </c>
      <c r="AH61" t="s">
        <v>46</v>
      </c>
      <c r="AI61" t="s">
        <v>46</v>
      </c>
      <c r="AJ61" t="s">
        <v>46</v>
      </c>
      <c r="AK61" t="s">
        <v>46</v>
      </c>
      <c r="AL61">
        <v>171202000</v>
      </c>
    </row>
    <row r="62" spans="1:38">
      <c r="A62" s="24">
        <v>40359</v>
      </c>
      <c r="B62" t="s">
        <v>45</v>
      </c>
      <c r="C62">
        <v>6136000000</v>
      </c>
      <c r="D62">
        <v>15700000000</v>
      </c>
      <c r="E62">
        <v>9564000000</v>
      </c>
      <c r="F62">
        <v>9564000000</v>
      </c>
      <c r="G62">
        <v>4234000000</v>
      </c>
      <c r="H62">
        <v>1438000000</v>
      </c>
      <c r="I62">
        <v>464000000</v>
      </c>
      <c r="J62">
        <v>1902000000</v>
      </c>
      <c r="K62">
        <v>0</v>
      </c>
      <c r="L62">
        <v>0</v>
      </c>
      <c r="M62">
        <v>0</v>
      </c>
      <c r="N62">
        <v>58000000</v>
      </c>
      <c r="O62">
        <v>0</v>
      </c>
      <c r="P62">
        <v>58000000</v>
      </c>
      <c r="Q62">
        <v>0</v>
      </c>
      <c r="R62">
        <v>273000000</v>
      </c>
      <c r="S62">
        <v>4292000000</v>
      </c>
      <c r="T62">
        <v>1039000000</v>
      </c>
      <c r="U62">
        <v>0</v>
      </c>
      <c r="V62">
        <v>3253000000</v>
      </c>
      <c r="W62">
        <v>0</v>
      </c>
      <c r="X62">
        <v>4234000000</v>
      </c>
      <c r="Y62">
        <v>4507000000</v>
      </c>
      <c r="Z62">
        <v>3253000000</v>
      </c>
      <c r="AA62" t="s">
        <v>46</v>
      </c>
      <c r="AB62" t="s">
        <v>46</v>
      </c>
      <c r="AC62" t="s">
        <v>46</v>
      </c>
      <c r="AD62" t="s">
        <v>46</v>
      </c>
      <c r="AE62" t="s">
        <v>46</v>
      </c>
      <c r="AF62" t="s">
        <v>46</v>
      </c>
      <c r="AG62" t="s">
        <v>46</v>
      </c>
      <c r="AH62">
        <v>-18458000</v>
      </c>
      <c r="AI62" t="s">
        <v>46</v>
      </c>
      <c r="AJ62" t="s">
        <v>46</v>
      </c>
      <c r="AK62" t="s">
        <v>46</v>
      </c>
      <c r="AL62">
        <v>171202000</v>
      </c>
    </row>
    <row r="63" spans="1:38">
      <c r="A63" s="24">
        <v>40268</v>
      </c>
      <c r="B63" t="s">
        <v>45</v>
      </c>
      <c r="C63">
        <v>5625000000</v>
      </c>
      <c r="D63">
        <v>13499000000</v>
      </c>
      <c r="E63">
        <v>7874000000</v>
      </c>
      <c r="F63">
        <v>7874000000</v>
      </c>
      <c r="G63">
        <v>3979000000</v>
      </c>
      <c r="H63">
        <v>1220000000</v>
      </c>
      <c r="I63">
        <v>426000000</v>
      </c>
      <c r="J63">
        <v>1646000000</v>
      </c>
      <c r="K63">
        <v>0</v>
      </c>
      <c r="L63">
        <v>0</v>
      </c>
      <c r="M63">
        <v>0</v>
      </c>
      <c r="N63">
        <v>266000000</v>
      </c>
      <c r="O63">
        <v>0</v>
      </c>
      <c r="P63">
        <v>50000000</v>
      </c>
      <c r="Q63">
        <v>0</v>
      </c>
      <c r="R63">
        <v>216000000</v>
      </c>
      <c r="S63">
        <v>4029000000</v>
      </c>
      <c r="T63">
        <v>955000000</v>
      </c>
      <c r="U63">
        <v>0</v>
      </c>
      <c r="V63">
        <v>3074000000</v>
      </c>
      <c r="W63">
        <v>0</v>
      </c>
      <c r="X63">
        <v>3979000000</v>
      </c>
      <c r="Y63">
        <v>4195000000</v>
      </c>
      <c r="Z63">
        <v>3074000000</v>
      </c>
      <c r="AA63" t="s">
        <v>46</v>
      </c>
      <c r="AB63">
        <v>15971000</v>
      </c>
      <c r="AC63">
        <v>0</v>
      </c>
      <c r="AD63" t="s">
        <v>46</v>
      </c>
      <c r="AE63">
        <v>15971000</v>
      </c>
      <c r="AF63">
        <v>153629000</v>
      </c>
      <c r="AG63" t="s">
        <v>46</v>
      </c>
      <c r="AH63">
        <v>-18458000</v>
      </c>
      <c r="AI63">
        <v>0</v>
      </c>
      <c r="AJ63">
        <v>-378948000</v>
      </c>
      <c r="AK63">
        <v>22000</v>
      </c>
      <c r="AL63">
        <v>43055000</v>
      </c>
    </row>
    <row r="64" spans="1:38">
      <c r="A64" s="24">
        <v>40178</v>
      </c>
      <c r="B64" t="s">
        <v>45</v>
      </c>
      <c r="C64">
        <v>6411000000</v>
      </c>
      <c r="D64">
        <v>15683000000</v>
      </c>
      <c r="E64">
        <v>9272000000</v>
      </c>
      <c r="F64">
        <v>9272000000</v>
      </c>
      <c r="G64">
        <v>4725000000</v>
      </c>
      <c r="H64">
        <v>1288000000</v>
      </c>
      <c r="I64">
        <v>398000000</v>
      </c>
      <c r="J64">
        <v>1686000000</v>
      </c>
      <c r="K64">
        <v>0</v>
      </c>
      <c r="L64">
        <v>0</v>
      </c>
      <c r="M64">
        <v>0</v>
      </c>
      <c r="N64">
        <v>33000000</v>
      </c>
      <c r="O64">
        <v>0</v>
      </c>
      <c r="P64">
        <v>33000000</v>
      </c>
      <c r="Q64">
        <v>0</v>
      </c>
      <c r="R64">
        <v>209000000</v>
      </c>
      <c r="S64">
        <v>4758000000</v>
      </c>
      <c r="T64">
        <v>1380000000</v>
      </c>
      <c r="U64">
        <v>0</v>
      </c>
      <c r="V64">
        <v>3378000000</v>
      </c>
      <c r="W64">
        <v>0</v>
      </c>
      <c r="X64">
        <v>4725000000</v>
      </c>
      <c r="Y64">
        <v>4934000000</v>
      </c>
      <c r="Z64">
        <v>3378000000</v>
      </c>
    </row>
    <row r="65" spans="1:38">
      <c r="A65" s="24">
        <v>40086</v>
      </c>
      <c r="B65" t="s">
        <v>45</v>
      </c>
      <c r="C65">
        <v>3614000000</v>
      </c>
      <c r="D65">
        <v>9870000000</v>
      </c>
      <c r="E65">
        <v>6256000000</v>
      </c>
      <c r="F65">
        <v>6256000000</v>
      </c>
      <c r="G65">
        <v>2193000000</v>
      </c>
      <c r="H65">
        <v>1063000000</v>
      </c>
      <c r="I65">
        <v>358000000</v>
      </c>
      <c r="J65">
        <v>1421000000</v>
      </c>
      <c r="K65">
        <v>0</v>
      </c>
      <c r="L65">
        <v>0</v>
      </c>
      <c r="M65">
        <v>0</v>
      </c>
      <c r="N65">
        <v>45000000</v>
      </c>
      <c r="O65">
        <v>0</v>
      </c>
      <c r="P65">
        <v>0</v>
      </c>
      <c r="Q65">
        <v>0</v>
      </c>
      <c r="R65">
        <v>197000000</v>
      </c>
      <c r="S65">
        <v>2238000000</v>
      </c>
      <c r="T65">
        <v>573000000</v>
      </c>
      <c r="U65">
        <v>0</v>
      </c>
      <c r="V65">
        <v>0</v>
      </c>
      <c r="W65">
        <v>0</v>
      </c>
      <c r="X65">
        <v>2193000000</v>
      </c>
      <c r="Y65">
        <v>2390000000</v>
      </c>
      <c r="Z65">
        <v>1665000000</v>
      </c>
    </row>
    <row r="66" spans="1:38">
      <c r="A66" s="24">
        <v>39994</v>
      </c>
      <c r="B66" t="s">
        <v>45</v>
      </c>
      <c r="C66">
        <v>3983000000</v>
      </c>
      <c r="D66">
        <v>9734000000</v>
      </c>
      <c r="E66">
        <v>5751000000</v>
      </c>
      <c r="F66">
        <v>5751000000</v>
      </c>
      <c r="G66">
        <v>2632000000</v>
      </c>
      <c r="H66">
        <v>1010000000</v>
      </c>
      <c r="I66">
        <v>341000000</v>
      </c>
      <c r="J66">
        <v>1351000000</v>
      </c>
      <c r="K66">
        <v>0</v>
      </c>
      <c r="L66">
        <v>0</v>
      </c>
      <c r="M66">
        <v>0</v>
      </c>
      <c r="N66">
        <v>236000000</v>
      </c>
      <c r="O66">
        <v>0</v>
      </c>
      <c r="P66">
        <v>60000000</v>
      </c>
      <c r="Q66">
        <v>0</v>
      </c>
      <c r="R66">
        <v>182000000</v>
      </c>
      <c r="S66">
        <v>2692000000</v>
      </c>
      <c r="T66">
        <v>864000000</v>
      </c>
      <c r="U66">
        <v>0</v>
      </c>
      <c r="V66">
        <v>1229000000</v>
      </c>
      <c r="W66">
        <v>0</v>
      </c>
      <c r="X66">
        <v>2632000000</v>
      </c>
      <c r="Y66">
        <v>2814000000</v>
      </c>
      <c r="Z66">
        <v>1828000000</v>
      </c>
      <c r="AA66" t="s">
        <v>107</v>
      </c>
      <c r="AB66" t="s">
        <v>108</v>
      </c>
      <c r="AC66" t="s">
        <v>42</v>
      </c>
    </row>
    <row r="67" spans="1:38">
      <c r="A67" s="24">
        <v>39903</v>
      </c>
      <c r="B67" t="s">
        <v>45</v>
      </c>
      <c r="C67">
        <v>3627000000</v>
      </c>
      <c r="D67">
        <v>9084000000</v>
      </c>
      <c r="E67">
        <v>5457000000</v>
      </c>
      <c r="F67">
        <v>5457000000</v>
      </c>
      <c r="G67">
        <v>2323000000</v>
      </c>
      <c r="H67">
        <v>985000000</v>
      </c>
      <c r="I67">
        <v>319000000</v>
      </c>
      <c r="J67">
        <v>1304000000</v>
      </c>
      <c r="K67">
        <v>0</v>
      </c>
      <c r="L67">
        <v>0</v>
      </c>
      <c r="M67">
        <v>0</v>
      </c>
      <c r="N67">
        <v>63000000</v>
      </c>
      <c r="O67">
        <v>0</v>
      </c>
      <c r="P67">
        <v>0</v>
      </c>
      <c r="Q67">
        <v>0</v>
      </c>
      <c r="R67">
        <v>181000000</v>
      </c>
      <c r="S67">
        <v>2386000000</v>
      </c>
      <c r="T67">
        <v>766000000</v>
      </c>
      <c r="U67">
        <v>0</v>
      </c>
      <c r="V67">
        <v>0</v>
      </c>
      <c r="W67">
        <v>0</v>
      </c>
      <c r="X67">
        <v>2323000000</v>
      </c>
      <c r="Y67">
        <v>2504000000</v>
      </c>
      <c r="Z67">
        <v>1620000000</v>
      </c>
      <c r="AA67" t="s">
        <v>46</v>
      </c>
      <c r="AB67" t="s">
        <v>46</v>
      </c>
      <c r="AC67">
        <v>-92282000</v>
      </c>
    </row>
    <row r="68" spans="1:38">
      <c r="A68" s="24">
        <v>39813</v>
      </c>
      <c r="B68" t="s">
        <v>45</v>
      </c>
      <c r="C68">
        <v>4507000000</v>
      </c>
      <c r="D68">
        <v>11880000000</v>
      </c>
      <c r="E68">
        <v>7373000000</v>
      </c>
      <c r="F68">
        <v>7373000000</v>
      </c>
      <c r="G68">
        <v>3101000000</v>
      </c>
      <c r="H68">
        <v>1091000000</v>
      </c>
      <c r="I68">
        <v>315000000</v>
      </c>
      <c r="J68">
        <v>1406000000</v>
      </c>
      <c r="K68">
        <v>0</v>
      </c>
      <c r="L68">
        <v>0</v>
      </c>
      <c r="M68">
        <v>0</v>
      </c>
      <c r="N68">
        <v>158000000</v>
      </c>
      <c r="O68">
        <v>0</v>
      </c>
      <c r="P68">
        <v>0</v>
      </c>
      <c r="Q68">
        <v>0</v>
      </c>
      <c r="R68">
        <v>168000000</v>
      </c>
      <c r="S68">
        <v>3259000000</v>
      </c>
      <c r="T68">
        <v>1004000000</v>
      </c>
      <c r="U68">
        <v>0</v>
      </c>
      <c r="V68">
        <v>0</v>
      </c>
      <c r="W68">
        <v>0</v>
      </c>
      <c r="X68">
        <v>3101000000</v>
      </c>
      <c r="Y68">
        <v>3269000000</v>
      </c>
      <c r="Z68">
        <v>2255000000</v>
      </c>
      <c r="AA68" t="s">
        <v>46</v>
      </c>
      <c r="AB68" t="s">
        <v>46</v>
      </c>
      <c r="AC68">
        <v>-16819000</v>
      </c>
    </row>
    <row r="69" spans="1:38">
      <c r="A69" s="24">
        <v>39721</v>
      </c>
      <c r="B69" t="s">
        <v>45</v>
      </c>
      <c r="C69">
        <v>2739000000</v>
      </c>
      <c r="D69">
        <v>7895000000</v>
      </c>
      <c r="E69">
        <v>5156000000</v>
      </c>
      <c r="F69">
        <v>5156000000</v>
      </c>
      <c r="G69">
        <v>1442000000</v>
      </c>
      <c r="H69">
        <v>999000000</v>
      </c>
      <c r="I69">
        <v>298000000</v>
      </c>
      <c r="J69">
        <v>1297000000</v>
      </c>
      <c r="K69">
        <v>0</v>
      </c>
      <c r="L69">
        <v>0</v>
      </c>
      <c r="M69">
        <v>0</v>
      </c>
      <c r="N69">
        <v>140000000</v>
      </c>
      <c r="O69">
        <v>0</v>
      </c>
      <c r="P69">
        <v>0</v>
      </c>
      <c r="Q69">
        <v>0</v>
      </c>
      <c r="R69">
        <v>134000000</v>
      </c>
      <c r="S69">
        <v>1582000000</v>
      </c>
      <c r="T69">
        <v>446000000</v>
      </c>
      <c r="U69">
        <v>0</v>
      </c>
      <c r="V69">
        <v>0</v>
      </c>
      <c r="W69">
        <v>0</v>
      </c>
      <c r="X69">
        <v>1442000000</v>
      </c>
      <c r="Y69">
        <v>1576000000</v>
      </c>
      <c r="Z69">
        <v>1136000000</v>
      </c>
      <c r="AA69" t="s">
        <v>46</v>
      </c>
      <c r="AB69" t="s">
        <v>46</v>
      </c>
      <c r="AC69">
        <v>47013000</v>
      </c>
    </row>
    <row r="70" spans="1:38">
      <c r="A70" s="24">
        <v>39629</v>
      </c>
      <c r="B70" t="s">
        <v>45</v>
      </c>
      <c r="C70">
        <v>2600000000</v>
      </c>
      <c r="D70">
        <v>7464000000</v>
      </c>
      <c r="E70">
        <v>4864000000</v>
      </c>
      <c r="F70">
        <v>4864000000</v>
      </c>
      <c r="G70">
        <v>1392000000</v>
      </c>
      <c r="H70">
        <v>916000000</v>
      </c>
      <c r="I70">
        <v>292000000</v>
      </c>
      <c r="J70">
        <v>1208000000</v>
      </c>
      <c r="K70">
        <v>0</v>
      </c>
      <c r="L70">
        <v>0</v>
      </c>
      <c r="M70">
        <v>0</v>
      </c>
      <c r="N70">
        <v>118000000</v>
      </c>
      <c r="O70">
        <v>0</v>
      </c>
      <c r="P70">
        <v>0</v>
      </c>
      <c r="Q70">
        <v>0</v>
      </c>
      <c r="R70">
        <v>117000000</v>
      </c>
      <c r="S70">
        <v>1510000000</v>
      </c>
      <c r="T70">
        <v>438000000</v>
      </c>
      <c r="U70">
        <v>0</v>
      </c>
      <c r="V70">
        <v>0</v>
      </c>
      <c r="W70">
        <v>0</v>
      </c>
      <c r="X70">
        <v>1392000000</v>
      </c>
      <c r="Y70">
        <v>1509000000</v>
      </c>
      <c r="Z70">
        <v>1072000000</v>
      </c>
      <c r="AA70" t="s">
        <v>46</v>
      </c>
      <c r="AB70" t="s">
        <v>46</v>
      </c>
      <c r="AC70">
        <v>42820000</v>
      </c>
    </row>
    <row r="71" spans="1:38">
      <c r="A71" s="24">
        <v>39538</v>
      </c>
      <c r="B71" t="s">
        <v>45</v>
      </c>
      <c r="C71">
        <v>2474000000</v>
      </c>
      <c r="D71">
        <v>7512000000</v>
      </c>
      <c r="E71">
        <v>5038000000</v>
      </c>
      <c r="F71">
        <v>5038000000</v>
      </c>
      <c r="G71">
        <v>1315000000</v>
      </c>
      <c r="H71">
        <v>886000000</v>
      </c>
      <c r="I71">
        <v>273000000</v>
      </c>
      <c r="J71">
        <v>1159000000</v>
      </c>
      <c r="K71">
        <v>0</v>
      </c>
      <c r="L71">
        <v>0</v>
      </c>
      <c r="M71">
        <v>0</v>
      </c>
      <c r="N71">
        <v>162000000</v>
      </c>
      <c r="O71">
        <v>0</v>
      </c>
      <c r="P71">
        <v>0</v>
      </c>
      <c r="Q71">
        <v>0</v>
      </c>
      <c r="R71">
        <v>116000000</v>
      </c>
      <c r="S71">
        <v>1477000000</v>
      </c>
      <c r="T71">
        <v>432000000</v>
      </c>
      <c r="U71">
        <v>0</v>
      </c>
      <c r="V71">
        <v>0</v>
      </c>
      <c r="W71">
        <v>0</v>
      </c>
      <c r="X71">
        <v>1315000000</v>
      </c>
      <c r="Y71">
        <v>1431000000</v>
      </c>
      <c r="Z71">
        <v>1045000000</v>
      </c>
      <c r="AA71" t="s">
        <v>46</v>
      </c>
      <c r="AB71" t="s">
        <v>46</v>
      </c>
      <c r="AC71">
        <v>53699000</v>
      </c>
    </row>
    <row r="72" spans="1:38">
      <c r="A72" s="24">
        <v>39447</v>
      </c>
      <c r="B72" t="s">
        <v>45</v>
      </c>
      <c r="C72">
        <v>3332000000</v>
      </c>
      <c r="D72">
        <v>9608000000</v>
      </c>
      <c r="E72">
        <v>6276000000</v>
      </c>
      <c r="F72">
        <v>6276000000</v>
      </c>
      <c r="G72">
        <v>2126000000</v>
      </c>
      <c r="H72">
        <v>960000000</v>
      </c>
      <c r="I72">
        <v>246000000</v>
      </c>
      <c r="J72">
        <v>1206000000</v>
      </c>
      <c r="K72">
        <v>0</v>
      </c>
      <c r="L72">
        <v>0</v>
      </c>
      <c r="M72">
        <v>0</v>
      </c>
      <c r="N72">
        <v>200000000</v>
      </c>
      <c r="O72">
        <v>0</v>
      </c>
      <c r="P72">
        <v>0</v>
      </c>
      <c r="Q72">
        <v>0</v>
      </c>
      <c r="R72">
        <v>106000000</v>
      </c>
      <c r="S72">
        <v>2326000000</v>
      </c>
      <c r="T72">
        <v>745000000</v>
      </c>
      <c r="U72">
        <v>0</v>
      </c>
      <c r="V72">
        <v>0</v>
      </c>
      <c r="W72">
        <v>0</v>
      </c>
      <c r="X72">
        <v>2126000000</v>
      </c>
      <c r="Y72">
        <v>2232000000</v>
      </c>
      <c r="Z72">
        <v>1581000000</v>
      </c>
      <c r="AA72" t="s">
        <v>46</v>
      </c>
      <c r="AB72" t="s">
        <v>46</v>
      </c>
      <c r="AC72">
        <v>26669000</v>
      </c>
    </row>
    <row r="73" spans="1:38">
      <c r="A73" s="24">
        <v>39355</v>
      </c>
      <c r="B73" t="s">
        <v>45</v>
      </c>
      <c r="C73">
        <v>2090000000</v>
      </c>
      <c r="D73">
        <v>6217000000</v>
      </c>
      <c r="E73">
        <v>4127000000</v>
      </c>
      <c r="F73">
        <v>4127000000</v>
      </c>
      <c r="G73">
        <v>1060000000</v>
      </c>
      <c r="H73">
        <v>823000000</v>
      </c>
      <c r="I73">
        <v>207000000</v>
      </c>
      <c r="J73">
        <v>1030000000</v>
      </c>
      <c r="K73">
        <v>0</v>
      </c>
      <c r="L73">
        <v>0</v>
      </c>
      <c r="M73">
        <v>0</v>
      </c>
      <c r="N73">
        <v>170000000</v>
      </c>
      <c r="O73">
        <v>0</v>
      </c>
      <c r="P73">
        <v>0</v>
      </c>
      <c r="Q73">
        <v>0</v>
      </c>
      <c r="R73">
        <v>93000000</v>
      </c>
      <c r="S73">
        <v>1230000000</v>
      </c>
      <c r="T73">
        <v>326000000</v>
      </c>
      <c r="U73">
        <v>0</v>
      </c>
      <c r="V73">
        <v>0</v>
      </c>
      <c r="W73">
        <v>0</v>
      </c>
      <c r="X73">
        <v>1060000000</v>
      </c>
      <c r="Y73">
        <v>1153000000</v>
      </c>
      <c r="Z73">
        <v>904000000</v>
      </c>
      <c r="AA73" t="s">
        <v>46</v>
      </c>
      <c r="AB73" t="s">
        <v>46</v>
      </c>
      <c r="AC73">
        <v>8476000</v>
      </c>
    </row>
    <row r="74" spans="1:38">
      <c r="A74" s="24">
        <v>39263</v>
      </c>
      <c r="B74" t="s">
        <v>45</v>
      </c>
      <c r="C74">
        <v>1995000000</v>
      </c>
      <c r="D74">
        <v>5410000000</v>
      </c>
      <c r="E74">
        <v>3415000000</v>
      </c>
      <c r="F74">
        <v>3415000000</v>
      </c>
      <c r="G74">
        <v>1041000000</v>
      </c>
      <c r="H74">
        <v>746000000</v>
      </c>
      <c r="I74">
        <v>208000000</v>
      </c>
      <c r="J74">
        <v>954000000</v>
      </c>
      <c r="K74">
        <v>0</v>
      </c>
      <c r="L74">
        <v>0</v>
      </c>
      <c r="M74">
        <v>0</v>
      </c>
      <c r="N74">
        <v>155000000</v>
      </c>
      <c r="O74">
        <v>0</v>
      </c>
      <c r="P74">
        <v>0</v>
      </c>
      <c r="Q74">
        <v>0</v>
      </c>
      <c r="R74">
        <v>81000000</v>
      </c>
      <c r="S74">
        <v>1196000000</v>
      </c>
      <c r="T74">
        <v>378000000</v>
      </c>
      <c r="U74">
        <v>0</v>
      </c>
      <c r="V74">
        <v>0</v>
      </c>
      <c r="W74">
        <v>0</v>
      </c>
      <c r="X74">
        <v>1041000000</v>
      </c>
      <c r="Y74">
        <v>1122000000</v>
      </c>
      <c r="Z74">
        <v>818000000</v>
      </c>
      <c r="AA74">
        <v>374831000</v>
      </c>
      <c r="AB74" t="s">
        <v>46</v>
      </c>
      <c r="AC74">
        <v>499000</v>
      </c>
    </row>
    <row r="75" spans="1:38">
      <c r="A75" s="24">
        <v>39172</v>
      </c>
      <c r="B75" t="s">
        <v>45</v>
      </c>
      <c r="C75">
        <v>1849000000</v>
      </c>
      <c r="D75">
        <v>5264000000</v>
      </c>
      <c r="E75">
        <v>3415000000</v>
      </c>
      <c r="F75">
        <v>3415000000</v>
      </c>
      <c r="G75">
        <v>986000000</v>
      </c>
      <c r="H75">
        <v>680000000</v>
      </c>
      <c r="I75">
        <v>183000000</v>
      </c>
      <c r="J75">
        <v>863000000</v>
      </c>
      <c r="K75">
        <v>0</v>
      </c>
      <c r="L75">
        <v>0</v>
      </c>
      <c r="M75">
        <v>0</v>
      </c>
      <c r="N75">
        <v>148000000</v>
      </c>
      <c r="O75">
        <v>0</v>
      </c>
      <c r="P75">
        <v>0</v>
      </c>
      <c r="Q75">
        <v>0</v>
      </c>
      <c r="R75">
        <v>69000000</v>
      </c>
      <c r="S75">
        <v>1134000000</v>
      </c>
      <c r="T75">
        <v>364000000</v>
      </c>
      <c r="U75">
        <v>0</v>
      </c>
      <c r="V75">
        <v>0</v>
      </c>
      <c r="W75">
        <v>0</v>
      </c>
      <c r="X75">
        <v>986000000</v>
      </c>
      <c r="Y75">
        <v>1055000000</v>
      </c>
      <c r="Z75">
        <v>770000000</v>
      </c>
      <c r="AA75" t="s">
        <v>76</v>
      </c>
      <c r="AB75" t="s">
        <v>77</v>
      </c>
      <c r="AC75" t="s">
        <v>78</v>
      </c>
      <c r="AD75" t="s">
        <v>79</v>
      </c>
      <c r="AE75" t="s">
        <v>80</v>
      </c>
      <c r="AF75" t="s">
        <v>81</v>
      </c>
      <c r="AG75" t="s">
        <v>82</v>
      </c>
      <c r="AH75" t="s">
        <v>83</v>
      </c>
      <c r="AI75" t="s">
        <v>84</v>
      </c>
      <c r="AJ75" t="s">
        <v>85</v>
      </c>
      <c r="AK75" t="s">
        <v>86</v>
      </c>
      <c r="AL75" t="s">
        <v>87</v>
      </c>
    </row>
    <row r="76" spans="1:38">
      <c r="A76" s="24">
        <v>39082</v>
      </c>
      <c r="B76" t="s">
        <v>45</v>
      </c>
      <c r="C76">
        <v>2220000000</v>
      </c>
      <c r="D76">
        <v>7115000000</v>
      </c>
      <c r="E76">
        <v>4895000000</v>
      </c>
      <c r="F76">
        <v>4895000000</v>
      </c>
      <c r="G76">
        <v>1322000000</v>
      </c>
      <c r="H76">
        <v>714000000</v>
      </c>
      <c r="I76">
        <v>184000000</v>
      </c>
      <c r="J76">
        <v>898000000</v>
      </c>
      <c r="K76">
        <v>0</v>
      </c>
      <c r="L76">
        <v>0</v>
      </c>
      <c r="M76">
        <v>0</v>
      </c>
      <c r="N76">
        <v>126000000</v>
      </c>
      <c r="O76">
        <v>0</v>
      </c>
      <c r="P76">
        <v>0</v>
      </c>
      <c r="Q76">
        <v>0</v>
      </c>
      <c r="R76">
        <v>74000000</v>
      </c>
      <c r="S76">
        <v>1448000000</v>
      </c>
      <c r="T76">
        <v>444000000</v>
      </c>
      <c r="U76">
        <v>0</v>
      </c>
      <c r="V76">
        <v>0</v>
      </c>
      <c r="W76">
        <v>0</v>
      </c>
      <c r="X76">
        <v>1322000000</v>
      </c>
      <c r="Y76">
        <v>1396000000</v>
      </c>
      <c r="Z76">
        <v>1004000000</v>
      </c>
      <c r="AA76">
        <v>5884000000</v>
      </c>
      <c r="AB76">
        <v>5080000000</v>
      </c>
      <c r="AC76">
        <v>2164000000</v>
      </c>
      <c r="AD76">
        <v>0</v>
      </c>
      <c r="AE76">
        <v>13128000000</v>
      </c>
      <c r="AF76">
        <v>7771000000</v>
      </c>
      <c r="AG76">
        <v>1120000000</v>
      </c>
      <c r="AH76">
        <v>74653000000</v>
      </c>
      <c r="AI76">
        <v>0</v>
      </c>
      <c r="AJ76">
        <v>35618000000</v>
      </c>
      <c r="AK76">
        <v>3000000</v>
      </c>
      <c r="AL76">
        <v>3521000000</v>
      </c>
    </row>
    <row r="77" spans="1:38">
      <c r="A77" s="24">
        <v>38990</v>
      </c>
      <c r="B77" t="s">
        <v>45</v>
      </c>
      <c r="C77">
        <v>1412000000</v>
      </c>
      <c r="D77">
        <v>4370000000</v>
      </c>
      <c r="E77">
        <v>3425000000</v>
      </c>
      <c r="F77">
        <v>3425000000</v>
      </c>
      <c r="G77">
        <v>608000000</v>
      </c>
      <c r="H77">
        <v>584000000</v>
      </c>
      <c r="I77">
        <v>179000000</v>
      </c>
      <c r="J77">
        <v>804000000</v>
      </c>
      <c r="K77">
        <v>0</v>
      </c>
      <c r="L77">
        <v>0</v>
      </c>
      <c r="M77">
        <v>0</v>
      </c>
      <c r="N77">
        <v>252000000</v>
      </c>
      <c r="O77">
        <v>0</v>
      </c>
      <c r="P77">
        <v>0</v>
      </c>
      <c r="Q77">
        <v>0</v>
      </c>
      <c r="R77">
        <v>66000000</v>
      </c>
      <c r="S77">
        <v>721000000</v>
      </c>
      <c r="T77">
        <v>179000000</v>
      </c>
      <c r="U77">
        <v>0</v>
      </c>
      <c r="V77">
        <v>0</v>
      </c>
      <c r="W77">
        <v>0</v>
      </c>
      <c r="X77">
        <v>661000000</v>
      </c>
      <c r="Y77">
        <v>718000000</v>
      </c>
      <c r="Z77">
        <v>542000000</v>
      </c>
      <c r="AA77">
        <v>5745000000</v>
      </c>
      <c r="AB77">
        <v>5535000000</v>
      </c>
      <c r="AC77">
        <v>2343000000</v>
      </c>
      <c r="AD77">
        <v>0</v>
      </c>
      <c r="AE77">
        <v>13623000000</v>
      </c>
      <c r="AF77">
        <v>7556000000</v>
      </c>
      <c r="AG77">
        <v>1093000000</v>
      </c>
      <c r="AH77">
        <v>72913000000</v>
      </c>
      <c r="AI77">
        <v>0</v>
      </c>
      <c r="AJ77">
        <v>35209000000</v>
      </c>
      <c r="AK77">
        <v>3000000</v>
      </c>
      <c r="AL77">
        <v>3517000000</v>
      </c>
    </row>
    <row r="78" spans="1:38">
      <c r="A78" s="24">
        <v>38898</v>
      </c>
      <c r="B78" t="s">
        <v>45</v>
      </c>
      <c r="C78">
        <v>1325000000</v>
      </c>
      <c r="D78">
        <v>4370000000</v>
      </c>
      <c r="E78">
        <v>3045000000</v>
      </c>
      <c r="F78">
        <v>3045000000</v>
      </c>
      <c r="G78">
        <v>566000000</v>
      </c>
      <c r="H78">
        <v>584000000</v>
      </c>
      <c r="I78">
        <v>175000000</v>
      </c>
      <c r="J78">
        <v>759000000</v>
      </c>
      <c r="K78">
        <v>0</v>
      </c>
      <c r="L78">
        <v>0</v>
      </c>
      <c r="M78">
        <v>0</v>
      </c>
      <c r="N78">
        <v>0</v>
      </c>
      <c r="O78">
        <v>0</v>
      </c>
      <c r="P78">
        <v>0</v>
      </c>
      <c r="Q78">
        <v>0</v>
      </c>
      <c r="R78">
        <v>57000000</v>
      </c>
      <c r="S78">
        <v>661000000</v>
      </c>
      <c r="T78">
        <v>189000000</v>
      </c>
      <c r="U78">
        <v>0</v>
      </c>
      <c r="V78">
        <v>0</v>
      </c>
      <c r="W78">
        <v>0</v>
      </c>
      <c r="X78">
        <v>566000000</v>
      </c>
      <c r="Y78">
        <v>623000000</v>
      </c>
      <c r="Z78">
        <v>472000000</v>
      </c>
      <c r="AA78">
        <v>5393000000</v>
      </c>
      <c r="AB78">
        <v>5275000000</v>
      </c>
      <c r="AC78">
        <v>2115000000</v>
      </c>
      <c r="AD78">
        <v>0</v>
      </c>
      <c r="AE78">
        <v>12783000000</v>
      </c>
      <c r="AF78">
        <v>7545000000</v>
      </c>
      <c r="AG78">
        <v>996000000</v>
      </c>
      <c r="AH78">
        <v>70710000000</v>
      </c>
      <c r="AI78">
        <v>0</v>
      </c>
      <c r="AJ78">
        <v>32656000000</v>
      </c>
      <c r="AK78">
        <v>3000000</v>
      </c>
      <c r="AL78">
        <v>3497000000</v>
      </c>
    </row>
    <row r="79" spans="1:38">
      <c r="A79" s="24">
        <v>38807</v>
      </c>
      <c r="B79" t="s">
        <v>45</v>
      </c>
      <c r="C79">
        <v>1297000000</v>
      </c>
      <c r="D79">
        <v>4359000000</v>
      </c>
      <c r="E79">
        <v>3062000000</v>
      </c>
      <c r="F79">
        <v>3062000000</v>
      </c>
      <c r="G79">
        <v>529000000</v>
      </c>
      <c r="H79">
        <v>592000000</v>
      </c>
      <c r="I79">
        <v>176000000</v>
      </c>
      <c r="J79">
        <v>768000000</v>
      </c>
      <c r="K79">
        <v>0</v>
      </c>
      <c r="L79">
        <v>0</v>
      </c>
      <c r="M79">
        <v>0</v>
      </c>
      <c r="N79">
        <v>76000000</v>
      </c>
      <c r="O79">
        <v>0</v>
      </c>
      <c r="P79">
        <v>0</v>
      </c>
      <c r="Q79">
        <v>0</v>
      </c>
      <c r="R79">
        <v>50000000</v>
      </c>
      <c r="S79">
        <v>605000000</v>
      </c>
      <c r="T79">
        <v>195000000</v>
      </c>
      <c r="U79">
        <v>0</v>
      </c>
      <c r="V79">
        <v>0</v>
      </c>
      <c r="W79">
        <v>0</v>
      </c>
      <c r="X79">
        <v>529000000</v>
      </c>
      <c r="Y79">
        <v>579000000</v>
      </c>
      <c r="Z79">
        <v>410000000</v>
      </c>
      <c r="AA79">
        <v>5153000000</v>
      </c>
      <c r="AB79">
        <v>5338000000</v>
      </c>
      <c r="AC79">
        <v>2024000000</v>
      </c>
      <c r="AD79">
        <v>0</v>
      </c>
      <c r="AE79">
        <v>12515000000</v>
      </c>
      <c r="AF79">
        <v>8868000000</v>
      </c>
      <c r="AG79">
        <v>898000000</v>
      </c>
      <c r="AH79">
        <v>67263000000</v>
      </c>
      <c r="AI79">
        <v>0</v>
      </c>
      <c r="AJ79">
        <v>30489000000</v>
      </c>
      <c r="AK79">
        <v>3000000</v>
      </c>
      <c r="AL79">
        <v>3481000000</v>
      </c>
    </row>
    <row r="80" spans="1:38">
      <c r="A80" s="24">
        <v>38717</v>
      </c>
      <c r="B80" t="s">
        <v>45</v>
      </c>
      <c r="C80">
        <v>1564000000</v>
      </c>
      <c r="D80">
        <v>5749000000</v>
      </c>
      <c r="E80">
        <v>4185000000</v>
      </c>
      <c r="F80">
        <v>4185000000</v>
      </c>
      <c r="G80">
        <v>750000000</v>
      </c>
      <c r="H80">
        <v>632000000</v>
      </c>
      <c r="I80">
        <v>182000000</v>
      </c>
      <c r="J80">
        <v>814000000</v>
      </c>
      <c r="K80">
        <v>0</v>
      </c>
      <c r="L80">
        <v>0</v>
      </c>
      <c r="M80">
        <v>0</v>
      </c>
      <c r="N80">
        <v>81000000</v>
      </c>
      <c r="O80">
        <v>0</v>
      </c>
      <c r="P80">
        <v>0</v>
      </c>
      <c r="Q80">
        <v>0</v>
      </c>
      <c r="R80">
        <v>52000000</v>
      </c>
      <c r="S80">
        <v>831000000</v>
      </c>
      <c r="T80">
        <v>266000000</v>
      </c>
      <c r="U80">
        <v>0</v>
      </c>
      <c r="V80">
        <v>0</v>
      </c>
      <c r="W80">
        <v>0</v>
      </c>
      <c r="X80">
        <v>750000000</v>
      </c>
      <c r="Y80">
        <v>802000000</v>
      </c>
      <c r="Z80">
        <v>565000000</v>
      </c>
      <c r="AA80">
        <v>5037000000</v>
      </c>
      <c r="AB80">
        <v>2739000000</v>
      </c>
      <c r="AC80">
        <v>2135000000</v>
      </c>
      <c r="AD80">
        <v>0</v>
      </c>
      <c r="AE80">
        <v>9911000000</v>
      </c>
      <c r="AF80">
        <v>8539000000</v>
      </c>
      <c r="AG80">
        <v>885000000</v>
      </c>
      <c r="AH80">
        <v>65180000000</v>
      </c>
      <c r="AI80">
        <v>0</v>
      </c>
      <c r="AJ80">
        <v>29011000000</v>
      </c>
      <c r="AK80">
        <v>3000000</v>
      </c>
      <c r="AL80">
        <v>3484000000</v>
      </c>
    </row>
    <row r="81" spans="1:38">
      <c r="A81" s="24">
        <v>38625</v>
      </c>
      <c r="B81" t="s">
        <v>45</v>
      </c>
      <c r="C81">
        <v>1035000000</v>
      </c>
      <c r="D81">
        <v>3678000000</v>
      </c>
      <c r="E81">
        <v>2643000000</v>
      </c>
      <c r="F81">
        <v>2643000000</v>
      </c>
      <c r="G81">
        <v>418000000</v>
      </c>
      <c r="H81">
        <v>470000000</v>
      </c>
      <c r="I81">
        <v>147000000</v>
      </c>
      <c r="J81">
        <v>617000000</v>
      </c>
      <c r="K81">
        <v>0</v>
      </c>
      <c r="L81">
        <v>0</v>
      </c>
      <c r="M81">
        <v>0</v>
      </c>
      <c r="N81">
        <v>60000000</v>
      </c>
      <c r="O81">
        <v>0</v>
      </c>
      <c r="P81">
        <v>0</v>
      </c>
      <c r="Q81">
        <v>0</v>
      </c>
      <c r="R81">
        <v>51000000</v>
      </c>
      <c r="S81">
        <v>478000000</v>
      </c>
      <c r="T81">
        <v>48000000</v>
      </c>
      <c r="U81">
        <v>0</v>
      </c>
      <c r="V81">
        <v>0</v>
      </c>
      <c r="W81">
        <v>0</v>
      </c>
      <c r="X81">
        <v>418000000</v>
      </c>
      <c r="Y81">
        <v>469000000</v>
      </c>
      <c r="Z81">
        <v>430000000</v>
      </c>
      <c r="AA81">
        <v>4916000000</v>
      </c>
      <c r="AB81">
        <v>2682000000</v>
      </c>
      <c r="AC81">
        <v>1975000000</v>
      </c>
      <c r="AD81">
        <v>0</v>
      </c>
      <c r="AE81">
        <v>5230000000</v>
      </c>
      <c r="AF81">
        <v>9080000000</v>
      </c>
      <c r="AG81">
        <v>876000000</v>
      </c>
      <c r="AH81">
        <v>63609000000</v>
      </c>
      <c r="AI81">
        <v>0</v>
      </c>
      <c r="AJ81">
        <v>27882000000</v>
      </c>
      <c r="AK81">
        <v>3000000</v>
      </c>
      <c r="AL81">
        <v>3492000000</v>
      </c>
    </row>
    <row r="82" spans="1:38">
      <c r="A82" s="24">
        <v>38533</v>
      </c>
      <c r="B82" t="s">
        <v>45</v>
      </c>
      <c r="C82">
        <v>1044000000</v>
      </c>
      <c r="D82">
        <v>3520000000</v>
      </c>
      <c r="E82">
        <v>2476000000</v>
      </c>
      <c r="F82">
        <v>2476000000</v>
      </c>
      <c r="G82">
        <v>426000000</v>
      </c>
      <c r="H82">
        <v>472000000</v>
      </c>
      <c r="I82">
        <v>145000000</v>
      </c>
      <c r="J82">
        <v>618000000</v>
      </c>
      <c r="K82">
        <v>0</v>
      </c>
      <c r="L82">
        <v>0</v>
      </c>
      <c r="M82">
        <v>0</v>
      </c>
      <c r="N82">
        <v>46000000</v>
      </c>
      <c r="O82">
        <v>0</v>
      </c>
      <c r="P82">
        <v>0</v>
      </c>
      <c r="Q82">
        <v>0</v>
      </c>
      <c r="R82">
        <v>46000000</v>
      </c>
      <c r="S82">
        <v>472000000</v>
      </c>
      <c r="T82">
        <v>153000000</v>
      </c>
      <c r="U82">
        <v>0</v>
      </c>
      <c r="V82">
        <v>0</v>
      </c>
      <c r="W82">
        <v>0</v>
      </c>
      <c r="X82">
        <v>426000000</v>
      </c>
      <c r="Y82">
        <v>472000000</v>
      </c>
      <c r="Z82">
        <v>319000000</v>
      </c>
      <c r="AA82">
        <v>4483000000</v>
      </c>
      <c r="AB82">
        <v>2426000000</v>
      </c>
      <c r="AC82">
        <v>1967000000</v>
      </c>
      <c r="AD82">
        <v>0</v>
      </c>
      <c r="AE82">
        <v>4393000000</v>
      </c>
      <c r="AF82">
        <v>7636000000</v>
      </c>
      <c r="AG82">
        <v>7321000000</v>
      </c>
      <c r="AH82">
        <v>54495000000</v>
      </c>
      <c r="AI82">
        <v>0</v>
      </c>
      <c r="AJ82">
        <v>19954000000</v>
      </c>
      <c r="AK82">
        <v>3000000</v>
      </c>
      <c r="AL82">
        <v>3493000000</v>
      </c>
    </row>
    <row r="83" spans="1:38">
      <c r="A83" s="24">
        <v>38442</v>
      </c>
      <c r="B83" t="s">
        <v>45</v>
      </c>
      <c r="C83">
        <v>968000000</v>
      </c>
      <c r="D83">
        <v>3243000000</v>
      </c>
      <c r="E83">
        <v>2275000000</v>
      </c>
      <c r="F83">
        <v>2275000000</v>
      </c>
      <c r="G83">
        <v>402000000</v>
      </c>
      <c r="H83">
        <v>447000000</v>
      </c>
      <c r="I83">
        <v>119000000</v>
      </c>
      <c r="J83">
        <v>566000000</v>
      </c>
      <c r="K83">
        <v>0</v>
      </c>
      <c r="L83">
        <v>0</v>
      </c>
      <c r="M83">
        <v>0</v>
      </c>
      <c r="N83">
        <v>33000000</v>
      </c>
      <c r="O83">
        <v>0</v>
      </c>
      <c r="P83">
        <v>0</v>
      </c>
      <c r="Q83">
        <v>0</v>
      </c>
      <c r="R83">
        <v>41000000</v>
      </c>
      <c r="S83">
        <v>435000000</v>
      </c>
      <c r="T83">
        <v>145000000</v>
      </c>
      <c r="U83">
        <v>0</v>
      </c>
      <c r="V83">
        <v>0</v>
      </c>
      <c r="W83">
        <v>0</v>
      </c>
      <c r="X83">
        <v>402000000</v>
      </c>
      <c r="Y83">
        <v>443000000</v>
      </c>
      <c r="Z83">
        <v>290000000</v>
      </c>
      <c r="AA83">
        <v>4292000000</v>
      </c>
      <c r="AB83">
        <v>872000000</v>
      </c>
      <c r="AC83">
        <v>1459000000</v>
      </c>
      <c r="AD83">
        <v>0</v>
      </c>
      <c r="AE83">
        <v>2331000000</v>
      </c>
      <c r="AF83">
        <v>7658000000</v>
      </c>
      <c r="AG83">
        <v>6924000000</v>
      </c>
      <c r="AH83">
        <v>52182000000</v>
      </c>
      <c r="AI83">
        <v>0</v>
      </c>
      <c r="AJ83">
        <v>18101000000</v>
      </c>
      <c r="AK83">
        <v>3000000</v>
      </c>
      <c r="AL83">
        <v>3478000000</v>
      </c>
    </row>
    <row r="84" spans="1:38">
      <c r="A84" s="24">
        <v>45016</v>
      </c>
      <c r="B84" t="s">
        <v>45</v>
      </c>
      <c r="C84">
        <v>86833000000</v>
      </c>
      <c r="D84">
        <v>42997000000</v>
      </c>
      <c r="E84">
        <v>16048000000</v>
      </c>
      <c r="F84">
        <v>16048000000</v>
      </c>
      <c r="G84">
        <v>14375000000</v>
      </c>
      <c r="H84">
        <v>2993000000</v>
      </c>
      <c r="I84">
        <v>43836000000</v>
      </c>
      <c r="J84">
        <v>24969000000</v>
      </c>
      <c r="K84">
        <v>0</v>
      </c>
      <c r="L84">
        <v>204000000</v>
      </c>
      <c r="M84">
        <v>204000000</v>
      </c>
      <c r="N84">
        <v>195000000</v>
      </c>
      <c r="O84">
        <v>0</v>
      </c>
      <c r="P84">
        <v>0</v>
      </c>
      <c r="Q84">
        <v>6354000000</v>
      </c>
      <c r="R84">
        <v>3227000000</v>
      </c>
      <c r="S84">
        <v>0</v>
      </c>
      <c r="T84">
        <v>37598000000</v>
      </c>
      <c r="U84">
        <v>27436000000</v>
      </c>
      <c r="V84">
        <v>15904000000</v>
      </c>
      <c r="W84">
        <v>0</v>
      </c>
      <c r="X84">
        <v>0</v>
      </c>
      <c r="Y84">
        <v>1404000000</v>
      </c>
      <c r="Z84">
        <v>10162000000</v>
      </c>
      <c r="AA84">
        <v>3822000000</v>
      </c>
      <c r="AB84">
        <v>1272000000</v>
      </c>
      <c r="AC84">
        <v>1404000000</v>
      </c>
      <c r="AD84">
        <v>0</v>
      </c>
      <c r="AE84">
        <v>2676000000</v>
      </c>
      <c r="AF84">
        <v>7321000000</v>
      </c>
      <c r="AG84">
        <v>10162000000</v>
      </c>
      <c r="AH84">
        <v>49235000000</v>
      </c>
      <c r="AI84">
        <v>0</v>
      </c>
      <c r="AJ84">
        <v>15398000000</v>
      </c>
      <c r="AK84">
        <v>3000000</v>
      </c>
      <c r="AL84">
        <v>3468000000</v>
      </c>
    </row>
    <row r="85" spans="1:38">
      <c r="A85" s="24" t="s">
        <v>234</v>
      </c>
      <c r="B85" t="s">
        <v>45</v>
      </c>
      <c r="C85">
        <v>82338000000</v>
      </c>
      <c r="D85">
        <v>40917000000</v>
      </c>
      <c r="E85">
        <v>16253000000</v>
      </c>
      <c r="F85">
        <v>16253000000</v>
      </c>
      <c r="G85">
        <v>12839000000</v>
      </c>
      <c r="H85">
        <v>2952000000</v>
      </c>
      <c r="I85">
        <v>41421000000</v>
      </c>
      <c r="J85">
        <v>36635000000</v>
      </c>
      <c r="K85">
        <v>0</v>
      </c>
      <c r="L85">
        <v>215000000</v>
      </c>
      <c r="M85">
        <v>215000000</v>
      </c>
      <c r="N85">
        <v>194000000</v>
      </c>
      <c r="O85">
        <v>0</v>
      </c>
      <c r="P85">
        <v>0</v>
      </c>
      <c r="Q85">
        <v>5932000000</v>
      </c>
      <c r="R85">
        <v>2941000000</v>
      </c>
      <c r="S85">
        <v>0</v>
      </c>
      <c r="T85">
        <v>36440000000</v>
      </c>
      <c r="U85">
        <v>26709000000</v>
      </c>
      <c r="V85">
        <v>15255000000</v>
      </c>
      <c r="W85">
        <v>0</v>
      </c>
      <c r="X85">
        <v>0</v>
      </c>
      <c r="Y85">
        <v>1502000000</v>
      </c>
      <c r="Z85">
        <v>9731000000</v>
      </c>
      <c r="AA85">
        <v>3703000000</v>
      </c>
      <c r="AB85">
        <v>1029000000</v>
      </c>
      <c r="AC85">
        <v>1016000000</v>
      </c>
      <c r="AD85">
        <v>0</v>
      </c>
      <c r="AE85">
        <v>3099000000</v>
      </c>
      <c r="AF85">
        <v>7142000000</v>
      </c>
      <c r="AG85">
        <v>553000000</v>
      </c>
      <c r="AH85">
        <v>45898000000</v>
      </c>
      <c r="AI85">
        <v>0</v>
      </c>
      <c r="AJ85">
        <v>12885000000</v>
      </c>
      <c r="AK85">
        <v>3000000</v>
      </c>
      <c r="AL85">
        <v>3471000000</v>
      </c>
    </row>
    <row r="86" spans="1:38">
      <c r="A86" s="24" t="s">
        <v>17</v>
      </c>
      <c r="B86" t="s">
        <v>18</v>
      </c>
      <c r="C86" t="s">
        <v>146</v>
      </c>
      <c r="D86" t="s">
        <v>147</v>
      </c>
      <c r="E86" t="s">
        <v>148</v>
      </c>
      <c r="F86" t="s">
        <v>149</v>
      </c>
      <c r="G86" t="s">
        <v>150</v>
      </c>
      <c r="H86" t="s">
        <v>151</v>
      </c>
      <c r="I86" t="s">
        <v>152</v>
      </c>
      <c r="J86" t="s">
        <v>153</v>
      </c>
      <c r="K86" t="s">
        <v>154</v>
      </c>
      <c r="L86" t="s">
        <v>155</v>
      </c>
      <c r="M86" t="s">
        <v>156</v>
      </c>
      <c r="N86" t="s">
        <v>157</v>
      </c>
      <c r="O86" t="s">
        <v>158</v>
      </c>
      <c r="P86" t="s">
        <v>159</v>
      </c>
      <c r="Q86" t="s">
        <v>160</v>
      </c>
      <c r="R86" t="s">
        <v>161</v>
      </c>
      <c r="S86" t="s">
        <v>162</v>
      </c>
      <c r="T86" t="s">
        <v>163</v>
      </c>
      <c r="U86" t="s">
        <v>164</v>
      </c>
      <c r="V86" t="s">
        <v>165</v>
      </c>
      <c r="W86" t="s">
        <v>72</v>
      </c>
      <c r="X86" t="s">
        <v>73</v>
      </c>
      <c r="Y86" t="s">
        <v>74</v>
      </c>
      <c r="Z86" t="s">
        <v>75</v>
      </c>
      <c r="AA86" t="s">
        <v>76</v>
      </c>
      <c r="AB86" t="s">
        <v>77</v>
      </c>
      <c r="AC86" t="s">
        <v>78</v>
      </c>
      <c r="AD86" t="s">
        <v>79</v>
      </c>
      <c r="AE86" t="s">
        <v>80</v>
      </c>
      <c r="AF86" t="s">
        <v>81</v>
      </c>
      <c r="AG86" t="s">
        <v>82</v>
      </c>
      <c r="AH86" t="s">
        <v>83</v>
      </c>
      <c r="AI86" t="s">
        <v>84</v>
      </c>
      <c r="AJ86" t="s">
        <v>85</v>
      </c>
      <c r="AK86" t="s">
        <v>86</v>
      </c>
      <c r="AL86" t="s">
        <v>87</v>
      </c>
    </row>
    <row r="87" spans="1:38">
      <c r="A87" s="24">
        <v>45747</v>
      </c>
      <c r="B87" t="s">
        <v>45</v>
      </c>
      <c r="C87">
        <v>331233000000</v>
      </c>
      <c r="D87">
        <v>118674000000</v>
      </c>
      <c r="E87">
        <v>28162000000</v>
      </c>
      <c r="F87">
        <v>28162000000</v>
      </c>
      <c r="G87">
        <v>6269000000</v>
      </c>
      <c r="H87">
        <v>49798000000</v>
      </c>
      <c r="I87">
        <v>212559000000</v>
      </c>
      <c r="J87">
        <v>0</v>
      </c>
      <c r="K87">
        <v>0</v>
      </c>
      <c r="L87">
        <v>0</v>
      </c>
      <c r="M87">
        <v>0</v>
      </c>
      <c r="N87">
        <v>0</v>
      </c>
      <c r="O87">
        <v>0</v>
      </c>
      <c r="P87">
        <v>84424000000</v>
      </c>
      <c r="Q87">
        <v>20336000000</v>
      </c>
      <c r="R87">
        <v>14109000000</v>
      </c>
      <c r="S87">
        <v>0</v>
      </c>
      <c r="T87">
        <v>264437000000</v>
      </c>
      <c r="U87">
        <v>144571000000</v>
      </c>
      <c r="V87">
        <v>54126000000</v>
      </c>
      <c r="W87">
        <v>0</v>
      </c>
      <c r="X87">
        <v>0</v>
      </c>
      <c r="Y87">
        <v>19620000000</v>
      </c>
      <c r="Z87">
        <v>119866000000</v>
      </c>
      <c r="AA87">
        <v>0</v>
      </c>
      <c r="AB87">
        <v>78566000000</v>
      </c>
      <c r="AC87">
        <v>19620000000</v>
      </c>
      <c r="AD87">
        <v>0</v>
      </c>
      <c r="AE87">
        <v>98186000000</v>
      </c>
      <c r="AF87">
        <v>61849000000</v>
      </c>
      <c r="AG87">
        <v>41300000000</v>
      </c>
      <c r="AH87">
        <v>66796000000</v>
      </c>
      <c r="AI87">
        <v>0</v>
      </c>
      <c r="AJ87">
        <v>-15552000000</v>
      </c>
      <c r="AK87">
        <v>88711000000</v>
      </c>
      <c r="AL87">
        <v>15056133000</v>
      </c>
    </row>
    <row r="88" spans="1:38">
      <c r="A88" s="24">
        <v>45657</v>
      </c>
      <c r="B88" t="s">
        <v>45</v>
      </c>
      <c r="C88">
        <v>344085000000</v>
      </c>
      <c r="D88">
        <v>133240000000</v>
      </c>
      <c r="E88">
        <v>30299000000</v>
      </c>
      <c r="F88">
        <v>30299000000</v>
      </c>
      <c r="G88">
        <v>6911000000</v>
      </c>
      <c r="H88">
        <v>59306000000</v>
      </c>
      <c r="I88">
        <v>210845000000</v>
      </c>
      <c r="J88">
        <v>0</v>
      </c>
      <c r="K88">
        <v>0</v>
      </c>
      <c r="L88">
        <v>0</v>
      </c>
      <c r="M88">
        <v>0</v>
      </c>
      <c r="N88">
        <v>0</v>
      </c>
      <c r="O88">
        <v>0</v>
      </c>
      <c r="P88">
        <v>87593000000</v>
      </c>
      <c r="Q88">
        <v>23476000000</v>
      </c>
      <c r="R88">
        <v>13248000000</v>
      </c>
      <c r="S88">
        <v>0</v>
      </c>
      <c r="T88">
        <v>277327000000</v>
      </c>
      <c r="U88">
        <v>144365000000</v>
      </c>
      <c r="V88">
        <v>61910000000</v>
      </c>
      <c r="W88">
        <v>0</v>
      </c>
      <c r="X88">
        <v>0</v>
      </c>
      <c r="Y88">
        <v>12843000000</v>
      </c>
      <c r="Z88">
        <v>132962000000</v>
      </c>
      <c r="AA88">
        <v>0</v>
      </c>
      <c r="AB88">
        <v>83956000000</v>
      </c>
      <c r="AC88">
        <v>12843000000</v>
      </c>
      <c r="AD88">
        <v>0</v>
      </c>
      <c r="AE88">
        <v>96799000000</v>
      </c>
      <c r="AF88">
        <v>61151000000</v>
      </c>
      <c r="AG88">
        <v>49006000000</v>
      </c>
      <c r="AH88">
        <v>66758000000</v>
      </c>
      <c r="AI88">
        <v>0</v>
      </c>
      <c r="AJ88">
        <v>-11221000000</v>
      </c>
      <c r="AK88">
        <v>84768000000</v>
      </c>
      <c r="AL88">
        <v>15150865000</v>
      </c>
    </row>
    <row r="89" spans="1:38">
      <c r="A89" s="24">
        <v>45565</v>
      </c>
      <c r="B89" t="s">
        <v>45</v>
      </c>
      <c r="C89">
        <v>364980000000</v>
      </c>
      <c r="D89">
        <v>152987000000</v>
      </c>
      <c r="E89">
        <v>29943000000</v>
      </c>
      <c r="F89">
        <v>29943000000</v>
      </c>
      <c r="G89">
        <v>7286000000</v>
      </c>
      <c r="H89">
        <v>66243000000</v>
      </c>
      <c r="I89">
        <v>211993000000</v>
      </c>
      <c r="J89">
        <v>0</v>
      </c>
      <c r="K89">
        <v>0</v>
      </c>
      <c r="L89">
        <v>0</v>
      </c>
      <c r="M89">
        <v>0</v>
      </c>
      <c r="N89">
        <v>0</v>
      </c>
      <c r="O89">
        <v>0</v>
      </c>
      <c r="P89">
        <v>91479000000</v>
      </c>
      <c r="Q89">
        <v>35228000000</v>
      </c>
      <c r="R89">
        <v>14287000000</v>
      </c>
      <c r="S89">
        <v>0</v>
      </c>
      <c r="T89">
        <v>308030000000</v>
      </c>
      <c r="U89">
        <v>176392000000</v>
      </c>
      <c r="V89">
        <v>68960000000</v>
      </c>
      <c r="W89">
        <v>0</v>
      </c>
      <c r="X89">
        <v>0</v>
      </c>
      <c r="Y89">
        <v>22511000000</v>
      </c>
      <c r="Z89">
        <v>131638000000</v>
      </c>
      <c r="AA89">
        <v>0</v>
      </c>
      <c r="AB89">
        <v>85750000000</v>
      </c>
      <c r="AC89">
        <v>20879000000</v>
      </c>
      <c r="AD89">
        <v>0</v>
      </c>
      <c r="AE89">
        <v>106629000000</v>
      </c>
      <c r="AF89">
        <v>50071000000</v>
      </c>
      <c r="AG89">
        <v>36634000000</v>
      </c>
      <c r="AH89">
        <v>56950000000</v>
      </c>
      <c r="AI89">
        <v>0</v>
      </c>
      <c r="AJ89">
        <v>-19154000000</v>
      </c>
      <c r="AK89">
        <v>83276000000</v>
      </c>
      <c r="AL89">
        <v>15408095000</v>
      </c>
    </row>
    <row r="90" spans="1:38">
      <c r="A90" s="24">
        <v>45473</v>
      </c>
      <c r="B90" t="s">
        <v>45</v>
      </c>
      <c r="C90">
        <v>331612000000</v>
      </c>
      <c r="D90">
        <v>125435000000</v>
      </c>
      <c r="E90">
        <v>25565000000</v>
      </c>
      <c r="F90">
        <v>25565000000</v>
      </c>
      <c r="G90">
        <v>6165000000</v>
      </c>
      <c r="H90">
        <v>43172000000</v>
      </c>
      <c r="I90">
        <v>206177000000</v>
      </c>
      <c r="J90">
        <v>0</v>
      </c>
      <c r="K90">
        <v>0</v>
      </c>
      <c r="L90">
        <v>0</v>
      </c>
      <c r="M90">
        <v>0</v>
      </c>
      <c r="N90">
        <v>0</v>
      </c>
      <c r="O90">
        <v>0</v>
      </c>
      <c r="P90">
        <v>91240000000</v>
      </c>
      <c r="Q90">
        <v>36236000000</v>
      </c>
      <c r="R90">
        <v>14297000000</v>
      </c>
      <c r="S90">
        <v>0</v>
      </c>
      <c r="T90">
        <v>264904000000</v>
      </c>
      <c r="U90">
        <v>131624000000</v>
      </c>
      <c r="V90">
        <v>47574000000</v>
      </c>
      <c r="W90">
        <v>0</v>
      </c>
      <c r="X90">
        <v>0</v>
      </c>
      <c r="Y90">
        <v>15108000000</v>
      </c>
      <c r="Z90">
        <v>133280000000</v>
      </c>
      <c r="AA90">
        <v>0</v>
      </c>
      <c r="AB90">
        <v>86196000000</v>
      </c>
      <c r="AC90">
        <v>15108000000</v>
      </c>
      <c r="AD90">
        <v>0</v>
      </c>
      <c r="AE90">
        <v>101304000000</v>
      </c>
      <c r="AF90">
        <v>60889000000</v>
      </c>
      <c r="AG90">
        <v>47084000000</v>
      </c>
      <c r="AH90">
        <v>66708000000</v>
      </c>
      <c r="AI90">
        <v>0</v>
      </c>
      <c r="AJ90">
        <v>-4726000000</v>
      </c>
      <c r="AK90">
        <v>79850000000</v>
      </c>
      <c r="AL90">
        <v>15348175000</v>
      </c>
    </row>
    <row r="91" spans="1:38">
      <c r="A91" s="24">
        <v>45382</v>
      </c>
      <c r="B91" t="s">
        <v>45</v>
      </c>
      <c r="C91">
        <v>337411000000</v>
      </c>
      <c r="D91">
        <v>128416000000</v>
      </c>
      <c r="E91">
        <v>32695000000</v>
      </c>
      <c r="F91">
        <v>32695000000</v>
      </c>
      <c r="G91">
        <v>6232000000</v>
      </c>
      <c r="H91">
        <v>41150000000</v>
      </c>
      <c r="I91">
        <v>208995000000</v>
      </c>
      <c r="J91">
        <v>0</v>
      </c>
      <c r="K91">
        <v>0</v>
      </c>
      <c r="L91">
        <v>0</v>
      </c>
      <c r="M91">
        <v>0</v>
      </c>
      <c r="N91">
        <v>0</v>
      </c>
      <c r="O91">
        <v>0</v>
      </c>
      <c r="P91">
        <v>95187000000</v>
      </c>
      <c r="Q91">
        <v>34455000000</v>
      </c>
      <c r="R91">
        <v>13884000000</v>
      </c>
      <c r="S91">
        <v>0</v>
      </c>
      <c r="T91">
        <v>263217000000</v>
      </c>
      <c r="U91">
        <v>123822000000</v>
      </c>
      <c r="V91">
        <v>45753000000</v>
      </c>
      <c r="W91">
        <v>0</v>
      </c>
      <c r="X91">
        <v>0</v>
      </c>
      <c r="Y91">
        <v>12759000000</v>
      </c>
      <c r="Z91">
        <v>139395000000</v>
      </c>
      <c r="AA91">
        <v>0</v>
      </c>
      <c r="AB91">
        <v>91831000000</v>
      </c>
      <c r="AC91">
        <v>12759000000</v>
      </c>
      <c r="AD91">
        <v>0</v>
      </c>
      <c r="AE91">
        <v>104590000000</v>
      </c>
      <c r="AF91">
        <v>57298000000</v>
      </c>
      <c r="AG91">
        <v>47564000000</v>
      </c>
      <c r="AH91">
        <v>74194000000</v>
      </c>
      <c r="AI91">
        <v>0</v>
      </c>
      <c r="AJ91">
        <v>4339000000</v>
      </c>
      <c r="AK91">
        <v>78815000000</v>
      </c>
      <c r="AL91">
        <v>15464709000</v>
      </c>
    </row>
    <row r="92" spans="1:38">
      <c r="A92" s="24">
        <v>45291</v>
      </c>
      <c r="B92" t="s">
        <v>45</v>
      </c>
      <c r="C92">
        <v>353514000000</v>
      </c>
      <c r="D92">
        <v>143692000000</v>
      </c>
      <c r="E92">
        <v>40760000000</v>
      </c>
      <c r="F92">
        <v>40760000000</v>
      </c>
      <c r="G92">
        <v>6511000000</v>
      </c>
      <c r="H92">
        <v>50102000000</v>
      </c>
      <c r="I92">
        <v>209822000000</v>
      </c>
      <c r="J92">
        <v>0</v>
      </c>
      <c r="K92">
        <v>0</v>
      </c>
      <c r="L92">
        <v>0</v>
      </c>
      <c r="M92">
        <v>0</v>
      </c>
      <c r="N92">
        <v>0</v>
      </c>
      <c r="O92">
        <v>0</v>
      </c>
      <c r="P92">
        <v>99475000000</v>
      </c>
      <c r="Q92">
        <v>32340000000</v>
      </c>
      <c r="R92">
        <v>13979000000</v>
      </c>
      <c r="S92">
        <v>0</v>
      </c>
      <c r="T92">
        <v>279414000000</v>
      </c>
      <c r="U92">
        <v>133973000000</v>
      </c>
      <c r="V92">
        <v>58146000000</v>
      </c>
      <c r="W92">
        <v>0</v>
      </c>
      <c r="X92">
        <v>0</v>
      </c>
      <c r="Y92">
        <v>12952000000</v>
      </c>
      <c r="Z92">
        <v>145441000000</v>
      </c>
      <c r="AA92">
        <v>0</v>
      </c>
      <c r="AB92">
        <v>95088000000</v>
      </c>
      <c r="AC92">
        <v>12952000000</v>
      </c>
      <c r="AD92">
        <v>0</v>
      </c>
      <c r="AE92">
        <v>108040000000</v>
      </c>
      <c r="AF92">
        <v>54611000000</v>
      </c>
      <c r="AG92">
        <v>50353000000</v>
      </c>
      <c r="AH92">
        <v>74100000000</v>
      </c>
      <c r="AI92">
        <v>0</v>
      </c>
      <c r="AJ92">
        <v>8242000000</v>
      </c>
      <c r="AK92">
        <v>75236000000</v>
      </c>
      <c r="AL92">
        <v>15576641000</v>
      </c>
    </row>
    <row r="93" spans="1:38">
      <c r="A93" s="24">
        <v>45199</v>
      </c>
      <c r="B93" t="s">
        <v>45</v>
      </c>
      <c r="C93">
        <v>352583000000</v>
      </c>
      <c r="D93">
        <v>143566000000</v>
      </c>
      <c r="E93">
        <v>29965000000</v>
      </c>
      <c r="F93">
        <v>29965000000</v>
      </c>
      <c r="G93">
        <v>6331000000</v>
      </c>
      <c r="H93">
        <v>60985000000</v>
      </c>
      <c r="I93">
        <v>209017000000</v>
      </c>
      <c r="J93">
        <v>43715000000</v>
      </c>
      <c r="K93">
        <v>0</v>
      </c>
      <c r="L93">
        <v>0</v>
      </c>
      <c r="M93">
        <v>0</v>
      </c>
      <c r="N93">
        <v>0</v>
      </c>
      <c r="O93">
        <v>0</v>
      </c>
      <c r="P93">
        <v>100544000000</v>
      </c>
      <c r="Q93">
        <v>31590000000</v>
      </c>
      <c r="R93">
        <v>14695000000</v>
      </c>
      <c r="S93">
        <v>0</v>
      </c>
      <c r="T93">
        <v>290437000000</v>
      </c>
      <c r="U93">
        <v>145308000000</v>
      </c>
      <c r="V93">
        <v>62611000000</v>
      </c>
      <c r="W93">
        <v>0</v>
      </c>
      <c r="X93">
        <v>0</v>
      </c>
      <c r="Y93">
        <v>17382000000</v>
      </c>
      <c r="Z93">
        <v>145129000000</v>
      </c>
      <c r="AA93">
        <v>12842000000</v>
      </c>
      <c r="AB93">
        <v>95281000000</v>
      </c>
      <c r="AC93">
        <v>15807000000</v>
      </c>
      <c r="AD93">
        <v>0</v>
      </c>
      <c r="AE93">
        <v>123930000000</v>
      </c>
      <c r="AF93">
        <v>48435000000</v>
      </c>
      <c r="AG93">
        <v>49848000000</v>
      </c>
      <c r="AH93">
        <v>62146000000</v>
      </c>
      <c r="AI93">
        <v>0</v>
      </c>
      <c r="AJ93">
        <v>-214000000</v>
      </c>
      <c r="AK93">
        <v>73812000000</v>
      </c>
      <c r="AL93">
        <v>15672400000</v>
      </c>
    </row>
    <row r="94" spans="1:38">
      <c r="A94" s="24">
        <v>45107</v>
      </c>
      <c r="B94" t="s">
        <v>45</v>
      </c>
      <c r="C94">
        <v>335038000000</v>
      </c>
      <c r="D94">
        <v>122659000000</v>
      </c>
      <c r="E94">
        <v>28408000000</v>
      </c>
      <c r="F94">
        <v>28408000000</v>
      </c>
      <c r="G94">
        <v>7351000000</v>
      </c>
      <c r="H94">
        <v>39186000000</v>
      </c>
      <c r="I94">
        <v>212379000000</v>
      </c>
      <c r="J94">
        <v>43550000000</v>
      </c>
      <c r="K94">
        <v>70787000000</v>
      </c>
      <c r="L94">
        <v>0</v>
      </c>
      <c r="M94">
        <v>0</v>
      </c>
      <c r="N94">
        <v>0</v>
      </c>
      <c r="O94">
        <v>0</v>
      </c>
      <c r="P94">
        <v>104061000000</v>
      </c>
      <c r="Q94">
        <v>34074000000</v>
      </c>
      <c r="R94">
        <v>13640000000</v>
      </c>
      <c r="S94">
        <v>0</v>
      </c>
      <c r="T94">
        <v>274764000000</v>
      </c>
      <c r="U94">
        <v>124963000000</v>
      </c>
      <c r="V94">
        <v>46699000000</v>
      </c>
      <c r="W94">
        <v>0</v>
      </c>
      <c r="X94">
        <v>0</v>
      </c>
      <c r="Y94">
        <v>11209000000</v>
      </c>
      <c r="Z94">
        <v>149801000000</v>
      </c>
      <c r="AA94">
        <v>0</v>
      </c>
      <c r="AB94">
        <v>98071000000</v>
      </c>
      <c r="AC94">
        <v>11209000000</v>
      </c>
      <c r="AD94">
        <v>0</v>
      </c>
      <c r="AE94">
        <v>109280000000</v>
      </c>
      <c r="AF94">
        <v>58897000000</v>
      </c>
      <c r="AG94">
        <v>51730000000</v>
      </c>
      <c r="AH94">
        <v>60274000000</v>
      </c>
      <c r="AI94">
        <v>0</v>
      </c>
      <c r="AJ94">
        <v>1408000000</v>
      </c>
      <c r="AK94">
        <v>70667000000</v>
      </c>
      <c r="AL94">
        <v>15775021000</v>
      </c>
    </row>
    <row r="95" spans="1:38">
      <c r="A95" s="24">
        <v>45016</v>
      </c>
      <c r="B95" t="s">
        <v>45</v>
      </c>
      <c r="C95">
        <v>332160000000</v>
      </c>
      <c r="D95">
        <v>112913000000</v>
      </c>
      <c r="E95">
        <v>24687000000</v>
      </c>
      <c r="F95">
        <v>24687000000</v>
      </c>
      <c r="G95">
        <v>7482000000</v>
      </c>
      <c r="H95">
        <v>35899000000</v>
      </c>
      <c r="I95">
        <v>219247000000</v>
      </c>
      <c r="J95">
        <v>43398000000</v>
      </c>
      <c r="K95">
        <v>69668000000</v>
      </c>
      <c r="L95">
        <v>0</v>
      </c>
      <c r="M95">
        <v>0</v>
      </c>
      <c r="N95">
        <v>0</v>
      </c>
      <c r="O95">
        <v>0</v>
      </c>
      <c r="P95">
        <v>110461000000</v>
      </c>
      <c r="Q95">
        <v>31185000000</v>
      </c>
      <c r="R95">
        <v>13660000000</v>
      </c>
      <c r="S95">
        <v>0</v>
      </c>
      <c r="T95">
        <v>270002000000</v>
      </c>
      <c r="U95">
        <v>120075000000</v>
      </c>
      <c r="V95">
        <v>42945000000</v>
      </c>
      <c r="W95">
        <v>0</v>
      </c>
      <c r="X95">
        <v>0</v>
      </c>
      <c r="Y95">
        <v>12574000000</v>
      </c>
      <c r="Z95">
        <v>149927000000</v>
      </c>
      <c r="AA95">
        <v>0</v>
      </c>
      <c r="AB95">
        <v>97041000000</v>
      </c>
      <c r="AC95">
        <v>12574000000</v>
      </c>
      <c r="AD95">
        <v>0</v>
      </c>
      <c r="AE95">
        <v>109615000000</v>
      </c>
      <c r="AF95">
        <v>56425000000</v>
      </c>
      <c r="AG95">
        <v>52886000000</v>
      </c>
      <c r="AH95">
        <v>62158000000</v>
      </c>
      <c r="AI95">
        <v>0</v>
      </c>
      <c r="AJ95">
        <v>4336000000</v>
      </c>
      <c r="AK95">
        <v>69568000000</v>
      </c>
      <c r="AL95">
        <v>15847050000</v>
      </c>
    </row>
    <row r="96" spans="1:38">
      <c r="A96" s="24">
        <v>44926</v>
      </c>
      <c r="B96" t="s">
        <v>45</v>
      </c>
      <c r="C96">
        <v>346747000000</v>
      </c>
      <c r="D96">
        <v>128777000000</v>
      </c>
      <c r="E96">
        <v>20535000000</v>
      </c>
      <c r="F96">
        <v>20535000000</v>
      </c>
      <c r="G96">
        <v>6820000000</v>
      </c>
      <c r="H96">
        <v>54180000000</v>
      </c>
      <c r="I96">
        <v>217970000000</v>
      </c>
      <c r="J96">
        <v>42951000000</v>
      </c>
      <c r="K96">
        <v>68044000000</v>
      </c>
      <c r="L96">
        <v>0</v>
      </c>
      <c r="M96">
        <v>0</v>
      </c>
      <c r="N96">
        <v>0</v>
      </c>
      <c r="O96">
        <v>0</v>
      </c>
      <c r="P96">
        <v>114095000000</v>
      </c>
      <c r="Q96">
        <v>30820000000</v>
      </c>
      <c r="R96">
        <v>16422000000</v>
      </c>
      <c r="S96">
        <v>0</v>
      </c>
      <c r="T96">
        <v>290020000000</v>
      </c>
      <c r="U96">
        <v>137286000000</v>
      </c>
      <c r="V96">
        <v>57918000000</v>
      </c>
      <c r="W96">
        <v>0</v>
      </c>
      <c r="X96">
        <v>0</v>
      </c>
      <c r="Y96">
        <v>11483000000</v>
      </c>
      <c r="Z96">
        <v>152734000000</v>
      </c>
      <c r="AA96">
        <v>0</v>
      </c>
      <c r="AB96">
        <v>99627000000</v>
      </c>
      <c r="AC96">
        <v>11483000000</v>
      </c>
      <c r="AD96">
        <v>0</v>
      </c>
      <c r="AE96">
        <v>111110000000</v>
      </c>
      <c r="AF96">
        <v>59893000000</v>
      </c>
      <c r="AG96">
        <v>53107000000</v>
      </c>
      <c r="AH96">
        <v>56727000000</v>
      </c>
      <c r="AI96">
        <v>0</v>
      </c>
      <c r="AJ96">
        <v>3240000000</v>
      </c>
      <c r="AK96">
        <v>66399000000</v>
      </c>
      <c r="AL96">
        <v>15955718000</v>
      </c>
    </row>
    <row r="97" spans="1:38">
      <c r="A97" s="24">
        <v>44834</v>
      </c>
      <c r="B97" t="s">
        <v>45</v>
      </c>
      <c r="C97">
        <v>352755000000</v>
      </c>
      <c r="D97">
        <v>135405000000</v>
      </c>
      <c r="E97">
        <v>23646000000</v>
      </c>
      <c r="F97">
        <v>23646000000</v>
      </c>
      <c r="G97">
        <v>4946000000</v>
      </c>
      <c r="H97">
        <v>60932000000</v>
      </c>
      <c r="I97">
        <v>217350000000</v>
      </c>
      <c r="J97">
        <v>42117000000</v>
      </c>
      <c r="K97">
        <v>72340000000</v>
      </c>
      <c r="L97">
        <v>0</v>
      </c>
      <c r="M97">
        <v>0</v>
      </c>
      <c r="N97">
        <v>0</v>
      </c>
      <c r="O97">
        <v>0</v>
      </c>
      <c r="P97">
        <v>120805000000</v>
      </c>
      <c r="Q97">
        <v>24658000000</v>
      </c>
      <c r="R97">
        <v>21223000000</v>
      </c>
      <c r="S97">
        <v>0</v>
      </c>
      <c r="T97">
        <v>302083000000</v>
      </c>
      <c r="U97">
        <v>153982000000</v>
      </c>
      <c r="V97">
        <v>64115000000</v>
      </c>
      <c r="W97">
        <v>0</v>
      </c>
      <c r="X97">
        <v>0</v>
      </c>
      <c r="Y97">
        <v>21110000000</v>
      </c>
      <c r="Z97">
        <v>148101000000</v>
      </c>
      <c r="AA97">
        <v>0</v>
      </c>
      <c r="AB97">
        <v>98959000000</v>
      </c>
      <c r="AC97">
        <v>21110000000</v>
      </c>
      <c r="AD97">
        <v>0</v>
      </c>
      <c r="AE97">
        <v>120069000000</v>
      </c>
      <c r="AF97">
        <v>60845000000</v>
      </c>
      <c r="AG97">
        <v>49142000000</v>
      </c>
      <c r="AH97">
        <v>50672000000</v>
      </c>
      <c r="AI97">
        <v>0</v>
      </c>
      <c r="AJ97">
        <v>-3068000000</v>
      </c>
      <c r="AK97">
        <v>64849000000</v>
      </c>
      <c r="AL97">
        <v>16118465000</v>
      </c>
    </row>
    <row r="98" spans="1:38">
      <c r="A98" s="24">
        <v>44742</v>
      </c>
      <c r="B98" t="s">
        <v>45</v>
      </c>
      <c r="C98">
        <v>336309000000</v>
      </c>
      <c r="D98">
        <v>112292000000</v>
      </c>
      <c r="E98">
        <v>27502000000</v>
      </c>
      <c r="F98">
        <v>27502000000</v>
      </c>
      <c r="G98">
        <v>5433000000</v>
      </c>
      <c r="H98">
        <v>42242000000</v>
      </c>
      <c r="I98">
        <v>224017000000</v>
      </c>
      <c r="J98">
        <v>40335000000</v>
      </c>
      <c r="K98">
        <v>0</v>
      </c>
      <c r="L98">
        <v>0</v>
      </c>
      <c r="M98">
        <v>0</v>
      </c>
      <c r="N98">
        <v>0</v>
      </c>
      <c r="O98">
        <v>0</v>
      </c>
      <c r="P98">
        <v>131077000000</v>
      </c>
      <c r="Q98">
        <v>20729000000</v>
      </c>
      <c r="R98">
        <v>16386000000</v>
      </c>
      <c r="S98">
        <v>0</v>
      </c>
      <c r="T98">
        <v>278202000000</v>
      </c>
      <c r="U98">
        <v>129873000000</v>
      </c>
      <c r="V98">
        <v>48343000000</v>
      </c>
      <c r="W98">
        <v>0</v>
      </c>
      <c r="X98">
        <v>0</v>
      </c>
      <c r="Y98">
        <v>24991000000</v>
      </c>
      <c r="Z98">
        <v>148329000000</v>
      </c>
      <c r="AA98">
        <v>0</v>
      </c>
      <c r="AB98">
        <v>94700000000</v>
      </c>
      <c r="AC98">
        <v>24991000000</v>
      </c>
      <c r="AD98">
        <v>0</v>
      </c>
      <c r="AE98">
        <v>119691000000</v>
      </c>
      <c r="AF98">
        <v>48811000000</v>
      </c>
      <c r="AG98">
        <v>53629000000</v>
      </c>
      <c r="AH98">
        <v>58107000000</v>
      </c>
      <c r="AI98">
        <v>0</v>
      </c>
      <c r="AJ98">
        <v>5289000000</v>
      </c>
      <c r="AK98">
        <v>62115000000</v>
      </c>
      <c r="AL98">
        <v>16262203000</v>
      </c>
    </row>
    <row r="99" spans="1:38">
      <c r="A99" s="24">
        <v>44651</v>
      </c>
      <c r="B99" t="s">
        <v>45</v>
      </c>
      <c r="C99">
        <v>350662000000</v>
      </c>
      <c r="D99">
        <v>118180000000</v>
      </c>
      <c r="E99">
        <v>28098000000</v>
      </c>
      <c r="F99">
        <v>28098000000</v>
      </c>
      <c r="G99">
        <v>5460000000</v>
      </c>
      <c r="H99">
        <v>45400000000</v>
      </c>
      <c r="I99">
        <v>232482000000</v>
      </c>
      <c r="J99">
        <v>39304000000</v>
      </c>
      <c r="K99">
        <v>0</v>
      </c>
      <c r="L99">
        <v>0</v>
      </c>
      <c r="M99">
        <v>0</v>
      </c>
      <c r="N99">
        <v>0</v>
      </c>
      <c r="O99">
        <v>0</v>
      </c>
      <c r="P99">
        <v>141219000000</v>
      </c>
      <c r="Q99">
        <v>23413000000</v>
      </c>
      <c r="R99">
        <v>15809000000</v>
      </c>
      <c r="S99">
        <v>0</v>
      </c>
      <c r="T99">
        <v>283263000000</v>
      </c>
      <c r="U99">
        <v>127508000000</v>
      </c>
      <c r="V99">
        <v>52682000000</v>
      </c>
      <c r="W99">
        <v>0</v>
      </c>
      <c r="X99">
        <v>0</v>
      </c>
      <c r="Y99">
        <v>16658000000</v>
      </c>
      <c r="Z99">
        <v>155755000000</v>
      </c>
      <c r="AA99">
        <v>0</v>
      </c>
      <c r="AB99">
        <v>103323000000</v>
      </c>
      <c r="AC99">
        <v>16658000000</v>
      </c>
      <c r="AD99">
        <v>0</v>
      </c>
      <c r="AE99">
        <v>119981000000</v>
      </c>
      <c r="AF99">
        <v>50248000000</v>
      </c>
      <c r="AG99">
        <v>52432000000</v>
      </c>
      <c r="AH99">
        <v>67399000000</v>
      </c>
      <c r="AI99">
        <v>0</v>
      </c>
      <c r="AJ99">
        <v>12712000000</v>
      </c>
      <c r="AK99">
        <v>61181000000</v>
      </c>
      <c r="AL99">
        <v>16519291000</v>
      </c>
    </row>
    <row r="100" spans="1:38">
      <c r="A100" s="24">
        <v>44561</v>
      </c>
      <c r="B100" t="s">
        <v>45</v>
      </c>
      <c r="C100">
        <v>381191000000</v>
      </c>
      <c r="D100">
        <v>153154000000</v>
      </c>
      <c r="E100">
        <v>37119000000</v>
      </c>
      <c r="F100">
        <v>37119000000</v>
      </c>
      <c r="G100">
        <v>5876000000</v>
      </c>
      <c r="H100">
        <v>65253000000</v>
      </c>
      <c r="I100">
        <v>228037000000</v>
      </c>
      <c r="J100">
        <v>39245000000</v>
      </c>
      <c r="K100">
        <v>0</v>
      </c>
      <c r="L100">
        <v>0</v>
      </c>
      <c r="M100">
        <v>0</v>
      </c>
      <c r="N100">
        <v>0</v>
      </c>
      <c r="O100">
        <v>0</v>
      </c>
      <c r="P100">
        <v>138683000000</v>
      </c>
      <c r="Q100">
        <v>26794000000</v>
      </c>
      <c r="R100">
        <v>18112000000</v>
      </c>
      <c r="S100">
        <v>0</v>
      </c>
      <c r="T100">
        <v>309259000000</v>
      </c>
      <c r="U100">
        <v>147574000000</v>
      </c>
      <c r="V100">
        <v>74362000000</v>
      </c>
      <c r="W100">
        <v>0</v>
      </c>
      <c r="X100">
        <v>0</v>
      </c>
      <c r="Y100">
        <v>16169000000</v>
      </c>
      <c r="Z100">
        <v>161685000000</v>
      </c>
      <c r="AA100">
        <v>0</v>
      </c>
      <c r="AB100">
        <v>106629000000</v>
      </c>
      <c r="AC100">
        <v>16169000000</v>
      </c>
      <c r="AD100">
        <v>0</v>
      </c>
      <c r="AE100">
        <v>122798000000</v>
      </c>
      <c r="AF100">
        <v>7926000000</v>
      </c>
      <c r="AG100">
        <v>55056000000</v>
      </c>
      <c r="AH100">
        <v>71932000000</v>
      </c>
      <c r="AI100">
        <v>0</v>
      </c>
      <c r="AJ100">
        <v>14435000000</v>
      </c>
      <c r="AK100">
        <v>58424000000</v>
      </c>
      <c r="AL100">
        <v>16519291000</v>
      </c>
    </row>
    <row r="101" spans="1:38">
      <c r="A101" s="24">
        <v>44469</v>
      </c>
      <c r="B101" t="s">
        <v>45</v>
      </c>
      <c r="C101">
        <v>351002000000</v>
      </c>
      <c r="D101">
        <v>134836000000</v>
      </c>
      <c r="E101">
        <v>34940000000</v>
      </c>
      <c r="F101">
        <v>34940000000</v>
      </c>
      <c r="G101">
        <v>6580000000</v>
      </c>
      <c r="H101">
        <v>51506000000</v>
      </c>
      <c r="I101">
        <v>216166000000</v>
      </c>
      <c r="J101">
        <v>39440000000</v>
      </c>
      <c r="K101">
        <v>0</v>
      </c>
      <c r="L101">
        <v>0</v>
      </c>
      <c r="M101">
        <v>0</v>
      </c>
      <c r="N101">
        <v>0</v>
      </c>
      <c r="O101">
        <v>0</v>
      </c>
      <c r="P101">
        <v>127877000000</v>
      </c>
      <c r="Q101">
        <v>27699000000</v>
      </c>
      <c r="R101">
        <v>14111000000</v>
      </c>
      <c r="S101">
        <v>0</v>
      </c>
      <c r="T101">
        <v>287912000000</v>
      </c>
      <c r="U101">
        <v>125481000000</v>
      </c>
      <c r="V101">
        <v>54763000000</v>
      </c>
      <c r="W101">
        <v>0</v>
      </c>
      <c r="X101">
        <v>0</v>
      </c>
      <c r="Y101">
        <v>15613000000</v>
      </c>
      <c r="Z101">
        <v>162431000000</v>
      </c>
      <c r="AA101">
        <v>0</v>
      </c>
      <c r="AB101">
        <v>109106000000</v>
      </c>
      <c r="AC101">
        <v>15613000000</v>
      </c>
      <c r="AD101">
        <v>0</v>
      </c>
      <c r="AE101">
        <v>124719000000</v>
      </c>
      <c r="AF101">
        <v>47493000000</v>
      </c>
      <c r="AG101">
        <v>28636000000</v>
      </c>
      <c r="AH101">
        <v>63090000000</v>
      </c>
      <c r="AI101">
        <v>0</v>
      </c>
      <c r="AJ101">
        <v>5562000000</v>
      </c>
      <c r="AK101">
        <v>57365000000</v>
      </c>
      <c r="AL101">
        <v>16635097000</v>
      </c>
    </row>
    <row r="102" spans="1:38">
      <c r="A102" s="24">
        <v>44377</v>
      </c>
      <c r="B102" t="s">
        <v>45</v>
      </c>
      <c r="C102">
        <v>329840000000</v>
      </c>
      <c r="D102">
        <v>114423000000</v>
      </c>
      <c r="E102">
        <v>34050000000</v>
      </c>
      <c r="F102">
        <v>34050000000</v>
      </c>
      <c r="G102">
        <v>5178000000</v>
      </c>
      <c r="H102">
        <v>33908000000</v>
      </c>
      <c r="I102">
        <v>215417000000</v>
      </c>
      <c r="J102">
        <v>38615000000</v>
      </c>
      <c r="K102">
        <v>0</v>
      </c>
      <c r="L102">
        <v>0</v>
      </c>
      <c r="M102">
        <v>0</v>
      </c>
      <c r="N102">
        <v>0</v>
      </c>
      <c r="O102">
        <v>0</v>
      </c>
      <c r="P102">
        <v>131948000000</v>
      </c>
      <c r="Q102">
        <v>27646000000</v>
      </c>
      <c r="R102">
        <v>13641000000</v>
      </c>
      <c r="S102">
        <v>0</v>
      </c>
      <c r="T102">
        <v>265560000000</v>
      </c>
      <c r="U102">
        <v>107754000000</v>
      </c>
      <c r="V102">
        <v>40409000000</v>
      </c>
      <c r="W102">
        <v>0</v>
      </c>
      <c r="X102">
        <v>0</v>
      </c>
      <c r="Y102">
        <v>16039000000</v>
      </c>
      <c r="Z102">
        <v>157806000000</v>
      </c>
      <c r="AA102">
        <v>0</v>
      </c>
      <c r="AB102">
        <v>105752000000</v>
      </c>
      <c r="AC102">
        <v>16039000000</v>
      </c>
      <c r="AD102">
        <v>0</v>
      </c>
      <c r="AE102">
        <v>121791000000</v>
      </c>
      <c r="AF102">
        <v>43625000000</v>
      </c>
      <c r="AG102">
        <v>27131000000</v>
      </c>
      <c r="AH102">
        <v>64280000000</v>
      </c>
      <c r="AI102">
        <v>0</v>
      </c>
      <c r="AJ102">
        <v>9233000000</v>
      </c>
      <c r="AK102">
        <v>54989000000</v>
      </c>
      <c r="AL102">
        <v>16781735000</v>
      </c>
    </row>
    <row r="103" spans="1:38">
      <c r="A103" s="24">
        <v>44286</v>
      </c>
      <c r="B103" t="s">
        <v>45</v>
      </c>
      <c r="C103">
        <v>337158000000</v>
      </c>
      <c r="D103">
        <v>121465000000</v>
      </c>
      <c r="E103">
        <v>38466000000</v>
      </c>
      <c r="F103">
        <v>38466000000</v>
      </c>
      <c r="G103">
        <v>5219000000</v>
      </c>
      <c r="H103">
        <v>33036000000</v>
      </c>
      <c r="I103">
        <v>215693000000</v>
      </c>
      <c r="J103">
        <v>37815000000</v>
      </c>
      <c r="K103">
        <v>0</v>
      </c>
      <c r="L103">
        <v>0</v>
      </c>
      <c r="M103">
        <v>0</v>
      </c>
      <c r="N103">
        <v>0</v>
      </c>
      <c r="O103">
        <v>0</v>
      </c>
      <c r="P103">
        <v>134539000000</v>
      </c>
      <c r="Q103">
        <v>31368000000</v>
      </c>
      <c r="R103">
        <v>13376000000</v>
      </c>
      <c r="S103">
        <v>0</v>
      </c>
      <c r="T103">
        <v>267980000000</v>
      </c>
      <c r="U103">
        <v>106385000000</v>
      </c>
      <c r="V103">
        <v>40127000000</v>
      </c>
      <c r="W103">
        <v>0</v>
      </c>
      <c r="X103">
        <v>0</v>
      </c>
      <c r="Y103">
        <v>13003000000</v>
      </c>
      <c r="Z103">
        <v>161595000000</v>
      </c>
      <c r="AA103">
        <v>0</v>
      </c>
      <c r="AB103">
        <v>108642000000</v>
      </c>
      <c r="AC103">
        <v>13003000000</v>
      </c>
      <c r="AD103">
        <v>0</v>
      </c>
      <c r="AE103">
        <v>121645000000</v>
      </c>
      <c r="AF103">
        <v>45660000000</v>
      </c>
      <c r="AG103">
        <v>27791000000</v>
      </c>
      <c r="AH103">
        <v>69178000000</v>
      </c>
      <c r="AI103">
        <v>0</v>
      </c>
      <c r="AJ103">
        <v>15261000000</v>
      </c>
      <c r="AK103">
        <v>54203000000</v>
      </c>
      <c r="AL103">
        <v>16929157000</v>
      </c>
    </row>
    <row r="104" spans="1:38">
      <c r="A104" s="24">
        <v>44196</v>
      </c>
      <c r="B104" t="s">
        <v>45</v>
      </c>
      <c r="C104">
        <v>354054000000</v>
      </c>
      <c r="D104">
        <v>154106000000</v>
      </c>
      <c r="E104">
        <v>36010000000</v>
      </c>
      <c r="F104">
        <v>36010000000</v>
      </c>
      <c r="G104">
        <v>4973000000</v>
      </c>
      <c r="H104">
        <v>58620000000</v>
      </c>
      <c r="I104">
        <v>199948000000</v>
      </c>
      <c r="J104">
        <v>37933000000</v>
      </c>
      <c r="K104">
        <v>0</v>
      </c>
      <c r="L104">
        <v>0</v>
      </c>
      <c r="M104">
        <v>0</v>
      </c>
      <c r="N104">
        <v>0</v>
      </c>
      <c r="O104">
        <v>0</v>
      </c>
      <c r="P104">
        <v>118745000000</v>
      </c>
      <c r="Q104">
        <v>40816000000</v>
      </c>
      <c r="R104">
        <v>13687000000</v>
      </c>
      <c r="S104">
        <v>0</v>
      </c>
      <c r="T104">
        <v>287830000000</v>
      </c>
      <c r="U104">
        <v>132507000000</v>
      </c>
      <c r="V104">
        <v>63846000000</v>
      </c>
      <c r="W104">
        <v>0</v>
      </c>
      <c r="X104">
        <v>0</v>
      </c>
      <c r="Y104">
        <v>12762000000</v>
      </c>
      <c r="Z104">
        <v>155323000000</v>
      </c>
      <c r="AA104">
        <v>0</v>
      </c>
      <c r="AB104">
        <v>99281000000</v>
      </c>
      <c r="AC104">
        <v>12762000000</v>
      </c>
      <c r="AD104">
        <v>0</v>
      </c>
      <c r="AE104">
        <v>112043000000</v>
      </c>
      <c r="AF104">
        <v>48504000000</v>
      </c>
      <c r="AG104">
        <v>27872000000</v>
      </c>
      <c r="AH104">
        <v>66224000000</v>
      </c>
      <c r="AI104">
        <v>0</v>
      </c>
      <c r="AJ104">
        <v>14301000000</v>
      </c>
      <c r="AK104">
        <v>51744000000</v>
      </c>
      <c r="AL104">
        <v>17113688000</v>
      </c>
    </row>
    <row r="105" spans="1:38">
      <c r="A105" s="24">
        <v>44104</v>
      </c>
      <c r="B105" t="s">
        <v>45</v>
      </c>
      <c r="C105">
        <v>323888000000</v>
      </c>
      <c r="D105">
        <v>143713000000</v>
      </c>
      <c r="E105">
        <v>38016000000</v>
      </c>
      <c r="F105">
        <v>38016000000</v>
      </c>
      <c r="G105">
        <v>4061000000</v>
      </c>
      <c r="H105">
        <v>37445000000</v>
      </c>
      <c r="I105">
        <v>180175000000</v>
      </c>
      <c r="J105">
        <v>36766000000</v>
      </c>
      <c r="K105">
        <v>0</v>
      </c>
      <c r="L105">
        <v>0</v>
      </c>
      <c r="M105">
        <v>0</v>
      </c>
      <c r="N105">
        <v>0</v>
      </c>
      <c r="O105">
        <v>0</v>
      </c>
      <c r="P105">
        <v>100887000000</v>
      </c>
      <c r="Q105">
        <v>52927000000</v>
      </c>
      <c r="R105">
        <v>11264000000</v>
      </c>
      <c r="S105">
        <v>0</v>
      </c>
      <c r="T105">
        <v>258549000000</v>
      </c>
      <c r="U105">
        <v>105392000000</v>
      </c>
      <c r="V105">
        <v>42296000000</v>
      </c>
      <c r="W105">
        <v>0</v>
      </c>
      <c r="X105">
        <v>0</v>
      </c>
      <c r="Y105">
        <v>13769000000</v>
      </c>
      <c r="Z105">
        <v>153157000000</v>
      </c>
      <c r="AA105">
        <v>0</v>
      </c>
      <c r="AB105">
        <v>98667000000</v>
      </c>
      <c r="AC105">
        <v>13769000000</v>
      </c>
      <c r="AD105">
        <v>0</v>
      </c>
      <c r="AE105">
        <v>112436000000</v>
      </c>
      <c r="AF105">
        <v>42684000000</v>
      </c>
      <c r="AG105">
        <v>26320000000</v>
      </c>
      <c r="AH105">
        <v>65339000000</v>
      </c>
      <c r="AI105">
        <v>0</v>
      </c>
      <c r="AJ105">
        <v>14966000000</v>
      </c>
      <c r="AK105">
        <v>50779000000</v>
      </c>
      <c r="AL105">
        <v>17256521000</v>
      </c>
    </row>
    <row r="106" spans="1:38">
      <c r="A106" s="24">
        <v>44012</v>
      </c>
      <c r="B106" t="s">
        <v>45</v>
      </c>
      <c r="C106">
        <v>317344000000</v>
      </c>
      <c r="D106">
        <v>140065000000</v>
      </c>
      <c r="E106">
        <v>33383000000</v>
      </c>
      <c r="F106">
        <v>33383000000</v>
      </c>
      <c r="G106">
        <v>3978000000</v>
      </c>
      <c r="H106">
        <v>32075000000</v>
      </c>
      <c r="I106">
        <v>177279000000</v>
      </c>
      <c r="J106">
        <v>35687000000</v>
      </c>
      <c r="K106">
        <v>0</v>
      </c>
      <c r="L106">
        <v>0</v>
      </c>
      <c r="M106">
        <v>0</v>
      </c>
      <c r="N106">
        <v>0</v>
      </c>
      <c r="O106">
        <v>0</v>
      </c>
      <c r="P106">
        <v>100592000000</v>
      </c>
      <c r="Q106">
        <v>59642000000</v>
      </c>
      <c r="R106">
        <v>10987000000</v>
      </c>
      <c r="S106">
        <v>0</v>
      </c>
      <c r="T106">
        <v>245062000000</v>
      </c>
      <c r="U106">
        <v>95318000000</v>
      </c>
      <c r="V106">
        <v>35325000000</v>
      </c>
      <c r="W106">
        <v>0</v>
      </c>
      <c r="X106">
        <v>0</v>
      </c>
      <c r="Y106">
        <v>18675000000</v>
      </c>
      <c r="Z106">
        <v>149744000000</v>
      </c>
      <c r="AA106">
        <v>0</v>
      </c>
      <c r="AB106">
        <v>94048000000</v>
      </c>
      <c r="AC106">
        <v>18675000000</v>
      </c>
      <c r="AD106">
        <v>0</v>
      </c>
      <c r="AE106">
        <v>112723000000</v>
      </c>
      <c r="AF106">
        <v>35005000000</v>
      </c>
      <c r="AG106">
        <v>55696000000</v>
      </c>
      <c r="AH106">
        <v>72282000000</v>
      </c>
      <c r="AI106">
        <v>0</v>
      </c>
      <c r="AJ106">
        <v>24136000000</v>
      </c>
      <c r="AK106">
        <v>48696000000</v>
      </c>
      <c r="AL106">
        <v>17419152000</v>
      </c>
    </row>
    <row r="107" spans="1:38">
      <c r="A107" s="24">
        <v>43921</v>
      </c>
      <c r="B107" t="s">
        <v>45</v>
      </c>
      <c r="C107">
        <v>320400000000</v>
      </c>
      <c r="D107">
        <v>143753000000</v>
      </c>
      <c r="E107">
        <v>40174000000</v>
      </c>
      <c r="F107">
        <v>40174000000</v>
      </c>
      <c r="G107">
        <v>3334000000</v>
      </c>
      <c r="H107">
        <v>30677000000</v>
      </c>
      <c r="I107">
        <v>176647000000</v>
      </c>
      <c r="J107">
        <v>35889000000</v>
      </c>
      <c r="K107">
        <v>0</v>
      </c>
      <c r="L107">
        <v>0</v>
      </c>
      <c r="M107">
        <v>0</v>
      </c>
      <c r="N107">
        <v>0</v>
      </c>
      <c r="O107">
        <v>0</v>
      </c>
      <c r="P107">
        <v>98793000000</v>
      </c>
      <c r="Q107">
        <v>53877000000</v>
      </c>
      <c r="R107">
        <v>15691000000</v>
      </c>
      <c r="S107">
        <v>0</v>
      </c>
      <c r="T107">
        <v>241975000000</v>
      </c>
      <c r="U107">
        <v>96094000000</v>
      </c>
      <c r="V107">
        <v>32421000000</v>
      </c>
      <c r="W107">
        <v>0</v>
      </c>
      <c r="X107">
        <v>0</v>
      </c>
      <c r="Y107">
        <v>20421000000</v>
      </c>
      <c r="Z107">
        <v>145881000000</v>
      </c>
      <c r="AA107">
        <v>0</v>
      </c>
      <c r="AB107">
        <v>89086000000</v>
      </c>
      <c r="AC107">
        <v>20421000000</v>
      </c>
      <c r="AD107">
        <v>0</v>
      </c>
      <c r="AE107">
        <v>109507000000</v>
      </c>
      <c r="AF107">
        <v>37324000000</v>
      </c>
      <c r="AG107">
        <v>56795000000</v>
      </c>
      <c r="AH107">
        <v>78425000000</v>
      </c>
      <c r="AI107">
        <v>0</v>
      </c>
      <c r="AJ107">
        <v>33182000000</v>
      </c>
      <c r="AK107">
        <v>48032000000</v>
      </c>
      <c r="AL107">
        <v>17618764000</v>
      </c>
    </row>
    <row r="108" spans="1:38">
      <c r="A108" s="24">
        <v>43830</v>
      </c>
      <c r="B108" t="s">
        <v>45</v>
      </c>
      <c r="C108">
        <v>340618000000</v>
      </c>
      <c r="D108">
        <v>163231000000</v>
      </c>
      <c r="E108">
        <v>39771000000</v>
      </c>
      <c r="F108">
        <v>39771000000</v>
      </c>
      <c r="G108">
        <v>4097000000</v>
      </c>
      <c r="H108">
        <v>39946000000</v>
      </c>
      <c r="I108">
        <v>177387000000</v>
      </c>
      <c r="J108">
        <v>37031000000</v>
      </c>
      <c r="K108">
        <v>0</v>
      </c>
      <c r="L108">
        <v>0</v>
      </c>
      <c r="M108">
        <v>0</v>
      </c>
      <c r="N108">
        <v>0</v>
      </c>
      <c r="O108">
        <v>0</v>
      </c>
      <c r="P108">
        <v>99899000000</v>
      </c>
      <c r="Q108">
        <v>67391000000</v>
      </c>
      <c r="R108">
        <v>12026000000</v>
      </c>
      <c r="S108">
        <v>0</v>
      </c>
      <c r="T108">
        <v>251087000000</v>
      </c>
      <c r="U108">
        <v>102161000000</v>
      </c>
      <c r="V108">
        <v>45111000000</v>
      </c>
      <c r="W108">
        <v>0</v>
      </c>
      <c r="X108">
        <v>0</v>
      </c>
      <c r="Y108">
        <v>15214000000</v>
      </c>
      <c r="Z108">
        <v>148926000000</v>
      </c>
      <c r="AA108">
        <v>0</v>
      </c>
      <c r="AB108">
        <v>93078000000</v>
      </c>
      <c r="AC108">
        <v>15214000000</v>
      </c>
      <c r="AD108">
        <v>0</v>
      </c>
      <c r="AE108">
        <v>108292000000</v>
      </c>
      <c r="AF108">
        <v>36263000000</v>
      </c>
      <c r="AG108">
        <v>55848000000</v>
      </c>
      <c r="AH108">
        <v>89531000000</v>
      </c>
      <c r="AI108">
        <v>0</v>
      </c>
      <c r="AJ108">
        <v>43977000000</v>
      </c>
      <c r="AK108">
        <v>45972000000</v>
      </c>
      <c r="AL108">
        <v>17818416000</v>
      </c>
    </row>
    <row r="109" spans="1:38">
      <c r="A109" s="24">
        <v>43738</v>
      </c>
      <c r="B109" t="s">
        <v>45</v>
      </c>
      <c r="C109">
        <v>338516000000</v>
      </c>
      <c r="D109">
        <v>162819000000</v>
      </c>
      <c r="E109">
        <v>48844000000</v>
      </c>
      <c r="F109">
        <v>48844000000</v>
      </c>
      <c r="G109">
        <v>4106000000</v>
      </c>
      <c r="H109">
        <v>45804000000</v>
      </c>
      <c r="I109">
        <v>175697000000</v>
      </c>
      <c r="J109">
        <v>37378000000</v>
      </c>
      <c r="K109">
        <v>0</v>
      </c>
      <c r="L109">
        <v>0</v>
      </c>
      <c r="M109">
        <v>0</v>
      </c>
      <c r="N109">
        <v>0</v>
      </c>
      <c r="O109">
        <v>0</v>
      </c>
      <c r="P109">
        <v>105341000000</v>
      </c>
      <c r="Q109">
        <v>51713000000</v>
      </c>
      <c r="R109">
        <v>12352000000</v>
      </c>
      <c r="S109">
        <v>0</v>
      </c>
      <c r="T109">
        <v>248028000000</v>
      </c>
      <c r="U109">
        <v>105718000000</v>
      </c>
      <c r="V109">
        <v>46236000000</v>
      </c>
      <c r="W109">
        <v>0</v>
      </c>
      <c r="X109">
        <v>0</v>
      </c>
      <c r="Y109">
        <v>16240000000</v>
      </c>
      <c r="Z109">
        <v>142310000000</v>
      </c>
      <c r="AA109">
        <v>0</v>
      </c>
      <c r="AB109">
        <v>91807000000</v>
      </c>
      <c r="AC109">
        <v>16240000000</v>
      </c>
      <c r="AD109">
        <v>0</v>
      </c>
      <c r="AE109">
        <v>108047000000</v>
      </c>
      <c r="AF109">
        <v>37720000000</v>
      </c>
      <c r="AG109">
        <v>50503000000</v>
      </c>
      <c r="AH109">
        <v>90488000000</v>
      </c>
      <c r="AI109">
        <v>0</v>
      </c>
      <c r="AJ109">
        <v>45898000000</v>
      </c>
      <c r="AK109">
        <v>45174000000</v>
      </c>
      <c r="AL109">
        <v>18081492000</v>
      </c>
    </row>
    <row r="110" spans="1:38">
      <c r="A110" s="24">
        <v>43646</v>
      </c>
      <c r="B110" t="s">
        <v>45</v>
      </c>
      <c r="C110">
        <v>322239000000</v>
      </c>
      <c r="D110">
        <v>134973000000</v>
      </c>
      <c r="E110">
        <v>50530000000</v>
      </c>
      <c r="F110">
        <v>50530000000</v>
      </c>
      <c r="G110">
        <v>3355000000</v>
      </c>
      <c r="H110">
        <v>26474000000</v>
      </c>
      <c r="I110">
        <v>187266000000</v>
      </c>
      <c r="J110">
        <v>37636000000</v>
      </c>
      <c r="K110">
        <v>0</v>
      </c>
      <c r="L110">
        <v>0</v>
      </c>
      <c r="M110">
        <v>0</v>
      </c>
      <c r="N110">
        <v>0</v>
      </c>
      <c r="O110">
        <v>0</v>
      </c>
      <c r="P110">
        <v>115996000000</v>
      </c>
      <c r="Q110">
        <v>44084000000</v>
      </c>
      <c r="R110">
        <v>10530000000</v>
      </c>
      <c r="S110">
        <v>0</v>
      </c>
      <c r="T110">
        <v>225783000000</v>
      </c>
      <c r="U110">
        <v>89704000000</v>
      </c>
      <c r="V110">
        <v>29115000000</v>
      </c>
      <c r="W110">
        <v>0</v>
      </c>
      <c r="X110">
        <v>0</v>
      </c>
      <c r="Y110">
        <v>23482000000</v>
      </c>
      <c r="Z110">
        <v>136079000000</v>
      </c>
      <c r="AA110">
        <v>0</v>
      </c>
      <c r="AB110">
        <v>84936000000</v>
      </c>
      <c r="AC110">
        <v>23482000000</v>
      </c>
      <c r="AD110">
        <v>0</v>
      </c>
      <c r="AE110">
        <v>108418000000</v>
      </c>
      <c r="AF110">
        <v>31673000000</v>
      </c>
      <c r="AG110">
        <v>51143000000</v>
      </c>
      <c r="AH110">
        <v>96456000000</v>
      </c>
      <c r="AI110">
        <v>0</v>
      </c>
      <c r="AJ110">
        <v>53724000000</v>
      </c>
      <c r="AK110">
        <v>43371000000</v>
      </c>
      <c r="AL110">
        <v>18405520000</v>
      </c>
    </row>
    <row r="111" spans="1:38">
      <c r="A111" s="24">
        <v>43555</v>
      </c>
      <c r="B111" t="s">
        <v>45</v>
      </c>
      <c r="C111">
        <v>341998000000</v>
      </c>
      <c r="D111">
        <v>123346000000</v>
      </c>
      <c r="E111">
        <v>37988000000</v>
      </c>
      <c r="F111">
        <v>37988000000</v>
      </c>
      <c r="G111">
        <v>4884000000</v>
      </c>
      <c r="H111">
        <v>26278000000</v>
      </c>
      <c r="I111">
        <v>218652000000</v>
      </c>
      <c r="J111">
        <v>38746000000</v>
      </c>
      <c r="K111">
        <v>0</v>
      </c>
      <c r="L111">
        <v>0</v>
      </c>
      <c r="M111">
        <v>0</v>
      </c>
      <c r="N111">
        <v>0</v>
      </c>
      <c r="O111">
        <v>0</v>
      </c>
      <c r="P111">
        <v>145319000000</v>
      </c>
      <c r="Q111">
        <v>42104000000</v>
      </c>
      <c r="R111">
        <v>12092000000</v>
      </c>
      <c r="S111">
        <v>0</v>
      </c>
      <c r="T111">
        <v>236138000000</v>
      </c>
      <c r="U111">
        <v>93772000000</v>
      </c>
      <c r="V111">
        <v>30443000000</v>
      </c>
      <c r="W111">
        <v>0</v>
      </c>
      <c r="X111">
        <v>0</v>
      </c>
      <c r="Y111">
        <v>22429000000</v>
      </c>
      <c r="Z111">
        <v>142366000000</v>
      </c>
      <c r="AA111">
        <v>0</v>
      </c>
      <c r="AB111">
        <v>90201000000</v>
      </c>
      <c r="AC111">
        <v>22429000000</v>
      </c>
      <c r="AD111">
        <v>0</v>
      </c>
      <c r="AE111">
        <v>112630000000</v>
      </c>
      <c r="AF111">
        <v>35368000000</v>
      </c>
      <c r="AG111">
        <v>52165000000</v>
      </c>
      <c r="AH111">
        <v>105860000000</v>
      </c>
      <c r="AI111">
        <v>0</v>
      </c>
      <c r="AJ111">
        <v>64558000000</v>
      </c>
      <c r="AK111">
        <v>42801000000</v>
      </c>
      <c r="AL111">
        <v>18802584000</v>
      </c>
    </row>
    <row r="112" spans="1:38">
      <c r="A112" s="24">
        <v>43465</v>
      </c>
      <c r="B112" t="s">
        <v>45</v>
      </c>
      <c r="C112">
        <v>373719000000</v>
      </c>
      <c r="D112">
        <v>140828000000</v>
      </c>
      <c r="E112">
        <v>44771000000</v>
      </c>
      <c r="F112">
        <v>44771000000</v>
      </c>
      <c r="G112">
        <v>4988000000</v>
      </c>
      <c r="H112">
        <v>36981000000</v>
      </c>
      <c r="I112">
        <v>232891000000</v>
      </c>
      <c r="J112">
        <v>39597000000</v>
      </c>
      <c r="K112">
        <v>0</v>
      </c>
      <c r="L112">
        <v>0</v>
      </c>
      <c r="M112">
        <v>0</v>
      </c>
      <c r="N112">
        <v>0</v>
      </c>
      <c r="O112">
        <v>0</v>
      </c>
      <c r="P112">
        <v>158608000000</v>
      </c>
      <c r="Q112">
        <v>41656000000</v>
      </c>
      <c r="R112">
        <v>12432000000</v>
      </c>
      <c r="S112">
        <v>0</v>
      </c>
      <c r="T112">
        <v>255827000000</v>
      </c>
      <c r="U112">
        <v>108283000000</v>
      </c>
      <c r="V112">
        <v>44293000000</v>
      </c>
      <c r="W112">
        <v>0</v>
      </c>
      <c r="X112">
        <v>0</v>
      </c>
      <c r="Y112">
        <v>21741000000</v>
      </c>
      <c r="Z112">
        <v>147544000000</v>
      </c>
      <c r="AA112">
        <v>0</v>
      </c>
      <c r="AB112">
        <v>92989000000</v>
      </c>
      <c r="AC112">
        <v>9772000000</v>
      </c>
      <c r="AD112">
        <v>0</v>
      </c>
      <c r="AE112">
        <v>114730000000</v>
      </c>
      <c r="AF112">
        <v>36703000000</v>
      </c>
      <c r="AG112">
        <v>54555000000</v>
      </c>
      <c r="AH112">
        <v>117892000000</v>
      </c>
      <c r="AI112">
        <v>0</v>
      </c>
      <c r="AJ112">
        <v>80510000000</v>
      </c>
      <c r="AK112">
        <v>40970000000</v>
      </c>
      <c r="AL112">
        <v>19093008000</v>
      </c>
    </row>
    <row r="113" spans="1:38">
      <c r="A113" s="24">
        <v>43373</v>
      </c>
      <c r="B113" t="s">
        <v>45</v>
      </c>
      <c r="C113">
        <v>365725000000</v>
      </c>
      <c r="D113">
        <v>131339000000</v>
      </c>
      <c r="E113">
        <v>25913000000</v>
      </c>
      <c r="F113">
        <v>25913000000</v>
      </c>
      <c r="G113">
        <v>3956000000</v>
      </c>
      <c r="H113">
        <v>48995000000</v>
      </c>
      <c r="I113">
        <v>234386000000</v>
      </c>
      <c r="J113">
        <v>41304000000</v>
      </c>
      <c r="K113">
        <v>0</v>
      </c>
      <c r="L113">
        <v>0</v>
      </c>
      <c r="M113">
        <v>0</v>
      </c>
      <c r="N113">
        <v>0</v>
      </c>
      <c r="O113">
        <v>0</v>
      </c>
      <c r="P113">
        <v>170799000000</v>
      </c>
      <c r="Q113">
        <v>40388000000</v>
      </c>
      <c r="R113">
        <v>12087000000</v>
      </c>
      <c r="S113">
        <v>0</v>
      </c>
      <c r="T113">
        <v>258578000000</v>
      </c>
      <c r="U113">
        <v>116866000000</v>
      </c>
      <c r="V113">
        <v>55888000000</v>
      </c>
      <c r="W113">
        <v>0</v>
      </c>
      <c r="X113">
        <v>0</v>
      </c>
      <c r="Y113">
        <v>20748000000</v>
      </c>
      <c r="Z113">
        <v>141712000000</v>
      </c>
      <c r="AA113">
        <v>0</v>
      </c>
      <c r="AB113">
        <v>93735000000</v>
      </c>
      <c r="AC113">
        <v>8784000000</v>
      </c>
      <c r="AD113">
        <v>0</v>
      </c>
      <c r="AE113">
        <v>114483000000</v>
      </c>
      <c r="AF113">
        <v>32687000000</v>
      </c>
      <c r="AG113">
        <v>45180000000</v>
      </c>
      <c r="AH113">
        <v>107147000000</v>
      </c>
      <c r="AI113">
        <v>0</v>
      </c>
      <c r="AJ113">
        <v>70400000000</v>
      </c>
      <c r="AK113">
        <v>40201000000</v>
      </c>
      <c r="AL113">
        <v>19390188000</v>
      </c>
    </row>
    <row r="114" spans="1:38">
      <c r="A114" s="24">
        <v>43281</v>
      </c>
      <c r="B114" t="s">
        <v>45</v>
      </c>
      <c r="C114">
        <v>349197000000</v>
      </c>
      <c r="D114">
        <v>115761000000</v>
      </c>
      <c r="E114">
        <v>31971000000</v>
      </c>
      <c r="F114">
        <v>31971000000</v>
      </c>
      <c r="G114">
        <v>5936000000</v>
      </c>
      <c r="H114">
        <v>26367000000</v>
      </c>
      <c r="I114">
        <v>233436000000</v>
      </c>
      <c r="J114">
        <v>38117000000</v>
      </c>
      <c r="K114">
        <v>0</v>
      </c>
      <c r="L114">
        <v>0</v>
      </c>
      <c r="M114">
        <v>0</v>
      </c>
      <c r="N114">
        <v>0</v>
      </c>
      <c r="O114">
        <v>0</v>
      </c>
      <c r="P114">
        <v>172773000000</v>
      </c>
      <c r="Q114">
        <v>38999000000</v>
      </c>
      <c r="R114">
        <v>12488000000</v>
      </c>
      <c r="S114">
        <v>0</v>
      </c>
      <c r="T114">
        <v>234248000000</v>
      </c>
      <c r="U114">
        <v>88548000000</v>
      </c>
      <c r="V114">
        <v>38489000000</v>
      </c>
      <c r="W114">
        <v>0</v>
      </c>
      <c r="X114">
        <v>0</v>
      </c>
      <c r="Y114">
        <v>17472000000</v>
      </c>
      <c r="Z114">
        <v>145700000000</v>
      </c>
      <c r="AA114">
        <v>0</v>
      </c>
      <c r="AB114">
        <v>97128000000</v>
      </c>
      <c r="AC114">
        <v>5498000000</v>
      </c>
      <c r="AD114">
        <v>0</v>
      </c>
      <c r="AE114">
        <v>114600000000</v>
      </c>
      <c r="AF114">
        <v>25184000000</v>
      </c>
      <c r="AG114">
        <v>45694000000</v>
      </c>
      <c r="AH114">
        <v>114949000000</v>
      </c>
      <c r="AI114">
        <v>0</v>
      </c>
      <c r="AJ114">
        <v>79436000000</v>
      </c>
      <c r="AK114">
        <v>38624000000</v>
      </c>
      <c r="AL114">
        <v>19706436000</v>
      </c>
    </row>
    <row r="115" spans="1:38">
      <c r="A115" s="24">
        <v>43190</v>
      </c>
      <c r="B115" t="s">
        <v>45</v>
      </c>
      <c r="C115">
        <v>367502000000</v>
      </c>
      <c r="D115">
        <v>130053000000</v>
      </c>
      <c r="E115">
        <v>45059000000</v>
      </c>
      <c r="F115">
        <v>45059000000</v>
      </c>
      <c r="G115">
        <v>7662000000</v>
      </c>
      <c r="H115">
        <v>22408000000</v>
      </c>
      <c r="I115">
        <v>237449000000</v>
      </c>
      <c r="J115">
        <v>35077000000</v>
      </c>
      <c r="K115">
        <v>0</v>
      </c>
      <c r="L115">
        <v>0</v>
      </c>
      <c r="M115">
        <v>0</v>
      </c>
      <c r="N115">
        <v>0</v>
      </c>
      <c r="O115">
        <v>0</v>
      </c>
      <c r="P115">
        <v>179286000000</v>
      </c>
      <c r="Q115">
        <v>42881000000</v>
      </c>
      <c r="R115">
        <v>12043000000</v>
      </c>
      <c r="S115">
        <v>0</v>
      </c>
      <c r="T115">
        <v>240624000000</v>
      </c>
      <c r="U115">
        <v>89320000000</v>
      </c>
      <c r="V115">
        <v>34311000000</v>
      </c>
      <c r="W115">
        <v>0</v>
      </c>
      <c r="X115">
        <v>0</v>
      </c>
      <c r="Y115">
        <v>20478000000</v>
      </c>
      <c r="Z115">
        <v>151304000000</v>
      </c>
      <c r="AA115">
        <v>0</v>
      </c>
      <c r="AB115">
        <v>101362000000</v>
      </c>
      <c r="AC115">
        <v>8498000000</v>
      </c>
      <c r="AD115">
        <v>0</v>
      </c>
      <c r="AE115">
        <v>121840000000</v>
      </c>
      <c r="AF115">
        <v>26756000000</v>
      </c>
      <c r="AG115">
        <v>46855000000</v>
      </c>
      <c r="AH115">
        <v>126878000000</v>
      </c>
      <c r="AI115">
        <v>0</v>
      </c>
      <c r="AJ115">
        <v>91898000000</v>
      </c>
      <c r="AK115">
        <v>38044000000</v>
      </c>
      <c r="AL115">
        <v>20273972000</v>
      </c>
    </row>
    <row r="116" spans="1:38">
      <c r="A116" s="24">
        <v>43100</v>
      </c>
      <c r="B116" t="s">
        <v>45</v>
      </c>
      <c r="C116">
        <v>406794000000</v>
      </c>
      <c r="D116">
        <v>143810000000</v>
      </c>
      <c r="E116">
        <v>27491000000</v>
      </c>
      <c r="F116">
        <v>27491000000</v>
      </c>
      <c r="G116">
        <v>4421000000</v>
      </c>
      <c r="H116">
        <v>50899000000</v>
      </c>
      <c r="I116">
        <v>262984000000</v>
      </c>
      <c r="J116">
        <v>33679000000</v>
      </c>
      <c r="K116">
        <v>0</v>
      </c>
      <c r="L116">
        <v>2149000000</v>
      </c>
      <c r="M116">
        <v>2149000000</v>
      </c>
      <c r="N116">
        <v>5889000000</v>
      </c>
      <c r="O116">
        <v>0</v>
      </c>
      <c r="P116">
        <v>207944000000</v>
      </c>
      <c r="Q116">
        <v>49662000000</v>
      </c>
      <c r="R116">
        <v>11337000000</v>
      </c>
      <c r="S116">
        <v>0</v>
      </c>
      <c r="T116">
        <v>266595000000</v>
      </c>
      <c r="U116">
        <v>115788000000</v>
      </c>
      <c r="V116">
        <v>62985000000</v>
      </c>
      <c r="W116">
        <v>0</v>
      </c>
      <c r="X116">
        <v>0</v>
      </c>
      <c r="Y116">
        <v>18478000000</v>
      </c>
      <c r="Z116">
        <v>150807000000</v>
      </c>
      <c r="AA116">
        <v>0</v>
      </c>
      <c r="AB116">
        <v>103922000000</v>
      </c>
      <c r="AC116">
        <v>6498000000</v>
      </c>
      <c r="AD116">
        <v>0</v>
      </c>
      <c r="AE116">
        <v>122400000000</v>
      </c>
      <c r="AF116">
        <v>26281000000</v>
      </c>
      <c r="AG116">
        <v>43754000000</v>
      </c>
      <c r="AH116">
        <v>140199000000</v>
      </c>
      <c r="AI116">
        <v>0</v>
      </c>
      <c r="AJ116">
        <v>104593000000</v>
      </c>
      <c r="AK116">
        <v>36447000000</v>
      </c>
      <c r="AL116">
        <v>20631148000</v>
      </c>
    </row>
    <row r="117" spans="1:38">
      <c r="A117" s="24">
        <v>43008</v>
      </c>
      <c r="B117" t="s">
        <v>45</v>
      </c>
      <c r="C117">
        <v>375319000000</v>
      </c>
      <c r="D117">
        <v>128645000000</v>
      </c>
      <c r="E117">
        <v>20289000000</v>
      </c>
      <c r="F117">
        <v>20289000000</v>
      </c>
      <c r="G117">
        <v>4855000000</v>
      </c>
      <c r="H117">
        <v>35673000000</v>
      </c>
      <c r="I117">
        <v>246674000000</v>
      </c>
      <c r="J117">
        <v>33783000000</v>
      </c>
      <c r="K117">
        <v>0</v>
      </c>
      <c r="L117">
        <v>2298000000</v>
      </c>
      <c r="M117">
        <v>2298000000</v>
      </c>
      <c r="N117">
        <v>5717000000</v>
      </c>
      <c r="O117">
        <v>0</v>
      </c>
      <c r="P117">
        <v>194714000000</v>
      </c>
      <c r="Q117">
        <v>53892000000</v>
      </c>
      <c r="R117">
        <v>13936000000</v>
      </c>
      <c r="S117">
        <v>0</v>
      </c>
      <c r="T117">
        <v>241272000000</v>
      </c>
      <c r="U117">
        <v>100814000000</v>
      </c>
      <c r="V117">
        <v>49049000000</v>
      </c>
      <c r="W117">
        <v>0</v>
      </c>
      <c r="X117">
        <v>0</v>
      </c>
      <c r="Y117">
        <v>18473000000</v>
      </c>
      <c r="Z117">
        <v>140458000000</v>
      </c>
      <c r="AA117">
        <v>0</v>
      </c>
      <c r="AB117">
        <v>97207000000</v>
      </c>
      <c r="AC117">
        <v>6496000000</v>
      </c>
      <c r="AD117">
        <v>0</v>
      </c>
      <c r="AE117">
        <v>115680000000</v>
      </c>
      <c r="AF117">
        <v>25744000000</v>
      </c>
      <c r="AG117">
        <v>40415000000</v>
      </c>
      <c r="AH117">
        <v>134047000000</v>
      </c>
      <c r="AI117">
        <v>0</v>
      </c>
      <c r="AJ117">
        <v>98330000000</v>
      </c>
      <c r="AK117">
        <v>35867000000</v>
      </c>
      <c r="AL117">
        <v>20734340000</v>
      </c>
    </row>
    <row r="118" spans="1:38">
      <c r="A118" s="24">
        <v>42916</v>
      </c>
      <c r="B118" t="s">
        <v>45</v>
      </c>
      <c r="C118">
        <v>345173000000</v>
      </c>
      <c r="D118">
        <v>112875000000</v>
      </c>
      <c r="E118">
        <v>18571000000</v>
      </c>
      <c r="F118">
        <v>18571000000</v>
      </c>
      <c r="G118">
        <v>3146000000</v>
      </c>
      <c r="H118">
        <v>22632000000</v>
      </c>
      <c r="I118">
        <v>232298000000</v>
      </c>
      <c r="J118">
        <v>29286000000</v>
      </c>
      <c r="K118">
        <v>0</v>
      </c>
      <c r="L118">
        <v>2444000000</v>
      </c>
      <c r="M118">
        <v>2444000000</v>
      </c>
      <c r="N118">
        <v>5661000000</v>
      </c>
      <c r="O118">
        <v>0</v>
      </c>
      <c r="P118">
        <v>184757000000</v>
      </c>
      <c r="Q118">
        <v>58188000000</v>
      </c>
      <c r="R118">
        <v>10338000000</v>
      </c>
      <c r="S118">
        <v>0</v>
      </c>
      <c r="T118">
        <v>212748000000</v>
      </c>
      <c r="U118">
        <v>81302000000</v>
      </c>
      <c r="V118">
        <v>31915000000</v>
      </c>
      <c r="W118">
        <v>0</v>
      </c>
      <c r="X118">
        <v>0</v>
      </c>
      <c r="Y118">
        <v>18475000000</v>
      </c>
      <c r="Z118">
        <v>131446000000</v>
      </c>
      <c r="AA118">
        <v>0</v>
      </c>
      <c r="AB118">
        <v>89864000000</v>
      </c>
      <c r="AC118">
        <v>108603000000</v>
      </c>
      <c r="AD118">
        <v>0</v>
      </c>
      <c r="AE118">
        <v>108339000000</v>
      </c>
      <c r="AF118">
        <v>23304000000</v>
      </c>
      <c r="AG118">
        <v>38598000000</v>
      </c>
      <c r="AH118">
        <v>132425000000</v>
      </c>
      <c r="AI118">
        <v>0</v>
      </c>
      <c r="AJ118">
        <v>98525000000</v>
      </c>
      <c r="AK118">
        <v>34445000000</v>
      </c>
      <c r="AL118">
        <v>20933996000</v>
      </c>
    </row>
    <row r="119" spans="1:38">
      <c r="A119" s="24">
        <v>42825</v>
      </c>
      <c r="B119" t="s">
        <v>45</v>
      </c>
      <c r="C119">
        <v>334532000000</v>
      </c>
      <c r="D119">
        <v>101990000000</v>
      </c>
      <c r="E119">
        <v>15157000000</v>
      </c>
      <c r="F119">
        <v>15157000000</v>
      </c>
      <c r="G119">
        <v>2910000000</v>
      </c>
      <c r="H119">
        <v>20612000000</v>
      </c>
      <c r="I119">
        <v>232542000000</v>
      </c>
      <c r="J119">
        <v>27163000000</v>
      </c>
      <c r="K119">
        <v>0</v>
      </c>
      <c r="L119">
        <v>2617000000</v>
      </c>
      <c r="M119">
        <v>2617000000</v>
      </c>
      <c r="N119">
        <v>5473000000</v>
      </c>
      <c r="O119">
        <v>0</v>
      </c>
      <c r="P119">
        <v>189740000000</v>
      </c>
      <c r="Q119">
        <v>51944000000</v>
      </c>
      <c r="R119">
        <v>11367000000</v>
      </c>
      <c r="S119">
        <v>0</v>
      </c>
      <c r="T119">
        <v>200450000000</v>
      </c>
      <c r="U119">
        <v>73342000000</v>
      </c>
      <c r="V119">
        <v>28573000000</v>
      </c>
      <c r="W119">
        <v>0</v>
      </c>
      <c r="X119">
        <v>0</v>
      </c>
      <c r="Y119">
        <v>13991000000</v>
      </c>
      <c r="Z119">
        <v>127108000000</v>
      </c>
      <c r="AA119">
        <v>0</v>
      </c>
      <c r="AB119">
        <v>84531000000</v>
      </c>
      <c r="AC119">
        <v>13991000000</v>
      </c>
      <c r="AD119">
        <v>0</v>
      </c>
      <c r="AE119">
        <v>98522000000</v>
      </c>
      <c r="AF119">
        <v>23096000000</v>
      </c>
      <c r="AG119">
        <v>39470000000</v>
      </c>
      <c r="AH119">
        <v>134082000000</v>
      </c>
      <c r="AI119">
        <v>0</v>
      </c>
      <c r="AJ119">
        <v>100925000000</v>
      </c>
      <c r="AK119">
        <v>33579000000</v>
      </c>
      <c r="AL119">
        <v>21046752000</v>
      </c>
    </row>
    <row r="120" spans="1:38">
      <c r="A120" s="24">
        <v>42735</v>
      </c>
      <c r="B120" t="s">
        <v>45</v>
      </c>
      <c r="C120">
        <v>331141000000</v>
      </c>
      <c r="D120">
        <v>103332000000</v>
      </c>
      <c r="E120">
        <v>16371000000</v>
      </c>
      <c r="F120">
        <v>16371000000</v>
      </c>
      <c r="G120">
        <v>2712000000</v>
      </c>
      <c r="H120">
        <v>27977000000</v>
      </c>
      <c r="I120">
        <v>227809000000</v>
      </c>
      <c r="J120">
        <v>26510000000</v>
      </c>
      <c r="K120">
        <v>0</v>
      </c>
      <c r="L120">
        <v>2848000000</v>
      </c>
      <c r="M120">
        <v>2848000000</v>
      </c>
      <c r="N120">
        <v>5423000000</v>
      </c>
      <c r="O120">
        <v>0</v>
      </c>
      <c r="P120">
        <v>185638000000</v>
      </c>
      <c r="Q120">
        <v>44081000000</v>
      </c>
      <c r="R120">
        <v>12191000000</v>
      </c>
      <c r="S120">
        <v>0</v>
      </c>
      <c r="T120">
        <v>198751000000</v>
      </c>
      <c r="U120">
        <v>84130000000</v>
      </c>
      <c r="V120">
        <v>38510000000</v>
      </c>
      <c r="W120">
        <v>0</v>
      </c>
      <c r="X120">
        <v>0</v>
      </c>
      <c r="Y120">
        <v>13992000000</v>
      </c>
      <c r="Z120">
        <v>114621000000</v>
      </c>
      <c r="AA120">
        <v>0</v>
      </c>
      <c r="AB120">
        <v>73557000000</v>
      </c>
      <c r="AC120">
        <v>13992000000</v>
      </c>
      <c r="AD120">
        <v>0</v>
      </c>
      <c r="AE120">
        <v>87549000000</v>
      </c>
      <c r="AF120">
        <v>23739000000</v>
      </c>
      <c r="AG120">
        <v>37901000000</v>
      </c>
      <c r="AH120">
        <v>132390000000</v>
      </c>
      <c r="AI120">
        <v>0</v>
      </c>
      <c r="AJ120">
        <v>100001000000</v>
      </c>
      <c r="AK120">
        <v>32144000000</v>
      </c>
      <c r="AL120">
        <v>21311980000</v>
      </c>
    </row>
    <row r="121" spans="1:38">
      <c r="A121" s="24">
        <v>42643</v>
      </c>
      <c r="B121" t="s">
        <v>45</v>
      </c>
      <c r="C121">
        <v>321686000000</v>
      </c>
      <c r="D121">
        <v>106869000000</v>
      </c>
      <c r="E121">
        <v>20484000000</v>
      </c>
      <c r="F121">
        <v>20484000000</v>
      </c>
      <c r="G121">
        <v>2132000000</v>
      </c>
      <c r="H121">
        <v>29299000000</v>
      </c>
      <c r="I121">
        <v>214817000000</v>
      </c>
      <c r="J121">
        <v>27010000000</v>
      </c>
      <c r="K121">
        <v>0</v>
      </c>
      <c r="L121">
        <v>3206000000</v>
      </c>
      <c r="M121">
        <v>3206000000</v>
      </c>
      <c r="N121">
        <v>5414000000</v>
      </c>
      <c r="O121">
        <v>0</v>
      </c>
      <c r="P121">
        <v>170430000000</v>
      </c>
      <c r="Q121">
        <v>46671000000</v>
      </c>
      <c r="R121">
        <v>8283000000</v>
      </c>
      <c r="S121">
        <v>0</v>
      </c>
      <c r="T121">
        <v>193437000000</v>
      </c>
      <c r="U121">
        <v>79006000000</v>
      </c>
      <c r="V121">
        <v>37294000000</v>
      </c>
      <c r="W121">
        <v>0</v>
      </c>
      <c r="X121">
        <v>0</v>
      </c>
      <c r="Y121">
        <v>11605000000</v>
      </c>
      <c r="Z121">
        <v>114431000000</v>
      </c>
      <c r="AA121">
        <v>0</v>
      </c>
      <c r="AB121">
        <v>75427000000</v>
      </c>
      <c r="AC121">
        <v>3500000000</v>
      </c>
      <c r="AD121">
        <v>0</v>
      </c>
      <c r="AE121">
        <v>87032000000</v>
      </c>
      <c r="AF121">
        <v>22027000000</v>
      </c>
      <c r="AG121">
        <v>36074000000</v>
      </c>
      <c r="AH121">
        <v>128249000000</v>
      </c>
      <c r="AI121">
        <v>0</v>
      </c>
      <c r="AJ121">
        <v>96364000000</v>
      </c>
      <c r="AK121">
        <v>31251000000</v>
      </c>
      <c r="AL121">
        <v>21573332000</v>
      </c>
    </row>
    <row r="122" spans="1:38">
      <c r="A122" s="24">
        <v>42551</v>
      </c>
      <c r="B122" t="s">
        <v>45</v>
      </c>
      <c r="C122">
        <v>305602000000</v>
      </c>
      <c r="D122">
        <v>93761000000</v>
      </c>
      <c r="E122">
        <v>18237000000</v>
      </c>
      <c r="F122">
        <v>18237000000</v>
      </c>
      <c r="G122">
        <v>1831000000</v>
      </c>
      <c r="H122">
        <v>19042000000</v>
      </c>
      <c r="I122">
        <v>211841000000</v>
      </c>
      <c r="J122">
        <v>25448000000</v>
      </c>
      <c r="K122">
        <v>0</v>
      </c>
      <c r="L122">
        <v>3506000000</v>
      </c>
      <c r="M122">
        <v>3506000000</v>
      </c>
      <c r="N122">
        <v>5261000000</v>
      </c>
      <c r="O122">
        <v>0</v>
      </c>
      <c r="P122">
        <v>169764000000</v>
      </c>
      <c r="Q122">
        <v>43519000000</v>
      </c>
      <c r="R122">
        <v>11132000000</v>
      </c>
      <c r="S122">
        <v>0</v>
      </c>
      <c r="T122">
        <v>179061000000</v>
      </c>
      <c r="U122">
        <v>71486000000</v>
      </c>
      <c r="V122">
        <v>26318000000</v>
      </c>
      <c r="W122">
        <v>0</v>
      </c>
      <c r="X122">
        <v>0</v>
      </c>
      <c r="Y122">
        <v>15996000000</v>
      </c>
      <c r="Z122">
        <v>107575000000</v>
      </c>
      <c r="AA122">
        <v>0</v>
      </c>
      <c r="AB122">
        <v>68939000000</v>
      </c>
      <c r="AC122">
        <v>15996000000</v>
      </c>
      <c r="AD122">
        <v>0</v>
      </c>
      <c r="AE122">
        <v>84935000000</v>
      </c>
      <c r="AF122">
        <v>20820000000</v>
      </c>
      <c r="AG122">
        <v>35572000000</v>
      </c>
      <c r="AH122">
        <v>126541000000</v>
      </c>
      <c r="AI122">
        <v>0</v>
      </c>
      <c r="AJ122">
        <v>96542000000</v>
      </c>
      <c r="AK122">
        <v>30106000000</v>
      </c>
      <c r="AL122">
        <v>21891124000</v>
      </c>
    </row>
    <row r="123" spans="1:38">
      <c r="A123" s="24">
        <v>42460</v>
      </c>
      <c r="B123" t="s">
        <v>45</v>
      </c>
      <c r="C123">
        <v>305277000000</v>
      </c>
      <c r="D123">
        <v>87592000000</v>
      </c>
      <c r="E123">
        <v>21514000000</v>
      </c>
      <c r="F123">
        <v>21514000000</v>
      </c>
      <c r="G123">
        <v>2281000000</v>
      </c>
      <c r="H123">
        <v>19824000000</v>
      </c>
      <c r="I123">
        <v>217685000000</v>
      </c>
      <c r="J123">
        <v>23203000000</v>
      </c>
      <c r="K123">
        <v>0</v>
      </c>
      <c r="L123">
        <v>3843000000</v>
      </c>
      <c r="M123">
        <v>3843000000</v>
      </c>
      <c r="N123">
        <v>5249000000</v>
      </c>
      <c r="O123">
        <v>0</v>
      </c>
      <c r="P123">
        <v>177645000000</v>
      </c>
      <c r="Q123">
        <v>33769000000</v>
      </c>
      <c r="R123">
        <v>10204000000</v>
      </c>
      <c r="S123">
        <v>0</v>
      </c>
      <c r="T123">
        <v>174820000000</v>
      </c>
      <c r="U123">
        <v>68265000000</v>
      </c>
      <c r="V123">
        <v>25098000000</v>
      </c>
      <c r="W123">
        <v>0</v>
      </c>
      <c r="X123">
        <v>0</v>
      </c>
      <c r="Y123">
        <v>10498000000</v>
      </c>
      <c r="Z123">
        <v>106555000000</v>
      </c>
      <c r="AA123">
        <v>0</v>
      </c>
      <c r="AB123">
        <v>69374000000</v>
      </c>
      <c r="AC123">
        <v>10498000000</v>
      </c>
      <c r="AD123">
        <v>0</v>
      </c>
      <c r="AE123">
        <v>79872000000</v>
      </c>
      <c r="AF123">
        <v>23208000000</v>
      </c>
      <c r="AG123">
        <v>33859000000</v>
      </c>
      <c r="AH123">
        <v>130457000000</v>
      </c>
      <c r="AI123">
        <v>0</v>
      </c>
      <c r="AJ123">
        <v>102021000000</v>
      </c>
      <c r="AK123">
        <v>29484000000</v>
      </c>
      <c r="AL123">
        <v>22163544000</v>
      </c>
    </row>
    <row r="124" spans="1:38">
      <c r="A124" s="24">
        <v>42369</v>
      </c>
      <c r="B124" t="s">
        <v>45</v>
      </c>
      <c r="C124">
        <v>293284000000</v>
      </c>
      <c r="D124">
        <v>76219000000</v>
      </c>
      <c r="E124">
        <v>16689000000</v>
      </c>
      <c r="F124">
        <v>16689000000</v>
      </c>
      <c r="G124">
        <v>2451000000</v>
      </c>
      <c r="H124">
        <v>24621000000</v>
      </c>
      <c r="I124">
        <v>217065000000</v>
      </c>
      <c r="J124">
        <v>22300000000</v>
      </c>
      <c r="K124">
        <v>0</v>
      </c>
      <c r="L124">
        <v>3924000000</v>
      </c>
      <c r="M124">
        <v>3924000000</v>
      </c>
      <c r="N124">
        <v>5202000000</v>
      </c>
      <c r="O124">
        <v>0</v>
      </c>
      <c r="P124">
        <v>177665000000</v>
      </c>
      <c r="Q124">
        <v>21385000000</v>
      </c>
      <c r="R124">
        <v>11073000000</v>
      </c>
      <c r="S124">
        <v>0</v>
      </c>
      <c r="T124">
        <v>165017000000</v>
      </c>
      <c r="U124">
        <v>76092000000</v>
      </c>
      <c r="V124">
        <v>33312000000</v>
      </c>
      <c r="W124">
        <v>0</v>
      </c>
      <c r="X124">
        <v>0</v>
      </c>
      <c r="Y124">
        <v>9759000000</v>
      </c>
      <c r="Z124">
        <v>88925000000</v>
      </c>
      <c r="AA124">
        <v>0</v>
      </c>
      <c r="AB124">
        <v>53204000000</v>
      </c>
      <c r="AC124">
        <v>0</v>
      </c>
      <c r="AD124">
        <v>0</v>
      </c>
      <c r="AE124">
        <v>62963000000</v>
      </c>
      <c r="AF124">
        <v>24032000000</v>
      </c>
      <c r="AG124">
        <v>32175000000</v>
      </c>
      <c r="AH124">
        <v>128267000000</v>
      </c>
      <c r="AI124">
        <v>0</v>
      </c>
      <c r="AJ124">
        <v>101494000000</v>
      </c>
      <c r="AK124">
        <v>28253000000</v>
      </c>
      <c r="AL124">
        <v>22376508000</v>
      </c>
    </row>
    <row r="125" spans="1:38">
      <c r="A125" s="24">
        <v>42277</v>
      </c>
      <c r="B125" t="s">
        <v>45</v>
      </c>
      <c r="C125">
        <v>290479000000</v>
      </c>
      <c r="D125">
        <v>83832000000</v>
      </c>
      <c r="E125">
        <v>21120000000</v>
      </c>
      <c r="F125">
        <v>21120000000</v>
      </c>
      <c r="G125">
        <v>2349000000</v>
      </c>
      <c r="H125">
        <v>30343000000</v>
      </c>
      <c r="I125">
        <v>201101000000</v>
      </c>
      <c r="J125">
        <v>22471000000</v>
      </c>
      <c r="K125">
        <v>0</v>
      </c>
      <c r="L125">
        <v>3893000000</v>
      </c>
      <c r="M125">
        <v>3893000000</v>
      </c>
      <c r="N125">
        <v>5116000000</v>
      </c>
      <c r="O125">
        <v>0</v>
      </c>
      <c r="P125">
        <v>164065000000</v>
      </c>
      <c r="Q125">
        <v>20481000000</v>
      </c>
      <c r="R125">
        <v>9539000000</v>
      </c>
      <c r="S125">
        <v>0</v>
      </c>
      <c r="T125">
        <v>171124000000</v>
      </c>
      <c r="U125">
        <v>80610000000</v>
      </c>
      <c r="V125">
        <v>35490000000</v>
      </c>
      <c r="W125">
        <v>0</v>
      </c>
      <c r="X125">
        <v>0</v>
      </c>
      <c r="Y125">
        <v>10999000000</v>
      </c>
      <c r="Z125">
        <v>90514000000</v>
      </c>
      <c r="AA125">
        <v>0</v>
      </c>
      <c r="AB125">
        <v>53463000000</v>
      </c>
      <c r="AC125">
        <v>2513000000</v>
      </c>
      <c r="AD125">
        <v>0</v>
      </c>
      <c r="AE125">
        <v>64462000000</v>
      </c>
      <c r="AF125">
        <v>25181000000</v>
      </c>
      <c r="AG125">
        <v>33427000000</v>
      </c>
      <c r="AH125">
        <v>119355000000</v>
      </c>
      <c r="AI125">
        <v>0</v>
      </c>
      <c r="AJ125">
        <v>92284000000</v>
      </c>
      <c r="AK125">
        <v>27416000000</v>
      </c>
      <c r="AL125">
        <v>22730076000</v>
      </c>
    </row>
    <row r="126" spans="1:38">
      <c r="A126" s="24">
        <v>42185</v>
      </c>
      <c r="B126" t="s">
        <v>45</v>
      </c>
      <c r="C126">
        <v>273151000000</v>
      </c>
      <c r="D126">
        <v>65943000000</v>
      </c>
      <c r="E126">
        <v>15319000000</v>
      </c>
      <c r="F126">
        <v>15319000000</v>
      </c>
      <c r="G126">
        <v>2042000000</v>
      </c>
      <c r="H126">
        <v>19907000000</v>
      </c>
      <c r="I126">
        <v>202198000000</v>
      </c>
      <c r="J126">
        <v>21149000000</v>
      </c>
      <c r="K126">
        <v>0</v>
      </c>
      <c r="L126">
        <v>3779000000</v>
      </c>
      <c r="M126">
        <v>3779000000</v>
      </c>
      <c r="N126">
        <v>5044000000</v>
      </c>
      <c r="O126">
        <v>0</v>
      </c>
      <c r="P126">
        <v>168145000000</v>
      </c>
      <c r="Q126">
        <v>19384000000</v>
      </c>
      <c r="R126">
        <v>9291000000</v>
      </c>
      <c r="S126">
        <v>0</v>
      </c>
      <c r="T126">
        <v>147474000000</v>
      </c>
      <c r="U126">
        <v>65285000000</v>
      </c>
      <c r="V126">
        <v>26474000000</v>
      </c>
      <c r="W126">
        <v>0</v>
      </c>
      <c r="X126">
        <v>0</v>
      </c>
      <c r="Y126">
        <v>6999000000</v>
      </c>
      <c r="Z126">
        <v>82189000000</v>
      </c>
      <c r="AA126">
        <v>0</v>
      </c>
      <c r="AB126">
        <v>47419000000</v>
      </c>
      <c r="AC126">
        <v>0</v>
      </c>
      <c r="AD126">
        <v>0</v>
      </c>
      <c r="AE126">
        <v>54418000000</v>
      </c>
      <c r="AF126">
        <v>22724000000</v>
      </c>
      <c r="AG126">
        <v>31296000000</v>
      </c>
      <c r="AH126">
        <v>125677000000</v>
      </c>
      <c r="AI126">
        <v>0</v>
      </c>
      <c r="AJ126">
        <v>98252000000</v>
      </c>
      <c r="AK126">
        <v>26327000000</v>
      </c>
      <c r="AL126">
        <v>23092396000</v>
      </c>
    </row>
    <row r="127" spans="1:38">
      <c r="A127" s="24">
        <v>42094</v>
      </c>
      <c r="B127" t="s">
        <v>45</v>
      </c>
      <c r="C127">
        <v>261194000000</v>
      </c>
      <c r="D127">
        <v>62750000000</v>
      </c>
      <c r="E127">
        <v>14489000000</v>
      </c>
      <c r="F127">
        <v>14489000000</v>
      </c>
      <c r="G127">
        <v>2396000000</v>
      </c>
      <c r="H127">
        <v>18164000000</v>
      </c>
      <c r="I127">
        <v>193303000000</v>
      </c>
      <c r="J127">
        <v>20151000000</v>
      </c>
      <c r="K127">
        <v>0</v>
      </c>
      <c r="L127">
        <v>4061000000</v>
      </c>
      <c r="M127">
        <v>4061000000</v>
      </c>
      <c r="N127">
        <v>4711000000</v>
      </c>
      <c r="O127">
        <v>0</v>
      </c>
      <c r="P127">
        <v>160443000000</v>
      </c>
      <c r="Q127">
        <v>18607000000</v>
      </c>
      <c r="R127">
        <v>9094000000</v>
      </c>
      <c r="S127">
        <v>0</v>
      </c>
      <c r="T127">
        <v>132188000000</v>
      </c>
      <c r="U127">
        <v>58729000000</v>
      </c>
      <c r="V127">
        <v>23159000000</v>
      </c>
      <c r="W127">
        <v>0</v>
      </c>
      <c r="X127">
        <v>0</v>
      </c>
      <c r="Y127">
        <v>3799000000</v>
      </c>
      <c r="Z127">
        <v>73459000000</v>
      </c>
      <c r="AA127">
        <v>0</v>
      </c>
      <c r="AB127">
        <v>40072000000</v>
      </c>
      <c r="AC127">
        <v>0</v>
      </c>
      <c r="AD127">
        <v>0</v>
      </c>
      <c r="AE127">
        <v>43871000000</v>
      </c>
      <c r="AF127">
        <v>22827000000</v>
      </c>
      <c r="AG127">
        <v>29816000000</v>
      </c>
      <c r="AH127">
        <v>129006000000</v>
      </c>
      <c r="AI127">
        <v>0</v>
      </c>
      <c r="AJ127">
        <v>100920000000</v>
      </c>
      <c r="AK127">
        <v>25376000000</v>
      </c>
      <c r="AL127">
        <v>23339432000</v>
      </c>
    </row>
    <row r="128" spans="1:38">
      <c r="A128" s="24">
        <v>42004</v>
      </c>
      <c r="B128" t="s">
        <v>45</v>
      </c>
      <c r="C128">
        <v>261894000000</v>
      </c>
      <c r="D128">
        <v>78357000000</v>
      </c>
      <c r="E128">
        <v>19478000000</v>
      </c>
      <c r="F128">
        <v>19478000000</v>
      </c>
      <c r="G128">
        <v>2283000000</v>
      </c>
      <c r="H128">
        <v>29976000000</v>
      </c>
      <c r="I128">
        <v>178491000000</v>
      </c>
      <c r="J128">
        <v>20392000000</v>
      </c>
      <c r="K128">
        <v>0</v>
      </c>
      <c r="L128">
        <v>4370000000</v>
      </c>
      <c r="M128">
        <v>4370000000</v>
      </c>
      <c r="N128">
        <v>4629000000</v>
      </c>
      <c r="O128">
        <v>0</v>
      </c>
      <c r="P128">
        <v>145492000000</v>
      </c>
      <c r="Q128">
        <v>12985000000</v>
      </c>
      <c r="R128">
        <v>13635000000</v>
      </c>
      <c r="S128">
        <v>0</v>
      </c>
      <c r="T128">
        <v>138566000000</v>
      </c>
      <c r="U128">
        <v>73611000000</v>
      </c>
      <c r="V128">
        <v>38001000000</v>
      </c>
      <c r="W128">
        <v>0</v>
      </c>
      <c r="X128">
        <v>0</v>
      </c>
      <c r="Y128">
        <v>3899000000</v>
      </c>
      <c r="Z128">
        <v>64955000000</v>
      </c>
      <c r="AA128">
        <v>0</v>
      </c>
      <c r="AB128">
        <v>32504000000</v>
      </c>
      <c r="AC128">
        <v>0</v>
      </c>
      <c r="AD128">
        <v>0</v>
      </c>
      <c r="AE128">
        <v>36403000000</v>
      </c>
      <c r="AF128">
        <v>22724000000</v>
      </c>
      <c r="AG128">
        <v>28971000000</v>
      </c>
      <c r="AH128">
        <v>123328000000</v>
      </c>
      <c r="AI128">
        <v>0</v>
      </c>
      <c r="AJ128">
        <v>97178000000</v>
      </c>
      <c r="AK128">
        <v>24187000000</v>
      </c>
      <c r="AL128">
        <v>23527212000</v>
      </c>
    </row>
    <row r="129" spans="1:38">
      <c r="A129" s="24">
        <v>41912</v>
      </c>
      <c r="B129" t="s">
        <v>45</v>
      </c>
      <c r="C129">
        <v>231839000000</v>
      </c>
      <c r="D129">
        <v>64213000000</v>
      </c>
      <c r="E129">
        <v>13844000000</v>
      </c>
      <c r="F129">
        <v>13844000000</v>
      </c>
      <c r="G129">
        <v>2111000000</v>
      </c>
      <c r="H129">
        <v>27219000000</v>
      </c>
      <c r="I129">
        <v>163308000000</v>
      </c>
      <c r="J129">
        <v>20624000000</v>
      </c>
      <c r="K129">
        <v>0</v>
      </c>
      <c r="L129">
        <v>4142000000</v>
      </c>
      <c r="M129">
        <v>4142000000</v>
      </c>
      <c r="N129">
        <v>4616000000</v>
      </c>
      <c r="O129">
        <v>0</v>
      </c>
      <c r="P129">
        <v>130162000000</v>
      </c>
      <c r="Q129">
        <v>11233000000</v>
      </c>
      <c r="R129">
        <v>9806000000</v>
      </c>
      <c r="S129">
        <v>0</v>
      </c>
      <c r="T129">
        <v>120292000000</v>
      </c>
      <c r="U129">
        <v>63448000000</v>
      </c>
      <c r="V129">
        <v>30196000000</v>
      </c>
      <c r="W129">
        <v>0</v>
      </c>
      <c r="X129">
        <v>0</v>
      </c>
      <c r="Y129">
        <v>6308000000</v>
      </c>
      <c r="Z129">
        <v>56844000000</v>
      </c>
      <c r="AA129">
        <v>0</v>
      </c>
      <c r="AB129">
        <v>28987000000</v>
      </c>
      <c r="AC129">
        <v>35295000000</v>
      </c>
      <c r="AD129">
        <v>0</v>
      </c>
      <c r="AE129">
        <v>35295000000</v>
      </c>
      <c r="AF129">
        <v>18453000000</v>
      </c>
      <c r="AG129">
        <v>24826000000</v>
      </c>
      <c r="AH129">
        <v>111547000000</v>
      </c>
      <c r="AI129">
        <v>0</v>
      </c>
      <c r="AJ129">
        <v>87152000000</v>
      </c>
      <c r="AK129">
        <v>23313000000</v>
      </c>
      <c r="AL129">
        <v>23888328000</v>
      </c>
    </row>
    <row r="130" spans="1:38">
      <c r="A130" s="24">
        <v>41820</v>
      </c>
      <c r="B130" t="s">
        <v>45</v>
      </c>
      <c r="C130">
        <v>222520000000</v>
      </c>
      <c r="D130">
        <v>64065000000</v>
      </c>
      <c r="E130">
        <v>12977000000</v>
      </c>
      <c r="F130">
        <v>12977000000</v>
      </c>
      <c r="G130">
        <v>1594000000</v>
      </c>
      <c r="H130">
        <v>16841000000</v>
      </c>
      <c r="I130">
        <v>154571000000</v>
      </c>
      <c r="J130">
        <v>17585000000</v>
      </c>
      <c r="K130">
        <v>0</v>
      </c>
      <c r="L130">
        <v>3767000000</v>
      </c>
      <c r="M130">
        <v>3767000000</v>
      </c>
      <c r="N130">
        <v>2374000000</v>
      </c>
      <c r="O130">
        <v>0</v>
      </c>
      <c r="P130">
        <v>126685000000</v>
      </c>
      <c r="Q130">
        <v>24828000000</v>
      </c>
      <c r="R130">
        <v>7825000000</v>
      </c>
      <c r="S130">
        <v>0</v>
      </c>
      <c r="T130">
        <v>101580000000</v>
      </c>
      <c r="U130">
        <v>46205000000</v>
      </c>
      <c r="V130">
        <v>20535000000</v>
      </c>
      <c r="W130">
        <v>0</v>
      </c>
      <c r="X130">
        <v>0</v>
      </c>
      <c r="Y130">
        <v>2010000000</v>
      </c>
      <c r="Z130">
        <v>55375000000</v>
      </c>
      <c r="AA130">
        <v>0</v>
      </c>
      <c r="AB130">
        <v>29030000000</v>
      </c>
      <c r="AC130">
        <v>0</v>
      </c>
      <c r="AD130">
        <v>0</v>
      </c>
      <c r="AE130">
        <v>31040000000</v>
      </c>
      <c r="AF130">
        <v>15264000000</v>
      </c>
      <c r="AG130">
        <v>23287000000</v>
      </c>
      <c r="AH130">
        <v>120940000000</v>
      </c>
      <c r="AI130">
        <v>0</v>
      </c>
      <c r="AJ130">
        <v>98715000000</v>
      </c>
      <c r="AK130">
        <v>22139000000</v>
      </c>
      <c r="AL130">
        <v>24206844000</v>
      </c>
    </row>
    <row r="131" spans="1:38">
      <c r="A131" s="24">
        <v>41729</v>
      </c>
      <c r="B131" t="s">
        <v>45</v>
      </c>
      <c r="C131">
        <v>205989000000</v>
      </c>
      <c r="D131">
        <v>66527000000</v>
      </c>
      <c r="E131">
        <v>18949000000</v>
      </c>
      <c r="F131">
        <v>18949000000</v>
      </c>
      <c r="G131">
        <v>1829000000</v>
      </c>
      <c r="H131">
        <v>15820000000</v>
      </c>
      <c r="I131">
        <v>135448000000</v>
      </c>
      <c r="J131">
        <v>15120000000</v>
      </c>
      <c r="K131">
        <v>0</v>
      </c>
      <c r="L131">
        <v>3928000000</v>
      </c>
      <c r="M131">
        <v>3928000000</v>
      </c>
      <c r="N131">
        <v>2055000000</v>
      </c>
      <c r="O131">
        <v>0</v>
      </c>
      <c r="P131">
        <v>109239000000</v>
      </c>
      <c r="Q131">
        <v>22401000000</v>
      </c>
      <c r="R131">
        <v>7528000000</v>
      </c>
      <c r="S131">
        <v>0</v>
      </c>
      <c r="T131">
        <v>85810000000</v>
      </c>
      <c r="U131">
        <v>43208000000</v>
      </c>
      <c r="V131">
        <v>18914000000</v>
      </c>
      <c r="W131">
        <v>0</v>
      </c>
      <c r="X131">
        <v>0</v>
      </c>
      <c r="Y131">
        <v>10056000000</v>
      </c>
      <c r="Z131">
        <v>42602000000</v>
      </c>
      <c r="AA131">
        <v>0</v>
      </c>
      <c r="AB131">
        <v>16962000000</v>
      </c>
      <c r="AC131">
        <v>0</v>
      </c>
      <c r="AD131">
        <v>0</v>
      </c>
      <c r="AE131">
        <v>16962000000</v>
      </c>
      <c r="AF131">
        <v>15984000000</v>
      </c>
      <c r="AG131">
        <v>22476000000</v>
      </c>
      <c r="AH131">
        <v>120179000000</v>
      </c>
      <c r="AI131">
        <v>0</v>
      </c>
      <c r="AJ131">
        <v>98934000000</v>
      </c>
      <c r="AK131">
        <v>21496000000</v>
      </c>
      <c r="AL131">
        <v>24626784000</v>
      </c>
    </row>
    <row r="132" spans="1:38">
      <c r="A132" s="24">
        <v>41639</v>
      </c>
      <c r="B132" t="s">
        <v>45</v>
      </c>
      <c r="C132">
        <v>225184000000</v>
      </c>
      <c r="D132">
        <v>76605000000</v>
      </c>
      <c r="E132">
        <v>14077000000</v>
      </c>
      <c r="F132">
        <v>14077000000</v>
      </c>
      <c r="G132">
        <v>2122000000</v>
      </c>
      <c r="H132">
        <v>25198000000</v>
      </c>
      <c r="I132">
        <v>144837000000</v>
      </c>
      <c r="J132">
        <v>15488000000</v>
      </c>
      <c r="K132">
        <v>0</v>
      </c>
      <c r="L132">
        <v>4105000000</v>
      </c>
      <c r="M132">
        <v>4105000000</v>
      </c>
      <c r="N132">
        <v>2022000000</v>
      </c>
      <c r="O132">
        <v>0</v>
      </c>
      <c r="P132">
        <v>118131000000</v>
      </c>
      <c r="Q132">
        <v>26634000000</v>
      </c>
      <c r="R132">
        <v>8574000000</v>
      </c>
      <c r="S132">
        <v>0</v>
      </c>
      <c r="T132">
        <v>95500000000</v>
      </c>
      <c r="U132">
        <v>53769000000</v>
      </c>
      <c r="V132">
        <v>29588000000</v>
      </c>
      <c r="W132">
        <v>0</v>
      </c>
      <c r="X132">
        <v>0</v>
      </c>
      <c r="Y132">
        <v>9683000000</v>
      </c>
      <c r="Z132">
        <v>41731000000</v>
      </c>
      <c r="AA132">
        <v>0</v>
      </c>
      <c r="AB132">
        <v>16961000000</v>
      </c>
      <c r="AC132">
        <v>0</v>
      </c>
      <c r="AD132">
        <v>0</v>
      </c>
      <c r="AE132">
        <v>16961000000</v>
      </c>
      <c r="AF132">
        <v>15824000000</v>
      </c>
      <c r="AG132">
        <v>21699000000</v>
      </c>
      <c r="AH132">
        <v>129684000000</v>
      </c>
      <c r="AI132">
        <v>0</v>
      </c>
      <c r="AJ132">
        <v>109431000000</v>
      </c>
      <c r="AK132">
        <v>20559000000</v>
      </c>
      <c r="AL132">
        <v>25240656000</v>
      </c>
    </row>
    <row r="133" spans="1:38">
      <c r="A133" s="24">
        <v>41547</v>
      </c>
      <c r="B133" t="s">
        <v>45</v>
      </c>
      <c r="C133">
        <v>207000000000</v>
      </c>
      <c r="D133">
        <v>69833000000</v>
      </c>
      <c r="E133">
        <v>14259000000</v>
      </c>
      <c r="F133">
        <v>14259000000</v>
      </c>
      <c r="G133">
        <v>1764000000</v>
      </c>
      <c r="H133">
        <v>20641000000</v>
      </c>
      <c r="I133">
        <v>133714000000</v>
      </c>
      <c r="J133">
        <v>16597000000</v>
      </c>
      <c r="K133">
        <v>0</v>
      </c>
      <c r="L133">
        <v>4179000000</v>
      </c>
      <c r="M133">
        <v>4179000000</v>
      </c>
      <c r="N133">
        <v>1577000000</v>
      </c>
      <c r="O133">
        <v>0</v>
      </c>
      <c r="P133">
        <v>106215000000</v>
      </c>
      <c r="Q133">
        <v>26287000000</v>
      </c>
      <c r="R133">
        <v>6882000000</v>
      </c>
      <c r="S133">
        <v>0</v>
      </c>
      <c r="T133">
        <v>83451000000</v>
      </c>
      <c r="U133">
        <v>43658000000</v>
      </c>
      <c r="V133">
        <v>22367000000</v>
      </c>
      <c r="W133">
        <v>0</v>
      </c>
      <c r="X133">
        <v>0</v>
      </c>
      <c r="Y133">
        <v>7679000000</v>
      </c>
      <c r="Z133">
        <v>39793000000</v>
      </c>
      <c r="AA133">
        <v>0</v>
      </c>
      <c r="AB133">
        <v>16960000000</v>
      </c>
      <c r="AC133">
        <v>0</v>
      </c>
      <c r="AD133">
        <v>0</v>
      </c>
      <c r="AE133">
        <v>16960000000</v>
      </c>
      <c r="AF133">
        <v>13856000000</v>
      </c>
      <c r="AG133">
        <v>20208000000</v>
      </c>
      <c r="AH133">
        <v>123549000000</v>
      </c>
      <c r="AI133">
        <v>0</v>
      </c>
      <c r="AJ133">
        <v>104256000000</v>
      </c>
      <c r="AK133">
        <v>19764000000</v>
      </c>
      <c r="AL133">
        <v>25455668000</v>
      </c>
    </row>
    <row r="134" spans="1:38">
      <c r="A134" s="24">
        <v>41455</v>
      </c>
      <c r="B134" t="s">
        <v>45</v>
      </c>
      <c r="C134">
        <v>199856000000</v>
      </c>
      <c r="D134">
        <v>65026000000</v>
      </c>
      <c r="E134">
        <v>11248000000</v>
      </c>
      <c r="F134">
        <v>11248000000</v>
      </c>
      <c r="G134">
        <v>1697000000</v>
      </c>
      <c r="H134">
        <v>13453000000</v>
      </c>
      <c r="I134">
        <v>131637000000</v>
      </c>
      <c r="J134">
        <v>16327000000</v>
      </c>
      <c r="K134">
        <v>0</v>
      </c>
      <c r="L134">
        <v>4353000000</v>
      </c>
      <c r="M134">
        <v>4353000000</v>
      </c>
      <c r="N134">
        <v>1522000000</v>
      </c>
      <c r="O134">
        <v>0</v>
      </c>
      <c r="P134">
        <v>104014000000</v>
      </c>
      <c r="Q134">
        <v>31358000000</v>
      </c>
      <c r="R134">
        <v>7270000000</v>
      </c>
      <c r="S134">
        <v>0</v>
      </c>
      <c r="T134">
        <v>76502000000</v>
      </c>
      <c r="U134">
        <v>36319000000</v>
      </c>
      <c r="V134">
        <v>15516000000</v>
      </c>
      <c r="W134">
        <v>0</v>
      </c>
      <c r="X134">
        <v>0</v>
      </c>
      <c r="Y134">
        <v>7420000000</v>
      </c>
      <c r="Z134">
        <v>40183000000</v>
      </c>
      <c r="AA134">
        <v>0</v>
      </c>
      <c r="AB134">
        <v>16958000000</v>
      </c>
      <c r="AC134">
        <v>0</v>
      </c>
      <c r="AD134">
        <v>0</v>
      </c>
      <c r="AE134">
        <v>16958000000</v>
      </c>
      <c r="AF134">
        <v>13470000000</v>
      </c>
      <c r="AG134">
        <v>20553000000</v>
      </c>
      <c r="AH134">
        <v>123354000000</v>
      </c>
      <c r="AI134">
        <v>0</v>
      </c>
      <c r="AJ134">
        <v>104564000000</v>
      </c>
      <c r="AK134">
        <v>19024000000</v>
      </c>
      <c r="AL134">
        <v>25879420000</v>
      </c>
    </row>
    <row r="135" spans="1:38">
      <c r="A135" s="24">
        <v>41364</v>
      </c>
      <c r="B135" t="s">
        <v>45</v>
      </c>
      <c r="C135">
        <v>194743000000</v>
      </c>
      <c r="D135">
        <v>60095000000</v>
      </c>
      <c r="E135">
        <v>12053000000</v>
      </c>
      <c r="F135">
        <v>12053000000</v>
      </c>
      <c r="G135">
        <v>1245000000</v>
      </c>
      <c r="H135">
        <v>13336000000</v>
      </c>
      <c r="I135">
        <v>131406000000</v>
      </c>
      <c r="J135">
        <v>15026000000</v>
      </c>
      <c r="K135">
        <v>0</v>
      </c>
      <c r="L135">
        <v>4136000000</v>
      </c>
      <c r="M135">
        <v>4136000000</v>
      </c>
      <c r="N135">
        <v>1400000000</v>
      </c>
      <c r="O135">
        <v>0</v>
      </c>
      <c r="P135">
        <v>105550000000</v>
      </c>
      <c r="Q135">
        <v>27084000000</v>
      </c>
      <c r="R135">
        <v>6377000000</v>
      </c>
      <c r="S135">
        <v>0</v>
      </c>
      <c r="T135">
        <v>59253000000</v>
      </c>
      <c r="U135">
        <v>35508000000</v>
      </c>
      <c r="V135">
        <v>14912000000</v>
      </c>
      <c r="W135">
        <v>0</v>
      </c>
      <c r="X135">
        <v>0</v>
      </c>
      <c r="Y135">
        <v>7629000000</v>
      </c>
      <c r="Z135">
        <v>23745000000</v>
      </c>
      <c r="AA135">
        <v>0</v>
      </c>
      <c r="AB135">
        <v>0</v>
      </c>
      <c r="AC135">
        <v>0</v>
      </c>
      <c r="AD135">
        <v>0</v>
      </c>
      <c r="AE135">
        <v>0</v>
      </c>
      <c r="AF135">
        <v>13331000000</v>
      </c>
      <c r="AG135">
        <v>20868000000</v>
      </c>
      <c r="AH135">
        <v>135490000000</v>
      </c>
      <c r="AI135">
        <v>0</v>
      </c>
      <c r="AJ135">
        <v>116572000000</v>
      </c>
      <c r="AK135">
        <v>17954000000</v>
      </c>
      <c r="AL135">
        <v>26488980000</v>
      </c>
    </row>
    <row r="136" spans="1:38">
      <c r="A136" s="24">
        <v>41274</v>
      </c>
      <c r="B136" t="s">
        <v>45</v>
      </c>
      <c r="C136">
        <v>196088000000</v>
      </c>
      <c r="D136">
        <v>69453000000</v>
      </c>
      <c r="E136">
        <v>16154000000</v>
      </c>
      <c r="F136">
        <v>16154000000</v>
      </c>
      <c r="G136">
        <v>1455000000</v>
      </c>
      <c r="H136">
        <v>21534000000</v>
      </c>
      <c r="I136">
        <v>123740000000</v>
      </c>
      <c r="J136">
        <v>15422000000</v>
      </c>
      <c r="K136">
        <v>0</v>
      </c>
      <c r="L136">
        <v>4462000000</v>
      </c>
      <c r="M136">
        <v>4462000000</v>
      </c>
      <c r="N136">
        <v>1381000000</v>
      </c>
      <c r="O136">
        <v>0</v>
      </c>
      <c r="P136">
        <v>97292000000</v>
      </c>
      <c r="Q136">
        <v>23666000000</v>
      </c>
      <c r="R136">
        <v>6644000000</v>
      </c>
      <c r="S136">
        <v>0</v>
      </c>
      <c r="T136">
        <v>68742000000</v>
      </c>
      <c r="U136">
        <v>46879000000</v>
      </c>
      <c r="V136">
        <v>26398000000</v>
      </c>
      <c r="W136">
        <v>0</v>
      </c>
      <c r="X136">
        <v>0</v>
      </c>
      <c r="Y136">
        <v>7461000000</v>
      </c>
      <c r="Z136">
        <v>21863000000</v>
      </c>
      <c r="AA136">
        <v>0</v>
      </c>
      <c r="AB136">
        <v>0</v>
      </c>
      <c r="AC136">
        <v>0</v>
      </c>
      <c r="AD136">
        <v>0</v>
      </c>
      <c r="AE136">
        <v>0</v>
      </c>
      <c r="AF136">
        <v>13207000000</v>
      </c>
      <c r="AG136">
        <v>18925000000</v>
      </c>
      <c r="AH136">
        <v>127346000000</v>
      </c>
      <c r="AI136">
        <v>0</v>
      </c>
      <c r="AJ136">
        <v>109567000000</v>
      </c>
      <c r="AK136">
        <v>17167000000</v>
      </c>
      <c r="AL136">
        <v>26522076000</v>
      </c>
    </row>
    <row r="137" spans="1:38">
      <c r="A137" s="24">
        <v>41182</v>
      </c>
      <c r="B137" t="s">
        <v>45</v>
      </c>
      <c r="C137">
        <v>176064000000</v>
      </c>
      <c r="D137">
        <v>55070000000</v>
      </c>
      <c r="E137">
        <v>10746000000</v>
      </c>
      <c r="F137">
        <v>10746000000</v>
      </c>
      <c r="G137">
        <v>791000000</v>
      </c>
      <c r="H137">
        <v>18692000000</v>
      </c>
      <c r="I137">
        <v>118411000000</v>
      </c>
      <c r="J137">
        <v>15452000000</v>
      </c>
      <c r="K137">
        <v>0</v>
      </c>
      <c r="L137">
        <v>4224000000</v>
      </c>
      <c r="M137">
        <v>4224000000</v>
      </c>
      <c r="N137">
        <v>1135000000</v>
      </c>
      <c r="O137">
        <v>0</v>
      </c>
      <c r="P137">
        <v>92122000000</v>
      </c>
      <c r="Q137">
        <v>18383000000</v>
      </c>
      <c r="R137">
        <v>6458000000</v>
      </c>
      <c r="S137">
        <v>0</v>
      </c>
      <c r="T137">
        <v>57854000000</v>
      </c>
      <c r="U137">
        <v>38542000000</v>
      </c>
      <c r="V137">
        <v>21175000000</v>
      </c>
      <c r="W137">
        <v>0</v>
      </c>
      <c r="X137">
        <v>0</v>
      </c>
      <c r="Y137">
        <v>6310000000</v>
      </c>
      <c r="Z137">
        <v>19312000000</v>
      </c>
      <c r="AA137">
        <v>0</v>
      </c>
      <c r="AB137">
        <v>0</v>
      </c>
      <c r="AC137">
        <v>0</v>
      </c>
      <c r="AD137">
        <v>0</v>
      </c>
      <c r="AE137">
        <v>0</v>
      </c>
      <c r="AF137">
        <v>11414000000</v>
      </c>
      <c r="AG137">
        <v>16664000000</v>
      </c>
      <c r="AH137">
        <v>118210000000</v>
      </c>
      <c r="AI137">
        <v>0</v>
      </c>
      <c r="AJ137">
        <v>101289000000</v>
      </c>
      <c r="AK137">
        <v>16422000000</v>
      </c>
      <c r="AL137">
        <v>26549208000</v>
      </c>
    </row>
    <row r="138" spans="1:38">
      <c r="A138" s="24">
        <v>41090</v>
      </c>
      <c r="B138" t="s">
        <v>45</v>
      </c>
      <c r="C138">
        <v>162896000000</v>
      </c>
      <c r="D138">
        <v>49634000000</v>
      </c>
      <c r="E138">
        <v>7945000000</v>
      </c>
      <c r="F138">
        <v>7945000000</v>
      </c>
      <c r="G138">
        <v>1122000000</v>
      </c>
      <c r="H138">
        <v>14298000000</v>
      </c>
      <c r="I138">
        <v>110953000000</v>
      </c>
      <c r="J138">
        <v>10487000000</v>
      </c>
      <c r="K138">
        <v>0</v>
      </c>
      <c r="L138">
        <v>4329000000</v>
      </c>
      <c r="M138">
        <v>4329000000</v>
      </c>
      <c r="N138">
        <v>1132000000</v>
      </c>
      <c r="O138">
        <v>0</v>
      </c>
      <c r="P138">
        <v>89567000000</v>
      </c>
      <c r="Q138">
        <v>19709000000</v>
      </c>
      <c r="R138">
        <v>6560000000</v>
      </c>
      <c r="S138">
        <v>0</v>
      </c>
      <c r="T138">
        <v>51150000000</v>
      </c>
      <c r="U138">
        <v>33060000000</v>
      </c>
      <c r="V138">
        <v>16808000000</v>
      </c>
      <c r="W138">
        <v>0</v>
      </c>
      <c r="X138">
        <v>0</v>
      </c>
      <c r="Y138">
        <v>5788000000</v>
      </c>
      <c r="Z138">
        <v>18090000000</v>
      </c>
      <c r="AA138">
        <v>0</v>
      </c>
      <c r="AB138">
        <v>0</v>
      </c>
      <c r="AC138">
        <v>0</v>
      </c>
      <c r="AD138">
        <v>0</v>
      </c>
      <c r="AE138">
        <v>0</v>
      </c>
      <c r="AF138">
        <v>10430000000</v>
      </c>
      <c r="AG138">
        <v>15560000000</v>
      </c>
      <c r="AH138">
        <v>111746000000</v>
      </c>
      <c r="AI138">
        <v>0</v>
      </c>
      <c r="AJ138">
        <v>95641000000</v>
      </c>
      <c r="AK138">
        <v>15573000000</v>
      </c>
      <c r="AL138">
        <v>26517652000</v>
      </c>
    </row>
    <row r="139" spans="1:38">
      <c r="A139" s="24">
        <v>40999</v>
      </c>
      <c r="B139" t="s">
        <v>45</v>
      </c>
      <c r="C139">
        <v>150934000000</v>
      </c>
      <c r="D139">
        <v>48459000000</v>
      </c>
      <c r="E139">
        <v>10121000000</v>
      </c>
      <c r="F139">
        <v>10121000000</v>
      </c>
      <c r="G139">
        <v>1102000000</v>
      </c>
      <c r="H139">
        <v>13769000000</v>
      </c>
      <c r="I139">
        <v>100222000000</v>
      </c>
      <c r="J139">
        <v>8847000000</v>
      </c>
      <c r="K139">
        <v>0</v>
      </c>
      <c r="L139">
        <v>3604000000</v>
      </c>
      <c r="M139">
        <v>3604000000</v>
      </c>
      <c r="N139">
        <v>1141000000</v>
      </c>
      <c r="O139">
        <v>0</v>
      </c>
      <c r="P139">
        <v>81638000000</v>
      </c>
      <c r="Q139">
        <v>18417000000</v>
      </c>
      <c r="R139">
        <v>5050000000</v>
      </c>
      <c r="S139">
        <v>0</v>
      </c>
      <c r="T139">
        <v>48436000000</v>
      </c>
      <c r="U139">
        <v>32036000000</v>
      </c>
      <c r="V139">
        <v>17011000000</v>
      </c>
      <c r="W139">
        <v>0</v>
      </c>
      <c r="X139">
        <v>0</v>
      </c>
      <c r="Y139">
        <v>5835000000</v>
      </c>
      <c r="Z139">
        <v>16400000000</v>
      </c>
      <c r="AA139">
        <v>0</v>
      </c>
      <c r="AB139">
        <v>0</v>
      </c>
      <c r="AC139">
        <v>0</v>
      </c>
      <c r="AD139">
        <v>0</v>
      </c>
      <c r="AE139">
        <v>0</v>
      </c>
      <c r="AF139">
        <v>9778000000</v>
      </c>
      <c r="AG139">
        <v>13954000000</v>
      </c>
      <c r="AH139">
        <v>102498000000</v>
      </c>
      <c r="AI139">
        <v>0</v>
      </c>
      <c r="AJ139">
        <v>87124000000</v>
      </c>
      <c r="AK139">
        <v>14850000000</v>
      </c>
      <c r="AL139">
        <v>26457004000</v>
      </c>
    </row>
    <row r="140" spans="1:38">
      <c r="A140" s="24">
        <v>40908</v>
      </c>
      <c r="B140" t="s">
        <v>45</v>
      </c>
      <c r="C140">
        <v>138681000000</v>
      </c>
      <c r="D140">
        <v>52834000000</v>
      </c>
      <c r="E140">
        <v>10310000000</v>
      </c>
      <c r="F140">
        <v>10310000000</v>
      </c>
      <c r="G140">
        <v>1236000000</v>
      </c>
      <c r="H140">
        <v>16484000000</v>
      </c>
      <c r="I140">
        <v>83910000000</v>
      </c>
      <c r="J140">
        <v>7816000000</v>
      </c>
      <c r="K140">
        <v>0</v>
      </c>
      <c r="L140">
        <v>3472000000</v>
      </c>
      <c r="M140">
        <v>3472000000</v>
      </c>
      <c r="N140">
        <v>896000000</v>
      </c>
      <c r="O140">
        <v>0</v>
      </c>
      <c r="P140">
        <v>67445000000</v>
      </c>
      <c r="Q140">
        <v>19846000000</v>
      </c>
      <c r="R140">
        <v>4958000000</v>
      </c>
      <c r="S140">
        <v>0</v>
      </c>
      <c r="T140">
        <v>48627000000</v>
      </c>
      <c r="U140">
        <v>34607000000</v>
      </c>
      <c r="V140">
        <v>18221000000</v>
      </c>
      <c r="W140">
        <v>0</v>
      </c>
      <c r="X140">
        <v>0</v>
      </c>
      <c r="Y140">
        <v>6895000000</v>
      </c>
      <c r="Z140">
        <v>14020000000</v>
      </c>
      <c r="AA140">
        <v>0</v>
      </c>
      <c r="AB140">
        <v>0</v>
      </c>
      <c r="AC140">
        <v>0</v>
      </c>
      <c r="AD140">
        <v>0</v>
      </c>
      <c r="AE140">
        <v>0</v>
      </c>
      <c r="AF140">
        <v>11500000000</v>
      </c>
      <c r="AG140">
        <v>11833000000</v>
      </c>
      <c r="AH140">
        <v>90054000000</v>
      </c>
      <c r="AI140">
        <v>0</v>
      </c>
      <c r="AJ140">
        <v>75709000000</v>
      </c>
      <c r="AK140">
        <v>13961000000</v>
      </c>
      <c r="AL140">
        <v>26364016000</v>
      </c>
    </row>
    <row r="141" spans="1:38">
      <c r="A141" s="24">
        <v>40816</v>
      </c>
      <c r="B141" t="s">
        <v>45</v>
      </c>
      <c r="C141">
        <v>116371000000</v>
      </c>
      <c r="D141">
        <v>42974000000</v>
      </c>
      <c r="E141">
        <v>9815000000</v>
      </c>
      <c r="F141">
        <v>9815000000</v>
      </c>
      <c r="G141">
        <v>776000000</v>
      </c>
      <c r="H141">
        <v>11717000000</v>
      </c>
      <c r="I141">
        <v>71383000000</v>
      </c>
      <c r="J141">
        <v>7777000000</v>
      </c>
      <c r="K141">
        <v>0</v>
      </c>
      <c r="L141">
        <v>3536000000</v>
      </c>
      <c r="M141">
        <v>3536000000</v>
      </c>
      <c r="N141">
        <v>896000000</v>
      </c>
      <c r="O141">
        <v>0</v>
      </c>
      <c r="P141">
        <v>55618000000</v>
      </c>
      <c r="Q141">
        <v>16137000000</v>
      </c>
      <c r="R141">
        <v>4529000000</v>
      </c>
      <c r="S141">
        <v>0</v>
      </c>
      <c r="T141">
        <v>39756000000</v>
      </c>
      <c r="U141">
        <v>27970000000</v>
      </c>
      <c r="V141">
        <v>14632000000</v>
      </c>
      <c r="W141">
        <v>0</v>
      </c>
      <c r="X141">
        <v>0</v>
      </c>
      <c r="Y141">
        <v>5606000000</v>
      </c>
      <c r="Z141">
        <v>11786000000</v>
      </c>
      <c r="AA141">
        <v>0</v>
      </c>
      <c r="AB141">
        <v>0</v>
      </c>
      <c r="AC141">
        <v>0</v>
      </c>
      <c r="AD141">
        <v>0</v>
      </c>
      <c r="AE141">
        <v>0</v>
      </c>
      <c r="AF141">
        <v>9247000000</v>
      </c>
      <c r="AG141">
        <v>10100000000</v>
      </c>
      <c r="AH141">
        <v>76615000000</v>
      </c>
      <c r="AI141">
        <v>0</v>
      </c>
      <c r="AJ141">
        <v>62841000000</v>
      </c>
      <c r="AK141">
        <v>13331000000</v>
      </c>
      <c r="AL141">
        <v>26306476000</v>
      </c>
    </row>
    <row r="142" spans="1:38">
      <c r="A142" s="24">
        <v>40724</v>
      </c>
      <c r="B142" t="s">
        <v>45</v>
      </c>
      <c r="C142">
        <v>106758000000</v>
      </c>
      <c r="D142">
        <v>45006000000</v>
      </c>
      <c r="E142">
        <v>12091000000</v>
      </c>
      <c r="F142">
        <v>12091000000</v>
      </c>
      <c r="G142">
        <v>889000000</v>
      </c>
      <c r="H142">
        <v>11471000000</v>
      </c>
      <c r="I142">
        <v>59860000000</v>
      </c>
      <c r="J142">
        <v>6749000000</v>
      </c>
      <c r="K142">
        <v>0</v>
      </c>
      <c r="L142">
        <v>1169000000</v>
      </c>
      <c r="M142">
        <v>1169000000</v>
      </c>
      <c r="N142">
        <v>741000000</v>
      </c>
      <c r="O142">
        <v>0</v>
      </c>
      <c r="P142">
        <v>47761000000</v>
      </c>
      <c r="Q142">
        <v>16304000000</v>
      </c>
      <c r="R142">
        <v>4251000000</v>
      </c>
      <c r="S142">
        <v>0</v>
      </c>
      <c r="T142">
        <v>37415000000</v>
      </c>
      <c r="U142">
        <v>26859000000</v>
      </c>
      <c r="V142">
        <v>15270000000</v>
      </c>
      <c r="W142">
        <v>0</v>
      </c>
      <c r="X142">
        <v>0</v>
      </c>
      <c r="Y142">
        <v>0</v>
      </c>
      <c r="Z142">
        <v>10556000000</v>
      </c>
      <c r="AA142">
        <v>0</v>
      </c>
      <c r="AB142">
        <v>0</v>
      </c>
      <c r="AC142">
        <v>0</v>
      </c>
      <c r="AD142">
        <v>0</v>
      </c>
      <c r="AE142">
        <v>0</v>
      </c>
      <c r="AF142">
        <v>7597000000</v>
      </c>
      <c r="AG142">
        <v>9149000000</v>
      </c>
      <c r="AH142">
        <v>69343000000</v>
      </c>
      <c r="AI142">
        <v>0</v>
      </c>
      <c r="AJ142">
        <v>56239000000</v>
      </c>
      <c r="AK142">
        <v>12715000000</v>
      </c>
      <c r="AL142">
        <v>26258680000</v>
      </c>
    </row>
    <row r="143" spans="1:38">
      <c r="A143" s="24">
        <v>40633</v>
      </c>
      <c r="B143" t="s">
        <v>45</v>
      </c>
      <c r="C143">
        <v>94904000000</v>
      </c>
      <c r="D143">
        <v>45314000000</v>
      </c>
      <c r="E143">
        <v>15978000000</v>
      </c>
      <c r="F143">
        <v>15978000000</v>
      </c>
      <c r="G143">
        <v>930000000</v>
      </c>
      <c r="H143">
        <v>11095000000</v>
      </c>
      <c r="I143">
        <v>47907000000</v>
      </c>
      <c r="J143">
        <v>6241000000</v>
      </c>
      <c r="K143">
        <v>0</v>
      </c>
      <c r="L143">
        <v>507000000</v>
      </c>
      <c r="M143">
        <v>507000000</v>
      </c>
      <c r="N143">
        <v>741000000</v>
      </c>
      <c r="O143">
        <v>0</v>
      </c>
      <c r="P143">
        <v>36533000000</v>
      </c>
      <c r="Q143">
        <v>13256000000</v>
      </c>
      <c r="R143">
        <v>4055000000</v>
      </c>
      <c r="S143">
        <v>0</v>
      </c>
      <c r="T143">
        <v>33427000000</v>
      </c>
      <c r="U143">
        <v>24327000000</v>
      </c>
      <c r="V143">
        <v>13714000000</v>
      </c>
      <c r="W143">
        <v>0</v>
      </c>
      <c r="X143">
        <v>0</v>
      </c>
      <c r="Y143">
        <v>4272000000</v>
      </c>
      <c r="Z143">
        <v>9100000000</v>
      </c>
      <c r="AA143">
        <v>0</v>
      </c>
      <c r="AB143">
        <v>0</v>
      </c>
      <c r="AC143">
        <v>0</v>
      </c>
      <c r="AD143">
        <v>0</v>
      </c>
      <c r="AE143">
        <v>0</v>
      </c>
      <c r="AF143">
        <v>7022000000</v>
      </c>
      <c r="AG143">
        <v>7870000000</v>
      </c>
      <c r="AH143">
        <v>61477000000</v>
      </c>
      <c r="AI143">
        <v>0</v>
      </c>
      <c r="AJ143">
        <v>49025000000</v>
      </c>
      <c r="AK143">
        <v>12326000000</v>
      </c>
      <c r="AL143">
        <v>26206432000</v>
      </c>
    </row>
    <row r="144" spans="1:38">
      <c r="A144" s="24">
        <v>40543</v>
      </c>
      <c r="B144" t="s">
        <v>45</v>
      </c>
      <c r="C144">
        <v>86742000000</v>
      </c>
      <c r="D144">
        <v>42203000000</v>
      </c>
      <c r="E144">
        <v>10734000000</v>
      </c>
      <c r="F144">
        <v>10734000000</v>
      </c>
      <c r="G144">
        <v>885000000</v>
      </c>
      <c r="H144">
        <v>10874000000</v>
      </c>
      <c r="I144">
        <v>42815000000</v>
      </c>
      <c r="J144">
        <v>5868000000</v>
      </c>
      <c r="K144">
        <v>0</v>
      </c>
      <c r="L144">
        <v>522000000</v>
      </c>
      <c r="M144">
        <v>522000000</v>
      </c>
      <c r="N144">
        <v>741000000</v>
      </c>
      <c r="O144">
        <v>0</v>
      </c>
      <c r="P144">
        <v>32730000000</v>
      </c>
      <c r="Q144">
        <v>16243000000</v>
      </c>
      <c r="R144">
        <v>3467000000</v>
      </c>
      <c r="S144">
        <v>0</v>
      </c>
      <c r="T144">
        <v>32076000000</v>
      </c>
      <c r="U144">
        <v>23795000000</v>
      </c>
      <c r="V144">
        <v>14301000000</v>
      </c>
      <c r="W144">
        <v>0</v>
      </c>
      <c r="X144">
        <v>0</v>
      </c>
      <c r="Y144">
        <v>2769000000</v>
      </c>
      <c r="Z144">
        <v>8281000000</v>
      </c>
      <c r="AA144">
        <v>0</v>
      </c>
      <c r="AB144">
        <v>0</v>
      </c>
      <c r="AC144">
        <v>0</v>
      </c>
      <c r="AD144">
        <v>0</v>
      </c>
      <c r="AE144">
        <v>0</v>
      </c>
      <c r="AF144">
        <v>5953000000</v>
      </c>
      <c r="AG144">
        <v>7065000000</v>
      </c>
      <c r="AH144">
        <v>54666000000</v>
      </c>
      <c r="AI144">
        <v>0</v>
      </c>
      <c r="AJ144">
        <v>43050000000</v>
      </c>
      <c r="AK144">
        <v>11502000000</v>
      </c>
      <c r="AL144">
        <v>26128312000</v>
      </c>
    </row>
    <row r="145" spans="1:38">
      <c r="A145" s="24">
        <v>40451</v>
      </c>
      <c r="B145" t="s">
        <v>45</v>
      </c>
      <c r="C145">
        <v>75183000000</v>
      </c>
      <c r="D145">
        <v>40042000000</v>
      </c>
      <c r="E145">
        <v>11261000000</v>
      </c>
      <c r="F145">
        <v>11261000000</v>
      </c>
      <c r="G145">
        <v>1051000000</v>
      </c>
      <c r="H145">
        <v>9924000000</v>
      </c>
      <c r="I145">
        <v>33505000000</v>
      </c>
      <c r="J145">
        <v>4768000000</v>
      </c>
      <c r="K145">
        <v>0</v>
      </c>
      <c r="L145">
        <v>342000000</v>
      </c>
      <c r="M145">
        <v>342000000</v>
      </c>
      <c r="N145">
        <v>741000000</v>
      </c>
      <c r="O145">
        <v>0</v>
      </c>
      <c r="P145">
        <v>25391000000</v>
      </c>
      <c r="Q145">
        <v>14359000000</v>
      </c>
      <c r="R145">
        <v>3447000000</v>
      </c>
      <c r="S145">
        <v>0</v>
      </c>
      <c r="T145">
        <v>27392000000</v>
      </c>
      <c r="U145">
        <v>20722000000</v>
      </c>
      <c r="V145">
        <v>12015000000</v>
      </c>
      <c r="W145">
        <v>0</v>
      </c>
      <c r="X145">
        <v>0</v>
      </c>
      <c r="Y145">
        <v>2466000000</v>
      </c>
      <c r="Z145">
        <v>6670000000</v>
      </c>
      <c r="AA145">
        <v>0</v>
      </c>
      <c r="AB145">
        <v>0</v>
      </c>
      <c r="AC145">
        <v>0</v>
      </c>
      <c r="AD145">
        <v>0</v>
      </c>
      <c r="AE145">
        <v>0</v>
      </c>
      <c r="AF145">
        <v>5723000000</v>
      </c>
      <c r="AG145">
        <v>5531000000</v>
      </c>
      <c r="AH145">
        <v>47791000000</v>
      </c>
      <c r="AI145">
        <v>0</v>
      </c>
      <c r="AJ145">
        <v>37169000000</v>
      </c>
      <c r="AK145">
        <v>10668000000</v>
      </c>
      <c r="AL145">
        <v>26128312000</v>
      </c>
    </row>
    <row r="146" spans="1:38">
      <c r="A146" s="24">
        <v>40359</v>
      </c>
      <c r="B146" t="s">
        <v>45</v>
      </c>
      <c r="C146">
        <v>64725000000</v>
      </c>
      <c r="D146">
        <v>34817000000</v>
      </c>
      <c r="E146">
        <v>9705000000</v>
      </c>
      <c r="F146">
        <v>9705000000</v>
      </c>
      <c r="G146">
        <v>942000000</v>
      </c>
      <c r="H146">
        <v>6399000000</v>
      </c>
      <c r="I146">
        <v>28692000000</v>
      </c>
      <c r="J146">
        <v>3990000000</v>
      </c>
      <c r="K146">
        <v>0</v>
      </c>
      <c r="L146">
        <v>318000000</v>
      </c>
      <c r="M146">
        <v>318000000</v>
      </c>
      <c r="N146">
        <v>714000000</v>
      </c>
      <c r="O146">
        <v>0</v>
      </c>
      <c r="P146">
        <v>21551000000</v>
      </c>
      <c r="Q146">
        <v>14583000000</v>
      </c>
      <c r="R146">
        <v>3188000000</v>
      </c>
      <c r="S146">
        <v>0</v>
      </c>
      <c r="T146">
        <v>21614000000</v>
      </c>
      <c r="U146">
        <v>15612000000</v>
      </c>
      <c r="V146">
        <v>8469000000</v>
      </c>
      <c r="W146">
        <v>0</v>
      </c>
      <c r="X146">
        <v>0</v>
      </c>
      <c r="Y146">
        <v>1927000000</v>
      </c>
      <c r="Z146">
        <v>6002000000</v>
      </c>
      <c r="AA146">
        <v>0</v>
      </c>
      <c r="AB146">
        <v>0</v>
      </c>
      <c r="AC146">
        <v>0</v>
      </c>
      <c r="AD146">
        <v>0</v>
      </c>
      <c r="AE146">
        <v>0</v>
      </c>
      <c r="AF146">
        <v>4452000000</v>
      </c>
      <c r="AG146">
        <v>4981000000</v>
      </c>
      <c r="AH146">
        <v>43111000000</v>
      </c>
      <c r="AI146">
        <v>0</v>
      </c>
      <c r="AJ146">
        <v>32870000000</v>
      </c>
      <c r="AK146">
        <v>10133000000</v>
      </c>
      <c r="AL146">
        <v>25966108000</v>
      </c>
    </row>
    <row r="147" spans="1:38">
      <c r="A147" s="24">
        <v>40268</v>
      </c>
      <c r="B147" t="s">
        <v>45</v>
      </c>
      <c r="C147">
        <v>57057000000</v>
      </c>
      <c r="D147">
        <v>31194000000</v>
      </c>
      <c r="E147">
        <v>10018000000</v>
      </c>
      <c r="F147">
        <v>10018000000</v>
      </c>
      <c r="G147">
        <v>638000000</v>
      </c>
      <c r="H147">
        <v>2886000000</v>
      </c>
      <c r="I147">
        <v>24721000000</v>
      </c>
      <c r="J147">
        <v>3504000000</v>
      </c>
      <c r="K147">
        <v>0</v>
      </c>
      <c r="L147">
        <v>263000000</v>
      </c>
      <c r="M147">
        <v>263000000</v>
      </c>
      <c r="N147">
        <v>480000000</v>
      </c>
      <c r="O147">
        <v>0</v>
      </c>
      <c r="P147">
        <v>18549000000</v>
      </c>
      <c r="Q147">
        <v>13137000000</v>
      </c>
      <c r="R147">
        <v>4515000000</v>
      </c>
      <c r="S147">
        <v>0</v>
      </c>
      <c r="T147">
        <v>17709000000</v>
      </c>
      <c r="U147">
        <v>12229000000</v>
      </c>
      <c r="V147">
        <v>5666000000</v>
      </c>
      <c r="W147">
        <v>0</v>
      </c>
      <c r="X147">
        <v>0</v>
      </c>
      <c r="Y147">
        <v>1829000000</v>
      </c>
      <c r="Z147">
        <v>5480000000</v>
      </c>
      <c r="AA147">
        <v>0</v>
      </c>
      <c r="AB147">
        <v>0</v>
      </c>
      <c r="AC147">
        <v>0</v>
      </c>
      <c r="AD147">
        <v>0</v>
      </c>
      <c r="AE147">
        <v>0</v>
      </c>
      <c r="AF147">
        <v>4021000000</v>
      </c>
      <c r="AG147">
        <v>4539000000</v>
      </c>
      <c r="AH147">
        <v>39348000000</v>
      </c>
      <c r="AI147">
        <v>0</v>
      </c>
      <c r="AJ147">
        <v>29670000000</v>
      </c>
      <c r="AK147">
        <v>9553000000</v>
      </c>
      <c r="AL147">
        <v>25840584000</v>
      </c>
    </row>
    <row r="148" spans="1:38">
      <c r="A148" s="24">
        <v>40178</v>
      </c>
      <c r="B148" t="s">
        <v>45</v>
      </c>
      <c r="C148">
        <v>53926000000</v>
      </c>
      <c r="D148">
        <v>31920000000</v>
      </c>
      <c r="E148">
        <v>7609000000</v>
      </c>
      <c r="F148">
        <v>7609000000</v>
      </c>
      <c r="G148">
        <v>576000000</v>
      </c>
      <c r="H148">
        <v>4881000000</v>
      </c>
      <c r="I148">
        <v>20594000000</v>
      </c>
      <c r="J148">
        <v>3115000000</v>
      </c>
      <c r="K148">
        <v>0</v>
      </c>
      <c r="L148">
        <v>241000000</v>
      </c>
      <c r="M148">
        <v>241000000</v>
      </c>
      <c r="N148">
        <v>253000000</v>
      </c>
      <c r="O148">
        <v>0</v>
      </c>
      <c r="P148">
        <v>15024000000</v>
      </c>
      <c r="Q148">
        <v>17187000000</v>
      </c>
      <c r="R148">
        <v>1667000000</v>
      </c>
      <c r="S148">
        <v>0</v>
      </c>
      <c r="T148">
        <v>18158000000</v>
      </c>
      <c r="U148">
        <v>13097000000</v>
      </c>
      <c r="V148">
        <v>6511000000</v>
      </c>
      <c r="W148">
        <v>0</v>
      </c>
      <c r="X148">
        <v>0</v>
      </c>
      <c r="Y148">
        <v>1713000000</v>
      </c>
      <c r="Z148">
        <v>5061000000</v>
      </c>
      <c r="AA148">
        <v>0</v>
      </c>
      <c r="AB148">
        <v>0</v>
      </c>
      <c r="AC148">
        <v>0</v>
      </c>
      <c r="AD148">
        <v>0</v>
      </c>
      <c r="AE148">
        <v>0</v>
      </c>
      <c r="AF148">
        <v>3996000000</v>
      </c>
      <c r="AG148">
        <v>4139000000</v>
      </c>
      <c r="AH148">
        <v>35768000000</v>
      </c>
      <c r="AI148">
        <v>0</v>
      </c>
      <c r="AJ148">
        <v>26695000000</v>
      </c>
      <c r="AK148">
        <v>8962000000</v>
      </c>
      <c r="AL148">
        <v>25753924000</v>
      </c>
    </row>
    <row r="149" spans="1:38">
      <c r="A149" s="24">
        <v>40086</v>
      </c>
      <c r="B149" t="s">
        <v>45</v>
      </c>
      <c r="C149">
        <v>53851000000</v>
      </c>
      <c r="D149">
        <v>34164000000</v>
      </c>
      <c r="E149">
        <v>5263000000</v>
      </c>
      <c r="F149">
        <v>5263000000</v>
      </c>
      <c r="G149">
        <v>455000000</v>
      </c>
      <c r="H149">
        <v>3361000000</v>
      </c>
      <c r="I149">
        <v>17586000000</v>
      </c>
      <c r="J149">
        <v>2954000000</v>
      </c>
      <c r="K149">
        <v>0</v>
      </c>
      <c r="L149">
        <v>247000000</v>
      </c>
      <c r="M149">
        <v>247000000</v>
      </c>
      <c r="N149">
        <v>206000000</v>
      </c>
      <c r="O149">
        <v>0</v>
      </c>
      <c r="P149">
        <v>10528000000</v>
      </c>
      <c r="Q149">
        <v>18201000000</v>
      </c>
      <c r="R149">
        <v>6884000000</v>
      </c>
      <c r="S149">
        <v>0</v>
      </c>
      <c r="T149">
        <v>26019000000</v>
      </c>
      <c r="U149">
        <v>19282000000</v>
      </c>
      <c r="V149">
        <v>5601000000</v>
      </c>
      <c r="W149">
        <v>0</v>
      </c>
      <c r="X149">
        <v>0</v>
      </c>
      <c r="Y149">
        <v>1948000000</v>
      </c>
      <c r="Z149">
        <v>6737000000</v>
      </c>
      <c r="AA149">
        <v>0</v>
      </c>
      <c r="AB149">
        <v>0</v>
      </c>
      <c r="AC149">
        <v>0</v>
      </c>
      <c r="AD149">
        <v>0</v>
      </c>
      <c r="AE149">
        <v>0</v>
      </c>
      <c r="AF149">
        <v>3376000000</v>
      </c>
      <c r="AG149">
        <v>3502000000</v>
      </c>
      <c r="AH149">
        <v>27832000000</v>
      </c>
      <c r="AI149">
        <v>0</v>
      </c>
      <c r="AJ149">
        <v>19538000000</v>
      </c>
      <c r="AK149">
        <v>8210000000</v>
      </c>
      <c r="AL149">
        <v>25602472000</v>
      </c>
    </row>
    <row r="150" spans="1:38">
      <c r="A150" s="24">
        <v>39994</v>
      </c>
      <c r="B150" t="s">
        <v>45</v>
      </c>
      <c r="C150">
        <v>48140000000</v>
      </c>
      <c r="D150">
        <v>33439000000</v>
      </c>
      <c r="E150">
        <v>5605000000</v>
      </c>
      <c r="F150">
        <v>5605000000</v>
      </c>
      <c r="G150">
        <v>380000000</v>
      </c>
      <c r="H150">
        <v>2686000000</v>
      </c>
      <c r="I150">
        <v>12970000000</v>
      </c>
      <c r="J150">
        <v>2653000000</v>
      </c>
      <c r="K150">
        <v>0</v>
      </c>
      <c r="L150">
        <v>259000000</v>
      </c>
      <c r="M150">
        <v>259000000</v>
      </c>
      <c r="N150">
        <v>207000000</v>
      </c>
      <c r="O150">
        <v>0</v>
      </c>
      <c r="P150">
        <v>6899000000</v>
      </c>
      <c r="Q150">
        <v>18617000000</v>
      </c>
      <c r="R150">
        <v>6151000000</v>
      </c>
      <c r="S150">
        <v>0</v>
      </c>
      <c r="T150">
        <v>22252000000</v>
      </c>
      <c r="U150">
        <v>16661000000</v>
      </c>
      <c r="V150">
        <v>4854000000</v>
      </c>
      <c r="W150">
        <v>0</v>
      </c>
      <c r="X150">
        <v>0</v>
      </c>
      <c r="Y150">
        <v>1280000000</v>
      </c>
      <c r="Z150">
        <v>5591000000</v>
      </c>
      <c r="AA150">
        <v>0</v>
      </c>
      <c r="AB150">
        <v>0</v>
      </c>
      <c r="AC150">
        <v>0</v>
      </c>
      <c r="AD150">
        <v>0</v>
      </c>
      <c r="AE150">
        <v>0</v>
      </c>
      <c r="AF150">
        <v>3338000000</v>
      </c>
      <c r="AG150">
        <v>1924000000</v>
      </c>
      <c r="AH150">
        <v>25888000000</v>
      </c>
      <c r="AI150">
        <v>0</v>
      </c>
      <c r="AJ150">
        <v>17878000000</v>
      </c>
      <c r="AK150">
        <v>7957000000</v>
      </c>
      <c r="AL150">
        <v>25456480000</v>
      </c>
    </row>
    <row r="151" spans="1:38">
      <c r="A151" s="24">
        <v>39903</v>
      </c>
      <c r="B151" t="s">
        <v>45</v>
      </c>
      <c r="C151">
        <v>43237000000</v>
      </c>
      <c r="D151">
        <v>29307000000</v>
      </c>
      <c r="E151">
        <v>4466000000</v>
      </c>
      <c r="F151">
        <v>4466000000</v>
      </c>
      <c r="G151">
        <v>312000000</v>
      </c>
      <c r="H151">
        <v>3036000000</v>
      </c>
      <c r="I151">
        <v>9384000000</v>
      </c>
      <c r="J151">
        <v>2546000000</v>
      </c>
      <c r="K151">
        <v>0</v>
      </c>
      <c r="L151">
        <v>268000000</v>
      </c>
      <c r="M151">
        <v>268000000</v>
      </c>
      <c r="N151">
        <v>207000000</v>
      </c>
      <c r="O151">
        <v>0</v>
      </c>
      <c r="P151">
        <v>0</v>
      </c>
      <c r="Q151">
        <v>20547000000</v>
      </c>
      <c r="R151">
        <v>946000000</v>
      </c>
      <c r="S151">
        <v>0</v>
      </c>
      <c r="T151">
        <v>18926000000</v>
      </c>
      <c r="U151">
        <v>13751000000</v>
      </c>
      <c r="V151">
        <v>3976000000</v>
      </c>
      <c r="W151">
        <v>0</v>
      </c>
      <c r="X151">
        <v>0</v>
      </c>
      <c r="Y151">
        <v>1275000000</v>
      </c>
      <c r="Z151">
        <v>5175000000</v>
      </c>
      <c r="AA151">
        <v>0</v>
      </c>
      <c r="AB151">
        <v>0</v>
      </c>
      <c r="AC151">
        <v>0</v>
      </c>
      <c r="AD151">
        <v>0</v>
      </c>
      <c r="AE151">
        <v>0</v>
      </c>
      <c r="AF151">
        <v>2761000000</v>
      </c>
      <c r="AG151">
        <v>0</v>
      </c>
      <c r="AH151">
        <v>24311000000</v>
      </c>
      <c r="AI151">
        <v>0</v>
      </c>
      <c r="AJ151">
        <v>16653000000</v>
      </c>
      <c r="AK151">
        <v>7643000000</v>
      </c>
      <c r="AL151">
        <v>25283804000</v>
      </c>
    </row>
    <row r="152" spans="1:38">
      <c r="A152" s="24">
        <v>39813</v>
      </c>
      <c r="B152" t="s">
        <v>45</v>
      </c>
      <c r="C152">
        <v>42787000000</v>
      </c>
      <c r="D152">
        <v>33550000000</v>
      </c>
      <c r="E152">
        <v>7236000000</v>
      </c>
      <c r="F152">
        <v>7236000000</v>
      </c>
      <c r="G152">
        <v>396000000</v>
      </c>
      <c r="H152">
        <v>2196000000</v>
      </c>
      <c r="I152">
        <v>7624000000</v>
      </c>
      <c r="J152">
        <v>2580000000</v>
      </c>
      <c r="K152">
        <v>0</v>
      </c>
      <c r="L152">
        <v>277000000</v>
      </c>
      <c r="M152">
        <v>277000000</v>
      </c>
      <c r="N152">
        <v>207000000</v>
      </c>
      <c r="O152">
        <v>0</v>
      </c>
      <c r="P152">
        <v>0</v>
      </c>
      <c r="Q152">
        <v>18411000000</v>
      </c>
      <c r="R152">
        <v>5311000000</v>
      </c>
      <c r="S152">
        <v>0</v>
      </c>
      <c r="T152">
        <v>19878000000</v>
      </c>
      <c r="U152">
        <v>14757000000</v>
      </c>
      <c r="V152">
        <v>4715000000</v>
      </c>
      <c r="W152">
        <v>0</v>
      </c>
      <c r="X152">
        <v>0</v>
      </c>
      <c r="Y152">
        <v>1390000000</v>
      </c>
      <c r="Z152">
        <v>5121000000</v>
      </c>
      <c r="AA152">
        <v>0</v>
      </c>
      <c r="AB152">
        <v>0</v>
      </c>
      <c r="AC152">
        <v>0</v>
      </c>
      <c r="AD152">
        <v>0</v>
      </c>
      <c r="AE152">
        <v>0</v>
      </c>
      <c r="AF152">
        <v>3807000000</v>
      </c>
      <c r="AG152">
        <v>0</v>
      </c>
      <c r="AH152">
        <v>22909000000</v>
      </c>
      <c r="AI152">
        <v>0</v>
      </c>
      <c r="AJ152">
        <v>15448000000</v>
      </c>
      <c r="AK152">
        <v>7392000000</v>
      </c>
      <c r="AL152">
        <v>25241832000</v>
      </c>
    </row>
    <row r="153" spans="1:38">
      <c r="A153" s="24">
        <v>39721</v>
      </c>
      <c r="B153" t="s">
        <v>45</v>
      </c>
      <c r="C153">
        <v>39572000000</v>
      </c>
      <c r="D153">
        <v>30837000000</v>
      </c>
      <c r="E153">
        <v>11875000000</v>
      </c>
      <c r="F153">
        <v>11875000000</v>
      </c>
      <c r="G153">
        <v>509000000</v>
      </c>
      <c r="H153">
        <v>4704000000</v>
      </c>
      <c r="I153">
        <v>4882000000</v>
      </c>
      <c r="J153">
        <v>2455000000</v>
      </c>
      <c r="K153">
        <v>0</v>
      </c>
      <c r="L153">
        <v>285000000</v>
      </c>
      <c r="M153">
        <v>285000000</v>
      </c>
      <c r="N153">
        <v>207000000</v>
      </c>
      <c r="O153">
        <v>0</v>
      </c>
      <c r="P153">
        <v>0</v>
      </c>
      <c r="Q153">
        <v>12615000000</v>
      </c>
      <c r="R153">
        <v>1134000000</v>
      </c>
      <c r="S153">
        <v>0</v>
      </c>
      <c r="T153">
        <v>18542000000</v>
      </c>
      <c r="U153">
        <v>14092000000</v>
      </c>
      <c r="V153">
        <v>5520000000</v>
      </c>
      <c r="W153">
        <v>0</v>
      </c>
      <c r="X153">
        <v>0</v>
      </c>
      <c r="Y153">
        <v>2507000000</v>
      </c>
      <c r="Z153">
        <v>4450000000</v>
      </c>
      <c r="AA153">
        <v>0</v>
      </c>
      <c r="AB153">
        <v>0</v>
      </c>
      <c r="AC153">
        <v>0</v>
      </c>
      <c r="AD153">
        <v>0</v>
      </c>
      <c r="AE153">
        <v>0</v>
      </c>
      <c r="AF153">
        <v>3719000000</v>
      </c>
      <c r="AG153">
        <v>0</v>
      </c>
      <c r="AH153">
        <v>21030000000</v>
      </c>
      <c r="AI153">
        <v>0</v>
      </c>
      <c r="AJ153">
        <v>13845000000</v>
      </c>
      <c r="AK153">
        <v>7177000000</v>
      </c>
      <c r="AL153">
        <v>25241832000</v>
      </c>
    </row>
    <row r="154" spans="1:38">
      <c r="A154" s="24">
        <v>39629</v>
      </c>
      <c r="B154" t="s">
        <v>45</v>
      </c>
      <c r="C154">
        <v>31709000000</v>
      </c>
      <c r="D154">
        <v>26324000000</v>
      </c>
      <c r="E154">
        <v>9373000000</v>
      </c>
      <c r="F154">
        <v>9373000000</v>
      </c>
      <c r="G154">
        <v>545000000</v>
      </c>
      <c r="H154">
        <v>3245000000</v>
      </c>
      <c r="I154">
        <v>3711000000</v>
      </c>
      <c r="J154">
        <v>2177000000</v>
      </c>
      <c r="K154">
        <v>0</v>
      </c>
      <c r="L154">
        <v>291000000</v>
      </c>
      <c r="M154">
        <v>291000000</v>
      </c>
      <c r="N154">
        <v>38000000</v>
      </c>
      <c r="O154">
        <v>0</v>
      </c>
      <c r="P154">
        <v>0</v>
      </c>
      <c r="Q154">
        <v>11401000000</v>
      </c>
      <c r="R154">
        <v>1760000000</v>
      </c>
      <c r="S154">
        <v>0</v>
      </c>
      <c r="T154">
        <v>12087000000</v>
      </c>
      <c r="U154">
        <v>9218000000</v>
      </c>
      <c r="V154">
        <v>3683000000</v>
      </c>
      <c r="W154">
        <v>0</v>
      </c>
      <c r="X154">
        <v>0</v>
      </c>
      <c r="Y154">
        <v>1675000000</v>
      </c>
      <c r="Z154">
        <v>2869000000</v>
      </c>
      <c r="AA154">
        <v>0</v>
      </c>
      <c r="AB154">
        <v>0</v>
      </c>
      <c r="AC154">
        <v>0</v>
      </c>
      <c r="AD154">
        <v>0</v>
      </c>
      <c r="AE154">
        <v>0</v>
      </c>
      <c r="AF154">
        <v>2808000000</v>
      </c>
      <c r="AG154">
        <v>0</v>
      </c>
      <c r="AH154">
        <v>19622000000</v>
      </c>
      <c r="AI154">
        <v>0</v>
      </c>
      <c r="AJ154">
        <v>12714000000</v>
      </c>
      <c r="AK154">
        <v>6831000000</v>
      </c>
      <c r="AL154">
        <v>25288676000</v>
      </c>
    </row>
    <row r="155" spans="1:38">
      <c r="A155" s="24">
        <v>39538</v>
      </c>
      <c r="B155" t="s">
        <v>45</v>
      </c>
      <c r="C155">
        <v>30471000000</v>
      </c>
      <c r="D155">
        <v>25127000000</v>
      </c>
      <c r="E155">
        <v>9070000000</v>
      </c>
      <c r="F155">
        <v>9070000000</v>
      </c>
      <c r="G155">
        <v>364000000</v>
      </c>
      <c r="H155">
        <v>3620000000</v>
      </c>
      <c r="I155">
        <v>3735000000</v>
      </c>
      <c r="J155">
        <v>1962000000</v>
      </c>
      <c r="K155">
        <v>0</v>
      </c>
      <c r="L155">
        <v>300000000</v>
      </c>
      <c r="M155">
        <v>300000000</v>
      </c>
      <c r="N155">
        <v>38000000</v>
      </c>
      <c r="O155">
        <v>0</v>
      </c>
      <c r="P155">
        <v>0</v>
      </c>
      <c r="Q155">
        <v>10378000000</v>
      </c>
      <c r="R155">
        <v>1695000000</v>
      </c>
      <c r="S155">
        <v>0</v>
      </c>
      <c r="T155">
        <v>12418000000</v>
      </c>
      <c r="U155">
        <v>9634000000</v>
      </c>
      <c r="V155">
        <v>4154000000</v>
      </c>
      <c r="W155">
        <v>0</v>
      </c>
      <c r="X155">
        <v>0</v>
      </c>
      <c r="Y155">
        <v>1743000000</v>
      </c>
      <c r="Z155">
        <v>2784000000</v>
      </c>
      <c r="AA155">
        <v>0</v>
      </c>
      <c r="AB155">
        <v>0</v>
      </c>
      <c r="AC155">
        <v>0</v>
      </c>
      <c r="AD155">
        <v>0</v>
      </c>
      <c r="AE155">
        <v>0</v>
      </c>
      <c r="AF155">
        <v>3064000000</v>
      </c>
      <c r="AG155">
        <v>0</v>
      </c>
      <c r="AH155">
        <v>18053000000</v>
      </c>
      <c r="AI155">
        <v>0</v>
      </c>
      <c r="AJ155">
        <v>11642000000</v>
      </c>
      <c r="AK155">
        <v>6342000000</v>
      </c>
      <c r="AL155">
        <v>25181212000</v>
      </c>
    </row>
    <row r="156" spans="1:38">
      <c r="A156" s="24">
        <v>39447</v>
      </c>
      <c r="B156" t="s">
        <v>45</v>
      </c>
      <c r="C156">
        <v>30039000000</v>
      </c>
      <c r="D156">
        <v>24779000000</v>
      </c>
      <c r="E156">
        <v>9162000000</v>
      </c>
      <c r="F156">
        <v>9162000000</v>
      </c>
      <c r="G156">
        <v>459000000</v>
      </c>
      <c r="H156">
        <v>4422000000</v>
      </c>
      <c r="I156">
        <v>3850000000</v>
      </c>
      <c r="J156">
        <v>1870000000</v>
      </c>
      <c r="K156">
        <v>0</v>
      </c>
      <c r="L156">
        <v>311000000</v>
      </c>
      <c r="M156">
        <v>311000000</v>
      </c>
      <c r="N156">
        <v>38000000</v>
      </c>
      <c r="O156">
        <v>0</v>
      </c>
      <c r="P156">
        <v>0</v>
      </c>
      <c r="Q156">
        <v>9286000000</v>
      </c>
      <c r="R156">
        <v>1450000000</v>
      </c>
      <c r="S156">
        <v>0</v>
      </c>
      <c r="T156">
        <v>13235000000</v>
      </c>
      <c r="U156">
        <v>10535000000</v>
      </c>
      <c r="V156">
        <v>5366000000</v>
      </c>
      <c r="W156">
        <v>0</v>
      </c>
      <c r="X156">
        <v>0</v>
      </c>
      <c r="Y156">
        <v>1596000000</v>
      </c>
      <c r="Z156">
        <v>2700000000</v>
      </c>
      <c r="AA156">
        <v>0</v>
      </c>
      <c r="AB156">
        <v>0</v>
      </c>
      <c r="AC156">
        <v>0</v>
      </c>
      <c r="AD156">
        <v>0</v>
      </c>
      <c r="AE156">
        <v>0</v>
      </c>
      <c r="AF156">
        <v>3074000000</v>
      </c>
      <c r="AG156">
        <v>0</v>
      </c>
      <c r="AH156">
        <v>16804000000</v>
      </c>
      <c r="AI156">
        <v>0</v>
      </c>
      <c r="AJ156">
        <v>10684000000</v>
      </c>
      <c r="AK156">
        <v>6046000000</v>
      </c>
      <c r="AL156">
        <v>25201512000</v>
      </c>
    </row>
    <row r="157" spans="1:38">
      <c r="A157" s="24">
        <v>39355</v>
      </c>
      <c r="B157" t="s">
        <v>45</v>
      </c>
      <c r="C157">
        <v>25347000000</v>
      </c>
      <c r="D157">
        <v>20757000000</v>
      </c>
      <c r="E157">
        <v>9352000000</v>
      </c>
      <c r="F157">
        <v>9352000000</v>
      </c>
      <c r="G157">
        <v>346000000</v>
      </c>
      <c r="H157">
        <v>4029000000</v>
      </c>
      <c r="I157">
        <v>3391000000</v>
      </c>
      <c r="J157">
        <v>1832000000</v>
      </c>
      <c r="K157">
        <v>0</v>
      </c>
      <c r="L157">
        <v>299000000</v>
      </c>
      <c r="M157">
        <v>299000000</v>
      </c>
      <c r="N157">
        <v>38000000</v>
      </c>
      <c r="O157">
        <v>0</v>
      </c>
      <c r="P157">
        <v>0</v>
      </c>
      <c r="Q157">
        <v>6034000000</v>
      </c>
      <c r="R157">
        <v>996000000</v>
      </c>
      <c r="S157">
        <v>0</v>
      </c>
      <c r="T157">
        <v>10815000000</v>
      </c>
      <c r="U157">
        <v>9299000000</v>
      </c>
      <c r="V157">
        <v>4970000000</v>
      </c>
      <c r="W157">
        <v>0</v>
      </c>
      <c r="X157">
        <v>0</v>
      </c>
      <c r="Y157">
        <v>1805000000</v>
      </c>
      <c r="Z157">
        <v>1516000000</v>
      </c>
      <c r="AA157">
        <v>0</v>
      </c>
      <c r="AB157">
        <v>0</v>
      </c>
      <c r="AC157">
        <v>0</v>
      </c>
      <c r="AD157">
        <v>0</v>
      </c>
      <c r="AE157">
        <v>0</v>
      </c>
      <c r="AF157">
        <v>2919000000</v>
      </c>
      <c r="AG157">
        <v>0</v>
      </c>
      <c r="AH157">
        <v>14532000000</v>
      </c>
      <c r="AI157">
        <v>0</v>
      </c>
      <c r="AJ157">
        <v>9101000000</v>
      </c>
      <c r="AK157">
        <v>5368000000</v>
      </c>
      <c r="AL157">
        <v>25201512000</v>
      </c>
    </row>
    <row r="158" spans="1:38">
      <c r="A158" s="24">
        <v>39263</v>
      </c>
      <c r="B158" t="s">
        <v>45</v>
      </c>
      <c r="C158">
        <v>21647000000</v>
      </c>
      <c r="D158">
        <v>17617000000</v>
      </c>
      <c r="E158">
        <v>7118000000</v>
      </c>
      <c r="F158">
        <v>7118000000</v>
      </c>
      <c r="G158">
        <v>251000000</v>
      </c>
      <c r="H158">
        <v>2901000000</v>
      </c>
      <c r="I158">
        <v>2902000000</v>
      </c>
      <c r="J158">
        <v>1626000000</v>
      </c>
      <c r="K158">
        <v>0</v>
      </c>
      <c r="L158">
        <v>237000000</v>
      </c>
      <c r="M158">
        <v>237000000</v>
      </c>
      <c r="N158">
        <v>38000000</v>
      </c>
      <c r="O158">
        <v>0</v>
      </c>
      <c r="P158">
        <v>0</v>
      </c>
      <c r="Q158">
        <v>6649000000</v>
      </c>
      <c r="R158">
        <v>698000000</v>
      </c>
      <c r="S158">
        <v>0</v>
      </c>
      <c r="T158">
        <v>8243000000</v>
      </c>
      <c r="U158">
        <v>6992000000</v>
      </c>
      <c r="V158">
        <v>3660000000</v>
      </c>
      <c r="W158">
        <v>0</v>
      </c>
      <c r="X158">
        <v>0</v>
      </c>
      <c r="Y158">
        <v>1603000000</v>
      </c>
      <c r="Z158">
        <v>1251000000</v>
      </c>
      <c r="AA158">
        <v>0</v>
      </c>
      <c r="AB158">
        <v>0</v>
      </c>
      <c r="AC158">
        <v>0</v>
      </c>
      <c r="AD158">
        <v>0</v>
      </c>
      <c r="AE158">
        <v>0</v>
      </c>
      <c r="AF158">
        <v>2269000000</v>
      </c>
      <c r="AG158">
        <v>0</v>
      </c>
      <c r="AH158">
        <v>13404000000</v>
      </c>
      <c r="AI158">
        <v>0</v>
      </c>
      <c r="AJ158">
        <v>8199000000</v>
      </c>
      <c r="AK158">
        <v>5149000000</v>
      </c>
      <c r="AL158">
        <v>24938788000</v>
      </c>
    </row>
    <row r="159" spans="1:38">
      <c r="A159" s="24">
        <v>39172</v>
      </c>
      <c r="B159" t="s">
        <v>45</v>
      </c>
      <c r="C159">
        <v>18711000000</v>
      </c>
      <c r="D159">
        <v>14914000000</v>
      </c>
      <c r="E159">
        <v>7095000000</v>
      </c>
      <c r="F159">
        <v>7095000000</v>
      </c>
      <c r="G159">
        <v>208000000</v>
      </c>
      <c r="H159">
        <v>1667000000</v>
      </c>
      <c r="I159">
        <v>2682000000</v>
      </c>
      <c r="J159">
        <v>1409000000</v>
      </c>
      <c r="K159">
        <v>0</v>
      </c>
      <c r="L159">
        <v>240000000</v>
      </c>
      <c r="M159">
        <v>240000000</v>
      </c>
      <c r="N159">
        <v>38000000</v>
      </c>
      <c r="O159">
        <v>0</v>
      </c>
      <c r="P159">
        <v>0</v>
      </c>
      <c r="Q159">
        <v>5482000000</v>
      </c>
      <c r="R159">
        <v>462000000</v>
      </c>
      <c r="S159">
        <v>0</v>
      </c>
      <c r="T159">
        <v>6450000000</v>
      </c>
      <c r="U159">
        <v>5485000000</v>
      </c>
      <c r="V159">
        <v>2403000000</v>
      </c>
      <c r="W159">
        <v>0</v>
      </c>
      <c r="X159">
        <v>0</v>
      </c>
      <c r="Y159">
        <v>1533000000</v>
      </c>
      <c r="Z159">
        <v>965000000</v>
      </c>
      <c r="AA159">
        <v>0</v>
      </c>
      <c r="AB159">
        <v>0</v>
      </c>
      <c r="AC159">
        <v>0</v>
      </c>
      <c r="AD159">
        <v>0</v>
      </c>
      <c r="AE159">
        <v>0</v>
      </c>
      <c r="AF159">
        <v>2160000000</v>
      </c>
      <c r="AG159">
        <v>0</v>
      </c>
      <c r="AH159">
        <v>12261000000</v>
      </c>
      <c r="AI159">
        <v>0</v>
      </c>
      <c r="AJ159">
        <v>7381000000</v>
      </c>
      <c r="AK159">
        <v>4848000000</v>
      </c>
      <c r="AL159">
        <v>24826284000</v>
      </c>
    </row>
    <row r="160" spans="1:38">
      <c r="A160" s="24">
        <v>39082</v>
      </c>
      <c r="B160" t="s">
        <v>45</v>
      </c>
      <c r="C160">
        <v>19461000000</v>
      </c>
      <c r="D160">
        <v>15766000000</v>
      </c>
      <c r="E160">
        <v>7159000000</v>
      </c>
      <c r="F160">
        <v>7159000000</v>
      </c>
      <c r="G160">
        <v>303000000</v>
      </c>
      <c r="H160">
        <v>3113000000</v>
      </c>
      <c r="I160">
        <v>2797000000</v>
      </c>
      <c r="J160">
        <v>1362000000</v>
      </c>
      <c r="K160">
        <v>0</v>
      </c>
      <c r="L160">
        <v>146000000</v>
      </c>
      <c r="M160">
        <v>146000000</v>
      </c>
      <c r="N160">
        <v>38000000</v>
      </c>
      <c r="O160">
        <v>0</v>
      </c>
      <c r="P160">
        <v>0</v>
      </c>
      <c r="Q160">
        <v>4710000000</v>
      </c>
      <c r="R160">
        <v>481000000</v>
      </c>
      <c r="S160">
        <v>0</v>
      </c>
      <c r="T160">
        <v>8233000000</v>
      </c>
      <c r="U160">
        <v>7337000000</v>
      </c>
      <c r="V160">
        <v>3885000000</v>
      </c>
      <c r="W160">
        <v>0</v>
      </c>
      <c r="X160">
        <v>0</v>
      </c>
      <c r="Y160">
        <v>1521000000</v>
      </c>
      <c r="Z160">
        <v>896000000</v>
      </c>
      <c r="AA160">
        <v>0</v>
      </c>
      <c r="AB160">
        <v>0</v>
      </c>
      <c r="AC160">
        <v>0</v>
      </c>
      <c r="AD160">
        <v>0</v>
      </c>
      <c r="AE160">
        <v>0</v>
      </c>
      <c r="AF160">
        <v>2528000000</v>
      </c>
      <c r="AG160">
        <v>0</v>
      </c>
      <c r="AH160">
        <v>11228000000</v>
      </c>
      <c r="AI160">
        <v>0</v>
      </c>
      <c r="AJ160">
        <v>6611000000</v>
      </c>
      <c r="AK160">
        <v>4594000000</v>
      </c>
      <c r="AL160">
        <v>24732316000</v>
      </c>
    </row>
    <row r="161" spans="1:38">
      <c r="A161" s="24">
        <v>38990</v>
      </c>
      <c r="B161" t="s">
        <v>45</v>
      </c>
      <c r="C161">
        <v>17205000000</v>
      </c>
      <c r="D161">
        <v>13758000000</v>
      </c>
      <c r="E161">
        <v>6392000000</v>
      </c>
      <c r="F161">
        <v>6392000000</v>
      </c>
      <c r="G161">
        <v>270000000</v>
      </c>
      <c r="H161">
        <v>2094000000</v>
      </c>
      <c r="I161">
        <v>2696000000</v>
      </c>
      <c r="J161">
        <v>1281000000</v>
      </c>
      <c r="K161">
        <v>0</v>
      </c>
      <c r="L161">
        <v>139000000</v>
      </c>
      <c r="M161">
        <v>139000000</v>
      </c>
      <c r="N161">
        <v>38000000</v>
      </c>
      <c r="O161">
        <v>0</v>
      </c>
      <c r="P161">
        <v>0</v>
      </c>
      <c r="Q161">
        <v>3718000000</v>
      </c>
      <c r="R161">
        <v>1284000000</v>
      </c>
      <c r="S161">
        <v>0</v>
      </c>
      <c r="T161">
        <v>7221000000</v>
      </c>
      <c r="U161">
        <v>6471000000</v>
      </c>
      <c r="V161">
        <v>3390000000</v>
      </c>
      <c r="W161">
        <v>0</v>
      </c>
      <c r="X161">
        <v>0</v>
      </c>
      <c r="Y161">
        <v>934000000</v>
      </c>
      <c r="Z161">
        <v>750000000</v>
      </c>
      <c r="AA161">
        <v>0</v>
      </c>
      <c r="AB161">
        <v>0</v>
      </c>
      <c r="AC161">
        <v>0</v>
      </c>
      <c r="AD161">
        <v>0</v>
      </c>
      <c r="AE161">
        <v>0</v>
      </c>
      <c r="AF161">
        <v>1801000000</v>
      </c>
      <c r="AG161">
        <v>0</v>
      </c>
      <c r="AH161">
        <v>9984000000</v>
      </c>
      <c r="AI161">
        <v>0</v>
      </c>
      <c r="AJ161">
        <v>5607000000</v>
      </c>
      <c r="AK161">
        <v>4355000000</v>
      </c>
      <c r="AL161">
        <v>24538304000</v>
      </c>
    </row>
    <row r="162" spans="1:38">
      <c r="A162" s="24">
        <v>38898</v>
      </c>
      <c r="B162" t="s">
        <v>45</v>
      </c>
      <c r="C162">
        <v>15114000000</v>
      </c>
      <c r="D162">
        <v>11486000000</v>
      </c>
      <c r="E162">
        <v>8013000000</v>
      </c>
      <c r="F162">
        <v>8013000000</v>
      </c>
      <c r="G162">
        <v>213000000</v>
      </c>
      <c r="H162">
        <v>1089000000</v>
      </c>
      <c r="I162">
        <v>2623000000</v>
      </c>
      <c r="J162">
        <v>1197000000</v>
      </c>
      <c r="K162">
        <v>0</v>
      </c>
      <c r="L162">
        <v>37000000</v>
      </c>
      <c r="M162">
        <v>37000000</v>
      </c>
      <c r="N162">
        <v>38000000</v>
      </c>
      <c r="O162">
        <v>0</v>
      </c>
      <c r="P162">
        <v>0</v>
      </c>
      <c r="Q162">
        <v>1163000000</v>
      </c>
      <c r="R162">
        <v>1008000000</v>
      </c>
      <c r="S162">
        <v>0</v>
      </c>
      <c r="T162">
        <v>5784000000</v>
      </c>
      <c r="U162">
        <v>5023000000</v>
      </c>
      <c r="V162">
        <v>2513000000</v>
      </c>
      <c r="W162">
        <v>0</v>
      </c>
      <c r="X162">
        <v>0</v>
      </c>
      <c r="Y162">
        <v>0</v>
      </c>
      <c r="Z162">
        <v>761000000</v>
      </c>
      <c r="AA162">
        <v>0</v>
      </c>
      <c r="AB162">
        <v>0</v>
      </c>
      <c r="AC162">
        <v>0</v>
      </c>
      <c r="AD162">
        <v>0</v>
      </c>
      <c r="AE162">
        <v>0</v>
      </c>
      <c r="AF162">
        <v>2510000000</v>
      </c>
      <c r="AG162">
        <v>0</v>
      </c>
      <c r="AH162">
        <v>9330000000</v>
      </c>
      <c r="AI162">
        <v>0</v>
      </c>
      <c r="AJ162">
        <v>5065000000</v>
      </c>
      <c r="AK162">
        <v>4249000000</v>
      </c>
      <c r="AL162">
        <v>24538304000</v>
      </c>
    </row>
    <row r="163" spans="1:38">
      <c r="A163" s="24">
        <v>38807</v>
      </c>
      <c r="B163" t="s">
        <v>45</v>
      </c>
      <c r="C163">
        <v>13911000000</v>
      </c>
      <c r="D163">
        <v>10730000000</v>
      </c>
      <c r="E163">
        <v>6346000000</v>
      </c>
      <c r="F163">
        <v>6346000000</v>
      </c>
      <c r="G163">
        <v>204000000</v>
      </c>
      <c r="H163">
        <v>1984000000</v>
      </c>
      <c r="I163">
        <v>2625000000</v>
      </c>
      <c r="J163">
        <v>1005000000</v>
      </c>
      <c r="K163">
        <v>0</v>
      </c>
      <c r="L163">
        <v>41000000</v>
      </c>
      <c r="M163">
        <v>41000000</v>
      </c>
      <c r="N163">
        <v>69000000</v>
      </c>
      <c r="O163">
        <v>0</v>
      </c>
      <c r="P163">
        <v>0</v>
      </c>
      <c r="Q163">
        <v>1880000000</v>
      </c>
      <c r="R163">
        <v>316000000</v>
      </c>
      <c r="S163">
        <v>0</v>
      </c>
      <c r="T163">
        <v>5229000000</v>
      </c>
      <c r="U163">
        <v>4456000000</v>
      </c>
      <c r="V163">
        <v>2108000000</v>
      </c>
      <c r="W163">
        <v>0</v>
      </c>
      <c r="X163">
        <v>0</v>
      </c>
      <c r="Y163">
        <v>998000000</v>
      </c>
      <c r="Z163">
        <v>773000000</v>
      </c>
      <c r="AA163">
        <v>0</v>
      </c>
      <c r="AB163">
        <v>0</v>
      </c>
      <c r="AC163">
        <v>0</v>
      </c>
      <c r="AD163">
        <v>0</v>
      </c>
      <c r="AE163">
        <v>0</v>
      </c>
      <c r="AF163">
        <v>1714000000</v>
      </c>
      <c r="AG163">
        <v>0</v>
      </c>
      <c r="AH163">
        <v>8682000000</v>
      </c>
      <c r="AI163">
        <v>0</v>
      </c>
      <c r="AJ163">
        <v>4673000000</v>
      </c>
      <c r="AK163">
        <v>4014000000</v>
      </c>
      <c r="AL163">
        <v>24599036000</v>
      </c>
    </row>
    <row r="164" spans="1:38">
      <c r="A164" s="24">
        <v>38717</v>
      </c>
      <c r="B164" t="s">
        <v>45</v>
      </c>
      <c r="C164">
        <v>14181000000</v>
      </c>
      <c r="D164">
        <v>11691000000</v>
      </c>
      <c r="E164">
        <v>4150000000</v>
      </c>
      <c r="F164">
        <v>4150000000</v>
      </c>
      <c r="G164">
        <v>244000000</v>
      </c>
      <c r="H164">
        <v>2413000000</v>
      </c>
      <c r="I164">
        <v>2019000000</v>
      </c>
      <c r="J164">
        <v>855000000</v>
      </c>
      <c r="K164">
        <v>0</v>
      </c>
      <c r="L164">
        <v>24000000</v>
      </c>
      <c r="M164">
        <v>24000000</v>
      </c>
      <c r="N164">
        <v>69000000</v>
      </c>
      <c r="O164">
        <v>0</v>
      </c>
      <c r="P164">
        <v>0</v>
      </c>
      <c r="Q164">
        <v>4557000000</v>
      </c>
      <c r="R164">
        <v>327000000</v>
      </c>
      <c r="S164">
        <v>0</v>
      </c>
      <c r="T164">
        <v>5801000000</v>
      </c>
      <c r="U164">
        <v>5060000000</v>
      </c>
      <c r="V164">
        <v>2896000000</v>
      </c>
      <c r="W164">
        <v>0</v>
      </c>
      <c r="X164">
        <v>0</v>
      </c>
      <c r="Y164">
        <v>615000000</v>
      </c>
      <c r="Z164">
        <v>741000000</v>
      </c>
      <c r="AA164">
        <v>0</v>
      </c>
      <c r="AB164">
        <v>0</v>
      </c>
      <c r="AC164">
        <v>0</v>
      </c>
      <c r="AD164">
        <v>0</v>
      </c>
      <c r="AE164">
        <v>0</v>
      </c>
      <c r="AF164">
        <v>1534000000</v>
      </c>
      <c r="AG164">
        <v>0</v>
      </c>
      <c r="AH164">
        <v>8380000000</v>
      </c>
      <c r="AI164">
        <v>0</v>
      </c>
      <c r="AJ164">
        <v>4570000000</v>
      </c>
      <c r="AK164">
        <v>3815000000</v>
      </c>
      <c r="AL164">
        <v>24477796000</v>
      </c>
    </row>
    <row r="165" spans="1:38">
      <c r="A165" s="24">
        <v>38625</v>
      </c>
      <c r="B165" t="s">
        <v>45</v>
      </c>
      <c r="C165">
        <v>11551000000</v>
      </c>
      <c r="D165">
        <v>9969000000</v>
      </c>
      <c r="E165">
        <v>3491000000</v>
      </c>
      <c r="F165">
        <v>3491000000</v>
      </c>
      <c r="G165">
        <v>165000000</v>
      </c>
      <c r="H165">
        <v>1312000000</v>
      </c>
      <c r="I165">
        <v>1251000000</v>
      </c>
      <c r="J165">
        <v>817000000</v>
      </c>
      <c r="K165">
        <v>0</v>
      </c>
      <c r="L165">
        <v>27000000</v>
      </c>
      <c r="M165">
        <v>27000000</v>
      </c>
      <c r="N165">
        <v>69000000</v>
      </c>
      <c r="O165">
        <v>0</v>
      </c>
      <c r="P165">
        <v>0</v>
      </c>
      <c r="Q165">
        <v>4770000000</v>
      </c>
      <c r="R165">
        <v>231000000</v>
      </c>
      <c r="S165">
        <v>0</v>
      </c>
      <c r="T165">
        <v>4085000000</v>
      </c>
      <c r="U165">
        <v>3484000000</v>
      </c>
      <c r="V165">
        <v>1779000000</v>
      </c>
      <c r="W165">
        <v>0</v>
      </c>
      <c r="X165">
        <v>0</v>
      </c>
      <c r="Y165">
        <v>798000000</v>
      </c>
      <c r="Z165">
        <v>601000000</v>
      </c>
      <c r="AA165">
        <v>0</v>
      </c>
      <c r="AB165">
        <v>0</v>
      </c>
      <c r="AC165">
        <v>0</v>
      </c>
      <c r="AD165">
        <v>0</v>
      </c>
      <c r="AE165">
        <v>0</v>
      </c>
      <c r="AF165">
        <v>1204000000</v>
      </c>
      <c r="AG165">
        <v>0</v>
      </c>
      <c r="AH165">
        <v>7466000000</v>
      </c>
      <c r="AI165">
        <v>0</v>
      </c>
      <c r="AJ165">
        <v>4005000000</v>
      </c>
      <c r="AK165">
        <v>3521000000</v>
      </c>
      <c r="AL165">
        <v>24477796000</v>
      </c>
    </row>
    <row r="166" spans="1:38">
      <c r="A166" s="24">
        <v>38533</v>
      </c>
      <c r="B166" t="s">
        <v>45</v>
      </c>
      <c r="C166">
        <v>10488000000</v>
      </c>
      <c r="D166">
        <v>9042000000</v>
      </c>
      <c r="E166">
        <v>3094000000</v>
      </c>
      <c r="F166">
        <v>3094000000</v>
      </c>
      <c r="G166">
        <v>193000000</v>
      </c>
      <c r="H166">
        <v>1101000000</v>
      </c>
      <c r="I166">
        <v>1112000000</v>
      </c>
      <c r="J166">
        <v>764000000</v>
      </c>
      <c r="K166">
        <v>0</v>
      </c>
      <c r="L166">
        <v>29000000</v>
      </c>
      <c r="M166">
        <v>29000000</v>
      </c>
      <c r="N166">
        <v>80000000</v>
      </c>
      <c r="O166">
        <v>0</v>
      </c>
      <c r="P166">
        <v>0</v>
      </c>
      <c r="Q166">
        <v>4432000000</v>
      </c>
      <c r="R166">
        <v>222000000</v>
      </c>
      <c r="S166">
        <v>0</v>
      </c>
      <c r="T166">
        <v>3667000000</v>
      </c>
      <c r="U166">
        <v>3123000000</v>
      </c>
      <c r="V166">
        <v>1530000000</v>
      </c>
      <c r="W166">
        <v>0</v>
      </c>
      <c r="X166">
        <v>0</v>
      </c>
      <c r="Y166">
        <v>531000000</v>
      </c>
      <c r="Z166">
        <v>544000000</v>
      </c>
      <c r="AA166">
        <v>0</v>
      </c>
      <c r="AB166">
        <v>0</v>
      </c>
      <c r="AC166">
        <v>0</v>
      </c>
      <c r="AD166">
        <v>0</v>
      </c>
      <c r="AE166">
        <v>0</v>
      </c>
      <c r="AF166">
        <v>1126000000</v>
      </c>
      <c r="AG166">
        <v>0</v>
      </c>
      <c r="AH166">
        <v>6821000000</v>
      </c>
      <c r="AI166">
        <v>0</v>
      </c>
      <c r="AJ166">
        <v>3575000000</v>
      </c>
      <c r="AK166">
        <v>3299000000</v>
      </c>
      <c r="AL166">
        <v>24102484000</v>
      </c>
    </row>
    <row r="167" spans="1:38">
      <c r="A167" s="24">
        <v>38442</v>
      </c>
      <c r="B167" t="s">
        <v>45</v>
      </c>
      <c r="C167">
        <v>10111000000</v>
      </c>
      <c r="D167">
        <v>8710000000</v>
      </c>
      <c r="E167">
        <v>2254000000</v>
      </c>
      <c r="F167">
        <v>2254000000</v>
      </c>
      <c r="G167">
        <v>164000000</v>
      </c>
      <c r="H167">
        <v>1242000000</v>
      </c>
      <c r="I167">
        <v>1104000000</v>
      </c>
      <c r="J167">
        <v>742000000</v>
      </c>
      <c r="K167">
        <v>0</v>
      </c>
      <c r="L167">
        <v>33000000</v>
      </c>
      <c r="M167">
        <v>33000000</v>
      </c>
      <c r="N167">
        <v>80000000</v>
      </c>
      <c r="O167">
        <v>0</v>
      </c>
      <c r="P167">
        <v>0</v>
      </c>
      <c r="Q167">
        <v>4803000000</v>
      </c>
      <c r="R167">
        <v>247000000</v>
      </c>
      <c r="S167">
        <v>0</v>
      </c>
      <c r="T167">
        <v>3725000000</v>
      </c>
      <c r="U167">
        <v>3352000000</v>
      </c>
      <c r="V167">
        <v>1773000000</v>
      </c>
      <c r="W167">
        <v>0</v>
      </c>
      <c r="X167">
        <v>0</v>
      </c>
      <c r="Y167">
        <v>504000000</v>
      </c>
      <c r="Z167">
        <v>373000000</v>
      </c>
      <c r="AA167">
        <v>0</v>
      </c>
      <c r="AB167">
        <v>0</v>
      </c>
      <c r="AC167">
        <v>0</v>
      </c>
      <c r="AD167">
        <v>0</v>
      </c>
      <c r="AE167">
        <v>0</v>
      </c>
      <c r="AF167">
        <v>1152000000</v>
      </c>
      <c r="AG167">
        <v>0</v>
      </c>
      <c r="AH167">
        <v>6386000000</v>
      </c>
      <c r="AI167">
        <v>0</v>
      </c>
      <c r="AJ167">
        <v>3255000000</v>
      </c>
      <c r="AK167">
        <v>3195000000</v>
      </c>
      <c r="AL167">
        <v>23996308000</v>
      </c>
    </row>
    <row r="168" spans="1:38">
      <c r="A168" s="24">
        <v>44012</v>
      </c>
      <c r="B168" t="s">
        <v>45</v>
      </c>
      <c r="C168">
        <v>964000000</v>
      </c>
      <c r="D168">
        <v>0</v>
      </c>
      <c r="E168">
        <v>0</v>
      </c>
      <c r="F168">
        <v>0</v>
      </c>
      <c r="G168">
        <v>0</v>
      </c>
      <c r="H168">
        <v>567000000</v>
      </c>
      <c r="I168">
        <v>566000000</v>
      </c>
      <c r="J168">
        <v>-222000000</v>
      </c>
      <c r="K168">
        <v>313000000</v>
      </c>
      <c r="L168">
        <v>0</v>
      </c>
      <c r="M168">
        <v>-566000000</v>
      </c>
      <c r="N168">
        <v>123000000</v>
      </c>
      <c r="O168">
        <v>0</v>
      </c>
      <c r="P168">
        <v>0</v>
      </c>
      <c r="Q168">
        <v>0</v>
      </c>
      <c r="R168">
        <v>0</v>
      </c>
      <c r="S168">
        <v>0</v>
      </c>
      <c r="T168">
        <v>0</v>
      </c>
      <c r="U168">
        <v>0</v>
      </c>
      <c r="V168">
        <v>0</v>
      </c>
      <c r="W168">
        <v>0</v>
      </c>
      <c r="X168">
        <v>0</v>
      </c>
      <c r="Y168">
        <v>14000000</v>
      </c>
      <c r="Z168">
        <v>0</v>
      </c>
      <c r="AA168">
        <v>521000000</v>
      </c>
      <c r="AB168">
        <v>0</v>
      </c>
      <c r="AC168">
        <v>104000000</v>
      </c>
    </row>
    <row r="169" spans="1:38">
      <c r="A169" s="24" t="s">
        <v>235</v>
      </c>
      <c r="B169" t="s">
        <v>45</v>
      </c>
      <c r="C169">
        <v>-440000000</v>
      </c>
      <c r="D169">
        <v>0</v>
      </c>
      <c r="E169">
        <v>0</v>
      </c>
      <c r="F169">
        <v>0</v>
      </c>
      <c r="G169">
        <v>0</v>
      </c>
      <c r="H169">
        <v>553000000</v>
      </c>
      <c r="I169">
        <v>481000000</v>
      </c>
      <c r="J169">
        <v>-14000000</v>
      </c>
      <c r="K169">
        <v>-1178000000</v>
      </c>
      <c r="L169">
        <v>0</v>
      </c>
      <c r="M169">
        <v>-480000000</v>
      </c>
      <c r="N169">
        <v>2708000000</v>
      </c>
      <c r="O169">
        <v>0</v>
      </c>
      <c r="P169">
        <v>0</v>
      </c>
      <c r="Q169">
        <v>0</v>
      </c>
      <c r="R169">
        <v>0</v>
      </c>
      <c r="S169">
        <v>0</v>
      </c>
      <c r="T169">
        <v>0</v>
      </c>
      <c r="U169">
        <v>0</v>
      </c>
      <c r="V169">
        <v>0</v>
      </c>
      <c r="W169">
        <v>0</v>
      </c>
      <c r="X169">
        <v>0</v>
      </c>
      <c r="Y169">
        <v>2421000000</v>
      </c>
      <c r="Z169">
        <v>0</v>
      </c>
      <c r="AA169">
        <v>1788000000</v>
      </c>
      <c r="AB169">
        <v>0</v>
      </c>
      <c r="AC169">
        <v>16000000</v>
      </c>
    </row>
    <row r="170" spans="1:38">
      <c r="A170" s="24" t="s">
        <v>43</v>
      </c>
      <c r="B170" t="s">
        <v>45</v>
      </c>
      <c r="C170">
        <v>1425000000</v>
      </c>
      <c r="D170">
        <v>0</v>
      </c>
      <c r="E170">
        <v>0</v>
      </c>
      <c r="F170">
        <v>0</v>
      </c>
      <c r="G170">
        <v>0</v>
      </c>
      <c r="H170">
        <v>577000000</v>
      </c>
      <c r="I170">
        <v>449000000</v>
      </c>
      <c r="J170">
        <v>0</v>
      </c>
      <c r="K170">
        <v>56000000</v>
      </c>
      <c r="L170">
        <v>0</v>
      </c>
      <c r="M170">
        <v>-403000000</v>
      </c>
      <c r="N170">
        <v>-79000000</v>
      </c>
      <c r="O170">
        <v>0</v>
      </c>
      <c r="P170">
        <v>0</v>
      </c>
      <c r="Q170">
        <v>0</v>
      </c>
      <c r="R170">
        <v>0</v>
      </c>
      <c r="S170">
        <v>0</v>
      </c>
      <c r="T170">
        <v>0</v>
      </c>
      <c r="U170">
        <v>0</v>
      </c>
      <c r="V170">
        <v>0</v>
      </c>
      <c r="W170">
        <v>0</v>
      </c>
      <c r="X170">
        <v>0</v>
      </c>
      <c r="Y170">
        <v>1285000000</v>
      </c>
      <c r="Z170">
        <v>0</v>
      </c>
      <c r="AA170">
        <v>0</v>
      </c>
      <c r="AB170">
        <v>0</v>
      </c>
      <c r="AC170">
        <v>132000000</v>
      </c>
    </row>
    <row r="171" spans="1:38">
      <c r="A171" s="24">
        <v>43738</v>
      </c>
      <c r="B171" t="s">
        <v>45</v>
      </c>
      <c r="C171">
        <v>756000000</v>
      </c>
      <c r="D171">
        <v>0</v>
      </c>
      <c r="E171">
        <v>0</v>
      </c>
      <c r="F171">
        <v>0</v>
      </c>
      <c r="G171">
        <v>0</v>
      </c>
      <c r="H171">
        <v>530000000</v>
      </c>
      <c r="I171">
        <v>410000000</v>
      </c>
      <c r="J171">
        <v>18312000</v>
      </c>
      <c r="K171">
        <v>-133000000</v>
      </c>
      <c r="L171">
        <v>0</v>
      </c>
      <c r="M171">
        <v>-485612000</v>
      </c>
      <c r="N171">
        <v>118000000</v>
      </c>
      <c r="O171">
        <v>0</v>
      </c>
      <c r="P171">
        <v>0</v>
      </c>
      <c r="Q171">
        <v>0</v>
      </c>
      <c r="R171">
        <v>0</v>
      </c>
      <c r="S171">
        <v>0</v>
      </c>
      <c r="T171">
        <v>0</v>
      </c>
      <c r="U171">
        <v>0</v>
      </c>
      <c r="V171">
        <v>0</v>
      </c>
      <c r="W171">
        <v>0</v>
      </c>
      <c r="X171">
        <v>0</v>
      </c>
      <c r="Y171">
        <v>72644000</v>
      </c>
      <c r="Z171">
        <v>0</v>
      </c>
      <c r="AA171">
        <v>388566000</v>
      </c>
      <c r="AB171">
        <v>0</v>
      </c>
      <c r="AC171">
        <v>143000000</v>
      </c>
    </row>
    <row r="172" spans="1:38">
      <c r="A172" s="24">
        <v>43646</v>
      </c>
      <c r="B172" t="s">
        <v>45</v>
      </c>
      <c r="C172">
        <v>864000000</v>
      </c>
      <c r="D172">
        <v>0</v>
      </c>
      <c r="E172">
        <v>0</v>
      </c>
      <c r="F172">
        <v>0</v>
      </c>
      <c r="G172">
        <v>0</v>
      </c>
      <c r="H172">
        <v>559000000</v>
      </c>
      <c r="I172">
        <v>273000000</v>
      </c>
      <c r="J172">
        <v>-68672000</v>
      </c>
      <c r="K172">
        <v>457000000</v>
      </c>
      <c r="L172">
        <v>0</v>
      </c>
      <c r="M172">
        <v>-241545000</v>
      </c>
      <c r="N172">
        <v>2143000000</v>
      </c>
      <c r="O172">
        <v>0</v>
      </c>
      <c r="P172">
        <v>0</v>
      </c>
      <c r="Q172">
        <v>0</v>
      </c>
      <c r="R172">
        <v>0</v>
      </c>
      <c r="S172">
        <v>63502000</v>
      </c>
      <c r="T172">
        <v>63502000</v>
      </c>
      <c r="U172">
        <v>0</v>
      </c>
      <c r="V172">
        <v>0</v>
      </c>
      <c r="W172">
        <v>0</v>
      </c>
      <c r="X172">
        <v>0</v>
      </c>
      <c r="Y172">
        <v>1018839000</v>
      </c>
      <c r="Z172">
        <v>0</v>
      </c>
      <c r="AA172">
        <v>2764902000</v>
      </c>
      <c r="AB172">
        <v>0</v>
      </c>
      <c r="AC172">
        <v>-408334000</v>
      </c>
    </row>
    <row r="173" spans="1:38">
      <c r="A173" s="24">
        <v>43555</v>
      </c>
      <c r="B173" t="s">
        <v>45</v>
      </c>
      <c r="C173">
        <v>-640000000</v>
      </c>
      <c r="D173">
        <v>0</v>
      </c>
      <c r="E173">
        <v>0</v>
      </c>
      <c r="F173">
        <v>0</v>
      </c>
      <c r="G173">
        <v>0</v>
      </c>
      <c r="H173">
        <v>467577000</v>
      </c>
      <c r="I173">
        <v>305193000</v>
      </c>
      <c r="J173">
        <v>-99640000</v>
      </c>
      <c r="K173">
        <v>-796140000</v>
      </c>
      <c r="L173">
        <v>0</v>
      </c>
      <c r="M173">
        <v>-305843000</v>
      </c>
      <c r="N173">
        <v>-653000000</v>
      </c>
      <c r="O173">
        <v>0</v>
      </c>
      <c r="P173">
        <v>0</v>
      </c>
      <c r="Q173">
        <v>0</v>
      </c>
      <c r="R173">
        <v>0</v>
      </c>
      <c r="S173">
        <v>85257000</v>
      </c>
      <c r="T173">
        <v>85257000</v>
      </c>
      <c r="U173">
        <v>0</v>
      </c>
      <c r="V173">
        <v>0</v>
      </c>
      <c r="W173">
        <v>0</v>
      </c>
      <c r="X173">
        <v>0</v>
      </c>
      <c r="Y173">
        <v>39517000</v>
      </c>
      <c r="Z173">
        <v>0</v>
      </c>
      <c r="AA173">
        <v>-1598468000</v>
      </c>
      <c r="AB173">
        <v>0</v>
      </c>
      <c r="AC173">
        <v>-668000000</v>
      </c>
    </row>
    <row r="174" spans="1:38">
      <c r="A174" s="24">
        <v>43465</v>
      </c>
      <c r="B174" t="s">
        <v>45</v>
      </c>
      <c r="C174">
        <v>1234561000</v>
      </c>
      <c r="D174">
        <v>0</v>
      </c>
      <c r="E174">
        <v>0</v>
      </c>
      <c r="F174">
        <v>0</v>
      </c>
      <c r="G174">
        <v>0</v>
      </c>
      <c r="H174">
        <v>496737000</v>
      </c>
      <c r="I174">
        <v>353901000</v>
      </c>
      <c r="J174">
        <v>189371000</v>
      </c>
      <c r="K174">
        <v>87347000</v>
      </c>
      <c r="L174">
        <v>0</v>
      </c>
      <c r="M174">
        <v>-365009000</v>
      </c>
      <c r="N174">
        <v>-112309000</v>
      </c>
      <c r="O174">
        <v>0</v>
      </c>
      <c r="P174">
        <v>0</v>
      </c>
      <c r="Q174">
        <v>0</v>
      </c>
      <c r="R174">
        <v>0</v>
      </c>
      <c r="S174">
        <v>0</v>
      </c>
      <c r="T174">
        <v>0</v>
      </c>
      <c r="U174">
        <v>0</v>
      </c>
      <c r="V174">
        <v>0</v>
      </c>
      <c r="W174">
        <v>0</v>
      </c>
      <c r="X174">
        <v>0</v>
      </c>
      <c r="Y174">
        <v>97815000</v>
      </c>
      <c r="Z174">
        <v>0</v>
      </c>
      <c r="AA174">
        <v>757243000</v>
      </c>
      <c r="AB174">
        <v>0</v>
      </c>
      <c r="AC174">
        <v>210078000</v>
      </c>
    </row>
    <row r="175" spans="1:38">
      <c r="A175" s="24">
        <v>43373</v>
      </c>
      <c r="B175" t="s">
        <v>45</v>
      </c>
      <c r="C175">
        <v>1391040000</v>
      </c>
      <c r="D175">
        <v>0</v>
      </c>
      <c r="E175">
        <v>0</v>
      </c>
      <c r="F175">
        <v>0</v>
      </c>
      <c r="G175">
        <v>0</v>
      </c>
      <c r="H175">
        <v>502825000</v>
      </c>
      <c r="I175">
        <v>559150000</v>
      </c>
      <c r="J175">
        <v>-587594000</v>
      </c>
      <c r="K175">
        <v>-55055000</v>
      </c>
      <c r="L175">
        <v>0</v>
      </c>
      <c r="M175">
        <v>-560965000</v>
      </c>
      <c r="N175">
        <v>-84282000</v>
      </c>
      <c r="O175">
        <v>0</v>
      </c>
      <c r="P175">
        <v>0</v>
      </c>
      <c r="Q175">
        <v>0</v>
      </c>
      <c r="R175">
        <v>0</v>
      </c>
      <c r="S175">
        <v>0</v>
      </c>
      <c r="T175">
        <v>0</v>
      </c>
      <c r="U175">
        <v>0</v>
      </c>
      <c r="V175">
        <v>0</v>
      </c>
      <c r="W175">
        <v>0</v>
      </c>
      <c r="X175">
        <v>0</v>
      </c>
      <c r="Y175">
        <v>139163000</v>
      </c>
      <c r="Z175">
        <v>0</v>
      </c>
      <c r="AA175">
        <v>746098000</v>
      </c>
      <c r="AB175">
        <v>0</v>
      </c>
      <c r="AC175">
        <v>311516000</v>
      </c>
    </row>
    <row r="176" spans="1:38">
      <c r="A176" s="24">
        <v>43281</v>
      </c>
      <c r="B176" t="s">
        <v>45</v>
      </c>
      <c r="C176">
        <v>-129664000</v>
      </c>
      <c r="D176">
        <v>0</v>
      </c>
      <c r="E176">
        <v>0</v>
      </c>
      <c r="F176">
        <v>0</v>
      </c>
      <c r="G176">
        <v>0</v>
      </c>
      <c r="H176">
        <v>485255000</v>
      </c>
      <c r="I176">
        <v>677213000</v>
      </c>
      <c r="J176">
        <v>70633000</v>
      </c>
      <c r="K176">
        <v>-733475000</v>
      </c>
      <c r="L176">
        <v>0</v>
      </c>
      <c r="M176">
        <v>-682817000</v>
      </c>
      <c r="N176">
        <v>398622000</v>
      </c>
      <c r="O176">
        <v>0</v>
      </c>
      <c r="P176">
        <v>0</v>
      </c>
      <c r="Q176">
        <v>0</v>
      </c>
      <c r="R176">
        <v>0</v>
      </c>
      <c r="S176">
        <v>0</v>
      </c>
      <c r="T176">
        <v>0</v>
      </c>
      <c r="U176">
        <v>0</v>
      </c>
      <c r="V176">
        <v>0</v>
      </c>
      <c r="W176">
        <v>0</v>
      </c>
      <c r="X176">
        <v>0</v>
      </c>
      <c r="Y176">
        <v>153783000</v>
      </c>
      <c r="Z176">
        <v>0</v>
      </c>
      <c r="AA176">
        <v>-413859000</v>
      </c>
      <c r="AB176">
        <v>0</v>
      </c>
      <c r="AC176">
        <v>-742706000</v>
      </c>
    </row>
    <row r="177" spans="1:29">
      <c r="A177" s="24">
        <v>43190</v>
      </c>
      <c r="B177" t="s">
        <v>45</v>
      </c>
      <c r="C177">
        <v>-398376000</v>
      </c>
      <c r="D177">
        <v>0</v>
      </c>
      <c r="E177">
        <v>0</v>
      </c>
      <c r="F177">
        <v>0</v>
      </c>
      <c r="G177">
        <v>0</v>
      </c>
      <c r="H177">
        <v>416233000</v>
      </c>
      <c r="I177">
        <v>728637000</v>
      </c>
      <c r="J177">
        <v>-169142000</v>
      </c>
      <c r="K177">
        <v>-322081000</v>
      </c>
      <c r="L177">
        <v>0</v>
      </c>
      <c r="M177">
        <v>-728637000</v>
      </c>
      <c r="N177">
        <v>371660000</v>
      </c>
      <c r="O177">
        <v>0</v>
      </c>
      <c r="P177">
        <v>0</v>
      </c>
      <c r="Q177">
        <v>0</v>
      </c>
      <c r="R177">
        <v>0</v>
      </c>
      <c r="S177">
        <v>0</v>
      </c>
      <c r="T177">
        <v>0</v>
      </c>
      <c r="U177">
        <v>0</v>
      </c>
      <c r="V177">
        <v>0</v>
      </c>
      <c r="W177">
        <v>0</v>
      </c>
      <c r="X177">
        <v>0</v>
      </c>
      <c r="Y177">
        <v>114780000</v>
      </c>
      <c r="Z177">
        <v>0</v>
      </c>
      <c r="AA177">
        <v>-755353000</v>
      </c>
      <c r="AB177">
        <v>0</v>
      </c>
      <c r="AC177">
        <v>-784627000</v>
      </c>
    </row>
    <row r="178" spans="1:29">
      <c r="A178" s="24">
        <v>43100</v>
      </c>
      <c r="B178" t="s">
        <v>45</v>
      </c>
      <c r="C178">
        <v>509891000</v>
      </c>
      <c r="D178">
        <v>0</v>
      </c>
      <c r="E178">
        <v>0</v>
      </c>
      <c r="F178">
        <v>0</v>
      </c>
      <c r="G178">
        <v>0</v>
      </c>
      <c r="H178">
        <v>469606000</v>
      </c>
      <c r="I178">
        <v>906143000</v>
      </c>
      <c r="J178">
        <v>81008000</v>
      </c>
      <c r="K178">
        <v>240120000</v>
      </c>
      <c r="L178">
        <v>0</v>
      </c>
      <c r="M178">
        <v>-961876000</v>
      </c>
      <c r="N178">
        <v>285842000</v>
      </c>
      <c r="O178">
        <v>0</v>
      </c>
      <c r="P178">
        <v>0</v>
      </c>
      <c r="Q178">
        <v>0</v>
      </c>
      <c r="R178">
        <v>0</v>
      </c>
      <c r="S178">
        <v>0</v>
      </c>
      <c r="T178">
        <v>0</v>
      </c>
      <c r="U178">
        <v>0</v>
      </c>
      <c r="V178">
        <v>0</v>
      </c>
      <c r="W178">
        <v>0</v>
      </c>
      <c r="X178">
        <v>0</v>
      </c>
      <c r="Y178">
        <v>-155117000</v>
      </c>
      <c r="Z178">
        <v>0</v>
      </c>
      <c r="AA178">
        <v>-162116000</v>
      </c>
      <c r="AB178">
        <v>4027000</v>
      </c>
      <c r="AC178">
        <v>-770807000</v>
      </c>
    </row>
    <row r="179" spans="1:29">
      <c r="A179" s="24">
        <v>43008</v>
      </c>
      <c r="B179" t="s">
        <v>45</v>
      </c>
      <c r="C179">
        <v>-300562000</v>
      </c>
      <c r="D179">
        <v>0</v>
      </c>
      <c r="E179">
        <v>0</v>
      </c>
      <c r="F179">
        <v>0</v>
      </c>
      <c r="G179">
        <v>0</v>
      </c>
      <c r="H179">
        <v>393832000</v>
      </c>
      <c r="I179">
        <v>1244727000</v>
      </c>
      <c r="J179">
        <v>-182686000</v>
      </c>
      <c r="K179">
        <v>702185000</v>
      </c>
      <c r="L179">
        <v>0</v>
      </c>
      <c r="M179">
        <v>-1314932000</v>
      </c>
      <c r="N179">
        <v>2101506000</v>
      </c>
      <c r="O179">
        <v>0</v>
      </c>
      <c r="P179">
        <v>0</v>
      </c>
      <c r="Q179">
        <v>0</v>
      </c>
      <c r="R179">
        <v>0</v>
      </c>
      <c r="S179">
        <v>0</v>
      </c>
      <c r="T179">
        <v>0</v>
      </c>
      <c r="U179">
        <v>0</v>
      </c>
      <c r="V179">
        <v>0</v>
      </c>
      <c r="W179">
        <v>0</v>
      </c>
      <c r="X179">
        <v>0</v>
      </c>
      <c r="Y179">
        <v>110713000</v>
      </c>
      <c r="Z179">
        <v>0</v>
      </c>
      <c r="AA179">
        <v>494106000</v>
      </c>
      <c r="AB179">
        <v>8094000</v>
      </c>
      <c r="AC179">
        <v>-671163000</v>
      </c>
    </row>
    <row r="180" spans="1:29">
      <c r="A180" s="24">
        <v>42916</v>
      </c>
      <c r="B180" t="s">
        <v>45</v>
      </c>
      <c r="C180">
        <v>-200172000</v>
      </c>
      <c r="D180">
        <v>0</v>
      </c>
      <c r="E180">
        <v>0</v>
      </c>
      <c r="F180">
        <v>0</v>
      </c>
      <c r="G180">
        <v>0</v>
      </c>
      <c r="H180">
        <v>389171000</v>
      </c>
      <c r="I180">
        <v>1157912000</v>
      </c>
      <c r="J180">
        <v>-14498000</v>
      </c>
      <c r="K180">
        <v>-269188000</v>
      </c>
      <c r="L180">
        <v>0</v>
      </c>
      <c r="M180">
        <v>-1215216000</v>
      </c>
      <c r="N180">
        <v>428767000</v>
      </c>
      <c r="O180">
        <v>0</v>
      </c>
      <c r="P180">
        <v>0</v>
      </c>
      <c r="Q180">
        <v>0</v>
      </c>
      <c r="R180">
        <v>0</v>
      </c>
      <c r="S180">
        <v>0</v>
      </c>
      <c r="T180">
        <v>0</v>
      </c>
      <c r="U180">
        <v>0</v>
      </c>
      <c r="V180">
        <v>0</v>
      </c>
      <c r="W180">
        <v>0</v>
      </c>
      <c r="X180">
        <v>0</v>
      </c>
      <c r="Y180">
        <v>274666000</v>
      </c>
      <c r="Z180">
        <v>0</v>
      </c>
      <c r="AA180">
        <v>-970669000</v>
      </c>
      <c r="AB180">
        <v>15952000</v>
      </c>
      <c r="AC180">
        <v>-401427000</v>
      </c>
    </row>
    <row r="181" spans="1:29">
      <c r="A181" s="24">
        <v>42825</v>
      </c>
      <c r="B181" t="s">
        <v>45</v>
      </c>
      <c r="C181">
        <v>-69811000</v>
      </c>
      <c r="D181">
        <v>0</v>
      </c>
      <c r="E181">
        <v>0</v>
      </c>
      <c r="F181">
        <v>0</v>
      </c>
      <c r="G181">
        <v>0</v>
      </c>
      <c r="H181">
        <v>376602000</v>
      </c>
      <c r="I181">
        <v>772572000</v>
      </c>
      <c r="J181">
        <v>91541000</v>
      </c>
      <c r="K181">
        <v>26918000</v>
      </c>
      <c r="L181">
        <v>0</v>
      </c>
      <c r="M181">
        <v>-926943000</v>
      </c>
      <c r="N181">
        <v>1598749000</v>
      </c>
      <c r="O181">
        <v>0</v>
      </c>
      <c r="P181">
        <v>0</v>
      </c>
      <c r="Q181">
        <v>0</v>
      </c>
      <c r="R181">
        <v>0</v>
      </c>
      <c r="S181">
        <v>0</v>
      </c>
      <c r="T181">
        <v>0</v>
      </c>
      <c r="U181">
        <v>0</v>
      </c>
      <c r="V181">
        <v>0</v>
      </c>
      <c r="W181">
        <v>0</v>
      </c>
      <c r="X181">
        <v>0</v>
      </c>
      <c r="Y181">
        <v>588672000</v>
      </c>
      <c r="Z181">
        <v>0</v>
      </c>
      <c r="AA181">
        <v>613377000</v>
      </c>
      <c r="AB181">
        <v>11382000</v>
      </c>
      <c r="AC181">
        <v>-397181000</v>
      </c>
    </row>
    <row r="182" spans="1:29">
      <c r="A182" s="24">
        <v>42735</v>
      </c>
      <c r="B182" t="s">
        <v>45</v>
      </c>
      <c r="C182">
        <v>-448209000</v>
      </c>
      <c r="D182">
        <v>0</v>
      </c>
      <c r="E182">
        <v>0</v>
      </c>
      <c r="F182">
        <v>0</v>
      </c>
      <c r="G182">
        <v>0</v>
      </c>
      <c r="H182">
        <v>326939000</v>
      </c>
      <c r="I182">
        <v>681281000</v>
      </c>
      <c r="J182">
        <v>-102587000</v>
      </c>
      <c r="K182">
        <v>-287536000</v>
      </c>
      <c r="L182">
        <v>0</v>
      </c>
      <c r="M182">
        <v>-594751000</v>
      </c>
      <c r="N182">
        <v>1372827000</v>
      </c>
      <c r="O182">
        <v>0</v>
      </c>
      <c r="P182">
        <v>0</v>
      </c>
      <c r="Q182">
        <v>0</v>
      </c>
      <c r="R182">
        <v>0</v>
      </c>
      <c r="S182">
        <v>0</v>
      </c>
      <c r="T182">
        <v>0</v>
      </c>
      <c r="U182">
        <v>0</v>
      </c>
      <c r="V182">
        <v>0</v>
      </c>
      <c r="W182">
        <v>0</v>
      </c>
      <c r="X182">
        <v>0</v>
      </c>
      <c r="Y182">
        <v>190633000</v>
      </c>
      <c r="Z182">
        <v>0</v>
      </c>
      <c r="AA182">
        <v>308959000</v>
      </c>
      <c r="AB182">
        <v>-20908000</v>
      </c>
      <c r="AC182">
        <v>-219469000</v>
      </c>
    </row>
    <row r="183" spans="1:29">
      <c r="A183" s="24">
        <v>42643</v>
      </c>
      <c r="B183" t="s">
        <v>45</v>
      </c>
      <c r="C183">
        <v>423649000</v>
      </c>
      <c r="D183">
        <v>0</v>
      </c>
      <c r="E183">
        <v>0</v>
      </c>
      <c r="F183">
        <v>0</v>
      </c>
      <c r="G183">
        <v>0</v>
      </c>
      <c r="H183">
        <v>280468000</v>
      </c>
      <c r="I183">
        <v>247611000</v>
      </c>
      <c r="J183">
        <v>-109084000</v>
      </c>
      <c r="K183">
        <v>872600000</v>
      </c>
      <c r="L183">
        <v>0</v>
      </c>
      <c r="M183">
        <v>-268006000</v>
      </c>
      <c r="N183">
        <v>-320870000</v>
      </c>
      <c r="O183">
        <v>0</v>
      </c>
      <c r="P183">
        <v>0</v>
      </c>
      <c r="Q183">
        <v>0</v>
      </c>
      <c r="R183">
        <v>0</v>
      </c>
      <c r="S183">
        <v>0</v>
      </c>
      <c r="T183">
        <v>0</v>
      </c>
      <c r="U183">
        <v>0</v>
      </c>
      <c r="V183">
        <v>0</v>
      </c>
      <c r="W183">
        <v>0</v>
      </c>
      <c r="X183">
        <v>0</v>
      </c>
      <c r="Y183">
        <v>42983000</v>
      </c>
      <c r="Z183">
        <v>0</v>
      </c>
      <c r="AA183">
        <v>-162044000</v>
      </c>
      <c r="AB183">
        <v>3183000</v>
      </c>
      <c r="AC183">
        <v>21878000</v>
      </c>
    </row>
    <row r="184" spans="1:29">
      <c r="A184" s="24">
        <v>42551</v>
      </c>
      <c r="B184" t="s">
        <v>45</v>
      </c>
      <c r="C184">
        <v>150336000</v>
      </c>
      <c r="D184">
        <v>0</v>
      </c>
      <c r="E184">
        <v>0</v>
      </c>
      <c r="F184">
        <v>0</v>
      </c>
      <c r="G184">
        <v>0</v>
      </c>
      <c r="H184">
        <v>183232000</v>
      </c>
      <c r="I184">
        <v>294720000</v>
      </c>
      <c r="J184">
        <v>157901000</v>
      </c>
      <c r="K184">
        <v>-705260000</v>
      </c>
      <c r="L184">
        <v>0</v>
      </c>
      <c r="M184">
        <v>-319854000</v>
      </c>
      <c r="N184">
        <v>1976584000</v>
      </c>
      <c r="O184">
        <v>0</v>
      </c>
      <c r="P184">
        <v>0</v>
      </c>
      <c r="Q184">
        <v>0</v>
      </c>
      <c r="R184">
        <v>0</v>
      </c>
      <c r="S184">
        <v>0</v>
      </c>
      <c r="T184">
        <v>0</v>
      </c>
      <c r="U184">
        <v>0</v>
      </c>
      <c r="V184">
        <v>0</v>
      </c>
      <c r="W184">
        <v>0</v>
      </c>
      <c r="X184">
        <v>0</v>
      </c>
      <c r="Y184">
        <v>1759374000</v>
      </c>
      <c r="Z184">
        <v>0</v>
      </c>
      <c r="AA184">
        <v>1804512000</v>
      </c>
      <c r="AB184">
        <v>-2554000</v>
      </c>
      <c r="AC184">
        <v>-293188000</v>
      </c>
    </row>
    <row r="185" spans="1:29">
      <c r="A185" s="24">
        <v>42460</v>
      </c>
      <c r="B185" t="s">
        <v>45</v>
      </c>
      <c r="C185">
        <v>-249605000</v>
      </c>
      <c r="D185">
        <v>0</v>
      </c>
      <c r="E185">
        <v>0</v>
      </c>
      <c r="F185">
        <v>0</v>
      </c>
      <c r="G185">
        <v>0</v>
      </c>
      <c r="H185">
        <v>156460000</v>
      </c>
      <c r="I185">
        <v>216859000</v>
      </c>
      <c r="J185">
        <v>-159327000</v>
      </c>
      <c r="K185">
        <v>-512671000</v>
      </c>
      <c r="L185">
        <v>0</v>
      </c>
      <c r="M185">
        <v>-233819000</v>
      </c>
      <c r="N185">
        <v>715435000</v>
      </c>
      <c r="O185">
        <v>0</v>
      </c>
      <c r="P185">
        <v>0</v>
      </c>
      <c r="Q185">
        <v>0</v>
      </c>
      <c r="R185">
        <v>0</v>
      </c>
      <c r="S185">
        <v>0</v>
      </c>
      <c r="T185">
        <v>0</v>
      </c>
      <c r="U185">
        <v>0</v>
      </c>
      <c r="V185">
        <v>0</v>
      </c>
      <c r="W185">
        <v>0</v>
      </c>
      <c r="X185">
        <v>0</v>
      </c>
      <c r="Y185">
        <v>52838000</v>
      </c>
      <c r="Z185">
        <v>0</v>
      </c>
      <c r="AA185">
        <v>244881000</v>
      </c>
      <c r="AB185">
        <v>12870000</v>
      </c>
      <c r="AC185">
        <v>-282267000</v>
      </c>
    </row>
    <row r="186" spans="1:29">
      <c r="A186" s="24">
        <v>42369</v>
      </c>
      <c r="B186" t="s">
        <v>45</v>
      </c>
      <c r="C186">
        <v>-29849000</v>
      </c>
      <c r="D186">
        <v>0</v>
      </c>
      <c r="E186">
        <v>0</v>
      </c>
      <c r="F186">
        <v>0</v>
      </c>
      <c r="G186">
        <v>0</v>
      </c>
      <c r="H186">
        <v>143723000</v>
      </c>
      <c r="I186">
        <v>411222000</v>
      </c>
      <c r="J186">
        <v>-32106000</v>
      </c>
      <c r="K186">
        <v>-482478000</v>
      </c>
      <c r="L186">
        <v>0</v>
      </c>
      <c r="M186">
        <v>-414280000</v>
      </c>
      <c r="N186">
        <v>225038000</v>
      </c>
      <c r="O186">
        <v>0</v>
      </c>
      <c r="P186">
        <v>0</v>
      </c>
      <c r="Q186">
        <v>0</v>
      </c>
      <c r="R186">
        <v>0</v>
      </c>
      <c r="S186">
        <v>0</v>
      </c>
      <c r="T186">
        <v>0</v>
      </c>
      <c r="U186">
        <v>0</v>
      </c>
      <c r="V186">
        <v>0</v>
      </c>
      <c r="W186">
        <v>0</v>
      </c>
      <c r="X186">
        <v>0</v>
      </c>
      <c r="Y186">
        <v>-4440000</v>
      </c>
      <c r="Z186">
        <v>0</v>
      </c>
      <c r="AA186">
        <v>-229128000</v>
      </c>
      <c r="AB186">
        <v>-10037000</v>
      </c>
      <c r="AC186">
        <v>-320397000</v>
      </c>
    </row>
    <row r="187" spans="1:29">
      <c r="A187" s="24">
        <v>42277</v>
      </c>
      <c r="B187" t="s">
        <v>45</v>
      </c>
      <c r="C187">
        <v>-203340000</v>
      </c>
      <c r="D187">
        <v>0</v>
      </c>
      <c r="E187">
        <v>0</v>
      </c>
      <c r="F187">
        <v>0</v>
      </c>
      <c r="G187">
        <v>0</v>
      </c>
      <c r="H187">
        <v>110366000</v>
      </c>
      <c r="I187">
        <v>392403000</v>
      </c>
      <c r="J187">
        <v>15541000</v>
      </c>
      <c r="K187">
        <v>-385162000</v>
      </c>
      <c r="L187">
        <v>0</v>
      </c>
      <c r="M187">
        <v>-404090000</v>
      </c>
      <c r="N187">
        <v>893978000</v>
      </c>
      <c r="O187">
        <v>0</v>
      </c>
      <c r="P187">
        <v>0</v>
      </c>
      <c r="Q187">
        <v>0</v>
      </c>
      <c r="R187">
        <v>0</v>
      </c>
      <c r="S187">
        <v>0</v>
      </c>
      <c r="T187">
        <v>0</v>
      </c>
      <c r="U187">
        <v>0</v>
      </c>
      <c r="V187">
        <v>0</v>
      </c>
      <c r="W187">
        <v>0</v>
      </c>
      <c r="X187">
        <v>0</v>
      </c>
      <c r="Y187">
        <v>790399000</v>
      </c>
      <c r="Z187">
        <v>0</v>
      </c>
      <c r="AA187">
        <v>275363000</v>
      </c>
      <c r="AB187">
        <v>-11185000</v>
      </c>
      <c r="AC187">
        <v>-229858000</v>
      </c>
    </row>
    <row r="188" spans="1:29">
      <c r="A188" s="24">
        <v>42185</v>
      </c>
      <c r="B188" t="s">
        <v>45</v>
      </c>
      <c r="C188">
        <v>-159516000</v>
      </c>
      <c r="D188">
        <v>0</v>
      </c>
      <c r="E188">
        <v>0</v>
      </c>
      <c r="F188">
        <v>0</v>
      </c>
      <c r="G188">
        <v>0</v>
      </c>
      <c r="H188">
        <v>91389000</v>
      </c>
      <c r="I188">
        <v>405165000</v>
      </c>
      <c r="J188">
        <v>60657000</v>
      </c>
      <c r="K188">
        <v>-399011000</v>
      </c>
      <c r="L188">
        <v>0</v>
      </c>
      <c r="M188">
        <v>-422837000</v>
      </c>
      <c r="N188">
        <v>218351000</v>
      </c>
      <c r="O188">
        <v>0</v>
      </c>
      <c r="P188">
        <v>0</v>
      </c>
      <c r="Q188">
        <v>0</v>
      </c>
      <c r="R188">
        <v>0</v>
      </c>
      <c r="S188">
        <v>0</v>
      </c>
      <c r="T188">
        <v>0</v>
      </c>
      <c r="U188">
        <v>0</v>
      </c>
      <c r="V188">
        <v>0</v>
      </c>
      <c r="W188">
        <v>0</v>
      </c>
      <c r="X188">
        <v>0</v>
      </c>
      <c r="Y188">
        <v>19367000</v>
      </c>
      <c r="Z188">
        <v>0</v>
      </c>
      <c r="AA188">
        <v>-359403000</v>
      </c>
      <c r="AB188">
        <v>4599000</v>
      </c>
      <c r="AC188">
        <v>-184227000</v>
      </c>
    </row>
    <row r="189" spans="1:29">
      <c r="A189" s="24">
        <v>42094</v>
      </c>
      <c r="B189" t="s">
        <v>45</v>
      </c>
      <c r="C189">
        <v>-131794000</v>
      </c>
      <c r="D189">
        <v>0</v>
      </c>
      <c r="E189">
        <v>0</v>
      </c>
      <c r="F189">
        <v>0</v>
      </c>
      <c r="G189">
        <v>0</v>
      </c>
      <c r="H189">
        <v>77112000</v>
      </c>
      <c r="I189">
        <v>426060000</v>
      </c>
      <c r="J189">
        <v>2175000</v>
      </c>
      <c r="K189">
        <v>5901000</v>
      </c>
      <c r="L189">
        <v>0</v>
      </c>
      <c r="M189">
        <v>-432344000</v>
      </c>
      <c r="N189">
        <v>186156000</v>
      </c>
      <c r="O189">
        <v>0</v>
      </c>
      <c r="P189">
        <v>0</v>
      </c>
      <c r="Q189">
        <v>0</v>
      </c>
      <c r="R189">
        <v>0</v>
      </c>
      <c r="S189">
        <v>0</v>
      </c>
      <c r="T189">
        <v>0</v>
      </c>
      <c r="U189">
        <v>0</v>
      </c>
      <c r="V189">
        <v>0</v>
      </c>
      <c r="W189">
        <v>0</v>
      </c>
      <c r="X189">
        <v>0</v>
      </c>
      <c r="Y189">
        <v>34260000</v>
      </c>
      <c r="Z189">
        <v>0</v>
      </c>
      <c r="AA189">
        <v>-395637000</v>
      </c>
      <c r="AB189">
        <v>-17655000</v>
      </c>
      <c r="AC189">
        <v>-154181000</v>
      </c>
    </row>
    <row r="190" spans="1:29">
      <c r="A190" s="24">
        <v>42004</v>
      </c>
      <c r="B190" t="s">
        <v>45</v>
      </c>
      <c r="C190">
        <v>-86402000</v>
      </c>
      <c r="D190">
        <v>0</v>
      </c>
      <c r="E190">
        <v>0</v>
      </c>
      <c r="F190">
        <v>0</v>
      </c>
      <c r="G190">
        <v>0</v>
      </c>
      <c r="H190">
        <v>67976000</v>
      </c>
      <c r="I190">
        <v>368661000</v>
      </c>
      <c r="J190">
        <v>-74486000</v>
      </c>
      <c r="K190">
        <v>-377601000</v>
      </c>
      <c r="L190">
        <v>0</v>
      </c>
      <c r="M190">
        <v>-372231000</v>
      </c>
      <c r="N190">
        <v>11325000</v>
      </c>
      <c r="O190">
        <v>0</v>
      </c>
      <c r="P190">
        <v>0</v>
      </c>
      <c r="Q190">
        <v>0</v>
      </c>
      <c r="R190">
        <v>0</v>
      </c>
      <c r="S190">
        <v>0</v>
      </c>
      <c r="T190">
        <v>0</v>
      </c>
      <c r="U190">
        <v>0</v>
      </c>
      <c r="V190">
        <v>0</v>
      </c>
      <c r="W190">
        <v>0</v>
      </c>
      <c r="X190">
        <v>0</v>
      </c>
      <c r="Y190">
        <v>-24619000</v>
      </c>
      <c r="Z190">
        <v>0</v>
      </c>
      <c r="AA190">
        <v>-482833000</v>
      </c>
      <c r="AB190">
        <v>-17714000</v>
      </c>
      <c r="AC190">
        <v>-107629000</v>
      </c>
    </row>
    <row r="191" spans="1:29">
      <c r="A191" s="24">
        <v>41912</v>
      </c>
      <c r="B191" t="s">
        <v>45</v>
      </c>
      <c r="C191">
        <v>-27996000</v>
      </c>
      <c r="D191">
        <v>0</v>
      </c>
      <c r="E191">
        <v>0</v>
      </c>
      <c r="F191">
        <v>0</v>
      </c>
      <c r="G191">
        <v>0</v>
      </c>
      <c r="H191">
        <v>64972000</v>
      </c>
      <c r="I191">
        <v>284175000</v>
      </c>
      <c r="J191">
        <v>-61241000</v>
      </c>
      <c r="K191">
        <v>-214531000</v>
      </c>
      <c r="L191">
        <v>0</v>
      </c>
      <c r="M191">
        <v>-291643000</v>
      </c>
      <c r="N191">
        <v>33754000</v>
      </c>
      <c r="O191">
        <v>0</v>
      </c>
      <c r="P191">
        <v>0</v>
      </c>
      <c r="Q191">
        <v>0</v>
      </c>
      <c r="R191">
        <v>0</v>
      </c>
      <c r="S191">
        <v>0</v>
      </c>
      <c r="T191">
        <v>0</v>
      </c>
      <c r="U191">
        <v>0</v>
      </c>
      <c r="V191">
        <v>0</v>
      </c>
      <c r="W191">
        <v>0</v>
      </c>
      <c r="X191">
        <v>0</v>
      </c>
      <c r="Y191">
        <v>36810000</v>
      </c>
      <c r="Z191">
        <v>0</v>
      </c>
      <c r="AA191">
        <v>-285885000</v>
      </c>
      <c r="AB191">
        <v>-18290000</v>
      </c>
      <c r="AC191">
        <v>-74709000</v>
      </c>
    </row>
    <row r="192" spans="1:29">
      <c r="A192" s="24">
        <v>41820</v>
      </c>
      <c r="B192" t="s">
        <v>45</v>
      </c>
      <c r="C192">
        <v>-1662000</v>
      </c>
      <c r="D192">
        <v>0</v>
      </c>
      <c r="E192">
        <v>0</v>
      </c>
      <c r="F192">
        <v>0</v>
      </c>
      <c r="G192">
        <v>0</v>
      </c>
      <c r="H192">
        <v>54715000</v>
      </c>
      <c r="I192">
        <v>175685000</v>
      </c>
      <c r="J192">
        <v>-24131000</v>
      </c>
      <c r="K192">
        <v>-259538000</v>
      </c>
      <c r="L192">
        <v>0</v>
      </c>
      <c r="M192">
        <v>2610000</v>
      </c>
      <c r="N192">
        <v>281492000</v>
      </c>
      <c r="O192">
        <v>0</v>
      </c>
      <c r="P192">
        <v>0</v>
      </c>
      <c r="Q192">
        <v>0</v>
      </c>
      <c r="R192">
        <v>0</v>
      </c>
      <c r="S192">
        <v>0</v>
      </c>
      <c r="T192">
        <v>0</v>
      </c>
      <c r="U192">
        <v>0</v>
      </c>
      <c r="V192">
        <v>0</v>
      </c>
      <c r="W192">
        <v>0</v>
      </c>
      <c r="X192">
        <v>0</v>
      </c>
      <c r="Y192">
        <v>68149000</v>
      </c>
      <c r="Z192">
        <v>0</v>
      </c>
      <c r="AA192">
        <v>280523000</v>
      </c>
      <c r="AB192">
        <v>479000</v>
      </c>
      <c r="AC192">
        <v>-61902000</v>
      </c>
    </row>
    <row r="193" spans="1:29">
      <c r="A193" s="24">
        <v>41729</v>
      </c>
      <c r="B193" t="s">
        <v>45</v>
      </c>
      <c r="C193">
        <v>58723000</v>
      </c>
      <c r="D193">
        <v>0</v>
      </c>
      <c r="E193">
        <v>0</v>
      </c>
      <c r="F193">
        <v>0</v>
      </c>
      <c r="G193">
        <v>0</v>
      </c>
      <c r="H193">
        <v>52761000</v>
      </c>
      <c r="I193">
        <v>141364000</v>
      </c>
      <c r="J193">
        <v>-23800000</v>
      </c>
      <c r="K193">
        <v>-197734000</v>
      </c>
      <c r="L193">
        <v>0</v>
      </c>
      <c r="M193">
        <v>-329180000</v>
      </c>
      <c r="N193">
        <v>1816559000</v>
      </c>
      <c r="O193">
        <v>0</v>
      </c>
      <c r="P193">
        <v>0</v>
      </c>
      <c r="Q193">
        <v>0</v>
      </c>
      <c r="R193">
        <v>0</v>
      </c>
      <c r="S193">
        <v>0</v>
      </c>
      <c r="T193">
        <v>0</v>
      </c>
      <c r="U193">
        <v>0</v>
      </c>
      <c r="V193">
        <v>0</v>
      </c>
      <c r="W193">
        <v>0</v>
      </c>
      <c r="X193">
        <v>0</v>
      </c>
      <c r="Y193">
        <v>374126000</v>
      </c>
      <c r="Z193">
        <v>0</v>
      </c>
      <c r="AA193">
        <v>1548019000</v>
      </c>
      <c r="AB193">
        <v>0</v>
      </c>
      <c r="AC193">
        <v>-49800000</v>
      </c>
    </row>
    <row r="194" spans="1:29">
      <c r="A194" s="24">
        <v>41639</v>
      </c>
      <c r="B194" t="s">
        <v>45</v>
      </c>
      <c r="C194">
        <v>129762000</v>
      </c>
      <c r="D194">
        <v>0</v>
      </c>
      <c r="E194">
        <v>0</v>
      </c>
      <c r="F194">
        <v>0</v>
      </c>
      <c r="G194">
        <v>0</v>
      </c>
      <c r="H194">
        <v>37585000</v>
      </c>
      <c r="I194">
        <v>89434000</v>
      </c>
      <c r="J194">
        <v>-1179000</v>
      </c>
      <c r="K194">
        <v>-102144000</v>
      </c>
      <c r="L194">
        <v>0</v>
      </c>
      <c r="M194">
        <v>-89505000</v>
      </c>
      <c r="N194">
        <v>10516000</v>
      </c>
      <c r="O194">
        <v>0</v>
      </c>
      <c r="P194">
        <v>0</v>
      </c>
      <c r="Q194">
        <v>0</v>
      </c>
      <c r="R194">
        <v>0</v>
      </c>
      <c r="S194">
        <v>0</v>
      </c>
      <c r="T194">
        <v>0</v>
      </c>
      <c r="U194">
        <v>0</v>
      </c>
      <c r="V194">
        <v>0</v>
      </c>
      <c r="W194">
        <v>0</v>
      </c>
      <c r="X194">
        <v>0</v>
      </c>
      <c r="Y194">
        <v>12561000</v>
      </c>
      <c r="Z194">
        <v>0</v>
      </c>
      <c r="AA194">
        <v>50773000</v>
      </c>
      <c r="AB194">
        <v>0</v>
      </c>
      <c r="AC194">
        <v>-16264000</v>
      </c>
    </row>
    <row r="195" spans="1:29">
      <c r="A195" s="24">
        <v>41547</v>
      </c>
      <c r="B195" t="s">
        <v>45</v>
      </c>
      <c r="C195">
        <v>102036000</v>
      </c>
      <c r="D195">
        <v>0</v>
      </c>
      <c r="E195">
        <v>0</v>
      </c>
      <c r="F195">
        <v>0</v>
      </c>
      <c r="G195">
        <v>0</v>
      </c>
      <c r="H195">
        <v>28450000</v>
      </c>
      <c r="I195">
        <v>76548000</v>
      </c>
      <c r="J195">
        <v>65964000</v>
      </c>
      <c r="K195">
        <v>-229171000</v>
      </c>
      <c r="L195">
        <v>0</v>
      </c>
      <c r="M195">
        <v>-77502000</v>
      </c>
      <c r="N195">
        <v>24215000</v>
      </c>
      <c r="O195">
        <v>0</v>
      </c>
      <c r="P195">
        <v>0</v>
      </c>
      <c r="Q195">
        <v>0</v>
      </c>
      <c r="R195">
        <v>0</v>
      </c>
      <c r="S195">
        <v>0</v>
      </c>
      <c r="T195">
        <v>0</v>
      </c>
      <c r="U195">
        <v>0</v>
      </c>
      <c r="V195">
        <v>0</v>
      </c>
      <c r="W195">
        <v>0</v>
      </c>
      <c r="X195">
        <v>0</v>
      </c>
      <c r="Y195">
        <v>10754000</v>
      </c>
      <c r="Z195">
        <v>0</v>
      </c>
      <c r="AA195">
        <v>49059000</v>
      </c>
      <c r="AB195">
        <v>0</v>
      </c>
      <c r="AC195">
        <v>-38496000</v>
      </c>
    </row>
    <row r="196" spans="1:29">
      <c r="A196" s="24">
        <v>41455</v>
      </c>
      <c r="B196" t="s">
        <v>45</v>
      </c>
      <c r="C196">
        <v>-35298000</v>
      </c>
      <c r="D196">
        <v>0</v>
      </c>
      <c r="E196">
        <v>0</v>
      </c>
      <c r="F196">
        <v>0</v>
      </c>
      <c r="G196">
        <v>0</v>
      </c>
      <c r="H196">
        <v>22198000</v>
      </c>
      <c r="I196">
        <v>40515000</v>
      </c>
      <c r="J196">
        <v>-67405000</v>
      </c>
      <c r="K196">
        <v>-147466000</v>
      </c>
      <c r="L196">
        <v>0</v>
      </c>
      <c r="M196">
        <v>-27174000</v>
      </c>
      <c r="N196">
        <v>597007000</v>
      </c>
      <c r="O196">
        <v>0</v>
      </c>
      <c r="P196">
        <v>0</v>
      </c>
      <c r="Q196">
        <v>0</v>
      </c>
      <c r="R196">
        <v>0</v>
      </c>
      <c r="S196">
        <v>0</v>
      </c>
      <c r="T196">
        <v>0</v>
      </c>
      <c r="U196">
        <v>0</v>
      </c>
      <c r="V196">
        <v>0</v>
      </c>
      <c r="W196">
        <v>0</v>
      </c>
      <c r="X196">
        <v>0</v>
      </c>
      <c r="Y196">
        <v>212506000</v>
      </c>
      <c r="Z196">
        <v>0</v>
      </c>
      <c r="AA196">
        <v>531640000</v>
      </c>
      <c r="AB196">
        <v>0</v>
      </c>
      <c r="AC196">
        <v>-30502000</v>
      </c>
    </row>
    <row r="197" spans="1:29">
      <c r="A197" s="24">
        <v>41364</v>
      </c>
      <c r="B197" t="s">
        <v>45</v>
      </c>
      <c r="C197">
        <v>64079000</v>
      </c>
      <c r="D197">
        <v>0</v>
      </c>
      <c r="E197">
        <v>0</v>
      </c>
      <c r="F197">
        <v>0</v>
      </c>
      <c r="G197">
        <v>0</v>
      </c>
      <c r="H197">
        <v>17850000</v>
      </c>
      <c r="I197">
        <v>57727000</v>
      </c>
      <c r="J197">
        <v>-19297000</v>
      </c>
      <c r="K197">
        <v>18220000</v>
      </c>
      <c r="L197">
        <v>0</v>
      </c>
      <c r="M197">
        <v>-55236000</v>
      </c>
      <c r="N197">
        <v>3684000</v>
      </c>
      <c r="O197">
        <v>0</v>
      </c>
      <c r="P197">
        <v>0</v>
      </c>
      <c r="Q197">
        <v>0</v>
      </c>
      <c r="R197">
        <v>0</v>
      </c>
      <c r="S197">
        <v>0</v>
      </c>
      <c r="T197">
        <v>0</v>
      </c>
      <c r="U197">
        <v>0</v>
      </c>
      <c r="V197">
        <v>0</v>
      </c>
      <c r="W197">
        <v>0</v>
      </c>
      <c r="X197">
        <v>0</v>
      </c>
      <c r="Y197">
        <v>17903000</v>
      </c>
      <c r="Z197">
        <v>0</v>
      </c>
      <c r="AA197">
        <v>12527000</v>
      </c>
      <c r="AB197">
        <v>0</v>
      </c>
      <c r="AC197">
        <v>11248000</v>
      </c>
    </row>
    <row r="198" spans="1:29">
      <c r="A198" s="24">
        <v>41274</v>
      </c>
      <c r="B198" t="s">
        <v>45</v>
      </c>
      <c r="C198">
        <v>-60061000</v>
      </c>
      <c r="D198">
        <v>0</v>
      </c>
      <c r="E198">
        <v>0</v>
      </c>
      <c r="F198">
        <v>0</v>
      </c>
      <c r="G198">
        <v>0</v>
      </c>
      <c r="H198">
        <v>12792000</v>
      </c>
      <c r="I198">
        <v>41483000</v>
      </c>
      <c r="J198">
        <v>-17678000</v>
      </c>
      <c r="K198">
        <v>-90694000</v>
      </c>
      <c r="L198">
        <v>0</v>
      </c>
      <c r="M198">
        <v>-38187000</v>
      </c>
      <c r="N198">
        <v>214445000</v>
      </c>
      <c r="O198">
        <v>0</v>
      </c>
      <c r="P198">
        <v>0</v>
      </c>
      <c r="Q198">
        <v>0</v>
      </c>
      <c r="R198">
        <v>0</v>
      </c>
      <c r="S198">
        <v>0</v>
      </c>
      <c r="T198">
        <v>0</v>
      </c>
      <c r="U198">
        <v>0</v>
      </c>
      <c r="V198">
        <v>0</v>
      </c>
      <c r="W198">
        <v>0</v>
      </c>
      <c r="X198">
        <v>0</v>
      </c>
      <c r="Y198">
        <v>6807000</v>
      </c>
      <c r="Z198">
        <v>0</v>
      </c>
      <c r="AA198">
        <v>116197000</v>
      </c>
      <c r="AB198">
        <v>0</v>
      </c>
      <c r="AC198">
        <v>-89931000</v>
      </c>
    </row>
    <row r="199" spans="1:29">
      <c r="A199" s="24">
        <v>41182</v>
      </c>
      <c r="B199" t="s">
        <v>45</v>
      </c>
      <c r="C199">
        <v>-101026000</v>
      </c>
      <c r="D199">
        <v>0</v>
      </c>
      <c r="E199">
        <v>0</v>
      </c>
      <c r="F199">
        <v>0</v>
      </c>
      <c r="G199">
        <v>0</v>
      </c>
      <c r="H199">
        <v>7521000</v>
      </c>
      <c r="I199">
        <v>68472000</v>
      </c>
      <c r="J199">
        <v>1858000</v>
      </c>
      <c r="K199">
        <v>-85594000</v>
      </c>
      <c r="L199">
        <v>0</v>
      </c>
      <c r="M199">
        <v>-70088000</v>
      </c>
      <c r="N199">
        <v>40179000</v>
      </c>
      <c r="O199">
        <v>0</v>
      </c>
      <c r="P199">
        <v>0</v>
      </c>
      <c r="Q199">
        <v>0</v>
      </c>
      <c r="R199">
        <v>0</v>
      </c>
      <c r="S199">
        <v>0</v>
      </c>
      <c r="T199">
        <v>0</v>
      </c>
      <c r="U199">
        <v>0</v>
      </c>
      <c r="V199">
        <v>0</v>
      </c>
      <c r="W199">
        <v>0</v>
      </c>
      <c r="X199">
        <v>0</v>
      </c>
      <c r="Y199">
        <v>7687000</v>
      </c>
      <c r="Z199">
        <v>0</v>
      </c>
      <c r="AA199">
        <v>-124861000</v>
      </c>
      <c r="AB199">
        <v>0</v>
      </c>
      <c r="AC199">
        <v>-110806000</v>
      </c>
    </row>
    <row r="200" spans="1:29">
      <c r="A200" s="24">
        <v>41090</v>
      </c>
      <c r="B200" t="s">
        <v>45</v>
      </c>
      <c r="C200">
        <v>-64264000</v>
      </c>
      <c r="D200">
        <v>0</v>
      </c>
      <c r="E200">
        <v>0</v>
      </c>
      <c r="F200">
        <v>0</v>
      </c>
      <c r="G200">
        <v>0</v>
      </c>
      <c r="H200">
        <v>4348000</v>
      </c>
      <c r="I200">
        <v>61286000</v>
      </c>
      <c r="J200">
        <v>2567000</v>
      </c>
      <c r="K200">
        <v>-12838000</v>
      </c>
      <c r="L200">
        <v>0</v>
      </c>
      <c r="M200">
        <v>-19215000</v>
      </c>
      <c r="N200">
        <v>72180000</v>
      </c>
      <c r="O200">
        <v>0</v>
      </c>
      <c r="P200">
        <v>0</v>
      </c>
      <c r="Q200">
        <v>0</v>
      </c>
      <c r="R200">
        <v>0</v>
      </c>
      <c r="S200">
        <v>0</v>
      </c>
      <c r="T200">
        <v>0</v>
      </c>
      <c r="U200">
        <v>0</v>
      </c>
      <c r="V200">
        <v>0</v>
      </c>
      <c r="W200">
        <v>0</v>
      </c>
      <c r="X200">
        <v>0</v>
      </c>
      <c r="Y200">
        <v>1398000</v>
      </c>
      <c r="Z200">
        <v>0</v>
      </c>
      <c r="AA200">
        <v>-8016000</v>
      </c>
      <c r="AB200">
        <v>0</v>
      </c>
      <c r="AC200">
        <v>-105603000</v>
      </c>
    </row>
    <row r="201" spans="1:29">
      <c r="A201" s="24">
        <v>40999</v>
      </c>
      <c r="B201" t="s">
        <v>45</v>
      </c>
      <c r="C201">
        <v>-63300000</v>
      </c>
      <c r="D201">
        <v>0</v>
      </c>
      <c r="E201">
        <v>0</v>
      </c>
      <c r="F201">
        <v>0</v>
      </c>
      <c r="G201">
        <v>0</v>
      </c>
      <c r="H201">
        <v>4163000</v>
      </c>
      <c r="I201">
        <v>67987000</v>
      </c>
      <c r="J201">
        <v>-4050000</v>
      </c>
      <c r="K201">
        <v>2612000</v>
      </c>
      <c r="L201">
        <v>0</v>
      </c>
      <c r="M201">
        <v>-79440000</v>
      </c>
      <c r="N201">
        <v>92831000</v>
      </c>
      <c r="O201">
        <v>0</v>
      </c>
      <c r="P201">
        <v>0</v>
      </c>
      <c r="Q201">
        <v>0</v>
      </c>
      <c r="R201">
        <v>0</v>
      </c>
      <c r="S201">
        <v>0</v>
      </c>
      <c r="T201">
        <v>0</v>
      </c>
      <c r="U201">
        <v>0</v>
      </c>
      <c r="V201">
        <v>0</v>
      </c>
      <c r="W201">
        <v>0</v>
      </c>
      <c r="X201">
        <v>0</v>
      </c>
      <c r="Y201">
        <v>8993000</v>
      </c>
      <c r="Z201">
        <v>0</v>
      </c>
      <c r="AA201">
        <v>-36696000</v>
      </c>
      <c r="AB201">
        <v>0</v>
      </c>
      <c r="AC201">
        <v>-89873000</v>
      </c>
    </row>
    <row r="202" spans="1:29">
      <c r="A202" s="24">
        <v>40908</v>
      </c>
      <c r="B202" t="s">
        <v>45</v>
      </c>
      <c r="C202">
        <v>-27088000</v>
      </c>
      <c r="D202">
        <v>0</v>
      </c>
      <c r="E202">
        <v>0</v>
      </c>
      <c r="F202">
        <v>0</v>
      </c>
      <c r="G202">
        <v>0</v>
      </c>
      <c r="H202">
        <v>4804000</v>
      </c>
      <c r="I202">
        <v>54262000</v>
      </c>
      <c r="J202">
        <v>0</v>
      </c>
      <c r="K202">
        <v>12659000</v>
      </c>
      <c r="L202">
        <v>0</v>
      </c>
      <c r="M202">
        <v>-175928000</v>
      </c>
      <c r="N202">
        <v>53773000</v>
      </c>
      <c r="O202">
        <v>0</v>
      </c>
      <c r="P202">
        <v>0</v>
      </c>
      <c r="Q202">
        <v>0</v>
      </c>
      <c r="R202">
        <v>0</v>
      </c>
      <c r="S202">
        <v>0</v>
      </c>
      <c r="T202">
        <v>0</v>
      </c>
      <c r="U202">
        <v>0</v>
      </c>
      <c r="V202">
        <v>0</v>
      </c>
      <c r="W202">
        <v>0</v>
      </c>
      <c r="X202">
        <v>0</v>
      </c>
      <c r="Y202">
        <v>0</v>
      </c>
      <c r="Z202">
        <v>0</v>
      </c>
      <c r="AA202">
        <v>0</v>
      </c>
      <c r="AB202">
        <v>0</v>
      </c>
      <c r="AC202">
        <v>-81489000</v>
      </c>
    </row>
    <row r="203" spans="1:29">
      <c r="A203" s="24">
        <v>40816</v>
      </c>
      <c r="B203" t="s">
        <v>45</v>
      </c>
      <c r="C203">
        <v>-21491000</v>
      </c>
      <c r="D203">
        <v>0</v>
      </c>
      <c r="E203">
        <v>0</v>
      </c>
      <c r="F203">
        <v>0</v>
      </c>
      <c r="G203">
        <v>0</v>
      </c>
      <c r="H203">
        <v>4280000</v>
      </c>
      <c r="I203">
        <v>68844000</v>
      </c>
      <c r="J203">
        <v>0</v>
      </c>
      <c r="K203">
        <v>2133000</v>
      </c>
      <c r="L203">
        <v>0</v>
      </c>
      <c r="M203">
        <v>-191181000</v>
      </c>
      <c r="N203">
        <v>93609000</v>
      </c>
      <c r="O203">
        <v>0</v>
      </c>
      <c r="P203">
        <v>0</v>
      </c>
      <c r="Q203">
        <v>0</v>
      </c>
      <c r="R203">
        <v>0</v>
      </c>
      <c r="S203">
        <v>0</v>
      </c>
      <c r="T203">
        <v>0</v>
      </c>
      <c r="U203">
        <v>0</v>
      </c>
      <c r="V203">
        <v>0</v>
      </c>
      <c r="W203">
        <v>0</v>
      </c>
      <c r="X203">
        <v>0</v>
      </c>
      <c r="Y203">
        <v>0</v>
      </c>
      <c r="Z203">
        <v>0</v>
      </c>
      <c r="AA203">
        <v>0</v>
      </c>
      <c r="AB203">
        <v>0</v>
      </c>
      <c r="AC203">
        <v>-65078000</v>
      </c>
    </row>
    <row r="204" spans="1:29">
      <c r="A204" s="24">
        <v>40724</v>
      </c>
      <c r="B204" t="s">
        <v>45</v>
      </c>
      <c r="C204">
        <v>-22488000</v>
      </c>
      <c r="D204">
        <v>0</v>
      </c>
      <c r="E204">
        <v>0</v>
      </c>
      <c r="F204">
        <v>0</v>
      </c>
      <c r="G204">
        <v>0</v>
      </c>
      <c r="H204">
        <v>4318000</v>
      </c>
      <c r="I204">
        <v>54314000</v>
      </c>
      <c r="J204">
        <v>0</v>
      </c>
      <c r="K204">
        <v>-7483000</v>
      </c>
      <c r="L204">
        <v>0</v>
      </c>
      <c r="M204">
        <v>-13011000</v>
      </c>
      <c r="N204">
        <v>264335000</v>
      </c>
      <c r="O204">
        <v>0</v>
      </c>
      <c r="P204">
        <v>0</v>
      </c>
      <c r="Q204">
        <v>0</v>
      </c>
      <c r="R204">
        <v>0</v>
      </c>
      <c r="S204">
        <v>0</v>
      </c>
      <c r="T204">
        <v>0</v>
      </c>
      <c r="U204">
        <v>0</v>
      </c>
      <c r="V204">
        <v>0</v>
      </c>
      <c r="W204">
        <v>0</v>
      </c>
      <c r="X204">
        <v>0</v>
      </c>
      <c r="Y204">
        <v>0</v>
      </c>
      <c r="Z204">
        <v>0</v>
      </c>
      <c r="AA204">
        <v>0</v>
      </c>
      <c r="AB204">
        <v>0</v>
      </c>
      <c r="AC204">
        <v>-58903000</v>
      </c>
    </row>
    <row r="205" spans="1:29">
      <c r="A205" s="24">
        <v>40633</v>
      </c>
      <c r="B205" t="s">
        <v>45</v>
      </c>
      <c r="C205">
        <v>-43297000</v>
      </c>
      <c r="D205">
        <v>0</v>
      </c>
      <c r="E205">
        <v>0</v>
      </c>
      <c r="F205">
        <v>0</v>
      </c>
      <c r="G205">
        <v>0</v>
      </c>
      <c r="H205">
        <v>3517000</v>
      </c>
      <c r="I205">
        <v>20476000</v>
      </c>
      <c r="J205">
        <v>0</v>
      </c>
      <c r="K205">
        <v>-5481000</v>
      </c>
      <c r="L205">
        <v>0</v>
      </c>
      <c r="M205">
        <v>10111000</v>
      </c>
      <c r="N205">
        <v>34283000</v>
      </c>
      <c r="O205">
        <v>0</v>
      </c>
      <c r="P205">
        <v>0</v>
      </c>
      <c r="Q205">
        <v>0</v>
      </c>
      <c r="R205">
        <v>0</v>
      </c>
      <c r="S205">
        <v>0</v>
      </c>
      <c r="T205">
        <v>0</v>
      </c>
      <c r="U205">
        <v>0</v>
      </c>
      <c r="V205">
        <v>0</v>
      </c>
      <c r="W205">
        <v>0</v>
      </c>
      <c r="X205">
        <v>0</v>
      </c>
      <c r="Y205">
        <v>0</v>
      </c>
      <c r="Z205">
        <v>0</v>
      </c>
      <c r="AA205">
        <v>0</v>
      </c>
      <c r="AB205">
        <v>0</v>
      </c>
      <c r="AC205">
        <v>-48941000</v>
      </c>
    </row>
    <row r="206" spans="1:29">
      <c r="A206" s="24">
        <v>40543</v>
      </c>
      <c r="B206" t="s">
        <v>45</v>
      </c>
      <c r="C206">
        <v>-34284000</v>
      </c>
      <c r="D206">
        <v>0</v>
      </c>
      <c r="E206">
        <v>0</v>
      </c>
      <c r="F206">
        <v>0</v>
      </c>
      <c r="G206">
        <v>0</v>
      </c>
      <c r="H206">
        <v>2890000</v>
      </c>
      <c r="I206">
        <v>17148000</v>
      </c>
      <c r="J206">
        <v>0</v>
      </c>
      <c r="K206">
        <v>17888000</v>
      </c>
      <c r="L206">
        <v>0</v>
      </c>
      <c r="M206">
        <v>0</v>
      </c>
      <c r="N206">
        <v>45829000</v>
      </c>
      <c r="O206">
        <v>0</v>
      </c>
      <c r="P206">
        <v>0</v>
      </c>
      <c r="Q206">
        <v>0</v>
      </c>
      <c r="R206">
        <v>0</v>
      </c>
      <c r="S206">
        <v>0</v>
      </c>
      <c r="T206">
        <v>0</v>
      </c>
      <c r="U206">
        <v>0</v>
      </c>
      <c r="V206">
        <v>0</v>
      </c>
      <c r="W206">
        <v>0</v>
      </c>
      <c r="X206">
        <v>0</v>
      </c>
      <c r="Y206">
        <v>0</v>
      </c>
      <c r="Z206">
        <v>0</v>
      </c>
      <c r="AA206">
        <v>0</v>
      </c>
      <c r="AB206">
        <v>0</v>
      </c>
      <c r="AC206">
        <v>-51358000</v>
      </c>
    </row>
    <row r="207" spans="1:29">
      <c r="A207" s="24">
        <v>40451</v>
      </c>
      <c r="B207" t="s">
        <v>45</v>
      </c>
      <c r="C207">
        <v>-45957000</v>
      </c>
      <c r="D207">
        <v>0</v>
      </c>
      <c r="E207">
        <v>0</v>
      </c>
      <c r="F207">
        <v>0</v>
      </c>
      <c r="G207">
        <v>0</v>
      </c>
      <c r="H207">
        <v>3109000</v>
      </c>
      <c r="I207">
        <v>7768000</v>
      </c>
      <c r="J207">
        <v>0</v>
      </c>
      <c r="K207">
        <v>-10290000</v>
      </c>
      <c r="L207">
        <v>0</v>
      </c>
      <c r="M207">
        <v>0</v>
      </c>
      <c r="N207">
        <v>249895000</v>
      </c>
      <c r="O207">
        <v>0</v>
      </c>
      <c r="P207">
        <v>0</v>
      </c>
      <c r="Q207">
        <v>0</v>
      </c>
      <c r="R207">
        <v>0</v>
      </c>
      <c r="S207">
        <v>0</v>
      </c>
      <c r="T207">
        <v>0</v>
      </c>
      <c r="U207">
        <v>0</v>
      </c>
      <c r="V207">
        <v>0</v>
      </c>
      <c r="W207">
        <v>0</v>
      </c>
      <c r="X207">
        <v>0</v>
      </c>
      <c r="Y207">
        <v>0</v>
      </c>
      <c r="Z207">
        <v>0</v>
      </c>
      <c r="AA207">
        <v>0</v>
      </c>
      <c r="AB207">
        <v>0</v>
      </c>
      <c r="AC207">
        <v>-34934000</v>
      </c>
    </row>
    <row r="208" spans="1:29">
      <c r="A208" s="24">
        <v>40359</v>
      </c>
      <c r="B208" t="s">
        <v>45</v>
      </c>
      <c r="C208">
        <v>-17862000</v>
      </c>
      <c r="D208">
        <v>0</v>
      </c>
      <c r="E208">
        <v>0</v>
      </c>
      <c r="F208">
        <v>0</v>
      </c>
      <c r="G208">
        <v>0</v>
      </c>
      <c r="H208">
        <v>2483000</v>
      </c>
      <c r="I208">
        <v>12200000</v>
      </c>
      <c r="J208">
        <v>0</v>
      </c>
      <c r="K208">
        <v>-1140000</v>
      </c>
      <c r="L208">
        <v>0</v>
      </c>
      <c r="M208">
        <v>0</v>
      </c>
      <c r="N208">
        <v>13694000</v>
      </c>
      <c r="O208">
        <v>0</v>
      </c>
      <c r="P208">
        <v>0</v>
      </c>
      <c r="Q208">
        <v>0</v>
      </c>
      <c r="R208">
        <v>0</v>
      </c>
      <c r="S208">
        <v>0</v>
      </c>
      <c r="T208">
        <v>0</v>
      </c>
      <c r="U208">
        <v>0</v>
      </c>
      <c r="V208">
        <v>0</v>
      </c>
      <c r="W208">
        <v>0</v>
      </c>
      <c r="X208">
        <v>0</v>
      </c>
      <c r="Y208">
        <v>0</v>
      </c>
      <c r="Z208">
        <v>0</v>
      </c>
      <c r="AA208">
        <v>0</v>
      </c>
      <c r="AB208">
        <v>0</v>
      </c>
      <c r="AC208">
        <v>-38517000</v>
      </c>
    </row>
    <row r="209" spans="1:29">
      <c r="A209" s="24">
        <v>40268</v>
      </c>
      <c r="B209" t="s">
        <v>45</v>
      </c>
      <c r="C209">
        <v>-27329000</v>
      </c>
      <c r="D209">
        <v>0</v>
      </c>
      <c r="E209">
        <v>0</v>
      </c>
      <c r="F209">
        <v>0</v>
      </c>
      <c r="G209">
        <v>0</v>
      </c>
      <c r="H209">
        <v>2141000</v>
      </c>
      <c r="I209">
        <v>5472000</v>
      </c>
      <c r="J209">
        <v>0</v>
      </c>
      <c r="K209">
        <v>-5507000</v>
      </c>
      <c r="L209">
        <v>0</v>
      </c>
      <c r="M209">
        <v>0</v>
      </c>
      <c r="N209">
        <v>28627000</v>
      </c>
      <c r="O209">
        <v>0</v>
      </c>
      <c r="P209">
        <v>0</v>
      </c>
      <c r="Q209">
        <v>0</v>
      </c>
      <c r="R209">
        <v>0</v>
      </c>
      <c r="S209">
        <v>0</v>
      </c>
      <c r="T209">
        <v>0</v>
      </c>
      <c r="U209">
        <v>0</v>
      </c>
      <c r="V209">
        <v>0</v>
      </c>
      <c r="W209">
        <v>0</v>
      </c>
      <c r="X209">
        <v>0</v>
      </c>
      <c r="Y209">
        <v>0</v>
      </c>
      <c r="Z209">
        <v>0</v>
      </c>
      <c r="AA209">
        <v>0</v>
      </c>
      <c r="AB209">
        <v>0</v>
      </c>
      <c r="AC209">
        <v>-29519000</v>
      </c>
    </row>
    <row r="210" spans="1:29">
      <c r="A210" s="24">
        <v>40178</v>
      </c>
      <c r="B210" t="s">
        <v>45</v>
      </c>
      <c r="C210">
        <v>-29007000</v>
      </c>
      <c r="D210">
        <v>0</v>
      </c>
      <c r="E210">
        <v>0</v>
      </c>
      <c r="F210">
        <v>0</v>
      </c>
      <c r="G210">
        <v>0</v>
      </c>
      <c r="H210">
        <v>1935000</v>
      </c>
      <c r="I210">
        <v>6199000</v>
      </c>
      <c r="J210">
        <v>0</v>
      </c>
      <c r="K210">
        <v>-4922000</v>
      </c>
      <c r="L210">
        <v>0</v>
      </c>
      <c r="M210">
        <v>0</v>
      </c>
      <c r="N210">
        <v>-1714000</v>
      </c>
      <c r="O210">
        <v>0</v>
      </c>
      <c r="P210">
        <v>0</v>
      </c>
      <c r="Q210">
        <v>0</v>
      </c>
      <c r="R210">
        <v>0</v>
      </c>
      <c r="S210">
        <v>0</v>
      </c>
      <c r="T210">
        <v>0</v>
      </c>
      <c r="U210">
        <v>0</v>
      </c>
      <c r="V210">
        <v>0</v>
      </c>
      <c r="W210">
        <v>0</v>
      </c>
      <c r="X210">
        <v>0</v>
      </c>
      <c r="Y210">
        <v>0</v>
      </c>
      <c r="Z210">
        <v>0</v>
      </c>
      <c r="AA210">
        <v>0</v>
      </c>
      <c r="AB210">
        <v>0</v>
      </c>
      <c r="AC210">
        <v>-24242000</v>
      </c>
    </row>
    <row r="211" spans="1:29">
      <c r="A211" s="24">
        <v>40086</v>
      </c>
      <c r="B211" t="s">
        <v>45</v>
      </c>
      <c r="C211">
        <v>-23489000</v>
      </c>
      <c r="D211">
        <v>0</v>
      </c>
      <c r="E211">
        <v>0</v>
      </c>
      <c r="F211">
        <v>0</v>
      </c>
      <c r="G211">
        <v>0</v>
      </c>
      <c r="H211">
        <v>1948000</v>
      </c>
      <c r="I211">
        <v>2256000</v>
      </c>
      <c r="J211">
        <v>0</v>
      </c>
      <c r="K211">
        <v>5760000</v>
      </c>
      <c r="L211">
        <v>0</v>
      </c>
      <c r="M211">
        <v>0</v>
      </c>
      <c r="N211">
        <v>82371000</v>
      </c>
      <c r="O211">
        <v>0</v>
      </c>
      <c r="P211">
        <v>0</v>
      </c>
      <c r="Q211">
        <v>0</v>
      </c>
      <c r="R211">
        <v>0</v>
      </c>
      <c r="S211">
        <v>0</v>
      </c>
      <c r="T211">
        <v>0</v>
      </c>
      <c r="U211">
        <v>0</v>
      </c>
      <c r="V211">
        <v>0</v>
      </c>
      <c r="W211">
        <v>0</v>
      </c>
      <c r="X211">
        <v>0</v>
      </c>
      <c r="Y211">
        <v>0</v>
      </c>
      <c r="Z211">
        <v>0</v>
      </c>
      <c r="AA211">
        <v>0</v>
      </c>
      <c r="AB211">
        <v>0</v>
      </c>
      <c r="AC211">
        <v>-4615000</v>
      </c>
    </row>
    <row r="212" spans="1:29">
      <c r="A212" s="24">
        <v>39994</v>
      </c>
      <c r="B212" t="s">
        <v>45</v>
      </c>
      <c r="C212">
        <v>-12166000</v>
      </c>
      <c r="D212">
        <v>0</v>
      </c>
      <c r="E212">
        <v>0</v>
      </c>
      <c r="F212">
        <v>0</v>
      </c>
      <c r="G212">
        <v>0</v>
      </c>
      <c r="H212">
        <v>1685000</v>
      </c>
      <c r="I212">
        <v>2527000</v>
      </c>
      <c r="J212">
        <v>0</v>
      </c>
      <c r="K212">
        <v>-3820000</v>
      </c>
      <c r="L212">
        <v>0</v>
      </c>
      <c r="M212">
        <v>0</v>
      </c>
      <c r="N212">
        <v>55229000</v>
      </c>
      <c r="O212">
        <v>0</v>
      </c>
      <c r="P212">
        <v>0</v>
      </c>
      <c r="Q212">
        <v>0</v>
      </c>
      <c r="R212">
        <v>0</v>
      </c>
      <c r="S212">
        <v>0</v>
      </c>
      <c r="T212">
        <v>0</v>
      </c>
      <c r="U212">
        <v>0</v>
      </c>
      <c r="V212">
        <v>0</v>
      </c>
      <c r="W212">
        <v>0</v>
      </c>
      <c r="X212">
        <v>0</v>
      </c>
      <c r="Y212">
        <v>0</v>
      </c>
      <c r="Z212">
        <v>0</v>
      </c>
      <c r="AA212">
        <v>0</v>
      </c>
      <c r="AB212">
        <v>0</v>
      </c>
      <c r="AC212">
        <v>-10867000</v>
      </c>
    </row>
    <row r="213" spans="1:29">
      <c r="A213" s="24">
        <v>39903</v>
      </c>
      <c r="B213" t="s">
        <v>45</v>
      </c>
      <c r="C213">
        <v>-16163000</v>
      </c>
      <c r="D213">
        <v>0</v>
      </c>
      <c r="E213">
        <v>0</v>
      </c>
      <c r="F213">
        <v>0</v>
      </c>
      <c r="G213">
        <v>0</v>
      </c>
      <c r="H213">
        <v>1372000</v>
      </c>
      <c r="I213">
        <v>902000</v>
      </c>
      <c r="J213">
        <v>0</v>
      </c>
      <c r="K213">
        <v>-4943000</v>
      </c>
      <c r="L213">
        <v>0</v>
      </c>
      <c r="M213">
        <v>0</v>
      </c>
      <c r="N213">
        <v>19533000</v>
      </c>
      <c r="O213">
        <v>0</v>
      </c>
      <c r="P213">
        <v>0</v>
      </c>
      <c r="Q213">
        <v>0</v>
      </c>
      <c r="R213">
        <v>0</v>
      </c>
      <c r="S213">
        <v>0</v>
      </c>
      <c r="T213">
        <v>0</v>
      </c>
      <c r="U213">
        <v>0</v>
      </c>
      <c r="V213">
        <v>0</v>
      </c>
      <c r="W213">
        <v>0</v>
      </c>
      <c r="X213">
        <v>0</v>
      </c>
      <c r="Y213">
        <v>0</v>
      </c>
      <c r="Z213">
        <v>0</v>
      </c>
      <c r="AA213">
        <v>0</v>
      </c>
      <c r="AB213">
        <v>0</v>
      </c>
      <c r="AC213">
        <v>-16016000</v>
      </c>
    </row>
    <row r="214" spans="1:29">
      <c r="A214" s="24">
        <v>39813</v>
      </c>
      <c r="B214" t="s">
        <v>45</v>
      </c>
      <c r="C214">
        <v>-22354000</v>
      </c>
      <c r="D214">
        <v>0</v>
      </c>
      <c r="E214">
        <v>0</v>
      </c>
      <c r="F214">
        <v>0</v>
      </c>
      <c r="G214">
        <v>0</v>
      </c>
      <c r="H214">
        <v>1294000</v>
      </c>
      <c r="I214">
        <v>144000</v>
      </c>
      <c r="J214">
        <v>0</v>
      </c>
      <c r="K214">
        <v>-3005000</v>
      </c>
      <c r="L214">
        <v>0</v>
      </c>
      <c r="M214">
        <v>0</v>
      </c>
      <c r="N214">
        <v>14752000</v>
      </c>
      <c r="O214">
        <v>0</v>
      </c>
      <c r="P214">
        <v>0</v>
      </c>
      <c r="Q214">
        <v>0</v>
      </c>
      <c r="R214">
        <v>0</v>
      </c>
      <c r="S214">
        <v>0</v>
      </c>
      <c r="T214">
        <v>0</v>
      </c>
      <c r="U214">
        <v>0</v>
      </c>
      <c r="V214">
        <v>0</v>
      </c>
      <c r="W214">
        <v>0</v>
      </c>
      <c r="X214">
        <v>0</v>
      </c>
      <c r="Y214">
        <v>0</v>
      </c>
      <c r="Z214">
        <v>0</v>
      </c>
      <c r="AA214">
        <v>0</v>
      </c>
      <c r="AB214">
        <v>0</v>
      </c>
      <c r="AC214">
        <v>-25498000</v>
      </c>
    </row>
    <row r="215" spans="1:29">
      <c r="A215" s="24">
        <v>39721</v>
      </c>
      <c r="B215" t="s">
        <v>45</v>
      </c>
      <c r="C215">
        <v>-22354000</v>
      </c>
      <c r="D215">
        <v>0</v>
      </c>
      <c r="E215">
        <v>0</v>
      </c>
      <c r="F215">
        <v>0</v>
      </c>
      <c r="G215">
        <v>0</v>
      </c>
      <c r="H215">
        <v>1294000</v>
      </c>
      <c r="I215">
        <v>144000</v>
      </c>
      <c r="J215">
        <v>0</v>
      </c>
      <c r="K215">
        <v>-3005000</v>
      </c>
      <c r="L215">
        <v>0</v>
      </c>
      <c r="M215">
        <v>0</v>
      </c>
      <c r="N215">
        <v>14752000</v>
      </c>
      <c r="O215">
        <v>0</v>
      </c>
      <c r="P215">
        <v>0</v>
      </c>
      <c r="Q215">
        <v>0</v>
      </c>
      <c r="R215">
        <v>0</v>
      </c>
      <c r="S215">
        <v>0</v>
      </c>
      <c r="T215">
        <v>0</v>
      </c>
      <c r="U215">
        <v>0</v>
      </c>
      <c r="V215">
        <v>0</v>
      </c>
      <c r="W215">
        <v>0</v>
      </c>
      <c r="X215">
        <v>0</v>
      </c>
      <c r="Y215">
        <v>0</v>
      </c>
      <c r="Z215">
        <v>0</v>
      </c>
      <c r="AA215">
        <v>0</v>
      </c>
      <c r="AB215">
        <v>0</v>
      </c>
      <c r="AC215">
        <v>-25498000</v>
      </c>
    </row>
    <row r="216" spans="1:29">
      <c r="A216" s="24">
        <v>39538</v>
      </c>
      <c r="B216" t="s">
        <v>45</v>
      </c>
      <c r="C216">
        <v>-13103000</v>
      </c>
      <c r="D216">
        <v>0</v>
      </c>
      <c r="E216">
        <v>0</v>
      </c>
      <c r="F216">
        <v>0</v>
      </c>
      <c r="G216">
        <v>0</v>
      </c>
      <c r="H216">
        <v>1039250</v>
      </c>
      <c r="I216">
        <v>2407500</v>
      </c>
      <c r="J216">
        <v>0</v>
      </c>
      <c r="K216">
        <v>-3635500</v>
      </c>
      <c r="L216">
        <v>0</v>
      </c>
      <c r="M216">
        <v>0</v>
      </c>
      <c r="N216">
        <v>-42500</v>
      </c>
      <c r="O216">
        <v>0</v>
      </c>
      <c r="P216">
        <v>0</v>
      </c>
      <c r="Q216">
        <v>0</v>
      </c>
      <c r="R216">
        <v>0</v>
      </c>
      <c r="S216">
        <v>0</v>
      </c>
      <c r="T216">
        <v>0</v>
      </c>
      <c r="U216">
        <v>0</v>
      </c>
      <c r="V216">
        <v>0</v>
      </c>
      <c r="W216">
        <v>0</v>
      </c>
      <c r="X216">
        <v>0</v>
      </c>
      <c r="Y216">
        <v>0</v>
      </c>
      <c r="Z216">
        <v>0</v>
      </c>
      <c r="AA216">
        <v>0</v>
      </c>
      <c r="AB216">
        <v>0</v>
      </c>
      <c r="AC216">
        <v>-20695500</v>
      </c>
    </row>
    <row r="217" spans="1:29">
      <c r="A217" s="24">
        <v>39447</v>
      </c>
      <c r="B217" t="s">
        <v>45</v>
      </c>
      <c r="C217">
        <v>-13103000</v>
      </c>
      <c r="D217">
        <v>0</v>
      </c>
      <c r="E217">
        <v>0</v>
      </c>
      <c r="F217">
        <v>0</v>
      </c>
      <c r="G217">
        <v>0</v>
      </c>
      <c r="H217">
        <v>1039250</v>
      </c>
      <c r="I217">
        <v>2407500</v>
      </c>
      <c r="J217">
        <v>0</v>
      </c>
      <c r="K217">
        <v>-3635500</v>
      </c>
      <c r="L217">
        <v>0</v>
      </c>
      <c r="M217">
        <v>0</v>
      </c>
      <c r="N217">
        <v>-42500</v>
      </c>
      <c r="O217">
        <v>0</v>
      </c>
      <c r="P217">
        <v>0</v>
      </c>
      <c r="Q217">
        <v>0</v>
      </c>
      <c r="R217">
        <v>0</v>
      </c>
      <c r="S217">
        <v>0</v>
      </c>
      <c r="T217">
        <v>0</v>
      </c>
      <c r="U217">
        <v>0</v>
      </c>
      <c r="V217">
        <v>0</v>
      </c>
      <c r="W217">
        <v>0</v>
      </c>
      <c r="X217">
        <v>0</v>
      </c>
      <c r="Y217">
        <v>0</v>
      </c>
      <c r="Z217">
        <v>0</v>
      </c>
      <c r="AA217">
        <v>0</v>
      </c>
      <c r="AB217">
        <v>0</v>
      </c>
      <c r="AC217">
        <v>-20695500</v>
      </c>
    </row>
    <row r="218" spans="1:29">
      <c r="A218" s="24">
        <v>39172</v>
      </c>
      <c r="B218" t="s">
        <v>45</v>
      </c>
      <c r="C218">
        <v>-13367250</v>
      </c>
      <c r="D218">
        <v>0</v>
      </c>
      <c r="E218">
        <v>0</v>
      </c>
      <c r="F218">
        <v>0</v>
      </c>
      <c r="G218">
        <v>0</v>
      </c>
      <c r="H218">
        <v>723750</v>
      </c>
      <c r="I218">
        <v>2450500</v>
      </c>
      <c r="J218">
        <v>0</v>
      </c>
      <c r="K218">
        <v>-527000</v>
      </c>
      <c r="L218">
        <v>0</v>
      </c>
      <c r="M218">
        <v>0</v>
      </c>
      <c r="N218">
        <v>0</v>
      </c>
      <c r="O218">
        <v>0</v>
      </c>
      <c r="P218">
        <v>0</v>
      </c>
      <c r="Q218">
        <v>0</v>
      </c>
      <c r="R218">
        <v>0</v>
      </c>
      <c r="S218">
        <v>0</v>
      </c>
      <c r="T218">
        <v>0</v>
      </c>
      <c r="U218">
        <v>0</v>
      </c>
      <c r="V218">
        <v>0</v>
      </c>
      <c r="W218">
        <v>0</v>
      </c>
      <c r="X218">
        <v>0</v>
      </c>
      <c r="Y218">
        <v>0</v>
      </c>
      <c r="Z218">
        <v>0</v>
      </c>
      <c r="AA218">
        <v>0</v>
      </c>
      <c r="AB218">
        <v>0</v>
      </c>
      <c r="AC218">
        <v>-19539250</v>
      </c>
    </row>
    <row r="219" spans="1:29">
      <c r="A219" s="24">
        <v>41394</v>
      </c>
      <c r="B219" t="s">
        <v>45</v>
      </c>
      <c r="C219">
        <v>147226000</v>
      </c>
      <c r="D219" t="s">
        <v>46</v>
      </c>
      <c r="E219" t="s">
        <v>46</v>
      </c>
      <c r="F219" t="s">
        <v>46</v>
      </c>
      <c r="G219" t="s">
        <v>46</v>
      </c>
      <c r="H219">
        <v>80493000</v>
      </c>
      <c r="I219">
        <v>149652000</v>
      </c>
      <c r="J219" t="s">
        <v>46</v>
      </c>
      <c r="K219">
        <v>-16411000</v>
      </c>
      <c r="L219" t="s">
        <v>46</v>
      </c>
      <c r="M219">
        <v>-149577000</v>
      </c>
      <c r="N219">
        <v>17068000</v>
      </c>
      <c r="O219" t="s">
        <v>46</v>
      </c>
      <c r="P219" t="s">
        <v>46</v>
      </c>
      <c r="Q219" t="s">
        <v>46</v>
      </c>
      <c r="R219" t="s">
        <v>46</v>
      </c>
      <c r="S219">
        <v>0</v>
      </c>
      <c r="T219">
        <v>0</v>
      </c>
      <c r="U219" t="s">
        <v>46</v>
      </c>
      <c r="V219" t="s">
        <v>46</v>
      </c>
      <c r="W219" t="s">
        <v>46</v>
      </c>
      <c r="X219" t="s">
        <v>46</v>
      </c>
      <c r="Y219">
        <v>-20000000</v>
      </c>
      <c r="Z219" t="s">
        <v>46</v>
      </c>
      <c r="AA219">
        <v>14717000</v>
      </c>
      <c r="AB219" t="s">
        <v>46</v>
      </c>
      <c r="AC219">
        <v>220083000</v>
      </c>
    </row>
    <row r="220" spans="1:29">
      <c r="A220" s="24">
        <v>41305</v>
      </c>
      <c r="B220" t="s">
        <v>45</v>
      </c>
      <c r="C220">
        <v>440466000</v>
      </c>
      <c r="D220" t="s">
        <v>46</v>
      </c>
      <c r="E220" t="s">
        <v>46</v>
      </c>
      <c r="F220" t="s">
        <v>46</v>
      </c>
      <c r="G220" t="s">
        <v>46</v>
      </c>
      <c r="H220">
        <v>80513000</v>
      </c>
      <c r="I220">
        <v>117970000</v>
      </c>
      <c r="J220" t="s">
        <v>46</v>
      </c>
      <c r="K220">
        <v>-65333000</v>
      </c>
      <c r="L220" t="s">
        <v>46</v>
      </c>
      <c r="M220">
        <v>-117354000</v>
      </c>
      <c r="N220">
        <v>-324883000</v>
      </c>
      <c r="O220" t="s">
        <v>46</v>
      </c>
      <c r="P220" t="s">
        <v>46</v>
      </c>
      <c r="Q220" t="s">
        <v>46</v>
      </c>
      <c r="R220" t="s">
        <v>46</v>
      </c>
      <c r="S220">
        <v>0</v>
      </c>
      <c r="T220">
        <v>0</v>
      </c>
      <c r="U220" t="s">
        <v>46</v>
      </c>
      <c r="V220" t="s">
        <v>46</v>
      </c>
      <c r="W220" t="s">
        <v>46</v>
      </c>
      <c r="X220" t="s">
        <v>46</v>
      </c>
      <c r="Y220">
        <v>-75017000</v>
      </c>
      <c r="Z220" t="s">
        <v>46</v>
      </c>
      <c r="AA220">
        <v>-1771000</v>
      </c>
      <c r="AB220" t="s">
        <v>46</v>
      </c>
      <c r="AC220">
        <v>317422000</v>
      </c>
    </row>
    <row r="221" spans="1:29">
      <c r="A221" s="24">
        <v>41213</v>
      </c>
      <c r="B221" t="s">
        <v>45</v>
      </c>
      <c r="C221">
        <v>317394000</v>
      </c>
      <c r="D221" t="s">
        <v>46</v>
      </c>
      <c r="E221" t="s">
        <v>46</v>
      </c>
      <c r="F221" t="s">
        <v>46</v>
      </c>
      <c r="G221" t="s">
        <v>46</v>
      </c>
      <c r="H221">
        <v>76138000</v>
      </c>
      <c r="I221">
        <v>149638000</v>
      </c>
      <c r="J221" t="s">
        <v>46</v>
      </c>
      <c r="K221">
        <v>-186078000</v>
      </c>
      <c r="L221" t="s">
        <v>46</v>
      </c>
      <c r="M221">
        <v>-148920000</v>
      </c>
      <c r="N221">
        <v>-160051000</v>
      </c>
      <c r="O221" t="s">
        <v>46</v>
      </c>
      <c r="P221" t="s">
        <v>46</v>
      </c>
      <c r="Q221" t="s">
        <v>46</v>
      </c>
      <c r="R221" t="s">
        <v>46</v>
      </c>
      <c r="S221">
        <v>0</v>
      </c>
      <c r="T221">
        <v>0</v>
      </c>
      <c r="U221" t="s">
        <v>46</v>
      </c>
      <c r="V221" t="s">
        <v>46</v>
      </c>
      <c r="W221" t="s">
        <v>46</v>
      </c>
      <c r="X221" t="s">
        <v>46</v>
      </c>
      <c r="Y221">
        <v>-296442000</v>
      </c>
      <c r="Z221" t="s">
        <v>46</v>
      </c>
      <c r="AA221">
        <v>8423000</v>
      </c>
      <c r="AB221" t="s">
        <v>46</v>
      </c>
      <c r="AC221">
        <v>207685000</v>
      </c>
    </row>
    <row r="222" spans="1:29">
      <c r="A222" s="24">
        <v>41121</v>
      </c>
      <c r="B222" t="s">
        <v>45</v>
      </c>
      <c r="C222">
        <v>180853000</v>
      </c>
      <c r="D222" t="s">
        <v>46</v>
      </c>
      <c r="E222" t="s">
        <v>46</v>
      </c>
      <c r="F222" t="s">
        <v>46</v>
      </c>
      <c r="G222" t="s">
        <v>46</v>
      </c>
      <c r="H222">
        <v>73989000</v>
      </c>
      <c r="I222">
        <v>158131000</v>
      </c>
      <c r="J222" t="s">
        <v>46</v>
      </c>
      <c r="K222">
        <v>-146497000</v>
      </c>
      <c r="L222" t="s">
        <v>46</v>
      </c>
      <c r="M222">
        <v>-157824000</v>
      </c>
      <c r="N222">
        <v>-21402000</v>
      </c>
      <c r="O222" t="s">
        <v>46</v>
      </c>
      <c r="P222" t="s">
        <v>46</v>
      </c>
      <c r="Q222" t="s">
        <v>46</v>
      </c>
      <c r="R222" t="s">
        <v>46</v>
      </c>
      <c r="S222">
        <v>0</v>
      </c>
      <c r="T222">
        <v>0</v>
      </c>
      <c r="U222" t="s">
        <v>46</v>
      </c>
      <c r="V222" t="s">
        <v>46</v>
      </c>
      <c r="W222" t="s">
        <v>46</v>
      </c>
      <c r="X222" t="s">
        <v>46</v>
      </c>
      <c r="Y222">
        <v>0</v>
      </c>
      <c r="Z222" t="s">
        <v>46</v>
      </c>
      <c r="AA222">
        <v>1627000</v>
      </c>
      <c r="AB222" t="s">
        <v>46</v>
      </c>
      <c r="AC222">
        <v>214140000</v>
      </c>
    </row>
    <row r="223" spans="1:29">
      <c r="A223" s="24">
        <v>41029</v>
      </c>
      <c r="B223" t="s">
        <v>45</v>
      </c>
      <c r="C223">
        <v>192639000</v>
      </c>
      <c r="D223" t="s">
        <v>46</v>
      </c>
      <c r="E223" t="s">
        <v>46</v>
      </c>
      <c r="F223" t="s">
        <v>46</v>
      </c>
      <c r="G223" t="s">
        <v>46</v>
      </c>
      <c r="H223">
        <v>72271000</v>
      </c>
      <c r="I223">
        <v>145857000</v>
      </c>
      <c r="J223" t="s">
        <v>46</v>
      </c>
      <c r="K223">
        <v>6499000</v>
      </c>
      <c r="L223" t="s">
        <v>46</v>
      </c>
      <c r="M223">
        <v>-145738000</v>
      </c>
      <c r="N223">
        <v>-40497000</v>
      </c>
      <c r="O223" t="s">
        <v>46</v>
      </c>
      <c r="P223" t="s">
        <v>46</v>
      </c>
      <c r="Q223" t="s">
        <v>46</v>
      </c>
      <c r="R223" t="s">
        <v>46</v>
      </c>
      <c r="S223">
        <v>0</v>
      </c>
      <c r="T223">
        <v>0</v>
      </c>
      <c r="U223" t="s">
        <v>46</v>
      </c>
      <c r="V223" t="s">
        <v>46</v>
      </c>
      <c r="W223" t="s">
        <v>46</v>
      </c>
      <c r="X223" t="s">
        <v>46</v>
      </c>
      <c r="Y223">
        <v>-300000000</v>
      </c>
      <c r="Z223" t="s">
        <v>46</v>
      </c>
      <c r="AA223">
        <v>6404000</v>
      </c>
      <c r="AB223" t="s">
        <v>46</v>
      </c>
      <c r="AC223">
        <v>213415000</v>
      </c>
    </row>
    <row r="224" spans="1:29">
      <c r="A224" s="24">
        <v>40939</v>
      </c>
      <c r="B224" t="s">
        <v>45</v>
      </c>
      <c r="C224">
        <v>445981000</v>
      </c>
      <c r="D224" t="s">
        <v>46</v>
      </c>
      <c r="E224" t="s">
        <v>46</v>
      </c>
      <c r="F224" t="s">
        <v>46</v>
      </c>
      <c r="G224" t="s">
        <v>46</v>
      </c>
      <c r="H224">
        <v>70637000</v>
      </c>
      <c r="I224">
        <v>151762000</v>
      </c>
      <c r="J224" t="s">
        <v>46</v>
      </c>
      <c r="K224">
        <v>59440000</v>
      </c>
      <c r="L224" t="s">
        <v>46</v>
      </c>
      <c r="M224">
        <v>-151465000</v>
      </c>
      <c r="N224">
        <v>-286970000</v>
      </c>
      <c r="O224" t="s">
        <v>46</v>
      </c>
      <c r="P224" t="s">
        <v>46</v>
      </c>
      <c r="Q224" t="s">
        <v>46</v>
      </c>
      <c r="R224" t="s">
        <v>46</v>
      </c>
      <c r="S224">
        <v>0</v>
      </c>
      <c r="T224">
        <v>0</v>
      </c>
      <c r="U224" t="s">
        <v>46</v>
      </c>
      <c r="V224" t="s">
        <v>46</v>
      </c>
      <c r="W224" t="s">
        <v>46</v>
      </c>
      <c r="X224" t="s">
        <v>46</v>
      </c>
      <c r="Y224">
        <v>-171635000</v>
      </c>
      <c r="Z224" t="s">
        <v>46</v>
      </c>
      <c r="AA224">
        <v>7546000</v>
      </c>
      <c r="AB224" t="s">
        <v>46</v>
      </c>
      <c r="AC224">
        <v>292510000</v>
      </c>
    </row>
    <row r="225" spans="1:29">
      <c r="A225" s="24">
        <v>40847</v>
      </c>
      <c r="B225" t="s">
        <v>45</v>
      </c>
      <c r="C225">
        <v>206060000</v>
      </c>
      <c r="D225" t="s">
        <v>46</v>
      </c>
      <c r="E225" t="s">
        <v>46</v>
      </c>
      <c r="F225" t="s">
        <v>46</v>
      </c>
      <c r="G225" t="s">
        <v>46</v>
      </c>
      <c r="H225">
        <v>68900000</v>
      </c>
      <c r="I225">
        <v>144976000</v>
      </c>
      <c r="J225" t="s">
        <v>46</v>
      </c>
      <c r="K225">
        <v>-128263000</v>
      </c>
      <c r="L225" t="s">
        <v>46</v>
      </c>
      <c r="M225">
        <v>-144720000</v>
      </c>
      <c r="N225">
        <v>-55810000</v>
      </c>
      <c r="O225" t="s">
        <v>46</v>
      </c>
      <c r="P225" t="s">
        <v>46</v>
      </c>
      <c r="Q225" t="s">
        <v>46</v>
      </c>
      <c r="R225" t="s">
        <v>46</v>
      </c>
      <c r="S225">
        <v>0</v>
      </c>
      <c r="T225">
        <v>0</v>
      </c>
      <c r="U225" t="s">
        <v>46</v>
      </c>
      <c r="V225" t="s">
        <v>46</v>
      </c>
      <c r="W225" t="s">
        <v>46</v>
      </c>
      <c r="X225" t="s">
        <v>46</v>
      </c>
      <c r="Y225">
        <v>-12914000</v>
      </c>
      <c r="Z225" t="s">
        <v>46</v>
      </c>
      <c r="AA225">
        <v>5530000</v>
      </c>
      <c r="AB225" t="s">
        <v>46</v>
      </c>
      <c r="AC225">
        <v>171164000</v>
      </c>
    </row>
    <row r="226" spans="1:29">
      <c r="A226" s="24">
        <v>40755</v>
      </c>
      <c r="B226" t="s">
        <v>45</v>
      </c>
      <c r="C226">
        <v>174867000</v>
      </c>
      <c r="D226" t="s">
        <v>46</v>
      </c>
      <c r="E226" t="s">
        <v>46</v>
      </c>
      <c r="F226" t="s">
        <v>46</v>
      </c>
      <c r="G226" t="s">
        <v>46</v>
      </c>
      <c r="H226">
        <v>68385000</v>
      </c>
      <c r="I226">
        <v>126165000</v>
      </c>
      <c r="J226" t="s">
        <v>46</v>
      </c>
      <c r="K226">
        <v>-217394000</v>
      </c>
      <c r="L226" t="s">
        <v>46</v>
      </c>
      <c r="M226">
        <v>-126059000</v>
      </c>
      <c r="N226">
        <v>-538221000</v>
      </c>
      <c r="O226" t="s">
        <v>46</v>
      </c>
      <c r="P226" t="s">
        <v>46</v>
      </c>
      <c r="Q226" t="s">
        <v>46</v>
      </c>
      <c r="R226" t="s">
        <v>46</v>
      </c>
      <c r="S226">
        <v>371600000</v>
      </c>
      <c r="T226">
        <v>371600000</v>
      </c>
      <c r="U226" t="s">
        <v>46</v>
      </c>
      <c r="V226" t="s">
        <v>46</v>
      </c>
      <c r="W226" t="s">
        <v>46</v>
      </c>
      <c r="X226" t="s">
        <v>46</v>
      </c>
      <c r="Y226">
        <v>-39000</v>
      </c>
      <c r="Z226" t="s">
        <v>46</v>
      </c>
      <c r="AA226">
        <v>-489413000</v>
      </c>
      <c r="AB226" t="s">
        <v>46</v>
      </c>
      <c r="AC226">
        <v>146042000</v>
      </c>
    </row>
    <row r="227" spans="1:29">
      <c r="A227" s="24">
        <v>40663</v>
      </c>
      <c r="B227" t="s">
        <v>45</v>
      </c>
      <c r="C227">
        <v>223572000</v>
      </c>
      <c r="D227" t="s">
        <v>46</v>
      </c>
      <c r="E227" t="s">
        <v>46</v>
      </c>
      <c r="F227" t="s">
        <v>46</v>
      </c>
      <c r="G227" t="s">
        <v>46</v>
      </c>
      <c r="H227">
        <v>67486000</v>
      </c>
      <c r="I227">
        <v>91958000</v>
      </c>
      <c r="J227" t="s">
        <v>46</v>
      </c>
      <c r="K227">
        <v>-5275000</v>
      </c>
      <c r="L227" t="s">
        <v>46</v>
      </c>
      <c r="M227">
        <v>-91591000</v>
      </c>
      <c r="N227">
        <v>-26964000</v>
      </c>
      <c r="O227" t="s">
        <v>46</v>
      </c>
      <c r="P227" t="s">
        <v>46</v>
      </c>
      <c r="Q227" t="s">
        <v>46</v>
      </c>
      <c r="R227" t="s">
        <v>46</v>
      </c>
      <c r="S227">
        <v>0</v>
      </c>
      <c r="T227">
        <v>0</v>
      </c>
      <c r="U227" t="s">
        <v>46</v>
      </c>
      <c r="V227" t="s">
        <v>46</v>
      </c>
      <c r="W227" t="s">
        <v>46</v>
      </c>
      <c r="X227" t="s">
        <v>46</v>
      </c>
      <c r="Y227">
        <v>-412000</v>
      </c>
      <c r="Z227" t="s">
        <v>46</v>
      </c>
      <c r="AA227">
        <v>105017000</v>
      </c>
      <c r="AB227" t="s">
        <v>46</v>
      </c>
      <c r="AC227">
        <v>156969000</v>
      </c>
    </row>
    <row r="228" spans="1:29">
      <c r="A228" s="24">
        <v>40574</v>
      </c>
      <c r="B228" t="s">
        <v>45</v>
      </c>
      <c r="C228">
        <v>426062000</v>
      </c>
      <c r="D228" t="s">
        <v>46</v>
      </c>
      <c r="E228" t="s">
        <v>46</v>
      </c>
      <c r="F228" t="s">
        <v>46</v>
      </c>
      <c r="G228" t="s">
        <v>46</v>
      </c>
      <c r="H228">
        <v>65188000</v>
      </c>
      <c r="I228">
        <v>161152000</v>
      </c>
      <c r="J228" t="s">
        <v>46</v>
      </c>
      <c r="K228">
        <v>115094000</v>
      </c>
      <c r="L228" t="s">
        <v>46</v>
      </c>
      <c r="M228" t="s">
        <v>46</v>
      </c>
      <c r="N228">
        <v>-5950000</v>
      </c>
      <c r="O228" t="s">
        <v>46</v>
      </c>
      <c r="P228" t="s">
        <v>46</v>
      </c>
      <c r="Q228" t="s">
        <v>46</v>
      </c>
      <c r="R228" t="s">
        <v>46</v>
      </c>
      <c r="S228">
        <v>50000</v>
      </c>
      <c r="T228">
        <v>50000</v>
      </c>
      <c r="U228" t="s">
        <v>46</v>
      </c>
      <c r="V228" t="s">
        <v>46</v>
      </c>
      <c r="W228" t="s">
        <v>46</v>
      </c>
      <c r="X228" t="s">
        <v>46</v>
      </c>
      <c r="Y228">
        <v>-13723000</v>
      </c>
      <c r="Z228" t="s">
        <v>46</v>
      </c>
      <c r="AA228" t="s">
        <v>46</v>
      </c>
      <c r="AB228" t="s">
        <v>46</v>
      </c>
      <c r="AC228">
        <v>222546000</v>
      </c>
    </row>
    <row r="229" spans="1:29">
      <c r="A229" s="24">
        <v>40482</v>
      </c>
      <c r="B229" t="s">
        <v>45</v>
      </c>
      <c r="C229">
        <v>123739000</v>
      </c>
      <c r="D229" t="s">
        <v>46</v>
      </c>
      <c r="E229" t="s">
        <v>46</v>
      </c>
      <c r="F229" t="s">
        <v>46</v>
      </c>
      <c r="G229" t="s">
        <v>46</v>
      </c>
      <c r="H229">
        <v>63583000</v>
      </c>
      <c r="I229">
        <v>96185000</v>
      </c>
      <c r="J229" t="s">
        <v>46</v>
      </c>
      <c r="K229">
        <v>-147314000</v>
      </c>
      <c r="L229" t="s">
        <v>46</v>
      </c>
      <c r="M229" t="s">
        <v>46</v>
      </c>
      <c r="N229">
        <v>-71393000</v>
      </c>
      <c r="O229" t="s">
        <v>46</v>
      </c>
      <c r="P229" t="s">
        <v>46</v>
      </c>
      <c r="Q229" t="s">
        <v>46</v>
      </c>
      <c r="R229" t="s">
        <v>46</v>
      </c>
      <c r="S229" t="s">
        <v>46</v>
      </c>
      <c r="T229" t="s">
        <v>46</v>
      </c>
      <c r="U229" t="s">
        <v>46</v>
      </c>
      <c r="V229" t="s">
        <v>46</v>
      </c>
      <c r="W229" t="s">
        <v>46</v>
      </c>
      <c r="X229" t="s">
        <v>46</v>
      </c>
      <c r="Y229">
        <v>-851000</v>
      </c>
      <c r="Z229" t="s">
        <v>46</v>
      </c>
      <c r="AA229" t="s">
        <v>46</v>
      </c>
      <c r="AB229" t="s">
        <v>46</v>
      </c>
      <c r="AC229">
        <v>128120000</v>
      </c>
    </row>
    <row r="230" spans="1:29">
      <c r="A230" s="24">
        <v>40390</v>
      </c>
      <c r="B230" t="s">
        <v>45</v>
      </c>
      <c r="C230">
        <v>187910000</v>
      </c>
      <c r="D230" t="s">
        <v>46</v>
      </c>
      <c r="E230" t="s">
        <v>46</v>
      </c>
      <c r="F230" t="s">
        <v>46</v>
      </c>
      <c r="G230" t="s">
        <v>46</v>
      </c>
      <c r="H230">
        <v>62904000</v>
      </c>
      <c r="I230">
        <v>72060000</v>
      </c>
      <c r="J230" t="s">
        <v>46</v>
      </c>
      <c r="K230">
        <v>-134413000</v>
      </c>
      <c r="L230" t="s">
        <v>46</v>
      </c>
      <c r="M230" t="s">
        <v>46</v>
      </c>
      <c r="N230">
        <v>-57424000</v>
      </c>
      <c r="O230" t="s">
        <v>46</v>
      </c>
      <c r="P230" t="s">
        <v>46</v>
      </c>
      <c r="Q230" t="s">
        <v>46</v>
      </c>
      <c r="R230" t="s">
        <v>46</v>
      </c>
      <c r="S230" t="s">
        <v>46</v>
      </c>
      <c r="T230" t="s">
        <v>46</v>
      </c>
      <c r="U230" t="s">
        <v>46</v>
      </c>
      <c r="V230" t="s">
        <v>46</v>
      </c>
      <c r="W230" t="s">
        <v>46</v>
      </c>
      <c r="X230" t="s">
        <v>46</v>
      </c>
      <c r="Y230">
        <v>-631000</v>
      </c>
      <c r="Z230" t="s">
        <v>46</v>
      </c>
      <c r="AA230" t="s">
        <v>46</v>
      </c>
      <c r="AB230" t="s">
        <v>46</v>
      </c>
      <c r="AC230">
        <v>141195000</v>
      </c>
    </row>
    <row r="231" spans="1:29">
      <c r="A231" s="24">
        <v>40298</v>
      </c>
      <c r="B231" t="s">
        <v>45</v>
      </c>
      <c r="C231">
        <v>86973000</v>
      </c>
      <c r="D231" t="s">
        <v>46</v>
      </c>
      <c r="E231" t="s">
        <v>46</v>
      </c>
      <c r="F231" t="s">
        <v>46</v>
      </c>
      <c r="G231" t="s">
        <v>46</v>
      </c>
      <c r="H231">
        <v>63252000</v>
      </c>
      <c r="I231">
        <v>90998000</v>
      </c>
      <c r="J231" t="s">
        <v>46</v>
      </c>
      <c r="K231">
        <v>-85176000</v>
      </c>
      <c r="L231" t="s">
        <v>46</v>
      </c>
      <c r="M231" t="s">
        <v>46</v>
      </c>
      <c r="N231">
        <v>4400000</v>
      </c>
      <c r="O231" t="s">
        <v>46</v>
      </c>
      <c r="P231" t="s">
        <v>46</v>
      </c>
      <c r="Q231" t="s">
        <v>46</v>
      </c>
      <c r="R231" t="s">
        <v>46</v>
      </c>
      <c r="S231" t="s">
        <v>46</v>
      </c>
      <c r="T231" t="s">
        <v>46</v>
      </c>
      <c r="U231" t="s">
        <v>46</v>
      </c>
      <c r="V231" t="s">
        <v>46</v>
      </c>
      <c r="W231" t="s">
        <v>46</v>
      </c>
      <c r="X231" t="s">
        <v>46</v>
      </c>
      <c r="Y231">
        <v>-4467000</v>
      </c>
      <c r="Z231" t="s">
        <v>46</v>
      </c>
      <c r="AA231" t="s">
        <v>46</v>
      </c>
      <c r="AB231" t="s">
        <v>46</v>
      </c>
      <c r="AC231">
        <v>135996000</v>
      </c>
    </row>
    <row r="232" spans="1:29">
      <c r="A232" s="24">
        <v>40209</v>
      </c>
      <c r="B232" t="s">
        <v>45</v>
      </c>
      <c r="C232">
        <v>277516000</v>
      </c>
      <c r="D232" t="s">
        <v>46</v>
      </c>
      <c r="E232" t="s">
        <v>46</v>
      </c>
      <c r="F232" t="s">
        <v>46</v>
      </c>
      <c r="G232" t="s">
        <v>46</v>
      </c>
      <c r="H232">
        <v>62726000</v>
      </c>
      <c r="I232">
        <v>63888000</v>
      </c>
      <c r="J232" t="s">
        <v>46</v>
      </c>
      <c r="K232">
        <v>162745000</v>
      </c>
      <c r="L232" t="s">
        <v>46</v>
      </c>
      <c r="M232" t="s">
        <v>46</v>
      </c>
      <c r="N232">
        <v>-330590000</v>
      </c>
      <c r="O232" t="s">
        <v>46</v>
      </c>
      <c r="P232" t="s">
        <v>46</v>
      </c>
      <c r="Q232" t="s">
        <v>46</v>
      </c>
      <c r="R232" t="s">
        <v>46</v>
      </c>
      <c r="S232">
        <v>239731000</v>
      </c>
      <c r="T232">
        <v>239731000</v>
      </c>
      <c r="U232" t="s">
        <v>46</v>
      </c>
      <c r="V232" t="s">
        <v>46</v>
      </c>
      <c r="W232" t="s">
        <v>46</v>
      </c>
      <c r="X232" t="s">
        <v>46</v>
      </c>
      <c r="Y232">
        <v>1680000</v>
      </c>
      <c r="Z232" t="s">
        <v>46</v>
      </c>
      <c r="AA232" t="s">
        <v>46</v>
      </c>
      <c r="AB232" t="s">
        <v>46</v>
      </c>
      <c r="AC232">
        <v>87197000</v>
      </c>
    </row>
    <row r="233" spans="1:29">
      <c r="A233" s="24">
        <v>40117</v>
      </c>
      <c r="B233" t="s">
        <v>45</v>
      </c>
      <c r="C233">
        <v>147262000</v>
      </c>
      <c r="D233" t="s">
        <v>46</v>
      </c>
      <c r="E233" t="s">
        <v>46</v>
      </c>
      <c r="F233" t="s">
        <v>46</v>
      </c>
      <c r="G233" t="s">
        <v>46</v>
      </c>
      <c r="H233">
        <v>62977000</v>
      </c>
      <c r="I233">
        <v>79554000</v>
      </c>
      <c r="J233" t="s">
        <v>46</v>
      </c>
      <c r="K233">
        <v>-126731000</v>
      </c>
      <c r="L233" t="s">
        <v>46</v>
      </c>
      <c r="M233" t="s">
        <v>46</v>
      </c>
      <c r="N233">
        <v>-246424000</v>
      </c>
      <c r="O233" t="s">
        <v>46</v>
      </c>
      <c r="P233" t="s">
        <v>46</v>
      </c>
      <c r="Q233" t="s">
        <v>46</v>
      </c>
      <c r="R233" t="s">
        <v>46</v>
      </c>
      <c r="S233">
        <v>239700000</v>
      </c>
      <c r="T233">
        <v>239700000</v>
      </c>
      <c r="U233" t="s">
        <v>46</v>
      </c>
      <c r="V233" t="s">
        <v>46</v>
      </c>
      <c r="W233" t="s">
        <v>46</v>
      </c>
      <c r="X233" t="s">
        <v>46</v>
      </c>
      <c r="Y233">
        <v>-353000</v>
      </c>
      <c r="Z233" t="s">
        <v>46</v>
      </c>
      <c r="AA233" t="s">
        <v>46</v>
      </c>
      <c r="AB233" t="s">
        <v>46</v>
      </c>
      <c r="AC233">
        <v>75649000</v>
      </c>
    </row>
    <row r="234" spans="1:29">
      <c r="A234" s="24">
        <v>40025</v>
      </c>
      <c r="B234" t="s">
        <v>45</v>
      </c>
      <c r="C234">
        <v>134972000</v>
      </c>
      <c r="D234" t="s">
        <v>46</v>
      </c>
      <c r="E234" t="s">
        <v>46</v>
      </c>
      <c r="F234" t="s">
        <v>46</v>
      </c>
      <c r="G234" t="s">
        <v>46</v>
      </c>
      <c r="H234">
        <v>66537000</v>
      </c>
      <c r="I234">
        <v>55480000</v>
      </c>
      <c r="J234" t="s">
        <v>46</v>
      </c>
      <c r="K234">
        <v>-97222000</v>
      </c>
      <c r="L234" t="s">
        <v>46</v>
      </c>
      <c r="M234" t="s">
        <v>46</v>
      </c>
      <c r="N234">
        <v>1129000</v>
      </c>
      <c r="O234" t="s">
        <v>46</v>
      </c>
      <c r="P234" t="s">
        <v>46</v>
      </c>
      <c r="Q234" t="s">
        <v>46</v>
      </c>
      <c r="R234" t="s">
        <v>46</v>
      </c>
      <c r="S234" t="s">
        <v>46</v>
      </c>
      <c r="T234" t="s">
        <v>46</v>
      </c>
      <c r="U234" t="s">
        <v>46</v>
      </c>
      <c r="V234" t="s">
        <v>46</v>
      </c>
      <c r="W234" t="s">
        <v>46</v>
      </c>
      <c r="X234" t="s">
        <v>46</v>
      </c>
      <c r="Y234">
        <v>-1075000</v>
      </c>
      <c r="Z234" t="s">
        <v>46</v>
      </c>
      <c r="AA234" t="s">
        <v>46</v>
      </c>
      <c r="AB234" t="s">
        <v>46</v>
      </c>
      <c r="AC234">
        <v>93590000</v>
      </c>
    </row>
    <row r="235" spans="1:29">
      <c r="A235" s="24">
        <v>39933</v>
      </c>
      <c r="B235" t="s">
        <v>45</v>
      </c>
      <c r="C235">
        <v>108893000</v>
      </c>
      <c r="D235" t="s">
        <v>46</v>
      </c>
      <c r="E235" t="s">
        <v>46</v>
      </c>
      <c r="F235" t="s">
        <v>46</v>
      </c>
      <c r="G235" t="s">
        <v>46</v>
      </c>
      <c r="H235">
        <v>64531000</v>
      </c>
      <c r="I235">
        <v>51825000</v>
      </c>
      <c r="J235" t="s">
        <v>46</v>
      </c>
      <c r="K235">
        <v>-39040000</v>
      </c>
      <c r="L235" t="s">
        <v>46</v>
      </c>
      <c r="M235" t="s">
        <v>46</v>
      </c>
      <c r="N235">
        <v>-631000</v>
      </c>
      <c r="O235" t="s">
        <v>46</v>
      </c>
      <c r="P235" t="s">
        <v>46</v>
      </c>
      <c r="Q235" t="s">
        <v>46</v>
      </c>
      <c r="R235" t="s">
        <v>46</v>
      </c>
      <c r="S235" t="s">
        <v>46</v>
      </c>
      <c r="T235" t="s">
        <v>46</v>
      </c>
      <c r="U235" t="s">
        <v>46</v>
      </c>
      <c r="V235" t="s">
        <v>46</v>
      </c>
      <c r="W235" t="s">
        <v>46</v>
      </c>
      <c r="X235" t="s">
        <v>46</v>
      </c>
      <c r="Y235">
        <v>-252000</v>
      </c>
      <c r="Z235" t="s">
        <v>46</v>
      </c>
      <c r="AA235" t="s">
        <v>46</v>
      </c>
      <c r="AB235" t="s">
        <v>46</v>
      </c>
      <c r="AC235">
        <v>83006000</v>
      </c>
    </row>
    <row r="236" spans="1:29">
      <c r="A236" s="24">
        <v>39844</v>
      </c>
      <c r="B236" t="s">
        <v>45</v>
      </c>
      <c r="C236">
        <v>314036000</v>
      </c>
      <c r="D236" t="s">
        <v>46</v>
      </c>
      <c r="E236" t="s">
        <v>46</v>
      </c>
      <c r="F236" t="s">
        <v>46</v>
      </c>
      <c r="G236" t="s">
        <v>46</v>
      </c>
      <c r="H236">
        <v>63744000</v>
      </c>
      <c r="I236">
        <v>45837000</v>
      </c>
      <c r="J236" t="s">
        <v>46</v>
      </c>
      <c r="K236">
        <v>191683000</v>
      </c>
      <c r="L236" t="s">
        <v>46</v>
      </c>
      <c r="M236" t="s">
        <v>46</v>
      </c>
      <c r="N236">
        <v>-41089000</v>
      </c>
      <c r="O236" t="s">
        <v>46</v>
      </c>
      <c r="P236" t="s">
        <v>46</v>
      </c>
      <c r="Q236" t="s">
        <v>46</v>
      </c>
      <c r="R236" t="s">
        <v>46</v>
      </c>
      <c r="S236" t="s">
        <v>46</v>
      </c>
      <c r="T236" t="s">
        <v>46</v>
      </c>
      <c r="U236" t="s">
        <v>46</v>
      </c>
      <c r="V236" t="s">
        <v>46</v>
      </c>
      <c r="W236" t="s">
        <v>46</v>
      </c>
      <c r="X236" t="s">
        <v>46</v>
      </c>
      <c r="Y236">
        <v>290000</v>
      </c>
      <c r="Z236" t="s">
        <v>46</v>
      </c>
      <c r="AA236" t="s">
        <v>46</v>
      </c>
      <c r="AB236" t="s">
        <v>46</v>
      </c>
      <c r="AC236">
        <v>81854000</v>
      </c>
    </row>
    <row r="237" spans="1:29">
      <c r="A237" s="24">
        <v>39752</v>
      </c>
      <c r="B237" t="s">
        <v>45</v>
      </c>
      <c r="C237">
        <v>-35382000</v>
      </c>
      <c r="D237" t="s">
        <v>46</v>
      </c>
      <c r="E237" t="s">
        <v>46</v>
      </c>
      <c r="F237" t="s">
        <v>46</v>
      </c>
      <c r="G237" t="s">
        <v>46</v>
      </c>
      <c r="H237">
        <v>62132000</v>
      </c>
      <c r="I237">
        <v>79609000</v>
      </c>
      <c r="J237" t="s">
        <v>46</v>
      </c>
      <c r="K237">
        <v>-147258000</v>
      </c>
      <c r="L237" t="s">
        <v>46</v>
      </c>
      <c r="M237" t="s">
        <v>46</v>
      </c>
      <c r="N237">
        <v>1066000</v>
      </c>
      <c r="O237" t="s">
        <v>46</v>
      </c>
      <c r="P237" t="s">
        <v>46</v>
      </c>
      <c r="Q237" t="s">
        <v>46</v>
      </c>
      <c r="R237" t="s">
        <v>46</v>
      </c>
      <c r="S237" t="s">
        <v>46</v>
      </c>
      <c r="T237" t="s">
        <v>46</v>
      </c>
      <c r="U237" t="s">
        <v>46</v>
      </c>
      <c r="V237" t="s">
        <v>46</v>
      </c>
      <c r="W237" t="s">
        <v>46</v>
      </c>
      <c r="X237" t="s">
        <v>46</v>
      </c>
      <c r="Y237">
        <v>-275000</v>
      </c>
      <c r="Z237" t="s">
        <v>46</v>
      </c>
      <c r="AA237" t="s">
        <v>46</v>
      </c>
      <c r="AB237" t="s">
        <v>46</v>
      </c>
      <c r="AC237">
        <v>-7306000</v>
      </c>
    </row>
    <row r="238" spans="1:29">
      <c r="A238" s="24">
        <v>39660</v>
      </c>
      <c r="B238" t="s">
        <v>45</v>
      </c>
      <c r="C238">
        <v>144963000</v>
      </c>
      <c r="D238" t="s">
        <v>46</v>
      </c>
      <c r="E238" t="s">
        <v>46</v>
      </c>
      <c r="F238" t="s">
        <v>46</v>
      </c>
      <c r="G238" t="s">
        <v>46</v>
      </c>
      <c r="H238">
        <v>60617000</v>
      </c>
      <c r="I238">
        <v>44727000</v>
      </c>
      <c r="J238" t="s">
        <v>46</v>
      </c>
      <c r="K238">
        <v>-189003000</v>
      </c>
      <c r="L238" t="s">
        <v>46</v>
      </c>
      <c r="M238" t="s">
        <v>46</v>
      </c>
      <c r="N238">
        <v>-1073000</v>
      </c>
      <c r="O238" t="s">
        <v>46</v>
      </c>
      <c r="P238" t="s">
        <v>46</v>
      </c>
      <c r="Q238" t="s">
        <v>46</v>
      </c>
      <c r="R238" t="s">
        <v>46</v>
      </c>
      <c r="S238" t="s">
        <v>46</v>
      </c>
      <c r="T238" t="s">
        <v>46</v>
      </c>
      <c r="U238" t="s">
        <v>46</v>
      </c>
      <c r="V238" t="s">
        <v>46</v>
      </c>
      <c r="W238" t="s">
        <v>46</v>
      </c>
      <c r="X238" t="s">
        <v>46</v>
      </c>
      <c r="Y238">
        <v>-503000</v>
      </c>
      <c r="Z238" t="s">
        <v>46</v>
      </c>
      <c r="AA238" t="s">
        <v>46</v>
      </c>
      <c r="AB238" t="s">
        <v>46</v>
      </c>
      <c r="AC238">
        <v>27718000</v>
      </c>
    </row>
    <row r="239" spans="1:29">
      <c r="A239" s="24">
        <v>39568</v>
      </c>
      <c r="B239" t="s">
        <v>45</v>
      </c>
      <c r="C239">
        <v>151561000</v>
      </c>
      <c r="D239" t="s">
        <v>46</v>
      </c>
      <c r="E239" t="s">
        <v>46</v>
      </c>
      <c r="F239" t="s">
        <v>46</v>
      </c>
      <c r="G239" t="s">
        <v>46</v>
      </c>
      <c r="H239">
        <v>61406000</v>
      </c>
      <c r="I239">
        <v>35373000</v>
      </c>
      <c r="J239" t="s">
        <v>46</v>
      </c>
      <c r="K239">
        <v>-28436000</v>
      </c>
      <c r="L239" t="s">
        <v>46</v>
      </c>
      <c r="M239" t="s">
        <v>46</v>
      </c>
      <c r="N239">
        <v>-103660000</v>
      </c>
      <c r="O239" t="s">
        <v>46</v>
      </c>
      <c r="P239" t="s">
        <v>46</v>
      </c>
      <c r="Q239" t="s">
        <v>46</v>
      </c>
      <c r="R239" t="s">
        <v>46</v>
      </c>
      <c r="S239" t="s">
        <v>46</v>
      </c>
      <c r="T239" t="s">
        <v>46</v>
      </c>
      <c r="U239" t="s">
        <v>46</v>
      </c>
      <c r="V239" t="s">
        <v>46</v>
      </c>
      <c r="W239" t="s">
        <v>46</v>
      </c>
      <c r="X239" t="s">
        <v>46</v>
      </c>
      <c r="Y239">
        <v>-10000</v>
      </c>
      <c r="Z239" t="s">
        <v>46</v>
      </c>
      <c r="AA239" t="s">
        <v>46</v>
      </c>
      <c r="AB239" t="s">
        <v>46</v>
      </c>
      <c r="AC239">
        <v>5916000</v>
      </c>
    </row>
    <row r="240" spans="1:29">
      <c r="A240" s="24">
        <v>39478</v>
      </c>
      <c r="B240" t="s">
        <v>45</v>
      </c>
      <c r="C240">
        <v>273432000</v>
      </c>
      <c r="D240" t="s">
        <v>46</v>
      </c>
      <c r="E240" t="s">
        <v>46</v>
      </c>
      <c r="F240" t="s">
        <v>46</v>
      </c>
      <c r="G240" t="s">
        <v>46</v>
      </c>
      <c r="H240">
        <v>59306000</v>
      </c>
      <c r="I240">
        <v>38935000</v>
      </c>
      <c r="J240" t="s">
        <v>46</v>
      </c>
      <c r="K240">
        <v>187343000</v>
      </c>
      <c r="L240" t="s">
        <v>46</v>
      </c>
      <c r="M240" t="s">
        <v>46</v>
      </c>
      <c r="N240">
        <v>-230650000</v>
      </c>
      <c r="O240" t="s">
        <v>46</v>
      </c>
      <c r="P240" t="s">
        <v>46</v>
      </c>
      <c r="Q240" t="s">
        <v>46</v>
      </c>
      <c r="R240" t="s">
        <v>46</v>
      </c>
      <c r="S240">
        <v>46758000</v>
      </c>
      <c r="T240">
        <v>46758000</v>
      </c>
      <c r="U240" t="s">
        <v>46</v>
      </c>
      <c r="V240" t="s">
        <v>46</v>
      </c>
      <c r="W240" t="s">
        <v>46</v>
      </c>
      <c r="X240" t="s">
        <v>46</v>
      </c>
      <c r="Y240">
        <v>-417000</v>
      </c>
      <c r="Z240" t="s">
        <v>46</v>
      </c>
      <c r="AA240" t="s">
        <v>46</v>
      </c>
      <c r="AB240" t="s">
        <v>46</v>
      </c>
      <c r="AC240">
        <v>55389000</v>
      </c>
    </row>
    <row r="241" spans="1:29">
      <c r="A241" s="24">
        <v>39386</v>
      </c>
      <c r="B241" t="s">
        <v>45</v>
      </c>
      <c r="C241">
        <v>25815000</v>
      </c>
      <c r="D241" t="s">
        <v>46</v>
      </c>
      <c r="E241" t="s">
        <v>46</v>
      </c>
      <c r="F241" t="s">
        <v>46</v>
      </c>
      <c r="G241" t="s">
        <v>46</v>
      </c>
      <c r="H241">
        <v>65332000</v>
      </c>
      <c r="I241">
        <v>33306000</v>
      </c>
      <c r="J241" t="s">
        <v>46</v>
      </c>
      <c r="K241">
        <v>-80847000</v>
      </c>
      <c r="L241" t="s">
        <v>46</v>
      </c>
      <c r="M241" t="s">
        <v>46</v>
      </c>
      <c r="N241">
        <v>17046000</v>
      </c>
      <c r="O241" t="s">
        <v>46</v>
      </c>
      <c r="P241" t="s">
        <v>46</v>
      </c>
      <c r="Q241" t="s">
        <v>46</v>
      </c>
      <c r="R241" t="s">
        <v>46</v>
      </c>
      <c r="S241">
        <v>801400000</v>
      </c>
      <c r="T241">
        <v>801400000</v>
      </c>
      <c r="U241" t="s">
        <v>46</v>
      </c>
      <c r="V241" t="s">
        <v>46</v>
      </c>
      <c r="W241" t="s">
        <v>46</v>
      </c>
      <c r="X241" t="s">
        <v>46</v>
      </c>
      <c r="Y241">
        <v>-124000</v>
      </c>
      <c r="Z241" t="s">
        <v>46</v>
      </c>
      <c r="AA241" t="s">
        <v>46</v>
      </c>
      <c r="AB241" t="s">
        <v>46</v>
      </c>
      <c r="AC241">
        <v>-33032000</v>
      </c>
    </row>
    <row r="242" spans="1:29">
      <c r="A242" s="24">
        <v>39294</v>
      </c>
      <c r="B242" t="s">
        <v>45</v>
      </c>
      <c r="C242">
        <v>113017000</v>
      </c>
      <c r="D242" t="s">
        <v>46</v>
      </c>
      <c r="E242" t="s">
        <v>46</v>
      </c>
      <c r="F242" t="s">
        <v>46</v>
      </c>
      <c r="G242" t="s">
        <v>46</v>
      </c>
      <c r="H242">
        <v>59041000</v>
      </c>
      <c r="I242">
        <v>33452000</v>
      </c>
      <c r="J242" t="s">
        <v>46</v>
      </c>
      <c r="K242">
        <v>1374000</v>
      </c>
      <c r="L242" t="s">
        <v>46</v>
      </c>
      <c r="M242" t="s">
        <v>46</v>
      </c>
      <c r="N242">
        <v>6928401000</v>
      </c>
      <c r="O242" t="s">
        <v>46</v>
      </c>
      <c r="P242" t="s">
        <v>46</v>
      </c>
      <c r="Q242" t="s">
        <v>46</v>
      </c>
      <c r="R242" t="s">
        <v>46</v>
      </c>
      <c r="S242">
        <v>2000</v>
      </c>
      <c r="T242">
        <v>2000</v>
      </c>
      <c r="U242" t="s">
        <v>46</v>
      </c>
      <c r="V242" t="s">
        <v>46</v>
      </c>
      <c r="W242" t="s">
        <v>46</v>
      </c>
      <c r="X242" t="s">
        <v>46</v>
      </c>
      <c r="Y242">
        <v>2772700000</v>
      </c>
      <c r="Z242" t="s">
        <v>46</v>
      </c>
      <c r="AA242" t="s">
        <v>46</v>
      </c>
      <c r="AB242" t="s">
        <v>46</v>
      </c>
      <c r="AC242">
        <v>-70048000</v>
      </c>
    </row>
    <row r="243" spans="1:29">
      <c r="A243" s="24">
        <v>39202</v>
      </c>
      <c r="B243" t="s">
        <v>45</v>
      </c>
      <c r="C243">
        <v>29286000</v>
      </c>
      <c r="D243" t="s">
        <v>46</v>
      </c>
      <c r="E243" t="s">
        <v>46</v>
      </c>
      <c r="F243" t="s">
        <v>46</v>
      </c>
      <c r="G243" t="s">
        <v>46</v>
      </c>
      <c r="H243">
        <v>50451000</v>
      </c>
      <c r="I243">
        <v>34101000</v>
      </c>
      <c r="J243" t="s">
        <v>46</v>
      </c>
      <c r="K243">
        <v>-11977000</v>
      </c>
      <c r="L243" t="s">
        <v>46</v>
      </c>
      <c r="M243" t="s">
        <v>46</v>
      </c>
      <c r="N243">
        <v>19445000</v>
      </c>
      <c r="O243" t="s">
        <v>46</v>
      </c>
      <c r="P243" t="s">
        <v>46</v>
      </c>
      <c r="Q243" t="s">
        <v>46</v>
      </c>
      <c r="R243" t="s">
        <v>46</v>
      </c>
      <c r="S243">
        <v>15712000</v>
      </c>
      <c r="T243">
        <v>15712000</v>
      </c>
      <c r="U243" t="s">
        <v>46</v>
      </c>
      <c r="V243" t="s">
        <v>46</v>
      </c>
      <c r="W243" t="s">
        <v>46</v>
      </c>
      <c r="X243" t="s">
        <v>46</v>
      </c>
      <c r="Y243">
        <v>34300000</v>
      </c>
      <c r="Z243" t="s">
        <v>46</v>
      </c>
      <c r="AA243" t="s">
        <v>46</v>
      </c>
      <c r="AB243" t="s">
        <v>46</v>
      </c>
      <c r="AC243">
        <v>34875000</v>
      </c>
    </row>
    <row r="244" spans="1:29">
      <c r="A244" s="24">
        <v>39113</v>
      </c>
      <c r="B244" t="s">
        <v>45</v>
      </c>
      <c r="C244">
        <v>385597000</v>
      </c>
      <c r="D244" t="s">
        <v>46</v>
      </c>
      <c r="E244" t="s">
        <v>46</v>
      </c>
      <c r="F244" t="s">
        <v>46</v>
      </c>
      <c r="G244" t="s">
        <v>46</v>
      </c>
      <c r="H244">
        <v>51697000</v>
      </c>
      <c r="I244">
        <v>40472000</v>
      </c>
      <c r="J244" t="s">
        <v>46</v>
      </c>
      <c r="K244">
        <v>244819000</v>
      </c>
      <c r="L244" t="s">
        <v>46</v>
      </c>
      <c r="M244" t="s">
        <v>46</v>
      </c>
      <c r="N244">
        <v>-244612000</v>
      </c>
      <c r="O244" t="s">
        <v>46</v>
      </c>
      <c r="P244" t="s">
        <v>46</v>
      </c>
      <c r="Q244" t="s">
        <v>46</v>
      </c>
      <c r="R244" t="s">
        <v>46</v>
      </c>
      <c r="S244">
        <v>15608000</v>
      </c>
      <c r="T244">
        <v>15608000</v>
      </c>
      <c r="U244" t="s">
        <v>46</v>
      </c>
      <c r="V244" t="s">
        <v>46</v>
      </c>
      <c r="W244" t="s">
        <v>46</v>
      </c>
      <c r="X244" t="s">
        <v>46</v>
      </c>
      <c r="Y244">
        <v>-74000000</v>
      </c>
      <c r="Z244" t="s">
        <v>46</v>
      </c>
      <c r="AA244" t="s">
        <v>46</v>
      </c>
      <c r="AB244" t="s">
        <v>46</v>
      </c>
      <c r="AC244">
        <v>50090000</v>
      </c>
    </row>
    <row r="245" spans="1:29">
      <c r="A245" s="24">
        <v>39021</v>
      </c>
      <c r="B245" t="s">
        <v>45</v>
      </c>
      <c r="C245">
        <v>105898000</v>
      </c>
      <c r="D245" t="s">
        <v>46</v>
      </c>
      <c r="E245" t="s">
        <v>46</v>
      </c>
      <c r="F245" t="s">
        <v>46</v>
      </c>
      <c r="G245" t="s">
        <v>46</v>
      </c>
      <c r="H245">
        <v>51431000</v>
      </c>
      <c r="I245">
        <v>64733000</v>
      </c>
      <c r="J245" t="s">
        <v>46</v>
      </c>
      <c r="K245">
        <v>-12259000</v>
      </c>
      <c r="L245" t="s">
        <v>46</v>
      </c>
      <c r="M245" t="s">
        <v>46</v>
      </c>
      <c r="N245">
        <v>-38485000</v>
      </c>
      <c r="O245" t="s">
        <v>46</v>
      </c>
      <c r="P245" t="s">
        <v>46</v>
      </c>
      <c r="Q245" t="s">
        <v>46</v>
      </c>
      <c r="R245" t="s">
        <v>46</v>
      </c>
      <c r="S245">
        <v>15581000</v>
      </c>
      <c r="T245">
        <v>15581000</v>
      </c>
      <c r="U245" t="s">
        <v>46</v>
      </c>
      <c r="V245" t="s">
        <v>46</v>
      </c>
      <c r="W245" t="s">
        <v>46</v>
      </c>
      <c r="X245" t="s">
        <v>46</v>
      </c>
      <c r="Y245">
        <v>300000</v>
      </c>
      <c r="Z245" t="s">
        <v>46</v>
      </c>
      <c r="AA245" t="s">
        <v>46</v>
      </c>
      <c r="AB245" t="s">
        <v>46</v>
      </c>
      <c r="AC245">
        <v>-5285000</v>
      </c>
    </row>
    <row r="246" spans="1:29">
      <c r="A246" s="24">
        <v>38929</v>
      </c>
      <c r="B246" t="s">
        <v>45</v>
      </c>
      <c r="C246">
        <v>-70022000</v>
      </c>
      <c r="D246" t="s">
        <v>46</v>
      </c>
      <c r="E246" t="s">
        <v>46</v>
      </c>
      <c r="F246" t="s">
        <v>46</v>
      </c>
      <c r="G246" t="s">
        <v>46</v>
      </c>
      <c r="H246">
        <v>48702000</v>
      </c>
      <c r="I246">
        <v>79208000</v>
      </c>
      <c r="J246" t="s">
        <v>46</v>
      </c>
      <c r="K246">
        <v>-98913000</v>
      </c>
      <c r="L246" t="s">
        <v>46</v>
      </c>
      <c r="M246" t="s">
        <v>46</v>
      </c>
      <c r="N246">
        <v>168916000</v>
      </c>
      <c r="O246" t="s">
        <v>46</v>
      </c>
      <c r="P246" t="s">
        <v>46</v>
      </c>
      <c r="Q246" t="s">
        <v>46</v>
      </c>
      <c r="R246" t="s">
        <v>46</v>
      </c>
      <c r="S246">
        <v>15597000</v>
      </c>
      <c r="T246">
        <v>15597000</v>
      </c>
      <c r="U246" t="s">
        <v>46</v>
      </c>
      <c r="V246" t="s">
        <v>46</v>
      </c>
      <c r="W246" t="s">
        <v>46</v>
      </c>
      <c r="X246" t="s">
        <v>46</v>
      </c>
      <c r="Y246">
        <v>2700000</v>
      </c>
      <c r="Z246" t="s">
        <v>46</v>
      </c>
      <c r="AA246" t="s">
        <v>46</v>
      </c>
      <c r="AB246" t="s">
        <v>46</v>
      </c>
      <c r="AC246">
        <v>45468000</v>
      </c>
    </row>
    <row r="247" spans="1:29">
      <c r="A247" s="24">
        <v>38837</v>
      </c>
      <c r="B247" t="s">
        <v>45</v>
      </c>
      <c r="C247">
        <v>-16116000</v>
      </c>
      <c r="D247" t="s">
        <v>46</v>
      </c>
      <c r="E247" t="s">
        <v>46</v>
      </c>
      <c r="F247" t="s">
        <v>46</v>
      </c>
      <c r="G247" t="s">
        <v>46</v>
      </c>
      <c r="H247">
        <v>48778000</v>
      </c>
      <c r="I247">
        <v>77102000</v>
      </c>
      <c r="J247" t="s">
        <v>46</v>
      </c>
      <c r="K247">
        <v>-161704000</v>
      </c>
      <c r="L247" t="s">
        <v>46</v>
      </c>
      <c r="M247" t="s">
        <v>46</v>
      </c>
      <c r="N247">
        <v>-20533000</v>
      </c>
      <c r="O247" t="s">
        <v>46</v>
      </c>
      <c r="P247" t="s">
        <v>46</v>
      </c>
      <c r="Q247" t="s">
        <v>46</v>
      </c>
      <c r="R247" t="s">
        <v>46</v>
      </c>
      <c r="S247">
        <v>15686000</v>
      </c>
      <c r="T247">
        <v>15686000</v>
      </c>
      <c r="U247" t="s">
        <v>46</v>
      </c>
      <c r="V247" t="s">
        <v>46</v>
      </c>
      <c r="W247" t="s">
        <v>46</v>
      </c>
      <c r="X247" t="s">
        <v>46</v>
      </c>
      <c r="Y247">
        <v>-79947000</v>
      </c>
      <c r="Z247" t="s">
        <v>46</v>
      </c>
      <c r="AA247" t="s">
        <v>46</v>
      </c>
      <c r="AB247" t="s">
        <v>46</v>
      </c>
      <c r="AC247">
        <v>47670000</v>
      </c>
    </row>
    <row r="248" spans="1:29">
      <c r="A248" s="24">
        <v>38748</v>
      </c>
      <c r="B248" t="s">
        <v>45</v>
      </c>
      <c r="C248">
        <v>320768000</v>
      </c>
      <c r="D248" t="s">
        <v>46</v>
      </c>
      <c r="E248" t="s">
        <v>46</v>
      </c>
      <c r="F248" t="s">
        <v>46</v>
      </c>
      <c r="G248" t="s">
        <v>46</v>
      </c>
      <c r="H248">
        <v>49007000</v>
      </c>
      <c r="I248">
        <v>67263000</v>
      </c>
      <c r="J248" t="s">
        <v>46</v>
      </c>
      <c r="K248">
        <v>100153000</v>
      </c>
      <c r="L248" t="s">
        <v>46</v>
      </c>
      <c r="M248" t="s">
        <v>46</v>
      </c>
      <c r="N248">
        <v>-121364000</v>
      </c>
      <c r="O248" t="s">
        <v>46</v>
      </c>
      <c r="P248" t="s">
        <v>46</v>
      </c>
      <c r="Q248" t="s">
        <v>46</v>
      </c>
      <c r="R248" t="s">
        <v>46</v>
      </c>
      <c r="S248">
        <v>14184000</v>
      </c>
      <c r="T248">
        <v>14184000</v>
      </c>
      <c r="U248" t="s">
        <v>46</v>
      </c>
      <c r="V248" t="s">
        <v>46</v>
      </c>
      <c r="W248" t="s">
        <v>46</v>
      </c>
      <c r="X248" t="s">
        <v>46</v>
      </c>
      <c r="Y248">
        <v>-36895000</v>
      </c>
      <c r="Z248" t="s">
        <v>46</v>
      </c>
      <c r="AA248" t="s">
        <v>46</v>
      </c>
      <c r="AB248" t="s">
        <v>46</v>
      </c>
      <c r="AC248">
        <v>145272000</v>
      </c>
    </row>
    <row r="249" spans="1:29">
      <c r="A249" s="24">
        <v>38656</v>
      </c>
      <c r="B249" t="s">
        <v>45</v>
      </c>
      <c r="C249">
        <v>35701000</v>
      </c>
      <c r="D249" t="s">
        <v>46</v>
      </c>
      <c r="E249" t="s">
        <v>46</v>
      </c>
      <c r="F249" t="s">
        <v>46</v>
      </c>
      <c r="G249" t="s">
        <v>46</v>
      </c>
      <c r="H249">
        <v>47501000</v>
      </c>
      <c r="I249">
        <v>77255000</v>
      </c>
      <c r="J249" t="s">
        <v>46</v>
      </c>
      <c r="K249">
        <v>-113867000</v>
      </c>
      <c r="L249" t="s">
        <v>46</v>
      </c>
      <c r="M249" t="s">
        <v>46</v>
      </c>
      <c r="N249">
        <v>-11890000</v>
      </c>
      <c r="O249" t="s">
        <v>46</v>
      </c>
      <c r="P249" t="s">
        <v>46</v>
      </c>
      <c r="Q249" t="s">
        <v>46</v>
      </c>
      <c r="R249" t="s">
        <v>46</v>
      </c>
      <c r="S249">
        <v>14403000</v>
      </c>
      <c r="T249">
        <v>14403000</v>
      </c>
      <c r="U249" t="s">
        <v>46</v>
      </c>
      <c r="V249" t="s">
        <v>46</v>
      </c>
      <c r="W249" t="s">
        <v>46</v>
      </c>
      <c r="X249" t="s">
        <v>46</v>
      </c>
      <c r="Y249">
        <v>-87952000</v>
      </c>
      <c r="Z249" t="s">
        <v>46</v>
      </c>
      <c r="AA249" t="s">
        <v>46</v>
      </c>
      <c r="AB249" t="s">
        <v>46</v>
      </c>
      <c r="AC249">
        <v>64425000</v>
      </c>
    </row>
    <row r="250" spans="1:29">
      <c r="A250" s="24">
        <v>38564</v>
      </c>
      <c r="B250" t="s">
        <v>45</v>
      </c>
      <c r="C250">
        <v>144265000</v>
      </c>
      <c r="D250" t="s">
        <v>46</v>
      </c>
      <c r="E250" t="s">
        <v>46</v>
      </c>
      <c r="F250" t="s">
        <v>46</v>
      </c>
      <c r="G250" t="s">
        <v>46</v>
      </c>
      <c r="H250">
        <v>46310000</v>
      </c>
      <c r="I250">
        <v>74533000</v>
      </c>
      <c r="J250" t="s">
        <v>46</v>
      </c>
      <c r="K250">
        <v>5281000</v>
      </c>
      <c r="L250" t="s">
        <v>46</v>
      </c>
      <c r="M250" t="s">
        <v>46</v>
      </c>
      <c r="N250">
        <v>-161005000</v>
      </c>
      <c r="O250" t="s">
        <v>46</v>
      </c>
      <c r="P250" t="s">
        <v>46</v>
      </c>
      <c r="Q250" t="s">
        <v>46</v>
      </c>
      <c r="R250" t="s">
        <v>46</v>
      </c>
      <c r="S250">
        <v>14451000</v>
      </c>
      <c r="T250">
        <v>14451000</v>
      </c>
      <c r="U250" t="s">
        <v>46</v>
      </c>
      <c r="V250" t="s">
        <v>46</v>
      </c>
      <c r="W250" t="s">
        <v>46</v>
      </c>
      <c r="X250" t="s">
        <v>46</v>
      </c>
      <c r="Y250">
        <v>-147693000</v>
      </c>
      <c r="Z250" t="s">
        <v>46</v>
      </c>
      <c r="AA250" t="s">
        <v>46</v>
      </c>
      <c r="AB250" t="s">
        <v>46</v>
      </c>
      <c r="AC250">
        <v>75558000</v>
      </c>
    </row>
    <row r="251" spans="1:29">
      <c r="A251" s="24">
        <v>38472</v>
      </c>
      <c r="B251" t="s">
        <v>45</v>
      </c>
      <c r="C251">
        <v>54751000</v>
      </c>
      <c r="D251" t="s">
        <v>46</v>
      </c>
      <c r="E251" t="s">
        <v>46</v>
      </c>
      <c r="F251" t="s">
        <v>46</v>
      </c>
      <c r="G251" t="s">
        <v>46</v>
      </c>
      <c r="H251">
        <v>44006000</v>
      </c>
      <c r="I251">
        <v>65061000</v>
      </c>
      <c r="J251" t="s">
        <v>46</v>
      </c>
      <c r="K251">
        <v>-89444000</v>
      </c>
      <c r="L251" t="s">
        <v>46</v>
      </c>
      <c r="M251" t="s">
        <v>46</v>
      </c>
      <c r="N251">
        <v>-29044000</v>
      </c>
      <c r="O251" t="s">
        <v>46</v>
      </c>
      <c r="P251" t="s">
        <v>46</v>
      </c>
      <c r="Q251" t="s">
        <v>46</v>
      </c>
      <c r="R251" t="s">
        <v>46</v>
      </c>
      <c r="S251">
        <v>13145000</v>
      </c>
      <c r="T251">
        <v>13145000</v>
      </c>
      <c r="U251" t="s">
        <v>46</v>
      </c>
      <c r="V251" t="s">
        <v>46</v>
      </c>
      <c r="W251" t="s">
        <v>46</v>
      </c>
      <c r="X251" t="s">
        <v>46</v>
      </c>
      <c r="Y251">
        <v>-25062000</v>
      </c>
      <c r="Z251" t="s">
        <v>46</v>
      </c>
      <c r="AA251" t="s">
        <v>46</v>
      </c>
      <c r="AB251" t="s">
        <v>46</v>
      </c>
      <c r="AC251">
        <v>64900000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DD6281-8222-5E42-83E3-81779EB42B1F}">
  <sheetPr codeName="Sheet12"/>
  <dimension ref="A2:B4"/>
  <sheetViews>
    <sheetView zoomScale="150" zoomScaleNormal="150" workbookViewId="0">
      <selection activeCell="B10" sqref="B10"/>
    </sheetView>
  </sheetViews>
  <sheetFormatPr baseColWidth="10" defaultColWidth="11.5" defaultRowHeight="13"/>
  <sheetData>
    <row r="2" spans="1:2">
      <c r="B2" s="23" t="str">
        <f ca="1">Funda!B2</f>
        <v>TSLA</v>
      </c>
    </row>
    <row r="3" spans="1:2">
      <c r="A3" t="s">
        <v>247</v>
      </c>
    </row>
    <row r="4" spans="1:2">
      <c r="A4" t="s">
        <v>543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CF36C-5134-2642-BDE4-DFB5725847A8}">
  <sheetPr codeName="Sheet3"/>
  <dimension ref="A1:AD107"/>
  <sheetViews>
    <sheetView showGridLines="0" topLeftCell="A55" workbookViewId="0">
      <selection activeCell="B14" sqref="B14"/>
    </sheetView>
  </sheetViews>
  <sheetFormatPr baseColWidth="10" defaultColWidth="8.83203125" defaultRowHeight="13"/>
  <cols>
    <col min="1" max="1" width="4.5" style="89" customWidth="1"/>
    <col min="2" max="2" width="23.5" bestFit="1" customWidth="1"/>
    <col min="3" max="3" width="11.33203125" customWidth="1"/>
    <col min="6" max="11" width="10.33203125" bestFit="1" customWidth="1"/>
    <col min="12" max="12" width="11.1640625" bestFit="1" customWidth="1"/>
    <col min="13" max="13" width="11.83203125" bestFit="1" customWidth="1"/>
    <col min="14" max="14" width="14.83203125" customWidth="1"/>
    <col min="15" max="15" width="14.83203125" bestFit="1" customWidth="1"/>
    <col min="16" max="16" width="14.83203125" customWidth="1"/>
    <col min="17" max="17" width="14.83203125" bestFit="1" customWidth="1"/>
    <col min="18" max="24" width="9" bestFit="1" customWidth="1"/>
    <col min="25" max="25" width="12.1640625" bestFit="1" customWidth="1"/>
    <col min="26" max="27" width="10.83203125" bestFit="1" customWidth="1"/>
    <col min="28" max="28" width="14.83203125" bestFit="1" customWidth="1"/>
    <col min="29" max="30" width="10.83203125" bestFit="1" customWidth="1"/>
    <col min="32" max="32" width="12" bestFit="1" customWidth="1"/>
  </cols>
  <sheetData>
    <row r="1" spans="1:17">
      <c r="A1" s="89" t="s">
        <v>1</v>
      </c>
    </row>
    <row r="2" spans="1:17" s="91" customFormat="1">
      <c r="A2" s="90"/>
      <c r="B2" s="91" t="s">
        <v>274</v>
      </c>
    </row>
    <row r="3" spans="1:17">
      <c r="B3" t="s">
        <v>186</v>
      </c>
      <c r="C3" s="92" t="str">
        <f ca="1">Funda!B2</f>
        <v>TSLA</v>
      </c>
      <c r="E3" t="s">
        <v>275</v>
      </c>
      <c r="G3" s="121">
        <f ca="1">Funda!B6</f>
        <v>315.35000000000002</v>
      </c>
    </row>
    <row r="4" spans="1:17">
      <c r="B4" t="s">
        <v>246</v>
      </c>
      <c r="C4" s="93">
        <f ca="1">TODAY()</f>
        <v>45842</v>
      </c>
      <c r="E4" t="s">
        <v>276</v>
      </c>
      <c r="G4" s="92" t="e">
        <f ca="1">Y106</f>
        <v>#VALUE!</v>
      </c>
    </row>
    <row r="6" spans="1:17" s="95" customFormat="1">
      <c r="A6" s="94" t="s">
        <v>277</v>
      </c>
      <c r="B6" s="95" t="s">
        <v>278</v>
      </c>
    </row>
    <row r="8" spans="1:17" ht="18">
      <c r="B8" s="4" t="s">
        <v>279</v>
      </c>
      <c r="G8" s="21" t="s">
        <v>280</v>
      </c>
      <c r="K8" s="21" t="s">
        <v>281</v>
      </c>
      <c r="O8" s="21" t="s">
        <v>282</v>
      </c>
    </row>
    <row r="9" spans="1:17" ht="18">
      <c r="B9" s="4"/>
      <c r="G9" t="s">
        <v>283</v>
      </c>
      <c r="I9" s="96">
        <v>0.1</v>
      </c>
      <c r="K9" t="s">
        <v>283</v>
      </c>
      <c r="M9" s="97">
        <v>0.16</v>
      </c>
      <c r="O9" t="s">
        <v>283</v>
      </c>
      <c r="Q9" s="98"/>
    </row>
    <row r="10" spans="1:17">
      <c r="B10" t="s">
        <v>284</v>
      </c>
      <c r="E10" s="92">
        <v>2</v>
      </c>
      <c r="G10" t="s">
        <v>285</v>
      </c>
      <c r="I10" s="99">
        <v>0.05</v>
      </c>
      <c r="J10" s="100"/>
      <c r="K10" t="s">
        <v>285</v>
      </c>
      <c r="M10" s="99">
        <v>0.1</v>
      </c>
      <c r="O10" t="s">
        <v>284</v>
      </c>
      <c r="Q10" s="98"/>
    </row>
    <row r="11" spans="1:17">
      <c r="B11" t="s">
        <v>3</v>
      </c>
      <c r="E11" s="92">
        <v>2</v>
      </c>
      <c r="G11" t="s">
        <v>3</v>
      </c>
      <c r="I11" s="99">
        <v>0.2</v>
      </c>
      <c r="J11" s="100"/>
      <c r="K11" t="s">
        <v>3</v>
      </c>
      <c r="M11" s="99">
        <v>0.37</v>
      </c>
      <c r="O11" t="s">
        <v>3</v>
      </c>
      <c r="Q11" s="98"/>
    </row>
    <row r="12" spans="1:17" ht="14">
      <c r="B12" t="s">
        <v>255</v>
      </c>
      <c r="E12" s="92">
        <v>2</v>
      </c>
      <c r="G12" t="s">
        <v>286</v>
      </c>
      <c r="I12" s="101">
        <v>0.15</v>
      </c>
      <c r="J12" s="100"/>
      <c r="K12" t="s">
        <v>286</v>
      </c>
      <c r="M12" s="101">
        <v>0.2</v>
      </c>
      <c r="O12" t="s">
        <v>286</v>
      </c>
      <c r="Q12" s="102"/>
    </row>
    <row r="13" spans="1:17">
      <c r="B13" t="s">
        <v>197</v>
      </c>
      <c r="E13" s="92">
        <v>2</v>
      </c>
      <c r="G13" t="s">
        <v>197</v>
      </c>
      <c r="I13" s="98">
        <v>0.15</v>
      </c>
      <c r="J13" s="100"/>
      <c r="K13" t="s">
        <v>197</v>
      </c>
      <c r="M13" s="99">
        <v>0.1</v>
      </c>
      <c r="O13" t="s">
        <v>197</v>
      </c>
      <c r="Q13" s="99"/>
    </row>
    <row r="14" spans="1:17">
      <c r="B14" t="s">
        <v>287</v>
      </c>
      <c r="E14" s="92">
        <v>2</v>
      </c>
      <c r="G14" t="s">
        <v>287</v>
      </c>
      <c r="I14" s="99">
        <v>0.01</v>
      </c>
      <c r="J14" s="100"/>
      <c r="K14" t="s">
        <v>287</v>
      </c>
      <c r="M14" s="99">
        <v>0.02</v>
      </c>
      <c r="O14" t="s">
        <v>287</v>
      </c>
      <c r="Q14" s="98"/>
    </row>
    <row r="15" spans="1:17">
      <c r="B15" t="s">
        <v>253</v>
      </c>
      <c r="E15" s="92">
        <v>2</v>
      </c>
      <c r="G15" t="s">
        <v>253</v>
      </c>
      <c r="I15" s="99">
        <v>0.02</v>
      </c>
      <c r="J15" s="100"/>
      <c r="K15" t="s">
        <v>253</v>
      </c>
      <c r="M15" s="99">
        <v>0</v>
      </c>
      <c r="O15" t="s">
        <v>253</v>
      </c>
      <c r="Q15" s="98"/>
    </row>
    <row r="16" spans="1:17">
      <c r="B16" t="s">
        <v>288</v>
      </c>
      <c r="E16" s="92">
        <v>2</v>
      </c>
      <c r="G16" t="s">
        <v>288</v>
      </c>
      <c r="I16" s="99">
        <v>0.02</v>
      </c>
      <c r="J16" s="100"/>
      <c r="K16" t="s">
        <v>288</v>
      </c>
      <c r="M16" s="99">
        <v>0.02</v>
      </c>
      <c r="O16" t="s">
        <v>288</v>
      </c>
      <c r="Q16" s="98"/>
    </row>
    <row r="17" spans="1:25">
      <c r="B17" s="23" t="s">
        <v>312</v>
      </c>
      <c r="E17" s="92">
        <v>2</v>
      </c>
      <c r="G17" s="23" t="s">
        <v>312</v>
      </c>
      <c r="I17" s="99">
        <v>0.02</v>
      </c>
      <c r="J17" s="100"/>
      <c r="K17" s="23" t="s">
        <v>312</v>
      </c>
      <c r="M17" s="99">
        <v>0.03</v>
      </c>
      <c r="O17" t="s">
        <v>289</v>
      </c>
      <c r="Q17" s="98"/>
    </row>
    <row r="18" spans="1:25">
      <c r="J18" s="100"/>
    </row>
    <row r="19" spans="1:25" ht="16">
      <c r="B19" s="103" t="s">
        <v>290</v>
      </c>
      <c r="J19" s="100"/>
    </row>
    <row r="20" spans="1:25">
      <c r="B20" t="s">
        <v>197</v>
      </c>
      <c r="E20" s="98">
        <v>0.05</v>
      </c>
    </row>
    <row r="21" spans="1:25">
      <c r="B21" t="s">
        <v>287</v>
      </c>
      <c r="E21" s="98">
        <v>0.02</v>
      </c>
    </row>
    <row r="22" spans="1:25">
      <c r="O22">
        <f>1</f>
        <v>1</v>
      </c>
      <c r="P22">
        <f>O22+1</f>
        <v>2</v>
      </c>
      <c r="Q22">
        <f t="shared" ref="Q22:Y23" si="0">P22+1</f>
        <v>3</v>
      </c>
      <c r="R22">
        <f t="shared" si="0"/>
        <v>4</v>
      </c>
      <c r="S22">
        <f t="shared" si="0"/>
        <v>5</v>
      </c>
      <c r="T22">
        <f t="shared" si="0"/>
        <v>6</v>
      </c>
      <c r="U22">
        <f t="shared" si="0"/>
        <v>7</v>
      </c>
      <c r="V22">
        <f t="shared" si="0"/>
        <v>8</v>
      </c>
      <c r="W22">
        <f t="shared" si="0"/>
        <v>9</v>
      </c>
      <c r="X22">
        <f t="shared" si="0"/>
        <v>10</v>
      </c>
      <c r="Y22">
        <f t="shared" si="0"/>
        <v>11</v>
      </c>
    </row>
    <row r="23" spans="1:25" s="95" customFormat="1">
      <c r="A23" s="94" t="s">
        <v>277</v>
      </c>
      <c r="B23" s="95" t="s">
        <v>236</v>
      </c>
      <c r="E23" s="95">
        <f t="shared" ref="E23:L23" si="1">F23-1</f>
        <v>2015</v>
      </c>
      <c r="F23" s="95">
        <f t="shared" si="1"/>
        <v>2016</v>
      </c>
      <c r="G23" s="95">
        <f t="shared" si="1"/>
        <v>2017</v>
      </c>
      <c r="H23" s="95">
        <f t="shared" si="1"/>
        <v>2018</v>
      </c>
      <c r="I23" s="95">
        <f t="shared" si="1"/>
        <v>2019</v>
      </c>
      <c r="J23" s="95">
        <f t="shared" si="1"/>
        <v>2020</v>
      </c>
      <c r="K23" s="95">
        <f t="shared" si="1"/>
        <v>2021</v>
      </c>
      <c r="L23" s="95">
        <f t="shared" si="1"/>
        <v>2022</v>
      </c>
      <c r="M23" s="95">
        <f>N23-1</f>
        <v>2023</v>
      </c>
      <c r="N23" s="95">
        <v>2024</v>
      </c>
      <c r="O23" s="95">
        <f>N23+1</f>
        <v>2025</v>
      </c>
      <c r="P23" s="95">
        <f t="shared" ref="P23" si="2">O23+1</f>
        <v>2026</v>
      </c>
      <c r="Q23" s="95">
        <f t="shared" si="0"/>
        <v>2027</v>
      </c>
      <c r="R23" s="95">
        <f t="shared" si="0"/>
        <v>2028</v>
      </c>
      <c r="S23" s="95">
        <f t="shared" si="0"/>
        <v>2029</v>
      </c>
      <c r="T23" s="95">
        <f t="shared" si="0"/>
        <v>2030</v>
      </c>
      <c r="U23" s="95">
        <f t="shared" si="0"/>
        <v>2031</v>
      </c>
      <c r="V23" s="95">
        <f t="shared" ref="V23" si="3">U23+1</f>
        <v>2032</v>
      </c>
      <c r="W23" s="95">
        <f t="shared" ref="W23" si="4">V23+1</f>
        <v>2033</v>
      </c>
      <c r="X23" s="95">
        <f t="shared" si="0"/>
        <v>2034</v>
      </c>
      <c r="Y23" s="95">
        <f t="shared" si="0"/>
        <v>2035</v>
      </c>
    </row>
    <row r="24" spans="1:25" ht="14">
      <c r="B24" s="158" t="s">
        <v>249</v>
      </c>
      <c r="D24" s="122"/>
      <c r="E24" s="123">
        <f>Funda!I8</f>
        <v>233715000000</v>
      </c>
      <c r="F24" s="123">
        <f>Funda!J8</f>
        <v>215639000000</v>
      </c>
      <c r="G24" s="123">
        <f>Funda!K8</f>
        <v>229234000000</v>
      </c>
      <c r="H24" s="123">
        <f>Funda!L8</f>
        <v>265595000000</v>
      </c>
      <c r="I24" s="123">
        <f>Funda!M8</f>
        <v>260174000000</v>
      </c>
      <c r="J24" s="123">
        <f>Funda!N8</f>
        <v>274515000000</v>
      </c>
      <c r="K24" s="123">
        <f>Funda!O8</f>
        <v>365817000000</v>
      </c>
      <c r="L24" s="123">
        <f>Funda!P8</f>
        <v>394328000000</v>
      </c>
      <c r="M24" s="123">
        <f>Funda!Q8</f>
        <v>383285000000</v>
      </c>
      <c r="N24" s="123">
        <f>Funda!R8</f>
        <v>391035000000</v>
      </c>
      <c r="O24" s="104"/>
      <c r="P24" s="104"/>
      <c r="Q24" s="104"/>
      <c r="R24" s="104"/>
      <c r="S24" s="104"/>
    </row>
    <row r="25" spans="1:25" ht="14">
      <c r="B25" s="105" t="s">
        <v>291</v>
      </c>
      <c r="D25" s="122"/>
      <c r="E25" s="106"/>
      <c r="F25" s="106">
        <f>F24/E24-1</f>
        <v>-7.7342061913013738E-2</v>
      </c>
      <c r="G25" s="106">
        <f>G24/F24-1</f>
        <v>6.304518199398057E-2</v>
      </c>
      <c r="H25" s="106">
        <f t="shared" ref="H25:N25" si="5">H24/G24-1</f>
        <v>0.15861957650261305</v>
      </c>
      <c r="I25" s="106">
        <f t="shared" si="5"/>
        <v>-2.04107758052674E-2</v>
      </c>
      <c r="J25" s="106">
        <f t="shared" si="5"/>
        <v>5.5120803769784787E-2</v>
      </c>
      <c r="K25" s="106">
        <f t="shared" si="5"/>
        <v>0.33259384733074704</v>
      </c>
      <c r="L25" s="106">
        <f t="shared" si="5"/>
        <v>7.7937876041846099E-2</v>
      </c>
      <c r="M25" s="106">
        <f t="shared" si="5"/>
        <v>-2.800460530319937E-2</v>
      </c>
      <c r="N25" s="106">
        <f t="shared" si="5"/>
        <v>2.021994077514111E-2</v>
      </c>
      <c r="P25" s="107"/>
      <c r="Q25" s="107"/>
      <c r="R25" s="107"/>
      <c r="S25" s="107"/>
    </row>
    <row r="26" spans="1:25" ht="14">
      <c r="B26" s="108"/>
      <c r="D26" s="122"/>
      <c r="E26" s="122"/>
      <c r="F26" s="122"/>
      <c r="G26" s="122"/>
      <c r="H26" s="122"/>
      <c r="I26" s="122"/>
      <c r="J26" s="122"/>
      <c r="K26" s="122"/>
      <c r="L26" s="122"/>
      <c r="M26" s="122"/>
      <c r="N26" s="122"/>
    </row>
    <row r="27" spans="1:25" ht="14">
      <c r="B27" s="158" t="s">
        <v>7</v>
      </c>
      <c r="D27" s="123">
        <f>Funda!H13-Funda!H14</f>
        <v>53921000000</v>
      </c>
      <c r="E27" s="123">
        <f>Funda!I13-Funda!I14</f>
        <v>72491000000</v>
      </c>
      <c r="F27" s="123">
        <f>Funda!J13-Funda!J14</f>
        <v>62828000000</v>
      </c>
      <c r="G27" s="123">
        <f>Funda!K13-Funda!K14</f>
        <v>66412000000</v>
      </c>
      <c r="H27" s="123">
        <f>Funda!L13-Funda!L14</f>
        <v>76143000000</v>
      </c>
      <c r="I27" s="123">
        <f>Funda!M13-Funda!M14</f>
        <v>69313000000</v>
      </c>
      <c r="J27" s="123">
        <f>Funda!N13-Funda!N14</f>
        <v>69964000000</v>
      </c>
      <c r="K27" s="123">
        <f>Funda!O13-Funda!O14</f>
        <v>111852000000</v>
      </c>
      <c r="L27" s="123">
        <f>Funda!P13-Funda!P14</f>
        <v>119437000000</v>
      </c>
      <c r="M27" s="123">
        <f>Funda!Q13-Funda!Q14</f>
        <v>114301000000</v>
      </c>
      <c r="N27" s="123">
        <f>Funda!R13-Funda!R14</f>
        <v>123216000000</v>
      </c>
      <c r="O27" s="104"/>
      <c r="P27" s="104"/>
      <c r="Q27" s="104"/>
      <c r="R27" s="104"/>
      <c r="S27" s="104"/>
    </row>
    <row r="28" spans="1:25" ht="14">
      <c r="B28" s="105" t="s">
        <v>292</v>
      </c>
      <c r="D28" s="106"/>
      <c r="E28" s="107">
        <f>E27/E24</f>
        <v>0.31016836745608967</v>
      </c>
      <c r="F28" s="107">
        <f>F27/F24</f>
        <v>0.29135731477144672</v>
      </c>
      <c r="G28" s="107">
        <f>G27/G24</f>
        <v>0.28971269532442834</v>
      </c>
      <c r="H28" s="107">
        <f t="shared" ref="H28:M28" si="6">H27/H24</f>
        <v>0.28668837892279597</v>
      </c>
      <c r="I28" s="107">
        <f t="shared" si="6"/>
        <v>0.26641017165435438</v>
      </c>
      <c r="J28" s="107">
        <f t="shared" si="6"/>
        <v>0.25486403293080523</v>
      </c>
      <c r="K28" s="107">
        <f t="shared" si="6"/>
        <v>0.305759437095597</v>
      </c>
      <c r="L28" s="107">
        <f t="shared" si="6"/>
        <v>0.30288744395528594</v>
      </c>
      <c r="M28" s="107">
        <f t="shared" si="6"/>
        <v>0.29821412265024722</v>
      </c>
      <c r="N28" s="107">
        <f>N27/N24</f>
        <v>0.31510222870075566</v>
      </c>
      <c r="O28" s="107"/>
      <c r="P28" s="107"/>
      <c r="Q28" s="107"/>
      <c r="R28" s="107"/>
      <c r="S28" s="107"/>
    </row>
    <row r="29" spans="1:25" ht="14">
      <c r="B29" s="109" t="s">
        <v>293</v>
      </c>
      <c r="D29" s="106"/>
      <c r="E29" s="107">
        <f t="shared" ref="E29:F29" si="7">E27/D27-1</f>
        <v>0.34439272268689369</v>
      </c>
      <c r="F29" s="107">
        <f t="shared" si="7"/>
        <v>-0.1332993061207598</v>
      </c>
      <c r="G29" s="107">
        <f>G27/F27-1</f>
        <v>5.7044629782899259E-2</v>
      </c>
      <c r="H29" s="107">
        <f t="shared" ref="H29:M29" si="8">H27/G27-1</f>
        <v>0.14652472444738907</v>
      </c>
      <c r="I29" s="107">
        <f t="shared" si="8"/>
        <v>-8.9699644090724062E-2</v>
      </c>
      <c r="J29" s="107">
        <f t="shared" si="8"/>
        <v>9.3921775135976659E-3</v>
      </c>
      <c r="K29" s="107">
        <f t="shared" si="8"/>
        <v>0.5987079069235608</v>
      </c>
      <c r="L29" s="107">
        <f t="shared" si="8"/>
        <v>6.7812824088974821E-2</v>
      </c>
      <c r="M29" s="107">
        <f t="shared" si="8"/>
        <v>-4.3001749876503959E-2</v>
      </c>
      <c r="N29" s="107">
        <f>N27/M27-1</f>
        <v>7.7995818059334532E-2</v>
      </c>
      <c r="O29" s="107"/>
      <c r="P29" s="107"/>
      <c r="Q29" s="107"/>
      <c r="R29" s="107"/>
      <c r="S29" s="107"/>
    </row>
    <row r="30" spans="1:25" ht="14">
      <c r="B30" s="109"/>
      <c r="D30" s="106"/>
      <c r="E30" s="106"/>
      <c r="F30" s="106"/>
      <c r="G30" s="106"/>
      <c r="H30" s="106"/>
      <c r="I30" s="106"/>
      <c r="J30" s="106"/>
      <c r="K30" s="106"/>
      <c r="L30" s="106"/>
      <c r="M30" s="106"/>
      <c r="N30" s="106"/>
    </row>
    <row r="31" spans="1:25" ht="14">
      <c r="B31" s="159" t="s">
        <v>286</v>
      </c>
      <c r="D31" s="123">
        <f>Funda!H16</f>
        <v>13973000000</v>
      </c>
      <c r="E31" s="123">
        <f>Funda!I16</f>
        <v>19121000000</v>
      </c>
      <c r="F31" s="123">
        <f>Funda!J16</f>
        <v>15685000000</v>
      </c>
      <c r="G31" s="123">
        <f>Funda!K16</f>
        <v>15738000000</v>
      </c>
      <c r="H31" s="123">
        <f>Funda!L16</f>
        <v>13372000000</v>
      </c>
      <c r="I31" s="123">
        <f>Funda!M16</f>
        <v>10481000000</v>
      </c>
      <c r="J31" s="123">
        <f>Funda!N16</f>
        <v>9680000000</v>
      </c>
      <c r="K31" s="123">
        <f>Funda!O16</f>
        <v>14527000000</v>
      </c>
      <c r="L31" s="123">
        <f>Funda!P16</f>
        <v>19300000000</v>
      </c>
      <c r="M31" s="123">
        <f>Funda!Q16</f>
        <v>16741000000</v>
      </c>
      <c r="N31" s="123">
        <f>Funda!R16</f>
        <v>29749000000</v>
      </c>
      <c r="O31" s="104"/>
      <c r="P31" s="104"/>
      <c r="Q31" s="104"/>
      <c r="R31" s="104"/>
      <c r="S31" s="104"/>
    </row>
    <row r="32" spans="1:25" ht="14">
      <c r="B32" s="109" t="s">
        <v>294</v>
      </c>
      <c r="D32" s="106"/>
      <c r="E32" s="110">
        <f t="shared" ref="E32:F32" si="9">E31/D31-1</f>
        <v>0.36842481929435333</v>
      </c>
      <c r="F32" s="110">
        <f t="shared" si="9"/>
        <v>-0.17969771455467809</v>
      </c>
      <c r="G32" s="110">
        <f>G31/F31-1</f>
        <v>3.3790245457443469E-3</v>
      </c>
      <c r="H32" s="110">
        <f t="shared" ref="H32:N32" si="10">H31/G31-1</f>
        <v>-0.15033676451899858</v>
      </c>
      <c r="I32" s="110">
        <f t="shared" si="10"/>
        <v>-0.21619802572539637</v>
      </c>
      <c r="J32" s="110">
        <f t="shared" si="10"/>
        <v>-7.6424005343001644E-2</v>
      </c>
      <c r="K32" s="110">
        <f t="shared" si="10"/>
        <v>0.50072314049586786</v>
      </c>
      <c r="L32" s="110">
        <f t="shared" si="10"/>
        <v>0.32856061127555591</v>
      </c>
      <c r="M32" s="110">
        <f t="shared" si="10"/>
        <v>-0.13259067357512955</v>
      </c>
      <c r="N32" s="110">
        <f t="shared" si="10"/>
        <v>0.77701451526193188</v>
      </c>
      <c r="O32" s="104"/>
      <c r="P32" s="104"/>
      <c r="Q32" s="104"/>
      <c r="R32" s="104"/>
      <c r="S32" s="104"/>
    </row>
    <row r="33" spans="2:25" ht="14">
      <c r="B33" s="105" t="s">
        <v>295</v>
      </c>
      <c r="D33" s="106" t="s">
        <v>1</v>
      </c>
      <c r="E33" s="107">
        <f t="shared" ref="E33:N33" si="11">E31/E27</f>
        <v>0.2637706749803424</v>
      </c>
      <c r="F33" s="107">
        <f t="shared" si="11"/>
        <v>0.2496498376520023</v>
      </c>
      <c r="G33" s="107">
        <f t="shared" si="11"/>
        <v>0.23697524543757154</v>
      </c>
      <c r="H33" s="107">
        <f t="shared" si="11"/>
        <v>0.1756169313003165</v>
      </c>
      <c r="I33" s="107">
        <f t="shared" si="11"/>
        <v>0.15121261523812271</v>
      </c>
      <c r="J33" s="107">
        <f t="shared" si="11"/>
        <v>0.13835686924704133</v>
      </c>
      <c r="K33" s="107">
        <f t="shared" si="11"/>
        <v>0.12987698029539033</v>
      </c>
      <c r="L33" s="107">
        <f t="shared" si="11"/>
        <v>0.16159146663094351</v>
      </c>
      <c r="M33" s="107">
        <f t="shared" si="11"/>
        <v>0.14646416041854401</v>
      </c>
      <c r="N33" s="107">
        <f t="shared" si="11"/>
        <v>0.24143780028567718</v>
      </c>
      <c r="O33" s="107"/>
      <c r="P33" s="107"/>
      <c r="Q33" s="107"/>
      <c r="R33" s="107"/>
      <c r="S33" s="107"/>
    </row>
    <row r="34" spans="2:25" ht="14">
      <c r="B34" s="105"/>
      <c r="D34" s="122"/>
      <c r="E34" s="124"/>
      <c r="F34" s="124"/>
      <c r="G34" s="124"/>
      <c r="H34" s="124"/>
      <c r="I34" s="124"/>
      <c r="J34" s="124"/>
      <c r="K34" s="124"/>
      <c r="L34" s="124"/>
      <c r="M34" s="124"/>
      <c r="N34" s="124"/>
      <c r="O34" s="107"/>
      <c r="P34" s="107"/>
      <c r="Q34" s="107"/>
      <c r="R34" s="107"/>
      <c r="S34" s="107"/>
    </row>
    <row r="35" spans="2:25">
      <c r="B35" s="159" t="s">
        <v>9</v>
      </c>
      <c r="D35" s="122"/>
      <c r="E35" s="122">
        <f>Funda!I20</f>
        <v>53394000000</v>
      </c>
      <c r="F35" s="122">
        <f>Funda!J20</f>
        <v>45687000000</v>
      </c>
      <c r="G35" s="122">
        <f>Funda!K20</f>
        <v>48351000000</v>
      </c>
      <c r="H35" s="122">
        <f>Funda!L20</f>
        <v>59531000000</v>
      </c>
      <c r="I35" s="122">
        <f>Funda!M20</f>
        <v>55256000000</v>
      </c>
      <c r="J35" s="122">
        <f>Funda!N20</f>
        <v>57411000000</v>
      </c>
      <c r="K35" s="122">
        <f>Funda!O20</f>
        <v>94680000000</v>
      </c>
      <c r="L35" s="122">
        <f>Funda!P20</f>
        <v>99803000000</v>
      </c>
      <c r="M35" s="122">
        <f>Funda!Q20</f>
        <v>96995000000</v>
      </c>
      <c r="N35" s="122">
        <f>Funda!R20</f>
        <v>93736000000</v>
      </c>
    </row>
    <row r="36" spans="2:25">
      <c r="B36" t="s">
        <v>292</v>
      </c>
      <c r="D36" s="106"/>
      <c r="E36" s="106"/>
      <c r="F36" s="106">
        <f>F35/F24</f>
        <v>0.211867983064288</v>
      </c>
      <c r="G36" s="106">
        <f t="shared" ref="G36:M36" si="12">G35/G24</f>
        <v>0.21092420845075338</v>
      </c>
      <c r="H36" s="106">
        <f t="shared" si="12"/>
        <v>0.22414202074587247</v>
      </c>
      <c r="I36" s="106">
        <f t="shared" si="12"/>
        <v>0.21238094505984456</v>
      </c>
      <c r="J36" s="106">
        <f t="shared" si="12"/>
        <v>0.20913611278072236</v>
      </c>
      <c r="K36" s="106">
        <f t="shared" si="12"/>
        <v>0.25881793355694238</v>
      </c>
      <c r="L36" s="106">
        <f t="shared" si="12"/>
        <v>0.25309640705199732</v>
      </c>
      <c r="M36" s="106">
        <f t="shared" si="12"/>
        <v>0.25306234264320282</v>
      </c>
      <c r="N36" s="106">
        <f>N35/N24</f>
        <v>0.23971255769943867</v>
      </c>
    </row>
    <row r="37" spans="2:25" ht="14">
      <c r="B37" s="112" t="s">
        <v>296</v>
      </c>
      <c r="C37" s="113"/>
      <c r="D37" s="113"/>
      <c r="E37" s="112">
        <f t="shared" ref="E37:X37" si="13">E23</f>
        <v>2015</v>
      </c>
      <c r="F37" s="112">
        <f t="shared" si="13"/>
        <v>2016</v>
      </c>
      <c r="G37" s="112">
        <f t="shared" si="13"/>
        <v>2017</v>
      </c>
      <c r="H37" s="112">
        <f t="shared" si="13"/>
        <v>2018</v>
      </c>
      <c r="I37" s="112">
        <f t="shared" si="13"/>
        <v>2019</v>
      </c>
      <c r="J37" s="112">
        <f t="shared" si="13"/>
        <v>2020</v>
      </c>
      <c r="K37" s="112">
        <f t="shared" si="13"/>
        <v>2021</v>
      </c>
      <c r="L37" s="112">
        <f t="shared" si="13"/>
        <v>2022</v>
      </c>
      <c r="M37" s="112">
        <f t="shared" si="13"/>
        <v>2023</v>
      </c>
      <c r="N37" s="112">
        <f t="shared" si="13"/>
        <v>2024</v>
      </c>
      <c r="O37" s="112">
        <f t="shared" si="13"/>
        <v>2025</v>
      </c>
      <c r="P37" s="112">
        <f t="shared" si="13"/>
        <v>2026</v>
      </c>
      <c r="Q37" s="112">
        <f t="shared" si="13"/>
        <v>2027</v>
      </c>
      <c r="R37" s="112">
        <f t="shared" si="13"/>
        <v>2028</v>
      </c>
      <c r="S37" s="112">
        <f t="shared" si="13"/>
        <v>2029</v>
      </c>
      <c r="T37" s="112">
        <f t="shared" si="13"/>
        <v>2030</v>
      </c>
      <c r="U37" s="112">
        <f t="shared" si="13"/>
        <v>2031</v>
      </c>
      <c r="V37" s="112">
        <f t="shared" si="13"/>
        <v>2032</v>
      </c>
      <c r="W37" s="112">
        <f t="shared" si="13"/>
        <v>2033</v>
      </c>
      <c r="X37" s="112">
        <f t="shared" si="13"/>
        <v>2034</v>
      </c>
      <c r="Y37" s="112">
        <f>Y23</f>
        <v>2035</v>
      </c>
    </row>
    <row r="38" spans="2:25" ht="14">
      <c r="B38" s="158" t="s">
        <v>253</v>
      </c>
      <c r="D38" s="125"/>
      <c r="E38" s="125">
        <f>Funda!I14</f>
        <v>11257000000</v>
      </c>
      <c r="F38" s="125">
        <f>Funda!J14</f>
        <v>9800000000</v>
      </c>
      <c r="G38" s="125">
        <f>Funda!K14</f>
        <v>9400000000</v>
      </c>
      <c r="H38" s="125">
        <f>Funda!L14</f>
        <v>10903000000</v>
      </c>
      <c r="I38" s="125">
        <f>Funda!M14</f>
        <v>12547000000</v>
      </c>
      <c r="J38" s="125">
        <f>Funda!N14</f>
        <v>11056000000</v>
      </c>
      <c r="K38" s="125">
        <f>Funda!O14</f>
        <v>11284000000</v>
      </c>
      <c r="L38" s="125">
        <f>Funda!P14</f>
        <v>11104000000</v>
      </c>
      <c r="M38" s="125">
        <f>Funda!Q14</f>
        <v>11519000000</v>
      </c>
      <c r="N38" s="125">
        <f>Funda!R14</f>
        <v>11445000000</v>
      </c>
      <c r="O38" s="111"/>
      <c r="P38" s="111"/>
    </row>
    <row r="39" spans="2:25" ht="14">
      <c r="B39" s="109" t="s">
        <v>293</v>
      </c>
      <c r="D39" s="126"/>
      <c r="E39" s="126" t="e">
        <f t="shared" ref="E39:F39" si="14">E38/D38-1</f>
        <v>#DIV/0!</v>
      </c>
      <c r="F39" s="126">
        <f t="shared" si="14"/>
        <v>-0.12943057653015899</v>
      </c>
      <c r="G39" s="126">
        <f>G38/F38-1</f>
        <v>-4.081632653061229E-2</v>
      </c>
      <c r="H39" s="126">
        <f t="shared" ref="H39:N39" si="15">H38/G38-1</f>
        <v>0.15989361702127658</v>
      </c>
      <c r="I39" s="126">
        <f t="shared" si="15"/>
        <v>0.15078418783820968</v>
      </c>
      <c r="J39" s="126">
        <f t="shared" si="15"/>
        <v>-0.11883318721606762</v>
      </c>
      <c r="K39" s="126">
        <f t="shared" si="15"/>
        <v>2.062228654124465E-2</v>
      </c>
      <c r="L39" s="126">
        <f t="shared" si="15"/>
        <v>-1.595179014533854E-2</v>
      </c>
      <c r="M39" s="126">
        <f t="shared" si="15"/>
        <v>3.7373919308357317E-2</v>
      </c>
      <c r="N39" s="126">
        <f t="shared" si="15"/>
        <v>-6.4241687646496848E-3</v>
      </c>
      <c r="O39" s="111"/>
      <c r="P39" s="111"/>
    </row>
    <row r="40" spans="2:25" ht="14">
      <c r="B40" s="105" t="s">
        <v>292</v>
      </c>
      <c r="D40" s="125"/>
      <c r="E40" s="126">
        <f t="shared" ref="E40:N40" si="16">E38/E24</f>
        <v>4.816550071668485E-2</v>
      </c>
      <c r="F40" s="126">
        <f t="shared" si="16"/>
        <v>4.5446324644428882E-2</v>
      </c>
      <c r="G40" s="126">
        <f t="shared" si="16"/>
        <v>4.1006133470602092E-2</v>
      </c>
      <c r="H40" s="126">
        <f t="shared" si="16"/>
        <v>4.1051224608897006E-2</v>
      </c>
      <c r="I40" s="126">
        <f t="shared" si="16"/>
        <v>4.8225418373857493E-2</v>
      </c>
      <c r="J40" s="126">
        <f t="shared" si="16"/>
        <v>4.0274666229532081E-2</v>
      </c>
      <c r="K40" s="126">
        <f t="shared" si="16"/>
        <v>3.084602410494865E-2</v>
      </c>
      <c r="L40" s="126">
        <f t="shared" si="16"/>
        <v>2.8159298857803657E-2</v>
      </c>
      <c r="M40" s="126">
        <f t="shared" si="16"/>
        <v>3.0053354553400212E-2</v>
      </c>
      <c r="N40" s="126">
        <f t="shared" si="16"/>
        <v>2.9268479803598143E-2</v>
      </c>
    </row>
    <row r="41" spans="2:25" ht="14">
      <c r="B41" s="105"/>
      <c r="D41" s="125"/>
      <c r="E41" s="127"/>
      <c r="F41" s="127"/>
      <c r="G41" s="127"/>
      <c r="H41" s="127"/>
      <c r="I41" s="127"/>
      <c r="J41" s="127"/>
      <c r="K41" s="127"/>
      <c r="L41" s="127"/>
      <c r="M41" s="127"/>
      <c r="N41" s="125"/>
    </row>
    <row r="42" spans="2:25" ht="14">
      <c r="B42" s="109"/>
      <c r="D42" s="125"/>
      <c r="E42" s="125"/>
      <c r="F42" s="125"/>
      <c r="G42" s="125"/>
      <c r="H42" s="125"/>
      <c r="I42" s="125"/>
      <c r="J42" s="125"/>
      <c r="K42" s="125"/>
      <c r="L42" s="125"/>
      <c r="M42" s="125"/>
      <c r="N42" s="125"/>
    </row>
    <row r="43" spans="2:25" ht="14">
      <c r="B43" s="158" t="s">
        <v>288</v>
      </c>
      <c r="D43" s="125"/>
      <c r="E43" s="125" t="str">
        <f>Funda!I37</f>
        <v/>
      </c>
      <c r="F43" s="125" t="str">
        <f>Funda!J37</f>
        <v/>
      </c>
      <c r="G43" s="125" t="str">
        <f>Funda!K37</f>
        <v/>
      </c>
      <c r="H43" s="125" t="str">
        <f>Funda!L37</f>
        <v/>
      </c>
      <c r="I43" s="125" t="str">
        <f>Funda!M37</f>
        <v/>
      </c>
      <c r="J43" s="125" t="str">
        <f>Funda!N37</f>
        <v/>
      </c>
      <c r="K43" s="125" t="str">
        <f>Funda!O37</f>
        <v/>
      </c>
      <c r="L43" s="125" t="str">
        <f>Funda!P37</f>
        <v/>
      </c>
      <c r="M43" s="125" t="str">
        <f>Funda!Q37</f>
        <v/>
      </c>
      <c r="N43" s="125" t="str">
        <f>Funda!R37</f>
        <v/>
      </c>
    </row>
    <row r="44" spans="2:25" ht="14">
      <c r="B44" s="109" t="s">
        <v>294</v>
      </c>
      <c r="D44" s="126"/>
      <c r="E44" s="126" t="e">
        <f t="shared" ref="E44:F44" si="17">E43/D43-1</f>
        <v>#VALUE!</v>
      </c>
      <c r="F44" s="126" t="e">
        <f t="shared" si="17"/>
        <v>#VALUE!</v>
      </c>
      <c r="G44" s="126" t="e">
        <f>G43/F43-1</f>
        <v>#VALUE!</v>
      </c>
      <c r="H44" s="126" t="e">
        <f t="shared" ref="H44:N44" si="18">H43/G43-1</f>
        <v>#VALUE!</v>
      </c>
      <c r="I44" s="126" t="e">
        <f t="shared" si="18"/>
        <v>#VALUE!</v>
      </c>
      <c r="J44" s="126" t="e">
        <f t="shared" si="18"/>
        <v>#VALUE!</v>
      </c>
      <c r="K44" s="126" t="e">
        <f t="shared" si="18"/>
        <v>#VALUE!</v>
      </c>
      <c r="L44" s="126" t="e">
        <f t="shared" si="18"/>
        <v>#VALUE!</v>
      </c>
      <c r="M44" s="126" t="e">
        <f t="shared" si="18"/>
        <v>#VALUE!</v>
      </c>
      <c r="N44" s="126" t="e">
        <f t="shared" si="18"/>
        <v>#VALUE!</v>
      </c>
    </row>
    <row r="45" spans="2:25" ht="14">
      <c r="B45" s="105" t="s">
        <v>292</v>
      </c>
      <c r="D45" s="126"/>
      <c r="E45" s="126" t="e">
        <f t="shared" ref="E45:N45" si="19">E43/E24</f>
        <v>#VALUE!</v>
      </c>
      <c r="F45" s="126" t="e">
        <f t="shared" si="19"/>
        <v>#VALUE!</v>
      </c>
      <c r="G45" s="126" t="e">
        <f t="shared" si="19"/>
        <v>#VALUE!</v>
      </c>
      <c r="H45" s="126" t="e">
        <f t="shared" si="19"/>
        <v>#VALUE!</v>
      </c>
      <c r="I45" s="126" t="e">
        <f t="shared" si="19"/>
        <v>#VALUE!</v>
      </c>
      <c r="J45" s="126" t="e">
        <f t="shared" si="19"/>
        <v>#VALUE!</v>
      </c>
      <c r="K45" s="126" t="e">
        <f t="shared" si="19"/>
        <v>#VALUE!</v>
      </c>
      <c r="L45" s="126" t="e">
        <f t="shared" si="19"/>
        <v>#VALUE!</v>
      </c>
      <c r="M45" s="126" t="e">
        <f t="shared" si="19"/>
        <v>#VALUE!</v>
      </c>
      <c r="N45" s="126" t="e">
        <f t="shared" si="19"/>
        <v>#VALUE!</v>
      </c>
    </row>
    <row r="46" spans="2:25" ht="14">
      <c r="B46" s="109"/>
      <c r="D46" s="125"/>
      <c r="E46" s="125"/>
      <c r="F46" s="125"/>
      <c r="G46" s="125"/>
      <c r="H46" s="125"/>
      <c r="I46" s="125"/>
      <c r="J46" s="125"/>
      <c r="K46" s="125"/>
      <c r="L46" s="125"/>
      <c r="M46" s="125"/>
      <c r="N46" s="125"/>
    </row>
    <row r="47" spans="2:25" ht="14">
      <c r="B47" s="158" t="s">
        <v>297</v>
      </c>
      <c r="D47" s="125">
        <f>Funda!H26-Funda!H31</f>
        <v>5083000000</v>
      </c>
      <c r="E47" s="125">
        <f>Funda!I26-Funda!I31</f>
        <v>8768000000</v>
      </c>
      <c r="F47" s="125">
        <f>Funda!J26-Funda!J31</f>
        <v>27863000000</v>
      </c>
      <c r="G47" s="125">
        <f>Funda!K26-Funda!K31</f>
        <v>27831000000</v>
      </c>
      <c r="H47" s="125">
        <f>Funda!L26-Funda!L31</f>
        <v>14473000000</v>
      </c>
      <c r="I47" s="125">
        <f>Funda!M26-Funda!M31</f>
        <v>57101000000</v>
      </c>
      <c r="J47" s="125">
        <f>Funda!N26-Funda!N31</f>
        <v>38321000000</v>
      </c>
      <c r="K47" s="125">
        <f>Funda!O26-Funda!O31</f>
        <v>9355000000</v>
      </c>
      <c r="L47" s="125">
        <f>Funda!P26-Funda!P31</f>
        <v>-18577000000</v>
      </c>
      <c r="M47" s="125">
        <f>Funda!Q26-Funda!Q31</f>
        <v>-1742000000</v>
      </c>
      <c r="N47" s="125">
        <f>Funda!R26-Funda!R31</f>
        <v>-23405000000</v>
      </c>
    </row>
    <row r="48" spans="2:25" ht="14">
      <c r="B48" s="109" t="s">
        <v>294</v>
      </c>
      <c r="D48" s="126"/>
      <c r="E48" s="126">
        <f t="shared" ref="E48:F48" si="20">E47/D47-1</f>
        <v>0.72496557151288599</v>
      </c>
      <c r="F48" s="126">
        <f t="shared" si="20"/>
        <v>2.1778056569343067</v>
      </c>
      <c r="G48" s="126">
        <f>G47/F47-1</f>
        <v>-1.1484764741772624E-3</v>
      </c>
      <c r="H48" s="126">
        <f t="shared" ref="H48:M48" si="21">H47/G47-1</f>
        <v>-0.47996838058280333</v>
      </c>
      <c r="I48" s="126">
        <f t="shared" si="21"/>
        <v>2.9453465072894356</v>
      </c>
      <c r="J48" s="126">
        <f t="shared" si="21"/>
        <v>-0.32889091259347469</v>
      </c>
      <c r="K48" s="126">
        <f t="shared" si="21"/>
        <v>-0.75587797813209467</v>
      </c>
      <c r="L48" s="126">
        <f t="shared" si="21"/>
        <v>-2.9857830037413149</v>
      </c>
      <c r="M48" s="126">
        <f t="shared" si="21"/>
        <v>-0.90622813156053184</v>
      </c>
      <c r="N48" s="126">
        <f>N47/M47-1</f>
        <v>12.435706084959817</v>
      </c>
    </row>
    <row r="49" spans="2:30" ht="14">
      <c r="B49" s="105" t="s">
        <v>292</v>
      </c>
      <c r="D49" s="125"/>
      <c r="E49" s="127"/>
      <c r="F49" s="126">
        <f t="shared" ref="F49:N49" si="22">F47/F24</f>
        <v>0.12921132077221653</v>
      </c>
      <c r="G49" s="126">
        <f t="shared" si="22"/>
        <v>0.12140869155535391</v>
      </c>
      <c r="H49" s="126">
        <f t="shared" si="22"/>
        <v>5.4492742709764869E-2</v>
      </c>
      <c r="I49" s="126">
        <f t="shared" si="22"/>
        <v>0.21947235311752905</v>
      </c>
      <c r="J49" s="126">
        <f t="shared" si="22"/>
        <v>0.13959528623208203</v>
      </c>
      <c r="K49" s="126">
        <f t="shared" si="22"/>
        <v>2.557289573748623E-2</v>
      </c>
      <c r="L49" s="126">
        <f t="shared" si="22"/>
        <v>-4.711052727678481E-2</v>
      </c>
      <c r="M49" s="126">
        <f t="shared" si="22"/>
        <v>-4.5449208813285154E-3</v>
      </c>
      <c r="N49" s="126">
        <f t="shared" si="22"/>
        <v>-5.9853977265462169E-2</v>
      </c>
    </row>
    <row r="50" spans="2:30" ht="14">
      <c r="B50" s="105" t="s">
        <v>298</v>
      </c>
      <c r="D50" s="125"/>
      <c r="E50" s="128"/>
      <c r="F50" s="127"/>
      <c r="G50" s="127"/>
      <c r="H50" s="127"/>
      <c r="I50" s="127"/>
      <c r="J50" s="127"/>
      <c r="K50" s="127"/>
      <c r="L50" s="127"/>
      <c r="M50" s="127"/>
      <c r="N50" s="125"/>
    </row>
    <row r="51" spans="2:30">
      <c r="D51" s="125"/>
      <c r="E51" s="125"/>
      <c r="F51" s="125"/>
      <c r="G51" s="125"/>
      <c r="H51" s="125"/>
      <c r="I51" s="125"/>
      <c r="J51" s="125"/>
      <c r="K51" s="125"/>
      <c r="L51" s="125"/>
      <c r="M51" s="125"/>
      <c r="N51" s="125"/>
    </row>
    <row r="52" spans="2:30" ht="14">
      <c r="B52" s="112" t="s">
        <v>299</v>
      </c>
      <c r="C52" s="113"/>
      <c r="D52" s="113"/>
      <c r="E52" s="112">
        <f t="shared" ref="E52:X52" si="23">E37</f>
        <v>2015</v>
      </c>
      <c r="F52" s="112">
        <f t="shared" si="23"/>
        <v>2016</v>
      </c>
      <c r="G52" s="112">
        <f t="shared" si="23"/>
        <v>2017</v>
      </c>
      <c r="H52" s="112">
        <f t="shared" si="23"/>
        <v>2018</v>
      </c>
      <c r="I52" s="112">
        <f t="shared" si="23"/>
        <v>2019</v>
      </c>
      <c r="J52" s="112">
        <f t="shared" si="23"/>
        <v>2020</v>
      </c>
      <c r="K52" s="112">
        <f t="shared" si="23"/>
        <v>2021</v>
      </c>
      <c r="L52" s="112">
        <f t="shared" si="23"/>
        <v>2022</v>
      </c>
      <c r="M52" s="112">
        <f t="shared" si="23"/>
        <v>2023</v>
      </c>
      <c r="N52" s="112">
        <f t="shared" si="23"/>
        <v>2024</v>
      </c>
      <c r="O52" s="112">
        <f t="shared" si="23"/>
        <v>2025</v>
      </c>
      <c r="P52" s="112">
        <f t="shared" si="23"/>
        <v>2026</v>
      </c>
      <c r="Q52" s="112">
        <f t="shared" si="23"/>
        <v>2027</v>
      </c>
      <c r="R52" s="112">
        <f t="shared" si="23"/>
        <v>2028</v>
      </c>
      <c r="S52" s="112">
        <f t="shared" si="23"/>
        <v>2029</v>
      </c>
      <c r="T52" s="112">
        <f t="shared" si="23"/>
        <v>2030</v>
      </c>
      <c r="U52" s="112">
        <f t="shared" si="23"/>
        <v>2031</v>
      </c>
      <c r="V52" s="112">
        <f t="shared" si="23"/>
        <v>2032</v>
      </c>
      <c r="W52" s="112">
        <f t="shared" si="23"/>
        <v>2033</v>
      </c>
      <c r="X52" s="112">
        <f t="shared" si="23"/>
        <v>2034</v>
      </c>
      <c r="Y52" s="112">
        <f>Y37</f>
        <v>2035</v>
      </c>
    </row>
    <row r="53" spans="2:30" ht="14">
      <c r="B53" s="115" t="s">
        <v>249</v>
      </c>
      <c r="D53" s="125"/>
      <c r="E53" s="129"/>
      <c r="F53" s="130">
        <f t="shared" ref="F53:M53" si="24">F24</f>
        <v>215639000000</v>
      </c>
      <c r="G53" s="130">
        <f t="shared" si="24"/>
        <v>229234000000</v>
      </c>
      <c r="H53" s="130">
        <f t="shared" si="24"/>
        <v>265595000000</v>
      </c>
      <c r="I53" s="130">
        <f t="shared" si="24"/>
        <v>260174000000</v>
      </c>
      <c r="J53" s="130">
        <f t="shared" si="24"/>
        <v>274515000000</v>
      </c>
      <c r="K53" s="130">
        <f t="shared" si="24"/>
        <v>365817000000</v>
      </c>
      <c r="L53" s="130">
        <f t="shared" si="24"/>
        <v>394328000000</v>
      </c>
      <c r="M53" s="130">
        <f t="shared" si="24"/>
        <v>383285000000</v>
      </c>
      <c r="N53" s="130">
        <f>N24</f>
        <v>391035000000</v>
      </c>
      <c r="O53" s="131">
        <f ca="1">N53*(O54+1)</f>
        <v>453600599999.99994</v>
      </c>
      <c r="P53" s="131">
        <f t="shared" ref="P53:Y53" ca="1" si="25">O53*(P54+1)</f>
        <v>523152691999.99994</v>
      </c>
      <c r="Q53" s="131">
        <f t="shared" ca="1" si="25"/>
        <v>599881753493.33325</v>
      </c>
      <c r="R53" s="131">
        <f t="shared" ca="1" si="25"/>
        <v>683865198982.40002</v>
      </c>
      <c r="S53" s="131">
        <f t="shared" ca="1" si="25"/>
        <v>775047225513.38672</v>
      </c>
      <c r="T53" s="131">
        <f t="shared" ca="1" si="25"/>
        <v>873219874078.41577</v>
      </c>
      <c r="U53" s="131">
        <f t="shared" ca="1" si="25"/>
        <v>978006258967.82581</v>
      </c>
      <c r="V53" s="131">
        <f t="shared" ca="1" si="25"/>
        <v>1088846968317.5127</v>
      </c>
      <c r="W53" s="131">
        <f t="shared" ca="1" si="25"/>
        <v>1204990644938.0474</v>
      </c>
      <c r="X53" s="131">
        <f t="shared" ca="1" si="25"/>
        <v>1325489709431.8523</v>
      </c>
      <c r="Y53" s="131">
        <f t="shared" ca="1" si="25"/>
        <v>1458038680375.0376</v>
      </c>
      <c r="Z53" s="116"/>
      <c r="AA53" s="116"/>
      <c r="AB53" s="116"/>
      <c r="AC53" s="116"/>
      <c r="AD53" s="116"/>
    </row>
    <row r="54" spans="2:30" ht="14">
      <c r="B54" s="114" t="s">
        <v>291</v>
      </c>
      <c r="D54" s="125"/>
      <c r="E54" s="127"/>
      <c r="F54" s="107"/>
      <c r="G54" s="107">
        <f>G53/F53-1</f>
        <v>6.304518199398057E-2</v>
      </c>
      <c r="H54" s="107">
        <f t="shared" ref="H54:M54" si="26">H53/G53-1</f>
        <v>0.15861957650261305</v>
      </c>
      <c r="I54" s="107">
        <f t="shared" si="26"/>
        <v>-2.04107758052674E-2</v>
      </c>
      <c r="J54" s="107">
        <f t="shared" si="26"/>
        <v>5.5120803769784787E-2</v>
      </c>
      <c r="K54" s="107">
        <f t="shared" si="26"/>
        <v>0.33259384733074704</v>
      </c>
      <c r="L54" s="107">
        <f t="shared" si="26"/>
        <v>7.7937876041846099E-2</v>
      </c>
      <c r="M54" s="107">
        <f t="shared" si="26"/>
        <v>-2.800460530319937E-2</v>
      </c>
      <c r="N54" s="107">
        <f ca="1">OFFSET(O54,$E$10,0)</f>
        <v>0.16</v>
      </c>
      <c r="O54" s="107">
        <f ca="1">OFFSET(O54,$E$10,0)</f>
        <v>0.16</v>
      </c>
      <c r="P54" s="107">
        <f t="shared" ref="P54:Y54" ca="1" si="27">OFFSET(P54,$E$10,0)</f>
        <v>0.15333333333333335</v>
      </c>
      <c r="Q54" s="107">
        <f t="shared" ca="1" si="27"/>
        <v>0.14666666666666667</v>
      </c>
      <c r="R54" s="107">
        <f t="shared" ca="1" si="27"/>
        <v>0.14000000000000001</v>
      </c>
      <c r="S54" s="107">
        <f t="shared" ca="1" si="27"/>
        <v>0.13333333333333336</v>
      </c>
      <c r="T54" s="107">
        <f t="shared" ca="1" si="27"/>
        <v>0.12666666666666668</v>
      </c>
      <c r="U54" s="107">
        <f t="shared" ca="1" si="27"/>
        <v>0.12000000000000001</v>
      </c>
      <c r="V54" s="107">
        <f t="shared" ca="1" si="27"/>
        <v>0.11333333333333334</v>
      </c>
      <c r="W54" s="107">
        <f t="shared" ca="1" si="27"/>
        <v>0.10666666666666667</v>
      </c>
      <c r="X54" s="107">
        <f t="shared" ca="1" si="27"/>
        <v>0.1</v>
      </c>
      <c r="Y54" s="107">
        <f t="shared" ca="1" si="27"/>
        <v>0.1</v>
      </c>
    </row>
    <row r="55" spans="2:30" ht="14">
      <c r="B55" t="s">
        <v>280</v>
      </c>
      <c r="D55" s="125"/>
      <c r="E55" s="125"/>
      <c r="F55" s="106"/>
      <c r="G55" s="106"/>
      <c r="H55" s="106"/>
      <c r="I55" s="106"/>
      <c r="J55" s="106"/>
      <c r="K55" s="106"/>
      <c r="L55" s="106"/>
      <c r="M55" s="106"/>
      <c r="N55" s="106"/>
      <c r="O55" s="135">
        <f>I9</f>
        <v>0.1</v>
      </c>
      <c r="P55" s="135">
        <f>O55-(O56-P56)</f>
        <v>9.3333333333333351E-2</v>
      </c>
      <c r="Q55" s="135">
        <f t="shared" ref="Q55:X55" si="28">P55-(P56-Q56)</f>
        <v>8.666666666666667E-2</v>
      </c>
      <c r="R55" s="135">
        <f t="shared" si="28"/>
        <v>8.0000000000000016E-2</v>
      </c>
      <c r="S55" s="135">
        <f t="shared" si="28"/>
        <v>7.3333333333333361E-2</v>
      </c>
      <c r="T55" s="135">
        <f t="shared" si="28"/>
        <v>6.666666666666668E-2</v>
      </c>
      <c r="U55" s="135">
        <f t="shared" si="28"/>
        <v>6.0000000000000012E-2</v>
      </c>
      <c r="V55" s="135">
        <f t="shared" si="28"/>
        <v>5.3333333333333344E-2</v>
      </c>
      <c r="W55" s="135">
        <f t="shared" si="28"/>
        <v>4.6666666666666676E-2</v>
      </c>
      <c r="X55" s="135">
        <f t="shared" si="28"/>
        <v>4.0000000000000008E-2</v>
      </c>
      <c r="Y55" s="135">
        <f>I10</f>
        <v>0.05</v>
      </c>
    </row>
    <row r="56" spans="2:30" ht="14">
      <c r="B56" t="s">
        <v>281</v>
      </c>
      <c r="D56" s="125"/>
      <c r="E56" s="125"/>
      <c r="F56" s="106"/>
      <c r="G56" s="106"/>
      <c r="H56" s="106"/>
      <c r="I56" s="106"/>
      <c r="J56" s="106"/>
      <c r="K56" s="106"/>
      <c r="L56" s="106"/>
      <c r="M56" s="106"/>
      <c r="N56" s="106"/>
      <c r="O56" s="135">
        <f>M9</f>
        <v>0.16</v>
      </c>
      <c r="P56" s="135">
        <f t="shared" ref="P56:X56" si="29">O56-((O56-$Y$56)/($Y$52-P52))</f>
        <v>0.15333333333333335</v>
      </c>
      <c r="Q56" s="135">
        <f t="shared" si="29"/>
        <v>0.14666666666666667</v>
      </c>
      <c r="R56" s="135">
        <f t="shared" si="29"/>
        <v>0.14000000000000001</v>
      </c>
      <c r="S56" s="135">
        <f t="shared" si="29"/>
        <v>0.13333333333333336</v>
      </c>
      <c r="T56" s="135">
        <f t="shared" si="29"/>
        <v>0.12666666666666668</v>
      </c>
      <c r="U56" s="135">
        <f t="shared" si="29"/>
        <v>0.12000000000000001</v>
      </c>
      <c r="V56" s="135">
        <f t="shared" si="29"/>
        <v>0.11333333333333334</v>
      </c>
      <c r="W56" s="135">
        <f t="shared" si="29"/>
        <v>0.10666666666666667</v>
      </c>
      <c r="X56" s="135">
        <f t="shared" si="29"/>
        <v>0.1</v>
      </c>
      <c r="Y56" s="135">
        <f>M10</f>
        <v>0.1</v>
      </c>
    </row>
    <row r="57" spans="2:30" ht="14">
      <c r="B57" t="s">
        <v>282</v>
      </c>
      <c r="D57" s="125"/>
      <c r="E57" s="125"/>
      <c r="F57" s="106"/>
      <c r="G57" s="106"/>
      <c r="H57" s="106"/>
      <c r="I57" s="106"/>
      <c r="J57" s="106"/>
      <c r="K57" s="106"/>
      <c r="L57" s="106"/>
      <c r="M57" s="106"/>
      <c r="N57" s="106"/>
      <c r="O57" s="135">
        <f>Q9</f>
        <v>0</v>
      </c>
      <c r="P57" s="135">
        <f>O57-(O56-P56)</f>
        <v>-6.6666666666666541E-3</v>
      </c>
      <c r="Q57" s="135">
        <f t="shared" ref="Q57:W57" si="30">P57-(P56-Q56)</f>
        <v>-1.3333333333333336E-2</v>
      </c>
      <c r="R57" s="135">
        <f t="shared" si="30"/>
        <v>-1.999999999999999E-2</v>
      </c>
      <c r="S57" s="135">
        <f t="shared" si="30"/>
        <v>-2.6666666666666644E-2</v>
      </c>
      <c r="T57" s="135">
        <f t="shared" si="30"/>
        <v>-3.3333333333333326E-2</v>
      </c>
      <c r="U57" s="135">
        <f t="shared" si="30"/>
        <v>-3.9999999999999994E-2</v>
      </c>
      <c r="V57" s="135">
        <f t="shared" si="30"/>
        <v>-4.6666666666666662E-2</v>
      </c>
      <c r="W57" s="135">
        <f t="shared" si="30"/>
        <v>-5.333333333333333E-2</v>
      </c>
      <c r="X57" s="135">
        <f>W57-(W56-X56)</f>
        <v>-0.06</v>
      </c>
      <c r="Y57" s="135">
        <f>Q10</f>
        <v>0</v>
      </c>
    </row>
    <row r="58" spans="2:30">
      <c r="D58" s="125"/>
      <c r="E58" s="125"/>
      <c r="F58" s="125"/>
      <c r="G58" s="125"/>
      <c r="H58" s="125"/>
      <c r="I58" s="125"/>
      <c r="J58" s="125"/>
      <c r="K58" s="125"/>
      <c r="L58" s="125"/>
      <c r="M58" s="125"/>
      <c r="N58" s="125"/>
      <c r="O58" s="106"/>
      <c r="P58" s="106"/>
      <c r="Q58" s="106"/>
      <c r="R58" s="106"/>
      <c r="S58" s="106"/>
      <c r="T58" s="106"/>
      <c r="U58" s="106"/>
      <c r="V58" s="106"/>
      <c r="W58" s="106"/>
      <c r="X58" s="106"/>
      <c r="Y58" s="106"/>
    </row>
    <row r="59" spans="2:30" ht="14">
      <c r="B59" s="115" t="s">
        <v>7</v>
      </c>
      <c r="D59" s="125"/>
      <c r="E59" s="129"/>
      <c r="F59" s="130">
        <f t="shared" ref="F59:M59" si="31">F27</f>
        <v>62828000000</v>
      </c>
      <c r="G59" s="130">
        <f t="shared" si="31"/>
        <v>66412000000</v>
      </c>
      <c r="H59" s="130">
        <f t="shared" si="31"/>
        <v>76143000000</v>
      </c>
      <c r="I59" s="130">
        <f t="shared" si="31"/>
        <v>69313000000</v>
      </c>
      <c r="J59" s="130">
        <f t="shared" si="31"/>
        <v>69964000000</v>
      </c>
      <c r="K59" s="130">
        <f t="shared" si="31"/>
        <v>111852000000</v>
      </c>
      <c r="L59" s="130">
        <f t="shared" si="31"/>
        <v>119437000000</v>
      </c>
      <c r="M59" s="130">
        <f t="shared" si="31"/>
        <v>114301000000</v>
      </c>
      <c r="N59" s="130">
        <f>N27</f>
        <v>123216000000</v>
      </c>
      <c r="O59" s="131">
        <f ca="1">O60*(1+O53)</f>
        <v>167832222000.36996</v>
      </c>
      <c r="P59" s="131">
        <f ca="1">P60*P53</f>
        <v>193566496039.99997</v>
      </c>
      <c r="Q59" s="131">
        <f t="shared" ref="Q59:Y59" ca="1" si="32">Q60*Q53</f>
        <v>221956248792.53329</v>
      </c>
      <c r="R59" s="131">
        <f t="shared" ca="1" si="32"/>
        <v>253030123623.48801</v>
      </c>
      <c r="S59" s="131">
        <f t="shared" ca="1" si="32"/>
        <v>286767473439.95306</v>
      </c>
      <c r="T59" s="131">
        <f t="shared" ca="1" si="32"/>
        <v>323091353409.01385</v>
      </c>
      <c r="U59" s="131">
        <f t="shared" ca="1" si="32"/>
        <v>361862315818.09552</v>
      </c>
      <c r="V59" s="131">
        <f t="shared" ca="1" si="32"/>
        <v>402873378277.47968</v>
      </c>
      <c r="W59" s="131">
        <f ca="1">W60*W53</f>
        <v>445846538627.07751</v>
      </c>
      <c r="X59" s="131">
        <f t="shared" ca="1" si="32"/>
        <v>490431192489.78534</v>
      </c>
      <c r="Y59" s="131">
        <f t="shared" ca="1" si="32"/>
        <v>539474311738.76392</v>
      </c>
    </row>
    <row r="60" spans="2:30" ht="14">
      <c r="B60" s="114" t="s">
        <v>291</v>
      </c>
      <c r="D60" s="125"/>
      <c r="E60" s="127"/>
      <c r="F60" s="107"/>
      <c r="G60" s="107"/>
      <c r="H60" s="107"/>
      <c r="I60" s="107"/>
      <c r="J60" s="107"/>
      <c r="K60" s="107"/>
      <c r="L60" s="107"/>
      <c r="M60" s="107"/>
      <c r="N60" s="107"/>
      <c r="O60" s="107">
        <f ca="1">OFFSET(O60,$E$11,0)</f>
        <v>0.37</v>
      </c>
      <c r="P60" s="107">
        <f t="shared" ref="P60:X60" ca="1" si="33">OFFSET(P60,$E$11,0)</f>
        <v>0.37</v>
      </c>
      <c r="Q60" s="107">
        <f ca="1">OFFSET(Q60,$E$11,0)</f>
        <v>0.37</v>
      </c>
      <c r="R60" s="107">
        <f t="shared" ca="1" si="33"/>
        <v>0.37</v>
      </c>
      <c r="S60" s="107">
        <f t="shared" ca="1" si="33"/>
        <v>0.37</v>
      </c>
      <c r="T60" s="107">
        <f t="shared" ca="1" si="33"/>
        <v>0.37</v>
      </c>
      <c r="U60" s="107">
        <f t="shared" ca="1" si="33"/>
        <v>0.37</v>
      </c>
      <c r="V60" s="107">
        <f t="shared" ca="1" si="33"/>
        <v>0.37</v>
      </c>
      <c r="W60" s="107">
        <f t="shared" ca="1" si="33"/>
        <v>0.37</v>
      </c>
      <c r="X60" s="107">
        <f t="shared" ca="1" si="33"/>
        <v>0.37</v>
      </c>
      <c r="Y60" s="107">
        <f ca="1">OFFSET(Y60,$E$11,0)</f>
        <v>0.37</v>
      </c>
    </row>
    <row r="61" spans="2:30" ht="14">
      <c r="B61" t="s">
        <v>280</v>
      </c>
      <c r="D61" s="125"/>
      <c r="E61" s="125"/>
      <c r="F61" s="106"/>
      <c r="G61" s="106"/>
      <c r="H61" s="106"/>
      <c r="I61" s="106"/>
      <c r="J61" s="106"/>
      <c r="K61" s="106"/>
      <c r="L61" s="106"/>
      <c r="M61" s="106"/>
      <c r="N61" s="106"/>
      <c r="O61" s="136">
        <f>I11</f>
        <v>0.2</v>
      </c>
      <c r="P61" s="136">
        <f t="shared" ref="P61:Y63" si="34">O61</f>
        <v>0.2</v>
      </c>
      <c r="Q61" s="136">
        <f t="shared" si="34"/>
        <v>0.2</v>
      </c>
      <c r="R61" s="136">
        <f t="shared" si="34"/>
        <v>0.2</v>
      </c>
      <c r="S61" s="136">
        <f t="shared" si="34"/>
        <v>0.2</v>
      </c>
      <c r="T61" s="136">
        <f t="shared" si="34"/>
        <v>0.2</v>
      </c>
      <c r="U61" s="136">
        <f t="shared" si="34"/>
        <v>0.2</v>
      </c>
      <c r="V61" s="136">
        <f t="shared" si="34"/>
        <v>0.2</v>
      </c>
      <c r="W61" s="136">
        <f t="shared" si="34"/>
        <v>0.2</v>
      </c>
      <c r="X61" s="136">
        <f t="shared" si="34"/>
        <v>0.2</v>
      </c>
      <c r="Y61" s="136">
        <f t="shared" si="34"/>
        <v>0.2</v>
      </c>
    </row>
    <row r="62" spans="2:30" ht="14">
      <c r="B62" t="s">
        <v>281</v>
      </c>
      <c r="D62" s="125"/>
      <c r="E62" s="125"/>
      <c r="F62" s="106"/>
      <c r="G62" s="106"/>
      <c r="H62" s="106"/>
      <c r="I62" s="106"/>
      <c r="J62" s="106"/>
      <c r="K62" s="106"/>
      <c r="L62" s="106"/>
      <c r="M62" s="106"/>
      <c r="N62" s="106"/>
      <c r="O62" s="136">
        <f>M11</f>
        <v>0.37</v>
      </c>
      <c r="P62" s="136">
        <f t="shared" si="34"/>
        <v>0.37</v>
      </c>
      <c r="Q62" s="136">
        <f t="shared" si="34"/>
        <v>0.37</v>
      </c>
      <c r="R62" s="136">
        <f t="shared" si="34"/>
        <v>0.37</v>
      </c>
      <c r="S62" s="136">
        <f t="shared" si="34"/>
        <v>0.37</v>
      </c>
      <c r="T62" s="136">
        <f t="shared" si="34"/>
        <v>0.37</v>
      </c>
      <c r="U62" s="136">
        <f t="shared" si="34"/>
        <v>0.37</v>
      </c>
      <c r="V62" s="136">
        <f t="shared" si="34"/>
        <v>0.37</v>
      </c>
      <c r="W62" s="136">
        <f t="shared" si="34"/>
        <v>0.37</v>
      </c>
      <c r="X62" s="136">
        <f t="shared" si="34"/>
        <v>0.37</v>
      </c>
      <c r="Y62" s="136">
        <f t="shared" si="34"/>
        <v>0.37</v>
      </c>
    </row>
    <row r="63" spans="2:30" ht="14">
      <c r="B63" t="s">
        <v>282</v>
      </c>
      <c r="D63" s="125"/>
      <c r="E63" s="125"/>
      <c r="F63" s="106"/>
      <c r="G63" s="106"/>
      <c r="H63" s="106"/>
      <c r="I63" s="106"/>
      <c r="J63" s="106"/>
      <c r="K63" s="106"/>
      <c r="L63" s="106"/>
      <c r="M63" s="106"/>
      <c r="N63" s="106"/>
      <c r="O63" s="136">
        <f>Q11</f>
        <v>0</v>
      </c>
      <c r="P63" s="136">
        <f t="shared" si="34"/>
        <v>0</v>
      </c>
      <c r="Q63" s="136">
        <f t="shared" si="34"/>
        <v>0</v>
      </c>
      <c r="R63" s="136">
        <f t="shared" si="34"/>
        <v>0</v>
      </c>
      <c r="S63" s="136">
        <f t="shared" si="34"/>
        <v>0</v>
      </c>
      <c r="T63" s="136">
        <f t="shared" si="34"/>
        <v>0</v>
      </c>
      <c r="U63" s="136">
        <f t="shared" si="34"/>
        <v>0</v>
      </c>
      <c r="V63" s="136">
        <f t="shared" si="34"/>
        <v>0</v>
      </c>
      <c r="W63" s="136">
        <f t="shared" si="34"/>
        <v>0</v>
      </c>
      <c r="X63" s="136">
        <f t="shared" si="34"/>
        <v>0</v>
      </c>
      <c r="Y63" s="136">
        <f t="shared" si="34"/>
        <v>0</v>
      </c>
    </row>
    <row r="64" spans="2:30">
      <c r="D64" s="125"/>
      <c r="E64" s="125"/>
      <c r="F64" s="106"/>
      <c r="G64" s="106"/>
      <c r="H64" s="106"/>
      <c r="I64" s="106"/>
      <c r="J64" s="106"/>
      <c r="K64" s="106"/>
      <c r="L64" s="106"/>
      <c r="M64" s="106"/>
      <c r="N64" s="106"/>
      <c r="O64" s="106"/>
      <c r="P64" s="106"/>
      <c r="Q64" s="106"/>
      <c r="R64" s="106"/>
      <c r="S64" s="106"/>
      <c r="T64" s="106"/>
      <c r="U64" s="106"/>
      <c r="V64" s="106"/>
      <c r="W64" s="106"/>
      <c r="X64" s="106"/>
      <c r="Y64" s="106"/>
    </row>
    <row r="65" spans="1:25" ht="14">
      <c r="B65" s="115" t="s">
        <v>255</v>
      </c>
      <c r="D65" s="125"/>
      <c r="E65" s="129"/>
      <c r="F65" s="130">
        <f>F31</f>
        <v>15685000000</v>
      </c>
      <c r="G65" s="130">
        <f t="shared" ref="G65:M65" si="35">G31</f>
        <v>15738000000</v>
      </c>
      <c r="H65" s="130">
        <f t="shared" si="35"/>
        <v>13372000000</v>
      </c>
      <c r="I65" s="130">
        <f t="shared" si="35"/>
        <v>10481000000</v>
      </c>
      <c r="J65" s="130">
        <f t="shared" si="35"/>
        <v>9680000000</v>
      </c>
      <c r="K65" s="130">
        <f t="shared" si="35"/>
        <v>14527000000</v>
      </c>
      <c r="L65" s="130">
        <f t="shared" si="35"/>
        <v>19300000000</v>
      </c>
      <c r="M65" s="130">
        <f t="shared" si="35"/>
        <v>16741000000</v>
      </c>
      <c r="N65" s="130">
        <f>N31</f>
        <v>29749000000</v>
      </c>
      <c r="O65" s="131">
        <f t="shared" ref="O65:Y65" ca="1" si="36">O59*O66</f>
        <v>33566444400.073994</v>
      </c>
      <c r="P65" s="131">
        <f ca="1">P59*P66</f>
        <v>38713299207.999992</v>
      </c>
      <c r="Q65" s="131">
        <f ca="1">Q59*Q66</f>
        <v>44391249758.50666</v>
      </c>
      <c r="R65" s="131">
        <f t="shared" ca="1" si="36"/>
        <v>50606024724.697601</v>
      </c>
      <c r="S65" s="131">
        <f t="shared" ca="1" si="36"/>
        <v>57353494687.990616</v>
      </c>
      <c r="T65" s="131">
        <f t="shared" ca="1" si="36"/>
        <v>64618270681.802773</v>
      </c>
      <c r="U65" s="131">
        <f t="shared" ca="1" si="36"/>
        <v>72372463163.61911</v>
      </c>
      <c r="V65" s="131">
        <f t="shared" ca="1" si="36"/>
        <v>80574675655.495941</v>
      </c>
      <c r="W65" s="131">
        <f t="shared" ca="1" si="36"/>
        <v>89169307725.415512</v>
      </c>
      <c r="X65" s="131">
        <f t="shared" ca="1" si="36"/>
        <v>98086238497.957077</v>
      </c>
      <c r="Y65" s="131">
        <f t="shared" ca="1" si="36"/>
        <v>107894862347.75279</v>
      </c>
    </row>
    <row r="66" spans="1:25" ht="14">
      <c r="B66" s="114" t="s">
        <v>295</v>
      </c>
      <c r="D66" s="125"/>
      <c r="E66" s="127"/>
      <c r="F66" s="127"/>
      <c r="G66" s="127"/>
      <c r="H66" s="127"/>
      <c r="I66" s="127"/>
      <c r="J66" s="127"/>
      <c r="K66" s="127"/>
      <c r="L66" s="127"/>
      <c r="M66" s="127"/>
      <c r="N66" s="125"/>
      <c r="O66" s="107">
        <f ca="1">OFFSET(O66,$E$11,0)</f>
        <v>0.2</v>
      </c>
      <c r="P66" s="107">
        <f t="shared" ref="P66:Y66" ca="1" si="37">OFFSET(P66,$E$11,0)</f>
        <v>0.2</v>
      </c>
      <c r="Q66" s="107">
        <f t="shared" ca="1" si="37"/>
        <v>0.2</v>
      </c>
      <c r="R66" s="107">
        <f t="shared" ca="1" si="37"/>
        <v>0.2</v>
      </c>
      <c r="S66" s="107">
        <f t="shared" ca="1" si="37"/>
        <v>0.2</v>
      </c>
      <c r="T66" s="107">
        <f t="shared" ca="1" si="37"/>
        <v>0.2</v>
      </c>
      <c r="U66" s="107">
        <f t="shared" ca="1" si="37"/>
        <v>0.2</v>
      </c>
      <c r="V66" s="107">
        <f t="shared" ca="1" si="37"/>
        <v>0.2</v>
      </c>
      <c r="W66" s="107">
        <f t="shared" ca="1" si="37"/>
        <v>0.2</v>
      </c>
      <c r="X66" s="107">
        <f t="shared" ca="1" si="37"/>
        <v>0.2</v>
      </c>
      <c r="Y66" s="107">
        <f t="shared" ca="1" si="37"/>
        <v>0.2</v>
      </c>
    </row>
    <row r="67" spans="1:25" ht="14">
      <c r="B67" t="s">
        <v>280</v>
      </c>
      <c r="D67" s="125"/>
      <c r="E67" s="125"/>
      <c r="F67" s="125"/>
      <c r="G67" s="125"/>
      <c r="H67" s="125"/>
      <c r="I67" s="125"/>
      <c r="J67" s="125"/>
      <c r="K67" s="125"/>
      <c r="L67" s="126"/>
      <c r="M67" s="125"/>
      <c r="N67" s="125"/>
      <c r="O67" s="136">
        <f>I12</f>
        <v>0.15</v>
      </c>
      <c r="P67" s="136">
        <f t="shared" ref="P67:Y69" si="38">O67</f>
        <v>0.15</v>
      </c>
      <c r="Q67" s="136">
        <f t="shared" si="38"/>
        <v>0.15</v>
      </c>
      <c r="R67" s="136">
        <f t="shared" si="38"/>
        <v>0.15</v>
      </c>
      <c r="S67" s="136">
        <f t="shared" si="38"/>
        <v>0.15</v>
      </c>
      <c r="T67" s="136">
        <f t="shared" si="38"/>
        <v>0.15</v>
      </c>
      <c r="U67" s="136">
        <f t="shared" si="38"/>
        <v>0.15</v>
      </c>
      <c r="V67" s="136">
        <f t="shared" si="38"/>
        <v>0.15</v>
      </c>
      <c r="W67" s="136">
        <f t="shared" si="38"/>
        <v>0.15</v>
      </c>
      <c r="X67" s="136">
        <f t="shared" si="38"/>
        <v>0.15</v>
      </c>
      <c r="Y67" s="136">
        <f t="shared" si="38"/>
        <v>0.15</v>
      </c>
    </row>
    <row r="68" spans="1:25" ht="14">
      <c r="B68" t="s">
        <v>281</v>
      </c>
      <c r="D68" s="125"/>
      <c r="E68" s="125"/>
      <c r="F68" s="125"/>
      <c r="G68" s="125"/>
      <c r="H68" s="125"/>
      <c r="I68" s="125"/>
      <c r="J68" s="125"/>
      <c r="K68" s="125"/>
      <c r="L68" s="125"/>
      <c r="M68" s="125"/>
      <c r="N68" s="125"/>
      <c r="O68" s="136">
        <f>M12</f>
        <v>0.2</v>
      </c>
      <c r="P68" s="136">
        <f t="shared" si="38"/>
        <v>0.2</v>
      </c>
      <c r="Q68" s="136">
        <f t="shared" si="38"/>
        <v>0.2</v>
      </c>
      <c r="R68" s="136">
        <f t="shared" si="38"/>
        <v>0.2</v>
      </c>
      <c r="S68" s="136">
        <f t="shared" si="38"/>
        <v>0.2</v>
      </c>
      <c r="T68" s="136">
        <f t="shared" si="38"/>
        <v>0.2</v>
      </c>
      <c r="U68" s="136">
        <f t="shared" si="38"/>
        <v>0.2</v>
      </c>
      <c r="V68" s="136">
        <f t="shared" si="38"/>
        <v>0.2</v>
      </c>
      <c r="W68" s="136">
        <f t="shared" si="38"/>
        <v>0.2</v>
      </c>
      <c r="X68" s="136">
        <f t="shared" si="38"/>
        <v>0.2</v>
      </c>
      <c r="Y68" s="136">
        <f t="shared" si="38"/>
        <v>0.2</v>
      </c>
    </row>
    <row r="69" spans="1:25" ht="14">
      <c r="B69" t="s">
        <v>282</v>
      </c>
      <c r="D69" s="125"/>
      <c r="E69" s="125"/>
      <c r="F69" s="125"/>
      <c r="G69" s="125"/>
      <c r="H69" s="125"/>
      <c r="I69" s="125"/>
      <c r="J69" s="125"/>
      <c r="K69" s="125"/>
      <c r="L69" s="125"/>
      <c r="M69" s="125"/>
      <c r="N69" s="125"/>
      <c r="O69" s="136">
        <f>Q12</f>
        <v>0</v>
      </c>
      <c r="P69" s="136">
        <f t="shared" si="38"/>
        <v>0</v>
      </c>
      <c r="Q69" s="136">
        <f t="shared" si="38"/>
        <v>0</v>
      </c>
      <c r="R69" s="136">
        <f t="shared" si="38"/>
        <v>0</v>
      </c>
      <c r="S69" s="136">
        <f t="shared" si="38"/>
        <v>0</v>
      </c>
      <c r="T69" s="136">
        <f t="shared" si="38"/>
        <v>0</v>
      </c>
      <c r="U69" s="136">
        <f t="shared" si="38"/>
        <v>0</v>
      </c>
      <c r="V69" s="136">
        <f t="shared" si="38"/>
        <v>0</v>
      </c>
      <c r="W69" s="136">
        <f t="shared" si="38"/>
        <v>0</v>
      </c>
      <c r="X69" s="136">
        <f t="shared" si="38"/>
        <v>0</v>
      </c>
      <c r="Y69" s="136">
        <f t="shared" si="38"/>
        <v>0</v>
      </c>
    </row>
    <row r="70" spans="1:25">
      <c r="D70" s="125"/>
      <c r="E70" s="125"/>
      <c r="F70" s="125"/>
      <c r="G70" s="125"/>
      <c r="H70" s="125"/>
      <c r="I70" s="125"/>
      <c r="J70" s="125"/>
      <c r="K70" s="125"/>
      <c r="L70" s="125"/>
      <c r="M70" s="125"/>
      <c r="N70" s="125"/>
      <c r="O70" s="125"/>
      <c r="P70" s="125"/>
      <c r="Q70" s="125"/>
      <c r="R70" s="125"/>
      <c r="S70" s="125"/>
      <c r="T70" s="125"/>
      <c r="U70" s="125"/>
      <c r="V70" s="125"/>
      <c r="W70" s="125"/>
      <c r="X70" s="125"/>
      <c r="Y70" s="125"/>
    </row>
    <row r="71" spans="1:25" ht="14">
      <c r="B71" s="115" t="s">
        <v>300</v>
      </c>
      <c r="D71" s="125"/>
      <c r="E71" s="125"/>
      <c r="F71" s="130">
        <f>F59-F65</f>
        <v>47143000000</v>
      </c>
      <c r="G71" s="130">
        <f t="shared" ref="G71:Y71" si="39">G59-G65</f>
        <v>50674000000</v>
      </c>
      <c r="H71" s="130">
        <f t="shared" si="39"/>
        <v>62771000000</v>
      </c>
      <c r="I71" s="130">
        <f t="shared" si="39"/>
        <v>58832000000</v>
      </c>
      <c r="J71" s="130">
        <f t="shared" si="39"/>
        <v>60284000000</v>
      </c>
      <c r="K71" s="130">
        <f t="shared" si="39"/>
        <v>97325000000</v>
      </c>
      <c r="L71" s="130">
        <f t="shared" si="39"/>
        <v>100137000000</v>
      </c>
      <c r="M71" s="130">
        <f t="shared" si="39"/>
        <v>97560000000</v>
      </c>
      <c r="N71" s="130">
        <f>N59-N65</f>
        <v>93467000000</v>
      </c>
      <c r="O71" s="131">
        <f ca="1">O59-O65</f>
        <v>134265777600.29597</v>
      </c>
      <c r="P71" s="131">
        <f t="shared" ca="1" si="39"/>
        <v>154853196831.99997</v>
      </c>
      <c r="Q71" s="131">
        <f t="shared" ca="1" si="39"/>
        <v>177564999034.02664</v>
      </c>
      <c r="R71" s="131">
        <f t="shared" ca="1" si="39"/>
        <v>202424098898.79041</v>
      </c>
      <c r="S71" s="131">
        <f t="shared" ca="1" si="39"/>
        <v>229413978751.96246</v>
      </c>
      <c r="T71" s="131">
        <f t="shared" ca="1" si="39"/>
        <v>258473082727.21109</v>
      </c>
      <c r="U71" s="131">
        <f t="shared" ca="1" si="39"/>
        <v>289489852654.47644</v>
      </c>
      <c r="V71" s="131">
        <f t="shared" ca="1" si="39"/>
        <v>322298702621.98376</v>
      </c>
      <c r="W71" s="131">
        <f t="shared" ca="1" si="39"/>
        <v>356677230901.66199</v>
      </c>
      <c r="X71" s="131">
        <f t="shared" ca="1" si="39"/>
        <v>392344953991.82825</v>
      </c>
      <c r="Y71" s="131">
        <f t="shared" ca="1" si="39"/>
        <v>431579449391.01111</v>
      </c>
    </row>
    <row r="72" spans="1:25">
      <c r="D72" s="125"/>
      <c r="E72" s="125"/>
      <c r="F72" s="125"/>
      <c r="G72" s="125"/>
      <c r="H72" s="125"/>
      <c r="I72" s="125"/>
      <c r="J72" s="125"/>
      <c r="K72" s="125"/>
      <c r="L72" s="125"/>
      <c r="M72" s="125"/>
      <c r="N72" s="125"/>
      <c r="O72" s="125"/>
      <c r="P72" s="125"/>
      <c r="Q72" s="125"/>
      <c r="R72" s="125"/>
      <c r="S72" s="125"/>
      <c r="T72" s="125"/>
      <c r="U72" s="125"/>
      <c r="V72" s="125"/>
      <c r="W72" s="125"/>
      <c r="X72" s="125"/>
      <c r="Y72" s="125"/>
    </row>
    <row r="73" spans="1:25" ht="14">
      <c r="A73" s="89" t="s">
        <v>301</v>
      </c>
      <c r="B73" s="117" t="s">
        <v>253</v>
      </c>
      <c r="D73" s="125"/>
      <c r="E73" s="125"/>
      <c r="F73" s="125">
        <f>F38</f>
        <v>9800000000</v>
      </c>
      <c r="G73" s="125">
        <f t="shared" ref="G73:M73" si="40">G38</f>
        <v>9400000000</v>
      </c>
      <c r="H73" s="125">
        <f>H38</f>
        <v>10903000000</v>
      </c>
      <c r="I73" s="125">
        <f t="shared" si="40"/>
        <v>12547000000</v>
      </c>
      <c r="J73" s="125">
        <f t="shared" si="40"/>
        <v>11056000000</v>
      </c>
      <c r="K73" s="125">
        <f t="shared" si="40"/>
        <v>11284000000</v>
      </c>
      <c r="L73" s="125">
        <f t="shared" si="40"/>
        <v>11104000000</v>
      </c>
      <c r="M73" s="125">
        <f t="shared" si="40"/>
        <v>11519000000</v>
      </c>
      <c r="N73" s="125">
        <f>N38</f>
        <v>11445000000</v>
      </c>
      <c r="O73" s="131">
        <f ca="1">N73*(1+O74)</f>
        <v>11445000000</v>
      </c>
      <c r="P73" s="131">
        <f t="shared" ref="P73:X73" ca="1" si="41">O73*(1+P74)</f>
        <v>11445000000</v>
      </c>
      <c r="Q73" s="131">
        <f t="shared" ca="1" si="41"/>
        <v>11445000000</v>
      </c>
      <c r="R73" s="131">
        <f t="shared" ca="1" si="41"/>
        <v>11445000000</v>
      </c>
      <c r="S73" s="131">
        <f t="shared" ca="1" si="41"/>
        <v>11445000000</v>
      </c>
      <c r="T73" s="131">
        <f t="shared" ca="1" si="41"/>
        <v>11445000000</v>
      </c>
      <c r="U73" s="131">
        <f t="shared" ca="1" si="41"/>
        <v>11445000000</v>
      </c>
      <c r="V73" s="131">
        <f t="shared" ca="1" si="41"/>
        <v>11445000000</v>
      </c>
      <c r="W73" s="131">
        <f t="shared" ca="1" si="41"/>
        <v>11445000000</v>
      </c>
      <c r="X73" s="131">
        <f t="shared" ca="1" si="41"/>
        <v>11445000000</v>
      </c>
      <c r="Y73" s="131">
        <f ca="1">X73*(1+Y74)</f>
        <v>11445000000</v>
      </c>
    </row>
    <row r="74" spans="1:25" ht="14">
      <c r="B74" s="114" t="s">
        <v>291</v>
      </c>
      <c r="D74" s="125"/>
      <c r="E74" s="125"/>
      <c r="F74" s="125"/>
      <c r="G74" s="125"/>
      <c r="H74" s="125"/>
      <c r="I74" s="125"/>
      <c r="J74" s="125"/>
      <c r="K74" s="125"/>
      <c r="L74" s="125"/>
      <c r="M74" s="125"/>
      <c r="N74" s="127"/>
      <c r="O74" s="107">
        <f t="shared" ref="O74:Y74" ca="1" si="42">OFFSET(O74,$E$15,0)</f>
        <v>0</v>
      </c>
      <c r="P74" s="107">
        <f t="shared" ca="1" si="42"/>
        <v>0</v>
      </c>
      <c r="Q74" s="107">
        <f t="shared" ca="1" si="42"/>
        <v>0</v>
      </c>
      <c r="R74" s="107">
        <f t="shared" ca="1" si="42"/>
        <v>0</v>
      </c>
      <c r="S74" s="107">
        <f t="shared" ca="1" si="42"/>
        <v>0</v>
      </c>
      <c r="T74" s="107">
        <f t="shared" ca="1" si="42"/>
        <v>0</v>
      </c>
      <c r="U74" s="107">
        <f t="shared" ca="1" si="42"/>
        <v>0</v>
      </c>
      <c r="V74" s="107">
        <f t="shared" ca="1" si="42"/>
        <v>0</v>
      </c>
      <c r="W74" s="107">
        <f t="shared" ca="1" si="42"/>
        <v>0</v>
      </c>
      <c r="X74" s="107">
        <f t="shared" ca="1" si="42"/>
        <v>0</v>
      </c>
      <c r="Y74" s="107">
        <f t="shared" ca="1" si="42"/>
        <v>0</v>
      </c>
    </row>
    <row r="75" spans="1:25" ht="14">
      <c r="B75" t="s">
        <v>280</v>
      </c>
      <c r="D75" s="125"/>
      <c r="E75" s="125"/>
      <c r="F75" s="125"/>
      <c r="G75" s="125"/>
      <c r="H75" s="125"/>
      <c r="I75" s="125"/>
      <c r="J75" s="125"/>
      <c r="K75" s="125"/>
      <c r="L75" s="125"/>
      <c r="M75" s="125"/>
      <c r="N75" s="125"/>
      <c r="O75" s="135">
        <f>I15</f>
        <v>0.02</v>
      </c>
      <c r="P75" s="135">
        <f t="shared" ref="P75:Y77" si="43">O75</f>
        <v>0.02</v>
      </c>
      <c r="Q75" s="135">
        <f t="shared" si="43"/>
        <v>0.02</v>
      </c>
      <c r="R75" s="135">
        <f t="shared" si="43"/>
        <v>0.02</v>
      </c>
      <c r="S75" s="135">
        <f t="shared" si="43"/>
        <v>0.02</v>
      </c>
      <c r="T75" s="135">
        <f t="shared" si="43"/>
        <v>0.02</v>
      </c>
      <c r="U75" s="135">
        <f t="shared" si="43"/>
        <v>0.02</v>
      </c>
      <c r="V75" s="135">
        <f t="shared" si="43"/>
        <v>0.02</v>
      </c>
      <c r="W75" s="135">
        <f t="shared" si="43"/>
        <v>0.02</v>
      </c>
      <c r="X75" s="135">
        <f t="shared" si="43"/>
        <v>0.02</v>
      </c>
      <c r="Y75" s="135">
        <f t="shared" si="43"/>
        <v>0.02</v>
      </c>
    </row>
    <row r="76" spans="1:25" ht="14">
      <c r="B76" t="s">
        <v>281</v>
      </c>
      <c r="D76" s="125"/>
      <c r="E76" s="125"/>
      <c r="F76" s="125"/>
      <c r="G76" s="125"/>
      <c r="H76" s="125"/>
      <c r="I76" s="125"/>
      <c r="J76" s="125"/>
      <c r="K76" s="125"/>
      <c r="L76" s="125"/>
      <c r="M76" s="125"/>
      <c r="N76" s="125"/>
      <c r="O76" s="135">
        <f>M15</f>
        <v>0</v>
      </c>
      <c r="P76" s="135">
        <f t="shared" si="43"/>
        <v>0</v>
      </c>
      <c r="Q76" s="135">
        <f t="shared" si="43"/>
        <v>0</v>
      </c>
      <c r="R76" s="135">
        <f t="shared" si="43"/>
        <v>0</v>
      </c>
      <c r="S76" s="135">
        <f t="shared" si="43"/>
        <v>0</v>
      </c>
      <c r="T76" s="135">
        <f t="shared" si="43"/>
        <v>0</v>
      </c>
      <c r="U76" s="135">
        <f t="shared" si="43"/>
        <v>0</v>
      </c>
      <c r="V76" s="135">
        <f t="shared" si="43"/>
        <v>0</v>
      </c>
      <c r="W76" s="135">
        <f t="shared" si="43"/>
        <v>0</v>
      </c>
      <c r="X76" s="135">
        <f t="shared" si="43"/>
        <v>0</v>
      </c>
      <c r="Y76" s="135">
        <f t="shared" si="43"/>
        <v>0</v>
      </c>
    </row>
    <row r="77" spans="1:25" ht="14">
      <c r="B77" t="s">
        <v>282</v>
      </c>
      <c r="D77" s="125"/>
      <c r="E77" s="125"/>
      <c r="F77" s="125"/>
      <c r="G77" s="125"/>
      <c r="H77" s="125"/>
      <c r="I77" s="125"/>
      <c r="J77" s="125"/>
      <c r="K77" s="125"/>
      <c r="L77" s="125"/>
      <c r="M77" s="125"/>
      <c r="N77" s="125"/>
      <c r="O77" s="135">
        <f>Q15</f>
        <v>0</v>
      </c>
      <c r="P77" s="135">
        <f t="shared" si="43"/>
        <v>0</v>
      </c>
      <c r="Q77" s="135">
        <f t="shared" si="43"/>
        <v>0</v>
      </c>
      <c r="R77" s="135">
        <f t="shared" si="43"/>
        <v>0</v>
      </c>
      <c r="S77" s="135">
        <f t="shared" si="43"/>
        <v>0</v>
      </c>
      <c r="T77" s="135">
        <f t="shared" si="43"/>
        <v>0</v>
      </c>
      <c r="U77" s="135">
        <f t="shared" si="43"/>
        <v>0</v>
      </c>
      <c r="V77" s="135">
        <f t="shared" si="43"/>
        <v>0</v>
      </c>
      <c r="W77" s="135">
        <f t="shared" si="43"/>
        <v>0</v>
      </c>
      <c r="X77" s="135">
        <f t="shared" si="43"/>
        <v>0</v>
      </c>
      <c r="Y77" s="135">
        <f t="shared" si="43"/>
        <v>0</v>
      </c>
    </row>
    <row r="78" spans="1:25" ht="14">
      <c r="D78" s="125"/>
      <c r="E78" s="125"/>
      <c r="F78" s="125"/>
      <c r="G78" s="125"/>
      <c r="H78" s="125"/>
      <c r="I78" s="125"/>
      <c r="J78" s="125"/>
      <c r="K78" s="125"/>
      <c r="L78" s="125"/>
      <c r="M78" s="125"/>
      <c r="N78" s="132"/>
      <c r="O78" s="137"/>
      <c r="P78" s="137"/>
      <c r="Q78" s="137"/>
      <c r="R78" s="137"/>
      <c r="S78" s="137"/>
      <c r="T78" s="106"/>
      <c r="U78" s="106"/>
      <c r="V78" s="106"/>
      <c r="W78" s="106"/>
      <c r="X78" s="106"/>
      <c r="Y78" s="106"/>
    </row>
    <row r="79" spans="1:25">
      <c r="D79" s="125"/>
      <c r="E79" s="125"/>
      <c r="F79" s="125"/>
      <c r="G79" s="125"/>
      <c r="H79" s="125"/>
      <c r="I79" s="125"/>
      <c r="J79" s="125"/>
      <c r="K79" s="125"/>
      <c r="L79" s="125"/>
      <c r="M79" s="125"/>
      <c r="N79" s="125"/>
      <c r="O79" s="125"/>
      <c r="P79" s="125"/>
      <c r="Q79" s="125"/>
      <c r="R79" s="125"/>
      <c r="S79" s="125"/>
      <c r="T79" s="125"/>
      <c r="U79" s="125"/>
      <c r="V79" s="125"/>
      <c r="W79" s="125"/>
      <c r="X79" s="125"/>
      <c r="Y79" s="125"/>
    </row>
    <row r="80" spans="1:25" ht="14">
      <c r="A80" s="89" t="s">
        <v>302</v>
      </c>
      <c r="B80" s="117" t="s">
        <v>288</v>
      </c>
      <c r="D80" s="125"/>
      <c r="E80" s="125"/>
      <c r="F80" s="130" t="str">
        <f>F43</f>
        <v/>
      </c>
      <c r="G80" s="130" t="str">
        <f t="shared" ref="G80:M80" si="44">G43</f>
        <v/>
      </c>
      <c r="H80" s="130" t="str">
        <f t="shared" si="44"/>
        <v/>
      </c>
      <c r="I80" s="130" t="str">
        <f t="shared" si="44"/>
        <v/>
      </c>
      <c r="J80" s="130" t="str">
        <f t="shared" si="44"/>
        <v/>
      </c>
      <c r="K80" s="130" t="str">
        <f t="shared" si="44"/>
        <v/>
      </c>
      <c r="L80" s="130" t="str">
        <f t="shared" si="44"/>
        <v/>
      </c>
      <c r="M80" s="130" t="str">
        <f t="shared" si="44"/>
        <v/>
      </c>
      <c r="N80" s="133" t="str">
        <f>N43</f>
        <v/>
      </c>
      <c r="O80" s="134" t="e">
        <f ca="1">N80*(1+O81)</f>
        <v>#VALUE!</v>
      </c>
      <c r="P80" s="134" t="e">
        <f t="shared" ref="P80:Y80" ca="1" si="45">O80*(1+P81)</f>
        <v>#VALUE!</v>
      </c>
      <c r="Q80" s="134" t="e">
        <f t="shared" ca="1" si="45"/>
        <v>#VALUE!</v>
      </c>
      <c r="R80" s="134" t="e">
        <f t="shared" ca="1" si="45"/>
        <v>#VALUE!</v>
      </c>
      <c r="S80" s="134" t="e">
        <f t="shared" ca="1" si="45"/>
        <v>#VALUE!</v>
      </c>
      <c r="T80" s="134" t="e">
        <f t="shared" ca="1" si="45"/>
        <v>#VALUE!</v>
      </c>
      <c r="U80" s="134" t="e">
        <f t="shared" ca="1" si="45"/>
        <v>#VALUE!</v>
      </c>
      <c r="V80" s="134" t="e">
        <f t="shared" ca="1" si="45"/>
        <v>#VALUE!</v>
      </c>
      <c r="W80" s="134" t="e">
        <f t="shared" ca="1" si="45"/>
        <v>#VALUE!</v>
      </c>
      <c r="X80" s="134" t="e">
        <f t="shared" ca="1" si="45"/>
        <v>#VALUE!</v>
      </c>
      <c r="Y80" s="134" t="e">
        <f t="shared" ca="1" si="45"/>
        <v>#VALUE!</v>
      </c>
    </row>
    <row r="81" spans="1:25" ht="14">
      <c r="B81" s="114" t="s">
        <v>291</v>
      </c>
      <c r="D81" s="125"/>
      <c r="E81" s="125"/>
      <c r="F81" s="125"/>
      <c r="G81" s="125"/>
      <c r="H81" s="125"/>
      <c r="I81" s="125"/>
      <c r="J81" s="125"/>
      <c r="K81" s="125"/>
      <c r="L81" s="125"/>
      <c r="M81" s="125"/>
      <c r="N81" s="127"/>
      <c r="O81" s="107">
        <f t="shared" ref="O81:Y81" ca="1" si="46">OFFSET(O81,$E$16,0)</f>
        <v>0.02</v>
      </c>
      <c r="P81" s="107">
        <f t="shared" ca="1" si="46"/>
        <v>0.02</v>
      </c>
      <c r="Q81" s="107">
        <f t="shared" ca="1" si="46"/>
        <v>0.02</v>
      </c>
      <c r="R81" s="107">
        <f t="shared" ca="1" si="46"/>
        <v>0.02</v>
      </c>
      <c r="S81" s="107">
        <f t="shared" ca="1" si="46"/>
        <v>0.02</v>
      </c>
      <c r="T81" s="107">
        <f t="shared" ca="1" si="46"/>
        <v>0.02</v>
      </c>
      <c r="U81" s="107">
        <f t="shared" ca="1" si="46"/>
        <v>0.02</v>
      </c>
      <c r="V81" s="107">
        <f t="shared" ca="1" si="46"/>
        <v>0.02</v>
      </c>
      <c r="W81" s="107">
        <f t="shared" ca="1" si="46"/>
        <v>0.02</v>
      </c>
      <c r="X81" s="107">
        <f t="shared" ca="1" si="46"/>
        <v>0.02</v>
      </c>
      <c r="Y81" s="107">
        <f t="shared" ca="1" si="46"/>
        <v>0.02</v>
      </c>
    </row>
    <row r="82" spans="1:25" ht="14">
      <c r="B82" t="s">
        <v>280</v>
      </c>
      <c r="D82" s="125"/>
      <c r="E82" s="125"/>
      <c r="F82" s="125"/>
      <c r="G82" s="125"/>
      <c r="H82" s="125"/>
      <c r="I82" s="125"/>
      <c r="J82" s="125"/>
      <c r="K82" s="125"/>
      <c r="L82" s="125"/>
      <c r="M82" s="125"/>
      <c r="N82" s="125"/>
      <c r="O82" s="138">
        <f>I16</f>
        <v>0.02</v>
      </c>
      <c r="P82" s="138">
        <f t="shared" ref="P82:Y84" si="47">O82</f>
        <v>0.02</v>
      </c>
      <c r="Q82" s="138">
        <f t="shared" si="47"/>
        <v>0.02</v>
      </c>
      <c r="R82" s="138">
        <f t="shared" si="47"/>
        <v>0.02</v>
      </c>
      <c r="S82" s="138">
        <f t="shared" si="47"/>
        <v>0.02</v>
      </c>
      <c r="T82" s="138">
        <f t="shared" si="47"/>
        <v>0.02</v>
      </c>
      <c r="U82" s="138">
        <f t="shared" si="47"/>
        <v>0.02</v>
      </c>
      <c r="V82" s="138">
        <f t="shared" si="47"/>
        <v>0.02</v>
      </c>
      <c r="W82" s="138">
        <f t="shared" si="47"/>
        <v>0.02</v>
      </c>
      <c r="X82" s="138">
        <f t="shared" si="47"/>
        <v>0.02</v>
      </c>
      <c r="Y82" s="138">
        <f t="shared" si="47"/>
        <v>0.02</v>
      </c>
    </row>
    <row r="83" spans="1:25" ht="14">
      <c r="B83" t="s">
        <v>281</v>
      </c>
      <c r="D83" s="125"/>
      <c r="E83" s="125"/>
      <c r="F83" s="125"/>
      <c r="G83" s="125"/>
      <c r="H83" s="125"/>
      <c r="I83" s="125"/>
      <c r="J83" s="125"/>
      <c r="K83" s="125"/>
      <c r="L83" s="125"/>
      <c r="M83" s="125"/>
      <c r="N83" s="125"/>
      <c r="O83" s="135">
        <f>M16</f>
        <v>0.02</v>
      </c>
      <c r="P83" s="135">
        <f t="shared" si="47"/>
        <v>0.02</v>
      </c>
      <c r="Q83" s="135">
        <f t="shared" si="47"/>
        <v>0.02</v>
      </c>
      <c r="R83" s="135">
        <f t="shared" si="47"/>
        <v>0.02</v>
      </c>
      <c r="S83" s="135">
        <f t="shared" si="47"/>
        <v>0.02</v>
      </c>
      <c r="T83" s="135">
        <f t="shared" si="47"/>
        <v>0.02</v>
      </c>
      <c r="U83" s="135">
        <f t="shared" si="47"/>
        <v>0.02</v>
      </c>
      <c r="V83" s="135">
        <f t="shared" si="47"/>
        <v>0.02</v>
      </c>
      <c r="W83" s="135">
        <f t="shared" si="47"/>
        <v>0.02</v>
      </c>
      <c r="X83" s="135">
        <f t="shared" si="47"/>
        <v>0.02</v>
      </c>
      <c r="Y83" s="135">
        <f t="shared" si="47"/>
        <v>0.02</v>
      </c>
    </row>
    <row r="84" spans="1:25" ht="14">
      <c r="B84" t="s">
        <v>282</v>
      </c>
      <c r="D84" s="125"/>
      <c r="E84" s="125"/>
      <c r="F84" s="125"/>
      <c r="G84" s="125"/>
      <c r="H84" s="125"/>
      <c r="I84" s="125"/>
      <c r="J84" s="125"/>
      <c r="K84" s="125"/>
      <c r="L84" s="125"/>
      <c r="M84" s="125"/>
      <c r="N84" s="125"/>
      <c r="O84" s="135">
        <f>Q16</f>
        <v>0</v>
      </c>
      <c r="P84" s="135">
        <f t="shared" si="47"/>
        <v>0</v>
      </c>
      <c r="Q84" s="135">
        <f t="shared" si="47"/>
        <v>0</v>
      </c>
      <c r="R84" s="135">
        <f t="shared" si="47"/>
        <v>0</v>
      </c>
      <c r="S84" s="135">
        <f t="shared" si="47"/>
        <v>0</v>
      </c>
      <c r="T84" s="135">
        <f t="shared" si="47"/>
        <v>0</v>
      </c>
      <c r="U84" s="135">
        <f t="shared" si="47"/>
        <v>0</v>
      </c>
      <c r="V84" s="135">
        <f t="shared" si="47"/>
        <v>0</v>
      </c>
      <c r="W84" s="135">
        <f t="shared" si="47"/>
        <v>0</v>
      </c>
      <c r="X84" s="135">
        <f t="shared" si="47"/>
        <v>0</v>
      </c>
      <c r="Y84" s="135">
        <f t="shared" si="47"/>
        <v>0</v>
      </c>
    </row>
    <row r="85" spans="1:25">
      <c r="D85" s="125"/>
      <c r="E85" s="125"/>
      <c r="F85" s="125"/>
      <c r="G85" s="125"/>
      <c r="H85" s="125"/>
      <c r="I85" s="125"/>
      <c r="J85" s="125"/>
      <c r="K85" s="125"/>
      <c r="L85" s="125"/>
      <c r="M85" s="125"/>
      <c r="N85" s="125"/>
      <c r="O85" s="106"/>
      <c r="P85" s="106"/>
      <c r="Q85" s="106"/>
      <c r="R85" s="106"/>
      <c r="S85" s="106"/>
      <c r="T85" s="106"/>
      <c r="U85" s="106"/>
      <c r="V85" s="106"/>
      <c r="W85" s="106"/>
      <c r="X85" s="106"/>
      <c r="Y85" s="106"/>
    </row>
    <row r="86" spans="1:25">
      <c r="D86" s="125"/>
      <c r="E86" s="125"/>
      <c r="F86" s="125"/>
      <c r="G86" s="125"/>
      <c r="H86" s="125"/>
      <c r="I86" s="125"/>
      <c r="J86" s="125"/>
      <c r="K86" s="125"/>
      <c r="L86" s="125"/>
      <c r="M86" s="125"/>
      <c r="N86" s="125"/>
      <c r="O86" s="125"/>
      <c r="P86" s="125"/>
      <c r="Q86" s="125"/>
      <c r="R86" s="125"/>
      <c r="S86" s="125"/>
      <c r="T86" s="125"/>
      <c r="U86" s="125"/>
      <c r="V86" s="125"/>
      <c r="W86" s="125"/>
      <c r="X86" s="125"/>
      <c r="Y86" s="125"/>
    </row>
    <row r="87" spans="1:25">
      <c r="D87" s="125"/>
      <c r="E87" s="125"/>
      <c r="F87" s="125"/>
      <c r="G87" s="125"/>
      <c r="H87" s="125"/>
      <c r="I87" s="125"/>
      <c r="J87" s="125"/>
      <c r="K87" s="125"/>
      <c r="L87" s="125"/>
      <c r="M87" s="125"/>
      <c r="N87" s="125"/>
      <c r="O87" s="125"/>
      <c r="P87" s="125"/>
      <c r="Q87" s="125"/>
      <c r="R87" s="125"/>
      <c r="S87" s="125"/>
      <c r="T87" s="125"/>
      <c r="U87" s="125"/>
      <c r="V87" s="125"/>
      <c r="W87" s="125"/>
      <c r="X87" s="125"/>
      <c r="Y87" s="125"/>
    </row>
    <row r="88" spans="1:25" ht="14">
      <c r="A88" s="89" t="s">
        <v>302</v>
      </c>
      <c r="B88" s="117" t="s">
        <v>297</v>
      </c>
      <c r="D88" s="125"/>
      <c r="E88" s="125"/>
      <c r="F88" s="130">
        <f>F47</f>
        <v>27863000000</v>
      </c>
      <c r="G88" s="130">
        <f t="shared" ref="G88:M88" si="48">G47</f>
        <v>27831000000</v>
      </c>
      <c r="H88" s="130">
        <f t="shared" si="48"/>
        <v>14473000000</v>
      </c>
      <c r="I88" s="130">
        <f t="shared" si="48"/>
        <v>57101000000</v>
      </c>
      <c r="J88" s="130">
        <f t="shared" si="48"/>
        <v>38321000000</v>
      </c>
      <c r="K88" s="130">
        <f t="shared" si="48"/>
        <v>9355000000</v>
      </c>
      <c r="L88" s="130">
        <f t="shared" si="48"/>
        <v>-18577000000</v>
      </c>
      <c r="M88" s="130">
        <f t="shared" si="48"/>
        <v>-1742000000</v>
      </c>
      <c r="N88" s="130">
        <f>N47</f>
        <v>-23405000000</v>
      </c>
      <c r="O88" s="131">
        <f t="shared" ref="O88:Y88" ca="1" si="49">N88*(1+O89)</f>
        <v>-24107150000</v>
      </c>
      <c r="P88" s="131">
        <f t="shared" ca="1" si="49"/>
        <v>-24830364500</v>
      </c>
      <c r="Q88" s="131">
        <f t="shared" ca="1" si="49"/>
        <v>-25575275435</v>
      </c>
      <c r="R88" s="131">
        <f t="shared" ca="1" si="49"/>
        <v>-26342533698.049999</v>
      </c>
      <c r="S88" s="131">
        <f t="shared" ca="1" si="49"/>
        <v>-27132809708.991501</v>
      </c>
      <c r="T88" s="131">
        <f t="shared" ca="1" si="49"/>
        <v>-27946794000.261246</v>
      </c>
      <c r="U88" s="131">
        <f t="shared" ca="1" si="49"/>
        <v>-28785197820.269085</v>
      </c>
      <c r="V88" s="131">
        <f t="shared" ca="1" si="49"/>
        <v>-29648753754.877159</v>
      </c>
      <c r="W88" s="131">
        <f t="shared" ca="1" si="49"/>
        <v>-30538216367.523476</v>
      </c>
      <c r="X88" s="131">
        <f t="shared" ca="1" si="49"/>
        <v>-31454362858.549179</v>
      </c>
      <c r="Y88" s="131">
        <f t="shared" ca="1" si="49"/>
        <v>-32397993744.305656</v>
      </c>
    </row>
    <row r="89" spans="1:25" ht="14">
      <c r="B89" s="114" t="s">
        <v>291</v>
      </c>
      <c r="D89" s="125"/>
      <c r="E89" s="125"/>
      <c r="F89" s="125"/>
      <c r="G89" s="125"/>
      <c r="H89" s="125"/>
      <c r="I89" s="125"/>
      <c r="J89" s="125"/>
      <c r="K89" s="125"/>
      <c r="L89" s="125"/>
      <c r="M89" s="125"/>
      <c r="N89" s="127"/>
      <c r="O89" s="107">
        <f t="shared" ref="O89:Y89" ca="1" si="50">OFFSET(O89,$E$17,0)</f>
        <v>0.03</v>
      </c>
      <c r="P89" s="107">
        <f t="shared" ca="1" si="50"/>
        <v>0.03</v>
      </c>
      <c r="Q89" s="107">
        <f t="shared" ca="1" si="50"/>
        <v>0.03</v>
      </c>
      <c r="R89" s="107">
        <f t="shared" ca="1" si="50"/>
        <v>0.03</v>
      </c>
      <c r="S89" s="107">
        <f t="shared" ca="1" si="50"/>
        <v>0.03</v>
      </c>
      <c r="T89" s="107">
        <f t="shared" ca="1" si="50"/>
        <v>0.03</v>
      </c>
      <c r="U89" s="107">
        <f t="shared" ca="1" si="50"/>
        <v>0.03</v>
      </c>
      <c r="V89" s="107">
        <f t="shared" ca="1" si="50"/>
        <v>0.03</v>
      </c>
      <c r="W89" s="107">
        <f t="shared" ca="1" si="50"/>
        <v>0.03</v>
      </c>
      <c r="X89" s="107">
        <f t="shared" ca="1" si="50"/>
        <v>0.03</v>
      </c>
      <c r="Y89" s="107">
        <f t="shared" ca="1" si="50"/>
        <v>0.03</v>
      </c>
    </row>
    <row r="90" spans="1:25" ht="14">
      <c r="B90" t="s">
        <v>280</v>
      </c>
      <c r="D90" s="125"/>
      <c r="E90" s="125"/>
      <c r="F90" s="125"/>
      <c r="G90" s="125"/>
      <c r="H90" s="125"/>
      <c r="I90" s="125"/>
      <c r="J90" s="125"/>
      <c r="K90" s="125"/>
      <c r="L90" s="125"/>
      <c r="M90" s="125"/>
      <c r="N90" s="125"/>
      <c r="O90" s="135">
        <f>I17</f>
        <v>0.02</v>
      </c>
      <c r="P90" s="135">
        <f t="shared" ref="P90:Y92" si="51">O90</f>
        <v>0.02</v>
      </c>
      <c r="Q90" s="135">
        <f t="shared" si="51"/>
        <v>0.02</v>
      </c>
      <c r="R90" s="135">
        <f t="shared" si="51"/>
        <v>0.02</v>
      </c>
      <c r="S90" s="135">
        <f t="shared" si="51"/>
        <v>0.02</v>
      </c>
      <c r="T90" s="135">
        <f t="shared" si="51"/>
        <v>0.02</v>
      </c>
      <c r="U90" s="135">
        <f t="shared" si="51"/>
        <v>0.02</v>
      </c>
      <c r="V90" s="135">
        <f t="shared" si="51"/>
        <v>0.02</v>
      </c>
      <c r="W90" s="135">
        <f t="shared" si="51"/>
        <v>0.02</v>
      </c>
      <c r="X90" s="135">
        <f t="shared" si="51"/>
        <v>0.02</v>
      </c>
      <c r="Y90" s="135">
        <f t="shared" si="51"/>
        <v>0.02</v>
      </c>
    </row>
    <row r="91" spans="1:25" ht="14">
      <c r="B91" t="s">
        <v>281</v>
      </c>
      <c r="D91" s="125"/>
      <c r="E91" s="125"/>
      <c r="F91" s="125"/>
      <c r="G91" s="125"/>
      <c r="H91" s="125"/>
      <c r="I91" s="125"/>
      <c r="J91" s="125"/>
      <c r="K91" s="125"/>
      <c r="L91" s="125"/>
      <c r="M91" s="125"/>
      <c r="N91" s="125"/>
      <c r="O91" s="135">
        <f>M17</f>
        <v>0.03</v>
      </c>
      <c r="P91" s="135">
        <f t="shared" si="51"/>
        <v>0.03</v>
      </c>
      <c r="Q91" s="135">
        <f t="shared" si="51"/>
        <v>0.03</v>
      </c>
      <c r="R91" s="135">
        <f t="shared" si="51"/>
        <v>0.03</v>
      </c>
      <c r="S91" s="135">
        <f t="shared" si="51"/>
        <v>0.03</v>
      </c>
      <c r="T91" s="135">
        <f t="shared" si="51"/>
        <v>0.03</v>
      </c>
      <c r="U91" s="135">
        <f t="shared" si="51"/>
        <v>0.03</v>
      </c>
      <c r="V91" s="135">
        <f t="shared" si="51"/>
        <v>0.03</v>
      </c>
      <c r="W91" s="135">
        <f t="shared" si="51"/>
        <v>0.03</v>
      </c>
      <c r="X91" s="135">
        <f t="shared" si="51"/>
        <v>0.03</v>
      </c>
      <c r="Y91" s="135">
        <f t="shared" si="51"/>
        <v>0.03</v>
      </c>
    </row>
    <row r="92" spans="1:25" ht="14">
      <c r="B92" t="s">
        <v>282</v>
      </c>
      <c r="D92" s="125"/>
      <c r="E92" s="141"/>
      <c r="F92" s="141"/>
      <c r="G92" s="141"/>
      <c r="H92" s="141"/>
      <c r="I92" s="141"/>
      <c r="J92" s="141"/>
      <c r="K92" s="141"/>
      <c r="L92" s="141"/>
      <c r="M92" s="141"/>
      <c r="N92" s="125"/>
      <c r="O92" s="135">
        <f>Q17</f>
        <v>0</v>
      </c>
      <c r="P92" s="135">
        <f t="shared" si="51"/>
        <v>0</v>
      </c>
      <c r="Q92" s="135">
        <f t="shared" si="51"/>
        <v>0</v>
      </c>
      <c r="R92" s="135">
        <f t="shared" si="51"/>
        <v>0</v>
      </c>
      <c r="S92" s="135">
        <f t="shared" si="51"/>
        <v>0</v>
      </c>
      <c r="T92" s="135">
        <f t="shared" si="51"/>
        <v>0</v>
      </c>
      <c r="U92" s="135">
        <f t="shared" si="51"/>
        <v>0</v>
      </c>
      <c r="V92" s="135">
        <f t="shared" si="51"/>
        <v>0</v>
      </c>
      <c r="W92" s="135">
        <f t="shared" si="51"/>
        <v>0</v>
      </c>
      <c r="X92" s="135">
        <f t="shared" si="51"/>
        <v>0</v>
      </c>
      <c r="Y92" s="135">
        <f t="shared" si="51"/>
        <v>0</v>
      </c>
    </row>
    <row r="93" spans="1:25">
      <c r="D93" s="125"/>
      <c r="E93" s="141"/>
      <c r="F93" s="141"/>
      <c r="G93" s="141"/>
      <c r="H93" s="141"/>
      <c r="I93" s="141"/>
      <c r="J93" s="141"/>
      <c r="K93" s="141"/>
      <c r="L93" s="141"/>
      <c r="M93" s="141"/>
      <c r="N93" s="125"/>
      <c r="O93" s="106"/>
      <c r="P93" s="106"/>
      <c r="Q93" s="106"/>
      <c r="R93" s="106"/>
      <c r="S93" s="106"/>
      <c r="T93" s="106"/>
      <c r="U93" s="106"/>
      <c r="V93" s="106"/>
      <c r="W93" s="106"/>
      <c r="X93" s="106"/>
      <c r="Y93" s="106"/>
    </row>
    <row r="94" spans="1:25">
      <c r="D94" s="125"/>
      <c r="E94" s="142"/>
      <c r="F94" s="142"/>
      <c r="G94" s="142"/>
      <c r="H94" s="142"/>
      <c r="I94" s="142"/>
      <c r="J94" s="142"/>
      <c r="K94" s="142"/>
      <c r="L94" s="142"/>
      <c r="M94" s="142"/>
      <c r="N94" s="125"/>
      <c r="O94" s="125"/>
      <c r="P94" s="125"/>
      <c r="Q94" s="125"/>
      <c r="R94" s="125"/>
      <c r="S94" s="125"/>
      <c r="T94" s="125"/>
      <c r="U94" s="125"/>
      <c r="V94" s="125"/>
      <c r="W94" s="125"/>
      <c r="X94" s="125"/>
      <c r="Y94" s="125"/>
    </row>
    <row r="95" spans="1:25" ht="14">
      <c r="B95" s="118" t="s">
        <v>303</v>
      </c>
      <c r="D95" s="125"/>
      <c r="E95" s="142"/>
      <c r="F95" s="143" t="e">
        <f>F71+F73-F80-F88</f>
        <v>#VALUE!</v>
      </c>
      <c r="G95" s="143" t="e">
        <f t="shared" ref="G95:W95" si="52">G71+G73-G80-G88</f>
        <v>#VALUE!</v>
      </c>
      <c r="H95" s="143" t="e">
        <f t="shared" si="52"/>
        <v>#VALUE!</v>
      </c>
      <c r="I95" s="143" t="e">
        <f t="shared" si="52"/>
        <v>#VALUE!</v>
      </c>
      <c r="J95" s="143" t="e">
        <f t="shared" si="52"/>
        <v>#VALUE!</v>
      </c>
      <c r="K95" s="143" t="e">
        <f t="shared" si="52"/>
        <v>#VALUE!</v>
      </c>
      <c r="L95" s="143" t="e">
        <f t="shared" si="52"/>
        <v>#VALUE!</v>
      </c>
      <c r="M95" s="143" t="e">
        <f t="shared" si="52"/>
        <v>#VALUE!</v>
      </c>
      <c r="N95" s="130" t="e">
        <f t="shared" si="52"/>
        <v>#VALUE!</v>
      </c>
      <c r="O95" s="131" t="e">
        <f t="shared" ca="1" si="52"/>
        <v>#VALUE!</v>
      </c>
      <c r="P95" s="131" t="e">
        <f t="shared" ca="1" si="52"/>
        <v>#VALUE!</v>
      </c>
      <c r="Q95" s="131" t="e">
        <f t="shared" ca="1" si="52"/>
        <v>#VALUE!</v>
      </c>
      <c r="R95" s="131" t="e">
        <f t="shared" ca="1" si="52"/>
        <v>#VALUE!</v>
      </c>
      <c r="S95" s="131" t="e">
        <f t="shared" ca="1" si="52"/>
        <v>#VALUE!</v>
      </c>
      <c r="T95" s="131" t="e">
        <f t="shared" ca="1" si="52"/>
        <v>#VALUE!</v>
      </c>
      <c r="U95" s="131" t="e">
        <f t="shared" ca="1" si="52"/>
        <v>#VALUE!</v>
      </c>
      <c r="V95" s="131" t="e">
        <f t="shared" ca="1" si="52"/>
        <v>#VALUE!</v>
      </c>
      <c r="W95" s="131" t="e">
        <f t="shared" ca="1" si="52"/>
        <v>#VALUE!</v>
      </c>
      <c r="X95" s="131" t="e">
        <f ca="1">X71+X73-X80-X88</f>
        <v>#VALUE!</v>
      </c>
      <c r="Y95" s="131" t="e">
        <f ca="1">Y71+Y73-Y80-Y88</f>
        <v>#VALUE!</v>
      </c>
    </row>
    <row r="96" spans="1:25">
      <c r="B96" s="118" t="s">
        <v>304</v>
      </c>
      <c r="D96" s="125"/>
      <c r="E96" s="142"/>
      <c r="F96" s="142" t="s">
        <v>1</v>
      </c>
      <c r="G96" s="142"/>
      <c r="H96" s="142"/>
      <c r="I96" s="142"/>
      <c r="J96" s="142"/>
      <c r="K96" s="142"/>
      <c r="L96" s="142"/>
      <c r="M96" s="142"/>
      <c r="N96" s="125"/>
      <c r="O96" s="125" t="e">
        <f t="shared" ref="O96:Y96" ca="1" si="53">O95/(1+wacc)^N22</f>
        <v>#VALUE!</v>
      </c>
      <c r="P96" s="125" t="e">
        <f t="shared" ca="1" si="53"/>
        <v>#VALUE!</v>
      </c>
      <c r="Q96" s="125" t="e">
        <f t="shared" ca="1" si="53"/>
        <v>#VALUE!</v>
      </c>
      <c r="R96" s="125" t="e">
        <f t="shared" ca="1" si="53"/>
        <v>#VALUE!</v>
      </c>
      <c r="S96" s="125" t="e">
        <f t="shared" ca="1" si="53"/>
        <v>#VALUE!</v>
      </c>
      <c r="T96" s="125" t="e">
        <f t="shared" ca="1" si="53"/>
        <v>#VALUE!</v>
      </c>
      <c r="U96" s="125" t="e">
        <f t="shared" ca="1" si="53"/>
        <v>#VALUE!</v>
      </c>
      <c r="V96" s="125" t="e">
        <f t="shared" ca="1" si="53"/>
        <v>#VALUE!</v>
      </c>
      <c r="W96" s="125" t="e">
        <f t="shared" ca="1" si="53"/>
        <v>#VALUE!</v>
      </c>
      <c r="X96" s="125" t="e">
        <f t="shared" ca="1" si="53"/>
        <v>#VALUE!</v>
      </c>
      <c r="Y96" s="125" t="e">
        <f t="shared" ca="1" si="53"/>
        <v>#VALUE!</v>
      </c>
    </row>
    <row r="97" spans="2:30">
      <c r="E97" s="142"/>
      <c r="F97" s="142"/>
      <c r="G97" s="142"/>
      <c r="H97" s="142"/>
      <c r="I97" s="142"/>
      <c r="J97" s="142"/>
      <c r="K97" s="142"/>
      <c r="L97" s="142"/>
      <c r="M97" s="142"/>
    </row>
    <row r="98" spans="2:30">
      <c r="B98" t="s">
        <v>305</v>
      </c>
      <c r="C98" t="s">
        <v>1</v>
      </c>
      <c r="E98" s="142"/>
      <c r="F98" s="142"/>
      <c r="G98" s="142"/>
      <c r="H98" s="142"/>
      <c r="I98" s="142"/>
      <c r="J98" s="142"/>
      <c r="K98" s="142"/>
      <c r="L98" s="142"/>
      <c r="M98" s="142"/>
      <c r="X98" s="125" t="e">
        <f ca="1">X95*(1+tgr)/(wacc-tgr)</f>
        <v>#VALUE!</v>
      </c>
      <c r="Y98" s="125" t="e">
        <f ca="1">Y95*(1+tgr)/(wacc-tgr)</f>
        <v>#VALUE!</v>
      </c>
    </row>
    <row r="99" spans="2:30">
      <c r="B99" t="s">
        <v>306</v>
      </c>
      <c r="X99" s="125" t="e">
        <f ca="1">X98/(1+wacc)^X22</f>
        <v>#VALUE!</v>
      </c>
      <c r="Y99" s="125" t="e">
        <f ca="1">Y98/(1+wacc)^Y22</f>
        <v>#VALUE!</v>
      </c>
    </row>
    <row r="100" spans="2:30">
      <c r="X100" s="125"/>
      <c r="Y100" s="125"/>
    </row>
    <row r="101" spans="2:30" ht="14">
      <c r="B101" s="91" t="s">
        <v>13</v>
      </c>
      <c r="C101" s="91"/>
      <c r="D101" s="91"/>
      <c r="E101" s="91"/>
      <c r="F101" s="91"/>
      <c r="G101" s="91"/>
      <c r="H101" s="91"/>
      <c r="I101" s="91"/>
      <c r="J101" s="91"/>
      <c r="K101" s="91"/>
      <c r="L101" s="91"/>
      <c r="M101" s="91"/>
      <c r="N101" s="91"/>
      <c r="O101" s="91"/>
      <c r="P101" s="91"/>
      <c r="Q101" s="91"/>
      <c r="R101" s="91"/>
      <c r="S101" s="119"/>
      <c r="T101" s="119"/>
      <c r="U101" s="119"/>
      <c r="V101" s="119"/>
      <c r="W101" s="119"/>
      <c r="X101" s="139" t="e">
        <f ca="1">SUM(O96:X96,X99)</f>
        <v>#VALUE!</v>
      </c>
      <c r="Y101" s="139" t="e">
        <f ca="1">SUM(O96:Y96,Y99)</f>
        <v>#VALUE!</v>
      </c>
    </row>
    <row r="102" spans="2:30">
      <c r="B102" t="s">
        <v>307</v>
      </c>
      <c r="X102" s="125"/>
      <c r="Y102" s="125">
        <f>Funda!R25</f>
        <v>29943000000</v>
      </c>
    </row>
    <row r="103" spans="2:30">
      <c r="B103" s="91" t="s">
        <v>308</v>
      </c>
      <c r="C103" s="91"/>
      <c r="D103" s="91"/>
      <c r="E103" s="91"/>
      <c r="F103" s="91"/>
      <c r="G103" s="91"/>
      <c r="H103" s="91"/>
      <c r="I103" s="91"/>
      <c r="J103" s="91"/>
      <c r="K103" s="91"/>
      <c r="L103" s="91"/>
      <c r="M103" s="91"/>
      <c r="N103" s="91"/>
      <c r="O103" s="91"/>
      <c r="P103" s="91"/>
      <c r="Q103" s="91"/>
      <c r="R103" s="91"/>
      <c r="S103" s="91"/>
      <c r="T103" s="91"/>
      <c r="U103" s="91"/>
      <c r="V103" s="91"/>
      <c r="W103" s="91"/>
      <c r="X103" s="140"/>
      <c r="Y103" s="140">
        <f>WACC!E17</f>
        <v>108261000000</v>
      </c>
    </row>
    <row r="104" spans="2:30">
      <c r="B104" t="s">
        <v>309</v>
      </c>
      <c r="X104" s="125"/>
      <c r="Y104" s="125" t="e">
        <f ca="1">Y101+Y102-Y103</f>
        <v>#VALUE!</v>
      </c>
    </row>
    <row r="105" spans="2:30">
      <c r="B105" s="91" t="s">
        <v>310</v>
      </c>
      <c r="C105" s="91"/>
      <c r="D105" s="91"/>
      <c r="E105" s="91"/>
      <c r="F105" s="91"/>
      <c r="G105" s="91"/>
      <c r="H105" s="91"/>
      <c r="I105" s="91"/>
      <c r="J105" s="91"/>
      <c r="K105" s="91"/>
      <c r="L105" s="91"/>
      <c r="M105" s="91"/>
      <c r="N105" s="91"/>
      <c r="O105" s="91"/>
      <c r="P105" s="91"/>
      <c r="Q105" s="91"/>
      <c r="R105" s="91"/>
      <c r="S105" s="91"/>
      <c r="T105" s="91"/>
      <c r="U105" s="91"/>
      <c r="V105" s="91"/>
      <c r="W105" s="91"/>
      <c r="X105" s="140"/>
      <c r="Y105" s="140">
        <f>Funda!R6</f>
        <v>15408095000</v>
      </c>
    </row>
    <row r="106" spans="2:30">
      <c r="B106" s="120" t="s">
        <v>311</v>
      </c>
      <c r="X106" s="125"/>
      <c r="Y106" s="83" t="e">
        <f ca="1">Y104/Y105</f>
        <v>#VALUE!</v>
      </c>
      <c r="AB106" s="111"/>
      <c r="AD106" s="111"/>
    </row>
    <row r="107" spans="2:30">
      <c r="X107" s="125"/>
      <c r="Y107" s="125"/>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58B9F-1484-344B-A9C8-AB4B5554A2B3}">
  <sheetPr codeName="Sheet7"/>
  <dimension ref="B2:L36"/>
  <sheetViews>
    <sheetView showGridLines="0" topLeftCell="A5" workbookViewId="0">
      <selection activeCell="B25" sqref="B25"/>
    </sheetView>
  </sheetViews>
  <sheetFormatPr baseColWidth="10" defaultColWidth="8.83203125" defaultRowHeight="13"/>
  <cols>
    <col min="5" max="5" width="23.5" bestFit="1" customWidth="1"/>
    <col min="8" max="8" width="10.6640625" bestFit="1" customWidth="1"/>
  </cols>
  <sheetData>
    <row r="2" spans="2:11" ht="25">
      <c r="B2" s="147" t="s">
        <v>197</v>
      </c>
    </row>
    <row r="5" spans="2:11">
      <c r="B5" t="s">
        <v>313</v>
      </c>
    </row>
    <row r="7" spans="2:11">
      <c r="B7" t="s">
        <v>314</v>
      </c>
    </row>
    <row r="9" spans="2:11" ht="14">
      <c r="B9" s="112" t="s">
        <v>197</v>
      </c>
      <c r="C9" s="112"/>
      <c r="D9" s="112"/>
      <c r="E9" s="112"/>
      <c r="F9" s="112"/>
      <c r="G9" s="112"/>
      <c r="H9" s="112"/>
      <c r="I9" s="112"/>
    </row>
    <row r="10" spans="2:11">
      <c r="B10" t="s">
        <v>315</v>
      </c>
      <c r="E10" s="111">
        <f ca="1">Funda!B7</f>
        <v>1015729000000</v>
      </c>
      <c r="H10" s="111"/>
      <c r="J10" s="111"/>
    </row>
    <row r="11" spans="2:11">
      <c r="B11" t="s">
        <v>316</v>
      </c>
      <c r="E11" s="82">
        <f ca="1">E10/E22</f>
        <v>0.90368152741572438</v>
      </c>
    </row>
    <row r="12" spans="2:11">
      <c r="B12" t="s">
        <v>6</v>
      </c>
      <c r="E12" s="83">
        <f ca="1">Funda!B13</f>
        <v>2.3372999999999999</v>
      </c>
      <c r="G12" s="23" t="s">
        <v>325</v>
      </c>
      <c r="H12" s="152"/>
      <c r="K12" s="153"/>
    </row>
    <row r="13" spans="2:11">
      <c r="B13" t="s">
        <v>318</v>
      </c>
      <c r="E13" s="151">
        <v>0.05</v>
      </c>
      <c r="K13" s="154"/>
    </row>
    <row r="14" spans="2:11">
      <c r="B14" t="s">
        <v>319</v>
      </c>
      <c r="E14" s="150">
        <v>0.06</v>
      </c>
      <c r="K14" s="100"/>
    </row>
    <row r="15" spans="2:11">
      <c r="B15" t="s">
        <v>317</v>
      </c>
      <c r="E15" s="148">
        <f ca="1">E13+(E12*E14)</f>
        <v>0.19023800000000002</v>
      </c>
      <c r="K15" s="154"/>
    </row>
    <row r="16" spans="2:11">
      <c r="K16" s="100"/>
    </row>
    <row r="17" spans="2:12">
      <c r="B17" t="s">
        <v>320</v>
      </c>
      <c r="E17">
        <f>Annual!AB26+Annual!Y26</f>
        <v>108261000000</v>
      </c>
      <c r="K17" s="155"/>
      <c r="L17" s="106"/>
    </row>
    <row r="18" spans="2:12">
      <c r="B18" t="s">
        <v>321</v>
      </c>
      <c r="E18" s="149">
        <f ca="1">E17/E22</f>
        <v>9.6318472584275658E-2</v>
      </c>
      <c r="K18" s="155"/>
      <c r="L18" s="106"/>
    </row>
    <row r="19" spans="2:12">
      <c r="B19" t="s">
        <v>323</v>
      </c>
      <c r="E19" s="150">
        <v>0.2</v>
      </c>
      <c r="K19" s="154"/>
    </row>
    <row r="20" spans="2:12">
      <c r="B20" t="s">
        <v>322</v>
      </c>
      <c r="E20" s="150">
        <v>7.0000000000000007E-2</v>
      </c>
      <c r="K20" s="156"/>
    </row>
    <row r="22" spans="2:12">
      <c r="B22" s="23" t="s">
        <v>324</v>
      </c>
      <c r="E22" s="111">
        <f ca="1">E10+E17</f>
        <v>1123990000000</v>
      </c>
    </row>
    <row r="23" spans="2:12">
      <c r="B23" s="23"/>
      <c r="E23" s="111"/>
    </row>
    <row r="24" spans="2:12">
      <c r="B24" s="274" t="s">
        <v>329</v>
      </c>
      <c r="C24" s="274"/>
      <c r="D24" s="274"/>
      <c r="E24" s="274"/>
    </row>
    <row r="25" spans="2:12">
      <c r="B25" s="23" t="s">
        <v>326</v>
      </c>
      <c r="E25" s="152">
        <v>0</v>
      </c>
    </row>
    <row r="26" spans="2:12">
      <c r="B26" s="23" t="s">
        <v>327</v>
      </c>
      <c r="E26" s="152">
        <v>0</v>
      </c>
    </row>
    <row r="27" spans="2:12">
      <c r="B27" s="23" t="s">
        <v>328</v>
      </c>
      <c r="E27" s="152">
        <v>0</v>
      </c>
    </row>
    <row r="28" spans="2:12">
      <c r="B28" s="23"/>
      <c r="E28" s="111"/>
    </row>
    <row r="30" spans="2:12">
      <c r="B30" s="157" t="s">
        <v>197</v>
      </c>
      <c r="E30" s="96">
        <f ca="1">(E15*E11)+(E20*E18)*(1-E19)+E25+E26+E27</f>
        <v>0.17730840087723204</v>
      </c>
    </row>
    <row r="32" spans="2:12">
      <c r="E32" s="106"/>
    </row>
    <row r="36" spans="8:8">
      <c r="H36" s="111"/>
    </row>
  </sheetData>
  <mergeCells count="1">
    <mergeCell ref="B24:E24"/>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1F6BD-6C32-E742-B6E7-9924B5680922}">
  <sheetPr codeName="Sheet8"/>
  <dimension ref="B2"/>
  <sheetViews>
    <sheetView workbookViewId="0">
      <selection activeCell="B3" sqref="B3"/>
    </sheetView>
  </sheetViews>
  <sheetFormatPr baseColWidth="10" defaultRowHeight="13"/>
  <sheetData>
    <row r="2" spans="2:2">
      <c r="B2" s="23" t="s">
        <v>330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17759-E326-C14A-B5A8-6640246E18F3}">
  <sheetPr codeName="Sheet5"/>
  <dimension ref="A1:T1004"/>
  <sheetViews>
    <sheetView showGridLines="0" topLeftCell="A8" zoomScale="120" zoomScaleNormal="120" workbookViewId="0">
      <selection activeCell="J36" sqref="J36:K36"/>
    </sheetView>
  </sheetViews>
  <sheetFormatPr baseColWidth="10" defaultColWidth="12.6640625" defaultRowHeight="15.75" customHeight="1"/>
  <cols>
    <col min="3" max="3" width="32.6640625" customWidth="1"/>
    <col min="4" max="4" width="24.6640625" customWidth="1"/>
    <col min="5" max="6" width="8.33203125" customWidth="1"/>
    <col min="7" max="7" width="12.6640625" style="23"/>
  </cols>
  <sheetData>
    <row r="1" spans="1:20" ht="15.75" customHeight="1">
      <c r="A1" s="305"/>
      <c r="B1" s="305"/>
      <c r="C1" s="306"/>
      <c r="D1" s="161"/>
      <c r="E1" s="307" t="s">
        <v>355</v>
      </c>
      <c r="F1" s="308"/>
      <c r="G1" s="308"/>
      <c r="H1" s="308"/>
      <c r="I1" s="308"/>
      <c r="J1" s="308"/>
      <c r="K1" s="308"/>
      <c r="L1" s="308"/>
      <c r="M1" s="308"/>
      <c r="N1" s="308"/>
      <c r="O1" s="308"/>
      <c r="P1" s="161"/>
      <c r="Q1" s="161"/>
      <c r="R1" s="161"/>
      <c r="S1" s="161"/>
      <c r="T1" s="161"/>
    </row>
    <row r="2" spans="1:20" ht="15.75" customHeight="1">
      <c r="A2" s="285"/>
      <c r="B2" s="285"/>
      <c r="C2" s="310"/>
      <c r="D2" s="161"/>
      <c r="E2" s="308"/>
      <c r="F2" s="309"/>
      <c r="G2" s="309"/>
      <c r="H2" s="309"/>
      <c r="I2" s="309"/>
      <c r="J2" s="309"/>
      <c r="K2" s="309"/>
      <c r="L2" s="309"/>
      <c r="M2" s="309"/>
      <c r="N2" s="309"/>
      <c r="O2" s="308"/>
      <c r="P2" s="161"/>
      <c r="Q2" s="161"/>
      <c r="R2" s="161"/>
      <c r="S2" s="161"/>
      <c r="T2" s="161"/>
    </row>
    <row r="3" spans="1:20" ht="15.75" customHeight="1">
      <c r="A3" s="311" t="s">
        <v>356</v>
      </c>
      <c r="B3" s="308"/>
      <c r="C3" s="308"/>
      <c r="D3" s="220"/>
      <c r="E3" s="308"/>
      <c r="F3" s="308"/>
      <c r="G3" s="308"/>
      <c r="H3" s="308"/>
      <c r="I3" s="308"/>
      <c r="J3" s="308"/>
      <c r="K3" s="308"/>
      <c r="L3" s="308"/>
      <c r="M3" s="308"/>
      <c r="N3" s="308"/>
      <c r="O3" s="308"/>
      <c r="P3" s="161"/>
      <c r="Q3" s="161"/>
      <c r="R3" s="161"/>
      <c r="S3" s="161"/>
      <c r="T3" s="161"/>
    </row>
    <row r="4" spans="1:20" ht="15.75" customHeight="1">
      <c r="A4" s="312" t="s">
        <v>357</v>
      </c>
      <c r="B4" s="313"/>
      <c r="C4" s="227">
        <v>15000</v>
      </c>
      <c r="D4" s="220"/>
      <c r="E4" s="161"/>
      <c r="F4" s="161"/>
      <c r="G4" s="161"/>
      <c r="H4" s="161"/>
      <c r="I4" s="161"/>
      <c r="J4" s="161"/>
      <c r="K4" s="161"/>
      <c r="L4" s="314"/>
      <c r="M4" s="286"/>
      <c r="N4" s="315"/>
      <c r="O4" s="292"/>
      <c r="P4" s="292"/>
      <c r="Q4" s="292"/>
      <c r="R4" s="163"/>
      <c r="S4" s="163"/>
      <c r="T4" s="163"/>
    </row>
    <row r="5" spans="1:20" ht="16">
      <c r="A5" s="321"/>
      <c r="B5" s="322"/>
      <c r="C5" s="323"/>
      <c r="D5" s="219"/>
      <c r="E5" s="161"/>
      <c r="F5" s="324" t="s">
        <v>358</v>
      </c>
      <c r="G5" s="325"/>
      <c r="H5" s="325"/>
      <c r="I5" s="326">
        <f ca="1">SUM(C7,C4)</f>
        <v>292752.5</v>
      </c>
      <c r="J5" s="327"/>
      <c r="K5" s="161"/>
      <c r="L5" s="285"/>
      <c r="M5" s="286"/>
      <c r="N5" s="320"/>
      <c r="O5" s="292"/>
      <c r="P5" s="292"/>
      <c r="Q5" s="292"/>
      <c r="R5" s="161"/>
      <c r="S5" s="161"/>
      <c r="T5" s="161"/>
    </row>
    <row r="6" spans="1:20" ht="16">
      <c r="A6" s="316" t="s">
        <v>359</v>
      </c>
      <c r="B6" s="308"/>
      <c r="C6" s="308"/>
      <c r="D6" s="220"/>
      <c r="E6" s="161"/>
      <c r="F6" s="317" t="s">
        <v>360</v>
      </c>
      <c r="G6" s="286"/>
      <c r="H6" s="286"/>
      <c r="I6" s="318">
        <f ca="1">I7/(I5-I7)</f>
        <v>0.10723335854765507</v>
      </c>
      <c r="J6" s="319"/>
      <c r="K6" s="161"/>
      <c r="L6" s="285"/>
      <c r="M6" s="286"/>
      <c r="N6" s="320"/>
      <c r="O6" s="292"/>
      <c r="P6" s="292"/>
      <c r="Q6" s="292"/>
      <c r="R6" s="165"/>
      <c r="S6" s="165"/>
      <c r="T6" s="165"/>
    </row>
    <row r="7" spans="1:20" ht="16">
      <c r="A7" s="328" t="s">
        <v>361</v>
      </c>
      <c r="B7" s="329"/>
      <c r="C7" s="226">
        <f ca="1">SUM(Stocks!H23:H120)</f>
        <v>277752.5</v>
      </c>
      <c r="D7" s="220"/>
      <c r="E7" s="161"/>
      <c r="F7" s="330" t="s">
        <v>362</v>
      </c>
      <c r="G7" s="331"/>
      <c r="H7" s="331"/>
      <c r="I7" s="332">
        <f ca="1">SUM(Stocks!I23:I120)</f>
        <v>28352.5</v>
      </c>
      <c r="J7" s="333"/>
      <c r="K7" s="161"/>
      <c r="L7" s="285"/>
      <c r="M7" s="286"/>
      <c r="N7" s="164"/>
      <c r="O7" s="162"/>
      <c r="P7" s="162"/>
      <c r="Q7" s="162"/>
      <c r="R7" s="161"/>
      <c r="S7" s="161"/>
      <c r="T7" s="161"/>
    </row>
    <row r="8" spans="1:20" ht="15.75" customHeight="1">
      <c r="A8" s="299" t="s">
        <v>363</v>
      </c>
      <c r="B8" s="300"/>
      <c r="C8" s="223">
        <f ca="1">(SUM(Stocks!H23:H1019)-SUM(Stocks!G23:G1019))/SUM(Stocks!G23:G1019)</f>
        <v>0.11368283881315157</v>
      </c>
      <c r="D8" s="220"/>
      <c r="E8" s="161"/>
      <c r="F8" s="161"/>
      <c r="G8" s="161"/>
      <c r="H8" s="166"/>
      <c r="I8" s="166"/>
      <c r="J8" s="166"/>
      <c r="K8" s="161"/>
      <c r="L8" s="285"/>
      <c r="M8" s="286"/>
      <c r="N8" s="301" t="s">
        <v>364</v>
      </c>
      <c r="O8" s="301"/>
      <c r="P8" s="301"/>
      <c r="Q8" s="301"/>
      <c r="R8" s="161"/>
      <c r="S8" s="161"/>
      <c r="T8" s="161"/>
    </row>
    <row r="9" spans="1:20" ht="15.75" customHeight="1">
      <c r="A9" s="299" t="s">
        <v>365</v>
      </c>
      <c r="B9" s="300"/>
      <c r="C9" s="224">
        <f ca="1">SUM(Stocks!I23:I1019)</f>
        <v>28352.5</v>
      </c>
      <c r="D9" s="220"/>
      <c r="E9" s="161"/>
      <c r="F9" s="161"/>
      <c r="G9" s="161"/>
      <c r="H9" s="167"/>
      <c r="I9" s="161"/>
      <c r="J9" s="161"/>
      <c r="K9" s="161"/>
      <c r="L9" s="285"/>
      <c r="M9" s="286"/>
      <c r="N9" s="302"/>
      <c r="O9" s="278"/>
      <c r="P9" s="278"/>
      <c r="Q9" s="279"/>
      <c r="R9" s="161"/>
      <c r="S9" s="161"/>
      <c r="T9" s="161"/>
    </row>
    <row r="10" spans="1:20" ht="15.75" customHeight="1">
      <c r="A10" s="303" t="s">
        <v>6</v>
      </c>
      <c r="B10" s="304"/>
      <c r="C10" s="225">
        <f ca="1">SUMPRODUCT(Stocks!K23:K120,Stocks!L23:L120)</f>
        <v>0.99031046579238691</v>
      </c>
      <c r="D10" s="220"/>
      <c r="E10" s="161"/>
      <c r="F10" s="161"/>
      <c r="G10" s="161"/>
      <c r="H10" s="167"/>
      <c r="I10" s="161"/>
      <c r="J10" s="161"/>
      <c r="K10" s="161"/>
      <c r="L10" s="285"/>
      <c r="M10" s="286"/>
      <c r="N10" s="277"/>
      <c r="O10" s="278"/>
      <c r="P10" s="278"/>
      <c r="Q10" s="279"/>
      <c r="R10" s="161"/>
      <c r="S10" s="161"/>
      <c r="T10" s="161"/>
    </row>
    <row r="11" spans="1:20" ht="15.75" customHeight="1">
      <c r="A11" s="161"/>
      <c r="B11" s="161"/>
      <c r="C11" s="161"/>
      <c r="D11" s="161"/>
      <c r="E11" s="161"/>
      <c r="F11" s="161"/>
      <c r="G11" s="161"/>
      <c r="H11" s="167"/>
      <c r="I11" s="161"/>
      <c r="J11" s="161"/>
      <c r="K11" s="161"/>
      <c r="L11" s="285"/>
      <c r="M11" s="286"/>
      <c r="N11" s="277"/>
      <c r="O11" s="278"/>
      <c r="P11" s="278"/>
      <c r="Q11" s="279"/>
      <c r="R11" s="161"/>
      <c r="S11" s="161"/>
      <c r="T11" s="161"/>
    </row>
    <row r="12" spans="1:20" ht="15.75" customHeight="1">
      <c r="A12" s="291" t="s">
        <v>366</v>
      </c>
      <c r="B12" s="292"/>
      <c r="C12" s="292"/>
      <c r="D12" s="162"/>
      <c r="E12" s="161"/>
      <c r="F12" s="161"/>
      <c r="G12" s="161"/>
      <c r="H12" s="161"/>
      <c r="I12" s="161"/>
      <c r="J12" s="161"/>
      <c r="K12" s="161"/>
      <c r="L12" s="285"/>
      <c r="M12" s="286"/>
      <c r="N12" s="277"/>
      <c r="O12" s="278"/>
      <c r="P12" s="278"/>
      <c r="Q12" s="279"/>
      <c r="R12" s="161"/>
      <c r="S12" s="161"/>
      <c r="T12" s="161"/>
    </row>
    <row r="13" spans="1:20" ht="15.75" customHeight="1">
      <c r="A13" s="293"/>
      <c r="B13" s="294"/>
      <c r="C13" s="295"/>
      <c r="D13" s="221"/>
      <c r="E13" s="161"/>
      <c r="F13" s="161"/>
      <c r="G13" s="161"/>
      <c r="H13" s="161"/>
      <c r="I13" s="161"/>
      <c r="J13" s="161"/>
      <c r="K13" s="161"/>
      <c r="L13" s="285"/>
      <c r="M13" s="286"/>
      <c r="N13" s="277"/>
      <c r="O13" s="278"/>
      <c r="P13" s="278"/>
      <c r="Q13" s="279"/>
      <c r="R13" s="161"/>
      <c r="S13" s="161"/>
      <c r="T13" s="161"/>
    </row>
    <row r="14" spans="1:20" ht="15.75" customHeight="1">
      <c r="A14" s="293"/>
      <c r="B14" s="294"/>
      <c r="C14" s="295"/>
      <c r="D14" s="221"/>
      <c r="E14" s="161"/>
      <c r="F14" s="161"/>
      <c r="G14" s="161"/>
      <c r="H14" s="161"/>
      <c r="I14" s="161"/>
      <c r="J14" s="161"/>
      <c r="K14" s="161"/>
      <c r="L14" s="285"/>
      <c r="M14" s="286"/>
      <c r="N14" s="277"/>
      <c r="O14" s="278"/>
      <c r="P14" s="278"/>
      <c r="Q14" s="279"/>
      <c r="R14" s="161"/>
      <c r="S14" s="161"/>
      <c r="T14" s="161"/>
    </row>
    <row r="15" spans="1:20" ht="15.75" customHeight="1">
      <c r="A15" s="293"/>
      <c r="B15" s="294"/>
      <c r="C15" s="295"/>
      <c r="D15" s="221"/>
      <c r="E15" s="161"/>
      <c r="F15" s="161"/>
      <c r="G15" s="161"/>
      <c r="H15" s="161"/>
      <c r="I15" s="161"/>
      <c r="J15" s="161"/>
      <c r="K15" s="161"/>
      <c r="L15" s="285"/>
      <c r="M15" s="286"/>
      <c r="N15" s="277"/>
      <c r="O15" s="278"/>
      <c r="P15" s="278"/>
      <c r="Q15" s="279"/>
      <c r="R15" s="161"/>
      <c r="S15" s="161"/>
      <c r="T15" s="161"/>
    </row>
    <row r="16" spans="1:20" ht="15.75" customHeight="1">
      <c r="A16" s="296"/>
      <c r="B16" s="297"/>
      <c r="C16" s="298"/>
      <c r="D16" s="222"/>
      <c r="E16" s="161"/>
      <c r="F16" s="161"/>
      <c r="G16" s="161"/>
      <c r="H16" s="161"/>
      <c r="I16" s="168"/>
      <c r="J16" s="161"/>
      <c r="K16" s="161"/>
      <c r="L16" s="285"/>
      <c r="M16" s="286"/>
      <c r="N16" s="277"/>
      <c r="O16" s="278"/>
      <c r="P16" s="278"/>
      <c r="Q16" s="279"/>
      <c r="R16" s="161"/>
      <c r="S16" s="161"/>
      <c r="T16" s="161"/>
    </row>
    <row r="17" spans="1:20" ht="15.75" customHeight="1">
      <c r="A17" s="283"/>
      <c r="B17" s="284"/>
      <c r="C17" s="284"/>
      <c r="D17" s="162"/>
      <c r="E17" s="161"/>
      <c r="F17" s="161"/>
      <c r="G17" s="161"/>
      <c r="H17" s="161"/>
      <c r="I17" s="161"/>
      <c r="J17" s="161"/>
      <c r="K17" s="161"/>
      <c r="L17" s="285"/>
      <c r="M17" s="286"/>
      <c r="N17" s="277"/>
      <c r="O17" s="278"/>
      <c r="P17" s="278"/>
      <c r="Q17" s="279"/>
      <c r="R17" s="161"/>
      <c r="S17" s="161"/>
      <c r="T17" s="161"/>
    </row>
    <row r="18" spans="1:20" ht="15.75" customHeight="1">
      <c r="A18" s="288"/>
      <c r="B18" s="289"/>
      <c r="C18" s="290"/>
      <c r="D18" s="169"/>
      <c r="E18" s="161"/>
      <c r="F18" s="161"/>
      <c r="G18" s="161"/>
      <c r="H18" s="161"/>
      <c r="I18" s="161"/>
      <c r="J18" s="161"/>
      <c r="K18" s="161"/>
      <c r="L18" s="285"/>
      <c r="M18" s="286"/>
      <c r="N18" s="277"/>
      <c r="O18" s="278"/>
      <c r="P18" s="278"/>
      <c r="Q18" s="279"/>
      <c r="R18" s="161"/>
      <c r="S18" s="161"/>
      <c r="T18" s="161"/>
    </row>
    <row r="19" spans="1:20" ht="15.75" customHeight="1">
      <c r="A19" s="288"/>
      <c r="B19" s="289"/>
      <c r="C19" s="290"/>
      <c r="D19" s="169"/>
      <c r="E19" s="161"/>
      <c r="F19" s="161"/>
      <c r="G19" s="161"/>
      <c r="H19" s="161"/>
      <c r="I19" s="161"/>
      <c r="J19" s="161"/>
      <c r="K19" s="161"/>
      <c r="L19" s="285"/>
      <c r="M19" s="286"/>
      <c r="N19" s="277"/>
      <c r="O19" s="278"/>
      <c r="P19" s="278"/>
      <c r="Q19" s="279"/>
      <c r="R19" s="161"/>
      <c r="S19" s="161"/>
      <c r="T19" s="161"/>
    </row>
    <row r="20" spans="1:20" ht="15.75" customHeight="1">
      <c r="A20" s="288"/>
      <c r="B20" s="289"/>
      <c r="C20" s="290"/>
      <c r="D20" s="169"/>
      <c r="E20" s="161"/>
      <c r="F20" s="161"/>
      <c r="G20" s="161"/>
      <c r="H20" s="161"/>
      <c r="I20" s="161"/>
      <c r="J20" s="161"/>
      <c r="K20" s="161"/>
      <c r="L20" s="285"/>
      <c r="M20" s="286"/>
      <c r="N20" s="277"/>
      <c r="O20" s="278"/>
      <c r="P20" s="278"/>
      <c r="Q20" s="279"/>
      <c r="R20" s="161"/>
      <c r="S20" s="161"/>
      <c r="T20" s="161"/>
    </row>
    <row r="21" spans="1:20" ht="15.75" customHeight="1">
      <c r="A21" s="169"/>
      <c r="B21" s="162"/>
      <c r="C21" s="170"/>
      <c r="D21" s="170"/>
      <c r="E21" s="161"/>
      <c r="F21" s="161"/>
      <c r="G21" s="161"/>
      <c r="H21" s="161"/>
      <c r="I21" s="161"/>
      <c r="J21" s="161"/>
      <c r="K21" s="161"/>
      <c r="L21" s="161"/>
      <c r="N21" s="277"/>
      <c r="O21" s="278"/>
      <c r="P21" s="278"/>
      <c r="Q21" s="279"/>
      <c r="R21" s="161"/>
      <c r="S21" s="161"/>
      <c r="T21" s="161"/>
    </row>
    <row r="22" spans="1:20" ht="15.75" customHeight="1">
      <c r="A22" s="161"/>
      <c r="B22" s="161"/>
      <c r="C22" s="161"/>
      <c r="D22" s="161"/>
      <c r="E22" s="161"/>
      <c r="F22" s="161"/>
      <c r="G22" s="161"/>
      <c r="H22" s="161"/>
      <c r="I22" s="161"/>
      <c r="J22" s="161"/>
      <c r="K22" s="161"/>
      <c r="L22" s="161"/>
      <c r="M22" s="161"/>
      <c r="N22" s="277"/>
      <c r="O22" s="278"/>
      <c r="P22" s="278"/>
      <c r="Q22" s="279"/>
      <c r="R22" s="161"/>
      <c r="S22" s="161"/>
      <c r="T22" s="161"/>
    </row>
    <row r="23" spans="1:20" ht="20">
      <c r="A23" s="291" t="s">
        <v>386</v>
      </c>
      <c r="B23" s="292"/>
      <c r="C23" s="292"/>
      <c r="D23" s="162"/>
      <c r="E23" s="161"/>
      <c r="F23" s="287" t="s">
        <v>367</v>
      </c>
      <c r="G23" s="287"/>
      <c r="H23" s="287"/>
      <c r="I23" s="287"/>
      <c r="J23" s="287"/>
      <c r="K23" s="287"/>
      <c r="L23" s="287"/>
      <c r="M23" s="161"/>
      <c r="N23" s="277"/>
      <c r="O23" s="278"/>
      <c r="P23" s="278"/>
      <c r="Q23" s="279"/>
      <c r="R23" s="161"/>
      <c r="S23" s="161"/>
      <c r="T23" s="161"/>
    </row>
    <row r="24" spans="1:20" ht="29">
      <c r="A24" s="103" t="s">
        <v>496</v>
      </c>
      <c r="B24" s="103"/>
      <c r="C24" s="103"/>
      <c r="D24" s="161"/>
      <c r="E24" s="161"/>
      <c r="F24" s="171" t="s">
        <v>186</v>
      </c>
      <c r="G24" s="172" t="s">
        <v>343</v>
      </c>
      <c r="H24" s="280" t="s">
        <v>368</v>
      </c>
      <c r="I24" s="281"/>
      <c r="J24" s="280" t="s">
        <v>369</v>
      </c>
      <c r="K24" s="281"/>
      <c r="L24" s="228" t="s">
        <v>370</v>
      </c>
      <c r="M24" s="161"/>
      <c r="N24" s="277"/>
      <c r="O24" s="278"/>
      <c r="P24" s="278"/>
      <c r="Q24" s="279"/>
      <c r="R24" s="161"/>
      <c r="S24" s="161"/>
      <c r="T24" s="161"/>
    </row>
    <row r="25" spans="1:20" ht="15.75" customHeight="1">
      <c r="A25" s="285"/>
      <c r="B25" s="285"/>
      <c r="C25" s="285"/>
      <c r="D25" s="161"/>
      <c r="E25" s="161"/>
      <c r="F25" s="173" t="str" cm="1">
        <f t="array" aca="1" ref="F25:F118" ca="1">Stocks!C23:C116</f>
        <v>AAPL</v>
      </c>
      <c r="G25" s="229" cm="1">
        <f t="array" aca="1" ref="G25:G86" ca="1">Stocks!F23:F84</f>
        <v>213.55</v>
      </c>
      <c r="H25" s="275">
        <v>250</v>
      </c>
      <c r="I25" s="282"/>
      <c r="J25" s="275"/>
      <c r="K25" s="276"/>
      <c r="L25" s="175">
        <f ca="1">IFERROR(1-(G25/H25),"")</f>
        <v>0.14579999999999993</v>
      </c>
      <c r="M25" s="161"/>
      <c r="N25" s="277"/>
      <c r="O25" s="278"/>
      <c r="P25" s="278"/>
      <c r="Q25" s="279"/>
      <c r="R25" s="161"/>
      <c r="S25" s="161"/>
      <c r="T25" s="161"/>
    </row>
    <row r="26" spans="1:20" ht="15.75" customHeight="1">
      <c r="A26" s="285"/>
      <c r="B26" s="285"/>
      <c r="C26" s="285"/>
      <c r="D26" s="161"/>
      <c r="E26" s="161"/>
      <c r="F26" s="174" t="str">
        <f ca="1"/>
        <v>GOOG</v>
      </c>
      <c r="G26" s="230">
        <f ca="1"/>
        <v>180.55</v>
      </c>
      <c r="H26" s="275">
        <v>200</v>
      </c>
      <c r="I26" s="282"/>
      <c r="J26" s="275"/>
      <c r="K26" s="276"/>
      <c r="L26" s="175">
        <f t="shared" ref="L26:L89" ca="1" si="0">IFERROR(1-(G26/H26),"")</f>
        <v>9.7249999999999948E-2</v>
      </c>
      <c r="M26" s="161"/>
      <c r="N26" s="277"/>
      <c r="O26" s="278"/>
      <c r="P26" s="278"/>
      <c r="Q26" s="279"/>
      <c r="R26" s="161"/>
      <c r="S26" s="161"/>
      <c r="T26" s="161"/>
    </row>
    <row r="27" spans="1:20" ht="15.75" customHeight="1">
      <c r="A27" s="161"/>
      <c r="B27" s="161"/>
      <c r="C27" s="161"/>
      <c r="D27" s="161"/>
      <c r="E27" s="161"/>
      <c r="F27" s="174" t="str">
        <f ca="1"/>
        <v>SPY</v>
      </c>
      <c r="G27" s="230">
        <f ca="1"/>
        <v>625.34</v>
      </c>
      <c r="H27" s="275">
        <v>700</v>
      </c>
      <c r="I27" s="282"/>
      <c r="J27" s="275"/>
      <c r="K27" s="276"/>
      <c r="L27" s="175">
        <f t="shared" ca="1" si="0"/>
        <v>0.10665714285714278</v>
      </c>
      <c r="M27" s="161"/>
      <c r="N27" s="277"/>
      <c r="O27" s="278"/>
      <c r="P27" s="278"/>
      <c r="Q27" s="279"/>
      <c r="R27" s="161"/>
      <c r="S27" s="161"/>
      <c r="T27" s="161"/>
    </row>
    <row r="28" spans="1:20" ht="15.75" customHeight="1">
      <c r="A28" s="161"/>
      <c r="B28" s="161"/>
      <c r="C28" s="161"/>
      <c r="D28" s="161"/>
      <c r="E28" s="161"/>
      <c r="F28" s="174" t="str">
        <f ca="1"/>
        <v>MSFT</v>
      </c>
      <c r="G28" s="230">
        <f ca="1"/>
        <v>498.84</v>
      </c>
      <c r="H28" s="275"/>
      <c r="I28" s="282"/>
      <c r="J28" s="275"/>
      <c r="K28" s="276"/>
      <c r="L28" s="175" t="str">
        <f t="shared" ca="1" si="0"/>
        <v/>
      </c>
      <c r="M28" s="161"/>
      <c r="N28" s="277"/>
      <c r="O28" s="278"/>
      <c r="P28" s="278"/>
      <c r="Q28" s="279"/>
      <c r="R28" s="161"/>
      <c r="S28" s="161"/>
      <c r="T28" s="161"/>
    </row>
    <row r="29" spans="1:20" ht="15.75" customHeight="1">
      <c r="A29" s="161"/>
      <c r="B29" s="161"/>
      <c r="C29" s="161"/>
      <c r="D29" s="161"/>
      <c r="E29" s="161"/>
      <c r="F29" s="174" t="str">
        <f ca="1"/>
        <v>JNJ</v>
      </c>
      <c r="G29" s="230">
        <f ca="1"/>
        <v>156.01</v>
      </c>
      <c r="H29" s="275"/>
      <c r="I29" s="282"/>
      <c r="J29" s="275"/>
      <c r="K29" s="276"/>
      <c r="L29" s="175" t="str">
        <f t="shared" ca="1" si="0"/>
        <v/>
      </c>
      <c r="M29" s="161"/>
      <c r="N29" s="277"/>
      <c r="O29" s="278"/>
      <c r="P29" s="278"/>
      <c r="Q29" s="279"/>
      <c r="R29" s="161"/>
      <c r="S29" s="161"/>
      <c r="T29" s="161"/>
    </row>
    <row r="30" spans="1:20" ht="15.75" customHeight="1">
      <c r="A30" s="161"/>
      <c r="B30" s="161"/>
      <c r="C30" s="161"/>
      <c r="D30" s="161"/>
      <c r="E30" s="161"/>
      <c r="F30" s="174" t="str">
        <f ca="1"/>
        <v>NVDA</v>
      </c>
      <c r="G30" s="230">
        <f ca="1"/>
        <v>159.34</v>
      </c>
      <c r="H30" s="275"/>
      <c r="I30" s="282"/>
      <c r="J30" s="275"/>
      <c r="K30" s="276"/>
      <c r="L30" s="175" t="str">
        <f t="shared" ca="1" si="0"/>
        <v/>
      </c>
      <c r="M30" s="161"/>
      <c r="N30" s="277"/>
      <c r="O30" s="278"/>
      <c r="P30" s="278"/>
      <c r="Q30" s="279"/>
      <c r="R30" s="161"/>
      <c r="S30" s="161"/>
      <c r="T30" s="161"/>
    </row>
    <row r="31" spans="1:20" ht="15.75" customHeight="1">
      <c r="A31" s="161"/>
      <c r="B31" s="161"/>
      <c r="C31" s="161"/>
      <c r="D31" s="161"/>
      <c r="E31" s="161"/>
      <c r="F31" s="174" t="str">
        <f ca="1"/>
        <v>UNH</v>
      </c>
      <c r="G31" s="230">
        <f ca="1"/>
        <v>308.55</v>
      </c>
      <c r="H31" s="275"/>
      <c r="I31" s="282"/>
      <c r="J31" s="275"/>
      <c r="K31" s="276"/>
      <c r="L31" s="175" t="str">
        <f t="shared" ca="1" si="0"/>
        <v/>
      </c>
      <c r="M31" s="161"/>
      <c r="N31" s="277"/>
      <c r="O31" s="278"/>
      <c r="P31" s="278"/>
      <c r="Q31" s="279"/>
      <c r="R31" s="161"/>
      <c r="S31" s="161"/>
      <c r="T31" s="161"/>
    </row>
    <row r="32" spans="1:20" ht="15.75" customHeight="1">
      <c r="A32" s="161"/>
      <c r="B32" s="161"/>
      <c r="C32" s="161"/>
      <c r="D32" s="161"/>
      <c r="E32" s="161"/>
      <c r="F32" s="174" t="str">
        <f ca="1"/>
        <v>JPM</v>
      </c>
      <c r="G32" s="230">
        <f ca="1"/>
        <v>296</v>
      </c>
      <c r="H32" s="275"/>
      <c r="I32" s="282"/>
      <c r="J32" s="275"/>
      <c r="K32" s="276"/>
      <c r="L32" s="175" t="str">
        <f t="shared" ca="1" si="0"/>
        <v/>
      </c>
      <c r="M32" s="161"/>
      <c r="N32" s="277"/>
      <c r="O32" s="278"/>
      <c r="P32" s="278"/>
      <c r="Q32" s="279"/>
      <c r="R32" s="161"/>
      <c r="S32" s="161"/>
      <c r="T32" s="161"/>
    </row>
    <row r="33" spans="1:20" ht="15.75" customHeight="1">
      <c r="A33" s="161"/>
      <c r="B33" s="161"/>
      <c r="C33" s="161"/>
      <c r="D33" s="161"/>
      <c r="E33" s="161"/>
      <c r="F33" s="174" t="str">
        <f ca="1"/>
        <v>XOM</v>
      </c>
      <c r="G33" s="230">
        <f ca="1"/>
        <v>112.2</v>
      </c>
      <c r="H33" s="275"/>
      <c r="I33" s="282"/>
      <c r="J33" s="275"/>
      <c r="K33" s="276"/>
      <c r="L33" s="175" t="str">
        <f t="shared" ca="1" si="0"/>
        <v/>
      </c>
      <c r="M33" s="161"/>
      <c r="N33" s="277"/>
      <c r="O33" s="278"/>
      <c r="P33" s="278"/>
      <c r="Q33" s="279"/>
      <c r="R33" s="161"/>
      <c r="S33" s="161"/>
      <c r="T33" s="161"/>
    </row>
    <row r="34" spans="1:20" ht="15.75" customHeight="1">
      <c r="A34" s="161"/>
      <c r="B34" s="161"/>
      <c r="C34" s="161"/>
      <c r="D34" s="161"/>
      <c r="E34" s="161"/>
      <c r="F34" s="174" t="str">
        <f ca="1"/>
        <v>SNAP</v>
      </c>
      <c r="G34" s="230">
        <f ca="1"/>
        <v>9.27</v>
      </c>
      <c r="H34" s="275"/>
      <c r="I34" s="282"/>
      <c r="J34" s="275"/>
      <c r="K34" s="276"/>
      <c r="L34" s="175" t="str">
        <f t="shared" ca="1" si="0"/>
        <v/>
      </c>
      <c r="M34" s="161"/>
      <c r="N34" s="277"/>
      <c r="O34" s="278"/>
      <c r="P34" s="278"/>
      <c r="Q34" s="279"/>
      <c r="R34" s="161"/>
      <c r="S34" s="161"/>
      <c r="T34" s="161"/>
    </row>
    <row r="35" spans="1:20" ht="15.75" customHeight="1">
      <c r="A35" s="161"/>
      <c r="B35" s="161"/>
      <c r="C35" s="161"/>
      <c r="D35" s="161"/>
      <c r="E35" s="161"/>
      <c r="F35" s="174" t="str">
        <f ca="1"/>
        <v>META</v>
      </c>
      <c r="G35" s="230">
        <f ca="1"/>
        <v>719.01</v>
      </c>
      <c r="H35" s="275"/>
      <c r="I35" s="282"/>
      <c r="J35" s="275"/>
      <c r="K35" s="276"/>
      <c r="L35" s="175" t="str">
        <f t="shared" ca="1" si="0"/>
        <v/>
      </c>
      <c r="M35" s="161"/>
      <c r="N35" s="277"/>
      <c r="O35" s="278"/>
      <c r="P35" s="278"/>
      <c r="Q35" s="279"/>
      <c r="R35" s="161"/>
      <c r="S35" s="161"/>
      <c r="T35" s="161"/>
    </row>
    <row r="36" spans="1:20" ht="15.75" customHeight="1">
      <c r="A36" s="161"/>
      <c r="B36" s="161"/>
      <c r="C36" s="161"/>
      <c r="D36" s="161"/>
      <c r="E36" s="161"/>
      <c r="F36" s="174" t="str">
        <f ca="1"/>
        <v>DG</v>
      </c>
      <c r="G36" s="230">
        <f ca="1"/>
        <v>114.11</v>
      </c>
      <c r="H36" s="275"/>
      <c r="I36" s="282"/>
      <c r="J36" s="275"/>
      <c r="K36" s="276"/>
      <c r="L36" s="175" t="str">
        <f ca="1">IFERROR(1-(G36/H36),"")</f>
        <v/>
      </c>
      <c r="M36" s="161"/>
      <c r="N36" s="161"/>
      <c r="O36" s="161"/>
      <c r="P36" s="161"/>
      <c r="Q36" s="161"/>
      <c r="R36" s="161"/>
      <c r="S36" s="161"/>
      <c r="T36" s="161"/>
    </row>
    <row r="37" spans="1:20" ht="15.75" customHeight="1">
      <c r="A37" s="161"/>
      <c r="B37" s="161"/>
      <c r="C37" s="161"/>
      <c r="D37" s="161"/>
      <c r="E37" s="161"/>
      <c r="F37" s="174" t="str">
        <f ca="1"/>
        <v/>
      </c>
      <c r="G37" s="230" t="str">
        <f ca="1"/>
        <v/>
      </c>
      <c r="H37" s="275"/>
      <c r="I37" s="282"/>
      <c r="J37" s="275"/>
      <c r="K37" s="276"/>
      <c r="L37" s="175" t="str">
        <f t="shared" ca="1" si="0"/>
        <v/>
      </c>
      <c r="M37" s="161"/>
      <c r="N37" s="161"/>
      <c r="O37" s="161"/>
      <c r="P37" s="161"/>
      <c r="Q37" s="161"/>
      <c r="R37" s="161"/>
      <c r="S37" s="161"/>
      <c r="T37" s="161"/>
    </row>
    <row r="38" spans="1:20" ht="15.75" customHeight="1">
      <c r="A38" s="161"/>
      <c r="B38" s="161"/>
      <c r="C38" s="161"/>
      <c r="D38" s="161"/>
      <c r="E38" s="161"/>
      <c r="F38" s="174" t="str">
        <f ca="1"/>
        <v/>
      </c>
      <c r="G38" s="174" t="str">
        <f ca="1"/>
        <v/>
      </c>
      <c r="H38" s="275"/>
      <c r="I38" s="282"/>
      <c r="J38" s="275"/>
      <c r="K38" s="276"/>
      <c r="L38" s="175" t="str">
        <f t="shared" ca="1" si="0"/>
        <v/>
      </c>
      <c r="M38" s="161"/>
      <c r="N38" s="161"/>
      <c r="O38" s="161"/>
      <c r="P38" s="161"/>
      <c r="Q38" s="161"/>
      <c r="R38" s="161"/>
      <c r="S38" s="161"/>
      <c r="T38" s="161"/>
    </row>
    <row r="39" spans="1:20" ht="15.75" customHeight="1">
      <c r="A39" s="161"/>
      <c r="B39" s="161"/>
      <c r="C39" s="161"/>
      <c r="D39" s="161"/>
      <c r="E39" s="161"/>
      <c r="F39" s="161" t="str">
        <f ca="1"/>
        <v/>
      </c>
      <c r="G39" s="161" t="str">
        <f ca="1"/>
        <v/>
      </c>
      <c r="H39" s="161"/>
      <c r="I39" s="161"/>
      <c r="J39" s="161"/>
      <c r="K39" s="161"/>
      <c r="L39" s="176" t="str">
        <f t="shared" ca="1" si="0"/>
        <v/>
      </c>
      <c r="M39" s="161"/>
      <c r="N39" s="161"/>
      <c r="O39" s="161"/>
      <c r="P39" s="161"/>
      <c r="Q39" s="161"/>
      <c r="R39" s="161"/>
      <c r="S39" s="161"/>
      <c r="T39" s="161"/>
    </row>
    <row r="40" spans="1:20" ht="15.75" customHeight="1">
      <c r="A40" s="161"/>
      <c r="B40" s="161"/>
      <c r="C40" s="161"/>
      <c r="D40" s="161"/>
      <c r="E40" s="161"/>
      <c r="F40" s="161" t="str">
        <f ca="1"/>
        <v/>
      </c>
      <c r="G40" s="161" t="str">
        <f ca="1"/>
        <v/>
      </c>
      <c r="H40" s="161"/>
      <c r="I40" s="161"/>
      <c r="J40" s="161"/>
      <c r="K40" s="161"/>
      <c r="L40" s="176" t="str">
        <f t="shared" ca="1" si="0"/>
        <v/>
      </c>
      <c r="M40" s="161"/>
      <c r="N40" s="161"/>
      <c r="O40" s="161"/>
      <c r="P40" s="161"/>
      <c r="Q40" s="161"/>
      <c r="R40" s="161"/>
      <c r="S40" s="161"/>
      <c r="T40" s="161"/>
    </row>
    <row r="41" spans="1:20" ht="15.75" customHeight="1">
      <c r="A41" s="161"/>
      <c r="B41" s="161"/>
      <c r="C41" s="161"/>
      <c r="D41" s="161"/>
      <c r="E41" s="161"/>
      <c r="F41" s="161" t="str">
        <f ca="1"/>
        <v/>
      </c>
      <c r="G41" s="161" t="str">
        <f ca="1"/>
        <v/>
      </c>
      <c r="H41" s="161"/>
      <c r="I41" s="161"/>
      <c r="J41" s="161"/>
      <c r="K41" s="161"/>
      <c r="L41" s="176" t="str">
        <f t="shared" ca="1" si="0"/>
        <v/>
      </c>
      <c r="M41" s="161"/>
      <c r="N41" s="161"/>
      <c r="O41" s="161"/>
      <c r="P41" s="161"/>
      <c r="Q41" s="161"/>
      <c r="R41" s="161"/>
      <c r="S41" s="161"/>
      <c r="T41" s="161"/>
    </row>
    <row r="42" spans="1:20" ht="15.75" customHeight="1">
      <c r="A42" s="161"/>
      <c r="B42" s="161"/>
      <c r="C42" s="161"/>
      <c r="D42" s="161"/>
      <c r="E42" s="161"/>
      <c r="F42" s="161" t="str">
        <f ca="1"/>
        <v/>
      </c>
      <c r="G42" s="161" t="str">
        <f ca="1"/>
        <v/>
      </c>
      <c r="H42" s="161"/>
      <c r="I42" s="161"/>
      <c r="J42" s="161"/>
      <c r="K42" s="161"/>
      <c r="L42" s="176" t="str">
        <f t="shared" ca="1" si="0"/>
        <v/>
      </c>
      <c r="M42" s="161"/>
      <c r="N42" s="161"/>
      <c r="O42" s="161"/>
      <c r="P42" s="161"/>
      <c r="Q42" s="161"/>
      <c r="R42" s="161"/>
      <c r="S42" s="161"/>
      <c r="T42" s="161"/>
    </row>
    <row r="43" spans="1:20" ht="15.75" customHeight="1">
      <c r="A43" s="161"/>
      <c r="B43" s="161"/>
      <c r="C43" s="161"/>
      <c r="D43" s="161"/>
      <c r="E43" s="161"/>
      <c r="F43" s="161" t="str">
        <f ca="1"/>
        <v/>
      </c>
      <c r="G43" s="161" t="str">
        <f ca="1"/>
        <v/>
      </c>
      <c r="H43" s="161"/>
      <c r="I43" s="161"/>
      <c r="J43" s="161"/>
      <c r="K43" s="161"/>
      <c r="L43" s="176" t="str">
        <f t="shared" ca="1" si="0"/>
        <v/>
      </c>
      <c r="M43" s="161"/>
      <c r="N43" s="161"/>
      <c r="O43" s="161"/>
      <c r="P43" s="161"/>
      <c r="Q43" s="161"/>
      <c r="R43" s="161"/>
      <c r="S43" s="161"/>
      <c r="T43" s="161"/>
    </row>
    <row r="44" spans="1:20" ht="15.75" customHeight="1">
      <c r="A44" s="161"/>
      <c r="B44" s="161"/>
      <c r="C44" s="161"/>
      <c r="D44" s="161"/>
      <c r="E44" s="161"/>
      <c r="F44" s="161" t="str">
        <f ca="1"/>
        <v/>
      </c>
      <c r="G44" s="161" t="str">
        <f ca="1"/>
        <v/>
      </c>
      <c r="H44" s="161"/>
      <c r="I44" s="161"/>
      <c r="J44" s="161"/>
      <c r="K44" s="161"/>
      <c r="L44" s="176" t="str">
        <f t="shared" ca="1" si="0"/>
        <v/>
      </c>
      <c r="M44" s="161"/>
      <c r="N44" s="161"/>
      <c r="O44" s="161"/>
      <c r="P44" s="161"/>
      <c r="Q44" s="161"/>
      <c r="R44" s="161"/>
      <c r="S44" s="161"/>
      <c r="T44" s="161"/>
    </row>
    <row r="45" spans="1:20" ht="15.75" customHeight="1">
      <c r="A45" s="161"/>
      <c r="B45" s="161"/>
      <c r="C45" s="161"/>
      <c r="D45" s="161"/>
      <c r="E45" s="161"/>
      <c r="F45" s="161" t="str">
        <f ca="1"/>
        <v/>
      </c>
      <c r="G45" s="161" t="str">
        <f ca="1"/>
        <v/>
      </c>
      <c r="H45" s="161"/>
      <c r="I45" s="161"/>
      <c r="J45" s="161"/>
      <c r="K45" s="161"/>
      <c r="L45" s="176" t="str">
        <f t="shared" ca="1" si="0"/>
        <v/>
      </c>
      <c r="M45" s="161"/>
      <c r="N45" s="161"/>
      <c r="O45" s="161"/>
      <c r="P45" s="161"/>
      <c r="Q45" s="161"/>
      <c r="R45" s="161"/>
      <c r="S45" s="161"/>
      <c r="T45" s="161"/>
    </row>
    <row r="46" spans="1:20" ht="15.75" customHeight="1">
      <c r="A46" s="161"/>
      <c r="B46" s="161"/>
      <c r="C46" s="161"/>
      <c r="D46" s="161"/>
      <c r="E46" s="161"/>
      <c r="F46" s="161" t="str">
        <f ca="1"/>
        <v/>
      </c>
      <c r="G46" s="161" t="str">
        <f ca="1"/>
        <v/>
      </c>
      <c r="H46" s="161"/>
      <c r="I46" s="161"/>
      <c r="J46" s="161"/>
      <c r="K46" s="161"/>
      <c r="L46" s="176" t="str">
        <f t="shared" ca="1" si="0"/>
        <v/>
      </c>
      <c r="M46" s="161"/>
      <c r="N46" s="161"/>
      <c r="O46" s="161"/>
      <c r="P46" s="161"/>
      <c r="Q46" s="161"/>
      <c r="R46" s="161"/>
      <c r="S46" s="161"/>
      <c r="T46" s="161"/>
    </row>
    <row r="47" spans="1:20" ht="15.75" customHeight="1">
      <c r="A47" s="161"/>
      <c r="B47" s="161"/>
      <c r="C47" s="161"/>
      <c r="D47" s="161"/>
      <c r="E47" s="161"/>
      <c r="F47" s="161" t="str">
        <f ca="1"/>
        <v/>
      </c>
      <c r="G47" s="161" t="str">
        <f ca="1"/>
        <v/>
      </c>
      <c r="H47" s="161"/>
      <c r="I47" s="161"/>
      <c r="J47" s="161"/>
      <c r="K47" s="161"/>
      <c r="L47" s="176" t="str">
        <f t="shared" ca="1" si="0"/>
        <v/>
      </c>
      <c r="M47" s="161"/>
      <c r="N47" s="161"/>
      <c r="O47" s="161"/>
      <c r="P47" s="161"/>
      <c r="Q47" s="161"/>
      <c r="R47" s="161"/>
      <c r="S47" s="161"/>
      <c r="T47" s="161"/>
    </row>
    <row r="48" spans="1:20" ht="15.75" customHeight="1">
      <c r="A48" s="161"/>
      <c r="B48" s="161"/>
      <c r="C48" s="161"/>
      <c r="D48" s="161"/>
      <c r="E48" s="161"/>
      <c r="F48" s="161" t="str">
        <f ca="1"/>
        <v/>
      </c>
      <c r="G48" s="161" t="str">
        <f ca="1"/>
        <v/>
      </c>
      <c r="H48" s="161"/>
      <c r="I48" s="161"/>
      <c r="J48" s="161"/>
      <c r="K48" s="161"/>
      <c r="L48" s="176" t="str">
        <f t="shared" ca="1" si="0"/>
        <v/>
      </c>
      <c r="M48" s="161"/>
      <c r="N48" s="161"/>
      <c r="O48" s="161"/>
      <c r="P48" s="161"/>
      <c r="Q48" s="161"/>
      <c r="R48" s="161"/>
      <c r="S48" s="161"/>
      <c r="T48" s="161"/>
    </row>
    <row r="49" spans="1:20" ht="15.75" customHeight="1">
      <c r="A49" s="161"/>
      <c r="B49" s="161"/>
      <c r="C49" s="161"/>
      <c r="D49" s="161"/>
      <c r="E49" s="161"/>
      <c r="F49" s="161" t="str">
        <f ca="1"/>
        <v/>
      </c>
      <c r="G49" s="161" t="str">
        <f ca="1"/>
        <v/>
      </c>
      <c r="H49" s="161"/>
      <c r="I49" s="161"/>
      <c r="J49" s="161"/>
      <c r="K49" s="161"/>
      <c r="L49" s="176" t="str">
        <f t="shared" ca="1" si="0"/>
        <v/>
      </c>
      <c r="M49" s="161"/>
      <c r="N49" s="161"/>
      <c r="O49" s="161"/>
      <c r="P49" s="161"/>
      <c r="Q49" s="161"/>
      <c r="R49" s="161"/>
      <c r="S49" s="161"/>
      <c r="T49" s="161"/>
    </row>
    <row r="50" spans="1:20" ht="15.75" customHeight="1">
      <c r="A50" s="161"/>
      <c r="B50" s="161"/>
      <c r="C50" s="161"/>
      <c r="D50" s="161"/>
      <c r="E50" s="161"/>
      <c r="F50" s="161" t="str">
        <f ca="1"/>
        <v/>
      </c>
      <c r="G50" s="161" t="str">
        <f ca="1"/>
        <v/>
      </c>
      <c r="H50" s="161"/>
      <c r="I50" s="161"/>
      <c r="J50" s="161"/>
      <c r="K50" s="161"/>
      <c r="L50" s="176" t="str">
        <f t="shared" ca="1" si="0"/>
        <v/>
      </c>
      <c r="M50" s="161"/>
      <c r="N50" s="161"/>
      <c r="O50" s="161"/>
      <c r="P50" s="161"/>
      <c r="Q50" s="161"/>
      <c r="R50" s="161"/>
      <c r="S50" s="161"/>
      <c r="T50" s="161"/>
    </row>
    <row r="51" spans="1:20" ht="15.75" customHeight="1">
      <c r="A51" s="161"/>
      <c r="B51" s="161"/>
      <c r="C51" s="161"/>
      <c r="D51" s="161"/>
      <c r="E51" s="161"/>
      <c r="F51" s="161" t="str">
        <f ca="1"/>
        <v/>
      </c>
      <c r="G51" s="161" t="str">
        <f ca="1"/>
        <v/>
      </c>
      <c r="H51" s="161"/>
      <c r="I51" s="161"/>
      <c r="J51" s="161"/>
      <c r="K51" s="161"/>
      <c r="L51" s="176" t="str">
        <f t="shared" ca="1" si="0"/>
        <v/>
      </c>
      <c r="M51" s="161"/>
      <c r="N51" s="161"/>
      <c r="O51" s="161"/>
      <c r="P51" s="161"/>
      <c r="Q51" s="161"/>
      <c r="R51" s="161"/>
      <c r="S51" s="161"/>
      <c r="T51" s="161"/>
    </row>
    <row r="52" spans="1:20" ht="15.75" customHeight="1">
      <c r="A52" s="161"/>
      <c r="B52" s="161"/>
      <c r="C52" s="161"/>
      <c r="D52" s="161"/>
      <c r="E52" s="161"/>
      <c r="F52" s="161" t="str">
        <f ca="1"/>
        <v/>
      </c>
      <c r="G52" s="161" t="str">
        <f ca="1"/>
        <v/>
      </c>
      <c r="H52" s="161"/>
      <c r="I52" s="161"/>
      <c r="J52" s="161"/>
      <c r="K52" s="161"/>
      <c r="L52" s="176" t="str">
        <f t="shared" ca="1" si="0"/>
        <v/>
      </c>
      <c r="M52" s="161"/>
      <c r="N52" s="161"/>
      <c r="O52" s="161"/>
      <c r="P52" s="161"/>
      <c r="Q52" s="161"/>
      <c r="R52" s="161"/>
      <c r="S52" s="161"/>
      <c r="T52" s="161"/>
    </row>
    <row r="53" spans="1:20" ht="15.75" customHeight="1">
      <c r="A53" s="161"/>
      <c r="B53" s="161"/>
      <c r="C53" s="161"/>
      <c r="D53" s="161"/>
      <c r="E53" s="161"/>
      <c r="F53" s="161" t="str">
        <f ca="1"/>
        <v/>
      </c>
      <c r="G53" s="161" t="str">
        <f ca="1"/>
        <v/>
      </c>
      <c r="H53" s="161"/>
      <c r="I53" s="161"/>
      <c r="J53" s="161"/>
      <c r="K53" s="161"/>
      <c r="L53" s="176" t="str">
        <f t="shared" ca="1" si="0"/>
        <v/>
      </c>
      <c r="M53" s="161"/>
      <c r="N53" s="161"/>
      <c r="O53" s="161"/>
      <c r="P53" s="161"/>
      <c r="Q53" s="161"/>
      <c r="R53" s="161"/>
      <c r="S53" s="161"/>
      <c r="T53" s="161"/>
    </row>
    <row r="54" spans="1:20" ht="15.75" customHeight="1">
      <c r="A54" s="161"/>
      <c r="B54" s="161"/>
      <c r="C54" s="161"/>
      <c r="D54" s="161"/>
      <c r="E54" s="161"/>
      <c r="F54" s="161" t="str">
        <f ca="1"/>
        <v/>
      </c>
      <c r="G54" s="161" t="str">
        <f ca="1"/>
        <v/>
      </c>
      <c r="H54" s="161"/>
      <c r="I54" s="161"/>
      <c r="J54" s="161"/>
      <c r="K54" s="161"/>
      <c r="L54" s="176" t="str">
        <f t="shared" ca="1" si="0"/>
        <v/>
      </c>
      <c r="M54" s="161"/>
      <c r="N54" s="161"/>
      <c r="O54" s="161"/>
      <c r="P54" s="161"/>
      <c r="Q54" s="161"/>
      <c r="R54" s="161"/>
      <c r="S54" s="161"/>
      <c r="T54" s="161"/>
    </row>
    <row r="55" spans="1:20" ht="13">
      <c r="A55" s="161"/>
      <c r="B55" s="161"/>
      <c r="C55" s="161"/>
      <c r="D55" s="161"/>
      <c r="E55" s="161"/>
      <c r="F55" s="161" t="str">
        <f ca="1"/>
        <v/>
      </c>
      <c r="G55" s="161" t="str">
        <f ca="1"/>
        <v/>
      </c>
      <c r="H55" s="161"/>
      <c r="I55" s="161"/>
      <c r="J55" s="161"/>
      <c r="K55" s="161"/>
      <c r="L55" s="176" t="str">
        <f t="shared" ca="1" si="0"/>
        <v/>
      </c>
      <c r="M55" s="161"/>
      <c r="N55" s="161"/>
      <c r="O55" s="161"/>
      <c r="P55" s="161"/>
      <c r="Q55" s="161"/>
      <c r="R55" s="161"/>
      <c r="S55" s="161"/>
      <c r="T55" s="161"/>
    </row>
    <row r="56" spans="1:20" ht="13">
      <c r="A56" s="161"/>
      <c r="B56" s="161"/>
      <c r="C56" s="161"/>
      <c r="D56" s="161"/>
      <c r="E56" s="161"/>
      <c r="F56" s="161" t="str">
        <f ca="1"/>
        <v/>
      </c>
      <c r="G56" s="161" t="str">
        <f ca="1"/>
        <v/>
      </c>
      <c r="H56" s="161"/>
      <c r="I56" s="161"/>
      <c r="J56" s="161"/>
      <c r="K56" s="161"/>
      <c r="L56" s="176" t="str">
        <f t="shared" ca="1" si="0"/>
        <v/>
      </c>
      <c r="M56" s="161"/>
      <c r="N56" s="161"/>
      <c r="O56" s="161"/>
      <c r="P56" s="161"/>
      <c r="Q56" s="161"/>
      <c r="R56" s="161"/>
      <c r="S56" s="161"/>
      <c r="T56" s="161"/>
    </row>
    <row r="57" spans="1:20" ht="13">
      <c r="A57" s="161"/>
      <c r="B57" s="161"/>
      <c r="C57" s="161"/>
      <c r="D57" s="161"/>
      <c r="E57" s="161"/>
      <c r="F57" s="161" t="str">
        <f ca="1"/>
        <v/>
      </c>
      <c r="G57" s="161" t="str">
        <f ca="1"/>
        <v/>
      </c>
      <c r="H57" s="161"/>
      <c r="I57" s="161"/>
      <c r="J57" s="161"/>
      <c r="K57" s="161"/>
      <c r="L57" s="176" t="str">
        <f t="shared" ca="1" si="0"/>
        <v/>
      </c>
      <c r="M57" s="161"/>
      <c r="N57" s="161"/>
      <c r="O57" s="161"/>
      <c r="P57" s="161"/>
      <c r="Q57" s="161"/>
      <c r="R57" s="161"/>
      <c r="S57" s="161"/>
      <c r="T57" s="161"/>
    </row>
    <row r="58" spans="1:20" ht="13">
      <c r="A58" s="161"/>
      <c r="B58" s="161"/>
      <c r="C58" s="161"/>
      <c r="D58" s="161"/>
      <c r="E58" s="161"/>
      <c r="F58" s="161" t="str">
        <f ca="1"/>
        <v/>
      </c>
      <c r="G58" s="161" t="str">
        <f ca="1"/>
        <v/>
      </c>
      <c r="H58" s="161"/>
      <c r="I58" s="161"/>
      <c r="J58" s="161"/>
      <c r="K58" s="161"/>
      <c r="L58" s="176" t="str">
        <f t="shared" ca="1" si="0"/>
        <v/>
      </c>
      <c r="M58" s="161"/>
      <c r="N58" s="161"/>
      <c r="O58" s="161"/>
      <c r="P58" s="161"/>
      <c r="Q58" s="161"/>
      <c r="R58" s="161"/>
      <c r="S58" s="161"/>
      <c r="T58" s="161"/>
    </row>
    <row r="59" spans="1:20" ht="13">
      <c r="A59" s="161"/>
      <c r="B59" s="161"/>
      <c r="C59" s="161"/>
      <c r="D59" s="161"/>
      <c r="E59" s="161"/>
      <c r="F59" s="161" t="str">
        <f ca="1"/>
        <v/>
      </c>
      <c r="G59" s="161" t="str">
        <f ca="1"/>
        <v/>
      </c>
      <c r="H59" s="161"/>
      <c r="I59" s="161"/>
      <c r="J59" s="161"/>
      <c r="K59" s="161"/>
      <c r="L59" s="176" t="str">
        <f t="shared" ca="1" si="0"/>
        <v/>
      </c>
      <c r="M59" s="161"/>
      <c r="N59" s="161"/>
      <c r="O59" s="161"/>
      <c r="P59" s="161"/>
      <c r="Q59" s="161"/>
      <c r="R59" s="161"/>
      <c r="S59" s="161"/>
      <c r="T59" s="161"/>
    </row>
    <row r="60" spans="1:20" ht="13">
      <c r="A60" s="161"/>
      <c r="B60" s="161"/>
      <c r="C60" s="161"/>
      <c r="D60" s="161"/>
      <c r="E60" s="161"/>
      <c r="F60" s="161" t="str">
        <f ca="1"/>
        <v/>
      </c>
      <c r="G60" s="161" t="str">
        <f ca="1"/>
        <v/>
      </c>
      <c r="H60" s="161"/>
      <c r="I60" s="161"/>
      <c r="J60" s="161"/>
      <c r="K60" s="161"/>
      <c r="L60" s="176" t="str">
        <f t="shared" ca="1" si="0"/>
        <v/>
      </c>
      <c r="M60" s="161"/>
      <c r="N60" s="161"/>
      <c r="O60" s="161"/>
      <c r="P60" s="161"/>
      <c r="Q60" s="161"/>
      <c r="R60" s="161"/>
      <c r="S60" s="161"/>
      <c r="T60" s="161"/>
    </row>
    <row r="61" spans="1:20" ht="13">
      <c r="A61" s="161"/>
      <c r="B61" s="161"/>
      <c r="C61" s="161"/>
      <c r="D61" s="161"/>
      <c r="E61" s="161"/>
      <c r="F61" s="161" t="str">
        <f ca="1"/>
        <v/>
      </c>
      <c r="G61" s="161" t="str">
        <f ca="1"/>
        <v/>
      </c>
      <c r="H61" s="161"/>
      <c r="I61" s="161"/>
      <c r="J61" s="161"/>
      <c r="K61" s="161"/>
      <c r="L61" s="176" t="str">
        <f t="shared" ca="1" si="0"/>
        <v/>
      </c>
      <c r="M61" s="161"/>
      <c r="N61" s="161"/>
      <c r="O61" s="161"/>
      <c r="P61" s="161"/>
      <c r="Q61" s="161"/>
      <c r="R61" s="161"/>
      <c r="S61" s="161"/>
      <c r="T61" s="161"/>
    </row>
    <row r="62" spans="1:20" ht="13">
      <c r="A62" s="161"/>
      <c r="B62" s="161"/>
      <c r="C62" s="161"/>
      <c r="D62" s="161"/>
      <c r="E62" s="161"/>
      <c r="F62" s="161" t="str">
        <f ca="1"/>
        <v/>
      </c>
      <c r="G62" s="161" t="str">
        <f ca="1"/>
        <v/>
      </c>
      <c r="H62" s="161"/>
      <c r="I62" s="161"/>
      <c r="J62" s="161"/>
      <c r="K62" s="161"/>
      <c r="L62" s="176" t="str">
        <f t="shared" ca="1" si="0"/>
        <v/>
      </c>
      <c r="M62" s="161"/>
      <c r="N62" s="161"/>
      <c r="O62" s="161"/>
      <c r="P62" s="161"/>
      <c r="Q62" s="161"/>
      <c r="R62" s="161"/>
      <c r="S62" s="161"/>
      <c r="T62" s="161"/>
    </row>
    <row r="63" spans="1:20" ht="13">
      <c r="A63" s="161"/>
      <c r="B63" s="161"/>
      <c r="C63" s="161"/>
      <c r="D63" s="161"/>
      <c r="E63" s="161"/>
      <c r="F63" s="161" t="str">
        <f ca="1"/>
        <v/>
      </c>
      <c r="G63" s="161" t="str">
        <f ca="1"/>
        <v/>
      </c>
      <c r="H63" s="161"/>
      <c r="I63" s="161"/>
      <c r="J63" s="161"/>
      <c r="K63" s="161"/>
      <c r="L63" s="176" t="str">
        <f t="shared" ca="1" si="0"/>
        <v/>
      </c>
      <c r="M63" s="161"/>
      <c r="N63" s="161"/>
      <c r="O63" s="161"/>
      <c r="P63" s="161"/>
      <c r="Q63" s="161"/>
      <c r="R63" s="161"/>
      <c r="S63" s="161"/>
      <c r="T63" s="161"/>
    </row>
    <row r="64" spans="1:20" ht="13">
      <c r="A64" s="161"/>
      <c r="B64" s="161"/>
      <c r="C64" s="161"/>
      <c r="D64" s="161"/>
      <c r="E64" s="161"/>
      <c r="F64" s="161" t="str">
        <f ca="1"/>
        <v/>
      </c>
      <c r="G64" s="161" t="str">
        <f ca="1"/>
        <v/>
      </c>
      <c r="H64" s="161"/>
      <c r="I64" s="161"/>
      <c r="J64" s="161"/>
      <c r="K64" s="161"/>
      <c r="L64" s="176" t="str">
        <f t="shared" ca="1" si="0"/>
        <v/>
      </c>
      <c r="M64" s="161"/>
      <c r="N64" s="161"/>
      <c r="O64" s="161"/>
      <c r="P64" s="161"/>
      <c r="Q64" s="161"/>
      <c r="R64" s="161"/>
      <c r="S64" s="161"/>
      <c r="T64" s="161"/>
    </row>
    <row r="65" spans="1:20" ht="13">
      <c r="A65" s="161"/>
      <c r="B65" s="161"/>
      <c r="C65" s="161"/>
      <c r="D65" s="161"/>
      <c r="E65" s="161"/>
      <c r="F65" s="161" t="str">
        <f ca="1"/>
        <v/>
      </c>
      <c r="G65" s="161" t="str">
        <f ca="1"/>
        <v/>
      </c>
      <c r="H65" s="161"/>
      <c r="I65" s="161"/>
      <c r="J65" s="161"/>
      <c r="K65" s="161"/>
      <c r="L65" s="176" t="str">
        <f t="shared" ca="1" si="0"/>
        <v/>
      </c>
      <c r="M65" s="161"/>
      <c r="N65" s="161"/>
      <c r="O65" s="161"/>
      <c r="P65" s="161"/>
      <c r="Q65" s="161"/>
      <c r="R65" s="161"/>
      <c r="S65" s="161"/>
      <c r="T65" s="161"/>
    </row>
    <row r="66" spans="1:20" ht="13">
      <c r="A66" s="161"/>
      <c r="B66" s="161"/>
      <c r="C66" s="161"/>
      <c r="D66" s="161"/>
      <c r="E66" s="161"/>
      <c r="F66" s="161" t="str">
        <f ca="1"/>
        <v/>
      </c>
      <c r="G66" s="161" t="str">
        <f ca="1"/>
        <v/>
      </c>
      <c r="H66" s="161"/>
      <c r="I66" s="161"/>
      <c r="J66" s="161"/>
      <c r="K66" s="161"/>
      <c r="L66" s="176" t="str">
        <f t="shared" ca="1" si="0"/>
        <v/>
      </c>
      <c r="M66" s="161"/>
      <c r="N66" s="161"/>
      <c r="O66" s="161"/>
      <c r="P66" s="161"/>
      <c r="Q66" s="161"/>
      <c r="R66" s="161"/>
      <c r="S66" s="161"/>
      <c r="T66" s="161"/>
    </row>
    <row r="67" spans="1:20" ht="13">
      <c r="A67" s="161"/>
      <c r="B67" s="161"/>
      <c r="C67" s="161"/>
      <c r="D67" s="161"/>
      <c r="E67" s="161"/>
      <c r="F67" s="161" t="str">
        <f ca="1"/>
        <v/>
      </c>
      <c r="G67" s="161" t="str">
        <f ca="1"/>
        <v/>
      </c>
      <c r="H67" s="161"/>
      <c r="I67" s="161"/>
      <c r="J67" s="161"/>
      <c r="K67" s="161"/>
      <c r="L67" s="176" t="str">
        <f t="shared" ca="1" si="0"/>
        <v/>
      </c>
      <c r="M67" s="161"/>
      <c r="N67" s="161"/>
      <c r="O67" s="161"/>
      <c r="P67" s="161"/>
      <c r="Q67" s="161"/>
      <c r="R67" s="161"/>
      <c r="S67" s="161"/>
      <c r="T67" s="161"/>
    </row>
    <row r="68" spans="1:20" ht="13">
      <c r="A68" s="161"/>
      <c r="B68" s="161"/>
      <c r="C68" s="161"/>
      <c r="D68" s="161"/>
      <c r="E68" s="161"/>
      <c r="F68" s="161" t="str">
        <f ca="1"/>
        <v/>
      </c>
      <c r="G68" s="161" t="str">
        <f ca="1"/>
        <v/>
      </c>
      <c r="H68" s="161"/>
      <c r="I68" s="161"/>
      <c r="J68" s="161"/>
      <c r="K68" s="161"/>
      <c r="L68" s="176" t="str">
        <f t="shared" ca="1" si="0"/>
        <v/>
      </c>
      <c r="M68" s="161"/>
      <c r="N68" s="161"/>
      <c r="O68" s="161"/>
      <c r="P68" s="161"/>
      <c r="Q68" s="161"/>
      <c r="R68" s="161"/>
      <c r="S68" s="161"/>
      <c r="T68" s="161"/>
    </row>
    <row r="69" spans="1:20" ht="13">
      <c r="A69" s="161"/>
      <c r="B69" s="161"/>
      <c r="C69" s="161"/>
      <c r="D69" s="161"/>
      <c r="E69" s="161"/>
      <c r="F69" s="161" t="str">
        <f ca="1"/>
        <v/>
      </c>
      <c r="G69" s="161" t="str">
        <f ca="1"/>
        <v/>
      </c>
      <c r="H69" s="161"/>
      <c r="I69" s="161"/>
      <c r="J69" s="161"/>
      <c r="K69" s="161"/>
      <c r="L69" s="176" t="str">
        <f t="shared" ca="1" si="0"/>
        <v/>
      </c>
      <c r="M69" s="161"/>
      <c r="N69" s="161"/>
      <c r="O69" s="161"/>
      <c r="P69" s="161"/>
      <c r="Q69" s="161"/>
      <c r="R69" s="161"/>
      <c r="S69" s="161"/>
      <c r="T69" s="161"/>
    </row>
    <row r="70" spans="1:20" ht="13">
      <c r="A70" s="161"/>
      <c r="B70" s="161"/>
      <c r="C70" s="161"/>
      <c r="D70" s="161"/>
      <c r="E70" s="161"/>
      <c r="F70" s="161" t="str">
        <f ca="1"/>
        <v/>
      </c>
      <c r="G70" s="161" t="str">
        <f ca="1"/>
        <v/>
      </c>
      <c r="H70" s="161"/>
      <c r="I70" s="161"/>
      <c r="J70" s="161"/>
      <c r="K70" s="161"/>
      <c r="L70" s="176" t="str">
        <f t="shared" ca="1" si="0"/>
        <v/>
      </c>
      <c r="M70" s="161"/>
      <c r="N70" s="161"/>
      <c r="O70" s="161"/>
      <c r="P70" s="161"/>
      <c r="Q70" s="161"/>
      <c r="R70" s="161"/>
      <c r="S70" s="161"/>
      <c r="T70" s="161"/>
    </row>
    <row r="71" spans="1:20" ht="13">
      <c r="A71" s="161"/>
      <c r="B71" s="161"/>
      <c r="C71" s="161"/>
      <c r="D71" s="161"/>
      <c r="E71" s="161"/>
      <c r="F71" s="161" t="str">
        <f ca="1"/>
        <v/>
      </c>
      <c r="G71" s="161" t="str">
        <f ca="1"/>
        <v/>
      </c>
      <c r="H71" s="161"/>
      <c r="I71" s="161"/>
      <c r="J71" s="161"/>
      <c r="K71" s="161"/>
      <c r="L71" s="176" t="str">
        <f t="shared" ca="1" si="0"/>
        <v/>
      </c>
      <c r="M71" s="161"/>
      <c r="N71" s="161"/>
      <c r="O71" s="161"/>
      <c r="P71" s="161"/>
      <c r="Q71" s="161"/>
      <c r="R71" s="161"/>
      <c r="S71" s="161"/>
      <c r="T71" s="161"/>
    </row>
    <row r="72" spans="1:20" ht="13">
      <c r="A72" s="161"/>
      <c r="B72" s="161"/>
      <c r="C72" s="161"/>
      <c r="D72" s="161"/>
      <c r="E72" s="161"/>
      <c r="F72" s="161" t="str">
        <f ca="1"/>
        <v/>
      </c>
      <c r="G72" s="161" t="str">
        <f ca="1"/>
        <v/>
      </c>
      <c r="H72" s="161"/>
      <c r="I72" s="161"/>
      <c r="J72" s="161"/>
      <c r="K72" s="161"/>
      <c r="L72" s="176" t="str">
        <f t="shared" ca="1" si="0"/>
        <v/>
      </c>
      <c r="M72" s="161"/>
      <c r="N72" s="161"/>
      <c r="O72" s="161"/>
      <c r="P72" s="161"/>
      <c r="Q72" s="161"/>
      <c r="R72" s="161"/>
      <c r="S72" s="161"/>
      <c r="T72" s="161"/>
    </row>
    <row r="73" spans="1:20" ht="13">
      <c r="A73" s="161"/>
      <c r="B73" s="161"/>
      <c r="C73" s="161"/>
      <c r="D73" s="161"/>
      <c r="E73" s="161"/>
      <c r="F73" s="161" t="str">
        <f ca="1"/>
        <v/>
      </c>
      <c r="G73" s="161" t="str">
        <f ca="1"/>
        <v/>
      </c>
      <c r="H73" s="161"/>
      <c r="I73" s="161"/>
      <c r="J73" s="161"/>
      <c r="K73" s="161"/>
      <c r="L73" s="176" t="str">
        <f t="shared" ca="1" si="0"/>
        <v/>
      </c>
      <c r="M73" s="161"/>
      <c r="N73" s="161"/>
      <c r="O73" s="161"/>
      <c r="P73" s="161"/>
      <c r="Q73" s="161"/>
      <c r="R73" s="161"/>
      <c r="S73" s="161"/>
      <c r="T73" s="161"/>
    </row>
    <row r="74" spans="1:20" ht="13">
      <c r="A74" s="161"/>
      <c r="B74" s="161"/>
      <c r="C74" s="161"/>
      <c r="D74" s="161"/>
      <c r="E74" s="161"/>
      <c r="F74" s="161" t="str">
        <f ca="1"/>
        <v/>
      </c>
      <c r="G74" s="161" t="str">
        <f ca="1"/>
        <v/>
      </c>
      <c r="H74" s="161"/>
      <c r="I74" s="161"/>
      <c r="J74" s="161"/>
      <c r="K74" s="161"/>
      <c r="L74" s="176" t="str">
        <f t="shared" ca="1" si="0"/>
        <v/>
      </c>
      <c r="M74" s="161"/>
      <c r="N74" s="161"/>
      <c r="O74" s="161"/>
      <c r="P74" s="161"/>
      <c r="Q74" s="161"/>
      <c r="R74" s="161"/>
      <c r="S74" s="161"/>
      <c r="T74" s="161"/>
    </row>
    <row r="75" spans="1:20" ht="13">
      <c r="A75" s="161"/>
      <c r="B75" s="161"/>
      <c r="C75" s="161"/>
      <c r="D75" s="161"/>
      <c r="E75" s="161"/>
      <c r="F75" s="161" t="str">
        <f ca="1"/>
        <v/>
      </c>
      <c r="G75" s="161" t="str">
        <f ca="1"/>
        <v/>
      </c>
      <c r="H75" s="161"/>
      <c r="I75" s="161"/>
      <c r="J75" s="161"/>
      <c r="K75" s="161"/>
      <c r="L75" s="176" t="str">
        <f t="shared" ca="1" si="0"/>
        <v/>
      </c>
      <c r="M75" s="161"/>
      <c r="N75" s="161"/>
      <c r="O75" s="161"/>
      <c r="P75" s="161"/>
      <c r="Q75" s="161"/>
      <c r="R75" s="161"/>
      <c r="S75" s="161"/>
      <c r="T75" s="161"/>
    </row>
    <row r="76" spans="1:20" ht="13">
      <c r="A76" s="161"/>
      <c r="B76" s="161"/>
      <c r="C76" s="161"/>
      <c r="D76" s="161"/>
      <c r="E76" s="161"/>
      <c r="F76" s="161" t="str">
        <f ca="1"/>
        <v/>
      </c>
      <c r="G76" s="161" t="str">
        <f ca="1"/>
        <v/>
      </c>
      <c r="H76" s="161"/>
      <c r="I76" s="161"/>
      <c r="J76" s="161"/>
      <c r="K76" s="161"/>
      <c r="L76" s="176" t="str">
        <f t="shared" ca="1" si="0"/>
        <v/>
      </c>
      <c r="M76" s="161"/>
      <c r="N76" s="161"/>
      <c r="O76" s="161"/>
      <c r="P76" s="161"/>
      <c r="Q76" s="161"/>
      <c r="R76" s="161"/>
      <c r="S76" s="161"/>
      <c r="T76" s="161"/>
    </row>
    <row r="77" spans="1:20" ht="13">
      <c r="A77" s="161"/>
      <c r="B77" s="161"/>
      <c r="C77" s="161"/>
      <c r="D77" s="161"/>
      <c r="E77" s="161"/>
      <c r="F77" s="161" t="str">
        <f ca="1"/>
        <v/>
      </c>
      <c r="G77" s="161" t="str">
        <f ca="1"/>
        <v/>
      </c>
      <c r="H77" s="161"/>
      <c r="I77" s="161"/>
      <c r="J77" s="161"/>
      <c r="K77" s="161"/>
      <c r="L77" s="176" t="str">
        <f t="shared" ca="1" si="0"/>
        <v/>
      </c>
      <c r="M77" s="161"/>
      <c r="N77" s="161"/>
      <c r="O77" s="161"/>
      <c r="P77" s="161"/>
      <c r="Q77" s="161"/>
      <c r="R77" s="161"/>
      <c r="S77" s="161"/>
      <c r="T77" s="161"/>
    </row>
    <row r="78" spans="1:20" ht="13">
      <c r="A78" s="161"/>
      <c r="B78" s="161"/>
      <c r="C78" s="161"/>
      <c r="D78" s="161"/>
      <c r="E78" s="161"/>
      <c r="F78" s="161" t="str">
        <f ca="1"/>
        <v/>
      </c>
      <c r="G78" s="161" t="str">
        <f ca="1"/>
        <v/>
      </c>
      <c r="H78" s="161"/>
      <c r="I78" s="161"/>
      <c r="J78" s="161"/>
      <c r="K78" s="161"/>
      <c r="L78" s="176" t="str">
        <f t="shared" ca="1" si="0"/>
        <v/>
      </c>
      <c r="M78" s="161"/>
      <c r="N78" s="161"/>
      <c r="O78" s="161"/>
      <c r="P78" s="161"/>
      <c r="Q78" s="161"/>
      <c r="R78" s="161"/>
      <c r="S78" s="161"/>
      <c r="T78" s="161"/>
    </row>
    <row r="79" spans="1:20" ht="13">
      <c r="A79" s="161"/>
      <c r="B79" s="161"/>
      <c r="C79" s="161"/>
      <c r="D79" s="161"/>
      <c r="E79" s="161"/>
      <c r="F79" s="161" t="str">
        <f ca="1"/>
        <v/>
      </c>
      <c r="G79" s="161" t="str">
        <f ca="1"/>
        <v/>
      </c>
      <c r="H79" s="161"/>
      <c r="I79" s="161"/>
      <c r="J79" s="161"/>
      <c r="K79" s="161"/>
      <c r="L79" s="176" t="str">
        <f t="shared" ca="1" si="0"/>
        <v/>
      </c>
      <c r="M79" s="161"/>
      <c r="N79" s="161"/>
      <c r="O79" s="161"/>
      <c r="P79" s="161"/>
      <c r="Q79" s="161"/>
      <c r="R79" s="161"/>
      <c r="S79" s="161"/>
      <c r="T79" s="161"/>
    </row>
    <row r="80" spans="1:20" ht="13">
      <c r="A80" s="161"/>
      <c r="B80" s="161"/>
      <c r="C80" s="161"/>
      <c r="D80" s="161"/>
      <c r="E80" s="161"/>
      <c r="F80" s="161" t="str">
        <f ca="1"/>
        <v/>
      </c>
      <c r="G80" s="161" t="str">
        <f ca="1"/>
        <v/>
      </c>
      <c r="H80" s="161"/>
      <c r="I80" s="161"/>
      <c r="J80" s="161"/>
      <c r="K80" s="161"/>
      <c r="L80" s="176" t="str">
        <f t="shared" ca="1" si="0"/>
        <v/>
      </c>
      <c r="M80" s="161"/>
      <c r="N80" s="161"/>
      <c r="O80" s="161"/>
      <c r="P80" s="161"/>
      <c r="Q80" s="161"/>
      <c r="R80" s="161"/>
      <c r="S80" s="161"/>
      <c r="T80" s="161"/>
    </row>
    <row r="81" spans="1:20" ht="13">
      <c r="A81" s="161"/>
      <c r="B81" s="161"/>
      <c r="C81" s="161"/>
      <c r="D81" s="161"/>
      <c r="E81" s="161"/>
      <c r="F81" s="161" t="str">
        <f ca="1"/>
        <v/>
      </c>
      <c r="G81" s="161" t="str">
        <f ca="1"/>
        <v/>
      </c>
      <c r="H81" s="161"/>
      <c r="I81" s="161"/>
      <c r="J81" s="161"/>
      <c r="K81" s="161"/>
      <c r="L81" s="176" t="str">
        <f t="shared" ca="1" si="0"/>
        <v/>
      </c>
      <c r="M81" s="161"/>
      <c r="N81" s="161"/>
      <c r="O81" s="161"/>
      <c r="P81" s="161"/>
      <c r="Q81" s="161"/>
      <c r="R81" s="161"/>
      <c r="S81" s="161"/>
      <c r="T81" s="161"/>
    </row>
    <row r="82" spans="1:20" ht="13">
      <c r="A82" s="161"/>
      <c r="B82" s="161"/>
      <c r="C82" s="161"/>
      <c r="D82" s="161"/>
      <c r="E82" s="161"/>
      <c r="F82" s="161" t="str">
        <f ca="1"/>
        <v/>
      </c>
      <c r="G82" s="161" t="str">
        <f ca="1"/>
        <v/>
      </c>
      <c r="H82" s="161"/>
      <c r="I82" s="161"/>
      <c r="J82" s="161"/>
      <c r="K82" s="161"/>
      <c r="L82" s="176" t="str">
        <f t="shared" ca="1" si="0"/>
        <v/>
      </c>
      <c r="M82" s="161"/>
      <c r="N82" s="161"/>
      <c r="O82" s="161"/>
      <c r="P82" s="161"/>
      <c r="Q82" s="161"/>
      <c r="R82" s="161"/>
      <c r="S82" s="161"/>
      <c r="T82" s="161"/>
    </row>
    <row r="83" spans="1:20" ht="13">
      <c r="A83" s="161"/>
      <c r="B83" s="161"/>
      <c r="C83" s="161"/>
      <c r="D83" s="161"/>
      <c r="E83" s="161"/>
      <c r="F83" s="161" t="str">
        <f ca="1"/>
        <v/>
      </c>
      <c r="G83" s="161" t="str">
        <f ca="1"/>
        <v/>
      </c>
      <c r="H83" s="161"/>
      <c r="I83" s="161"/>
      <c r="J83" s="161"/>
      <c r="K83" s="161"/>
      <c r="L83" s="176" t="str">
        <f t="shared" ca="1" si="0"/>
        <v/>
      </c>
      <c r="M83" s="161"/>
      <c r="N83" s="161"/>
      <c r="O83" s="161"/>
      <c r="P83" s="161"/>
      <c r="Q83" s="161"/>
      <c r="R83" s="161"/>
      <c r="S83" s="161"/>
      <c r="T83" s="161"/>
    </row>
    <row r="84" spans="1:20" ht="13">
      <c r="A84" s="161"/>
      <c r="B84" s="161"/>
      <c r="C84" s="161"/>
      <c r="D84" s="161"/>
      <c r="E84" s="161"/>
      <c r="F84" s="161" t="str">
        <f ca="1"/>
        <v/>
      </c>
      <c r="G84" s="161" t="str">
        <f ca="1"/>
        <v/>
      </c>
      <c r="H84" s="161"/>
      <c r="I84" s="161"/>
      <c r="J84" s="161"/>
      <c r="K84" s="161"/>
      <c r="L84" s="176" t="str">
        <f t="shared" ca="1" si="0"/>
        <v/>
      </c>
      <c r="M84" s="161"/>
      <c r="N84" s="161"/>
      <c r="O84" s="161"/>
      <c r="P84" s="161"/>
      <c r="Q84" s="161"/>
      <c r="R84" s="161"/>
      <c r="S84" s="161"/>
      <c r="T84" s="161"/>
    </row>
    <row r="85" spans="1:20" ht="13">
      <c r="A85" s="161"/>
      <c r="B85" s="161"/>
      <c r="C85" s="161"/>
      <c r="D85" s="161"/>
      <c r="E85" s="161"/>
      <c r="F85" s="161" t="str">
        <f ca="1"/>
        <v/>
      </c>
      <c r="G85" s="161" t="str">
        <f ca="1"/>
        <v/>
      </c>
      <c r="H85" s="161"/>
      <c r="I85" s="161"/>
      <c r="J85" s="161"/>
      <c r="K85" s="161"/>
      <c r="L85" s="176" t="str">
        <f t="shared" ca="1" si="0"/>
        <v/>
      </c>
      <c r="M85" s="161"/>
      <c r="N85" s="161"/>
      <c r="O85" s="161"/>
      <c r="P85" s="161"/>
      <c r="Q85" s="161"/>
      <c r="R85" s="161"/>
      <c r="S85" s="161"/>
      <c r="T85" s="161"/>
    </row>
    <row r="86" spans="1:20" ht="13">
      <c r="A86" s="161"/>
      <c r="B86" s="161"/>
      <c r="C86" s="161"/>
      <c r="D86" s="161"/>
      <c r="E86" s="161"/>
      <c r="F86" s="161" t="str">
        <f ca="1"/>
        <v/>
      </c>
      <c r="G86" s="161" t="str">
        <f ca="1"/>
        <v/>
      </c>
      <c r="H86" s="161"/>
      <c r="I86" s="161"/>
      <c r="J86" s="161"/>
      <c r="K86" s="161"/>
      <c r="L86" s="176" t="str">
        <f t="shared" ca="1" si="0"/>
        <v/>
      </c>
      <c r="M86" s="161"/>
      <c r="N86" s="161"/>
      <c r="O86" s="161"/>
      <c r="P86" s="161"/>
      <c r="Q86" s="161"/>
      <c r="R86" s="161"/>
      <c r="S86" s="161"/>
      <c r="T86" s="161"/>
    </row>
    <row r="87" spans="1:20" ht="13">
      <c r="A87" s="161"/>
      <c r="B87" s="161"/>
      <c r="C87" s="161"/>
      <c r="D87" s="161"/>
      <c r="E87" s="161"/>
      <c r="F87" s="161" t="str">
        <f ca="1"/>
        <v/>
      </c>
      <c r="G87" s="161"/>
      <c r="H87" s="161"/>
      <c r="I87" s="161"/>
      <c r="J87" s="161"/>
      <c r="K87" s="161"/>
      <c r="L87" s="176" t="str">
        <f t="shared" si="0"/>
        <v/>
      </c>
      <c r="M87" s="161"/>
      <c r="N87" s="161"/>
      <c r="O87" s="161"/>
      <c r="P87" s="161"/>
      <c r="Q87" s="161"/>
      <c r="R87" s="161"/>
      <c r="S87" s="161"/>
      <c r="T87" s="161"/>
    </row>
    <row r="88" spans="1:20" ht="13">
      <c r="A88" s="161"/>
      <c r="B88" s="161"/>
      <c r="C88" s="161"/>
      <c r="D88" s="161"/>
      <c r="E88" s="161"/>
      <c r="F88" s="161" t="str">
        <f ca="1"/>
        <v/>
      </c>
      <c r="G88" s="161"/>
      <c r="H88" s="161"/>
      <c r="I88" s="161"/>
      <c r="J88" s="161"/>
      <c r="K88" s="161"/>
      <c r="L88" s="176" t="str">
        <f t="shared" si="0"/>
        <v/>
      </c>
      <c r="M88" s="161"/>
      <c r="N88" s="161"/>
      <c r="O88" s="161"/>
      <c r="P88" s="161"/>
      <c r="Q88" s="161"/>
      <c r="R88" s="161"/>
      <c r="S88" s="161"/>
      <c r="T88" s="161"/>
    </row>
    <row r="89" spans="1:20" ht="13">
      <c r="A89" s="161"/>
      <c r="B89" s="161"/>
      <c r="C89" s="161"/>
      <c r="D89" s="161"/>
      <c r="E89" s="161"/>
      <c r="F89" s="161" t="str">
        <f ca="1"/>
        <v/>
      </c>
      <c r="G89" s="161"/>
      <c r="H89" s="161"/>
      <c r="I89" s="161"/>
      <c r="J89" s="161"/>
      <c r="K89" s="161"/>
      <c r="L89" s="176" t="str">
        <f t="shared" si="0"/>
        <v/>
      </c>
      <c r="M89" s="161"/>
      <c r="N89" s="161"/>
      <c r="O89" s="161"/>
      <c r="P89" s="161"/>
      <c r="Q89" s="161"/>
      <c r="R89" s="161"/>
      <c r="S89" s="161"/>
      <c r="T89" s="161"/>
    </row>
    <row r="90" spans="1:20" ht="13">
      <c r="A90" s="161"/>
      <c r="B90" s="161"/>
      <c r="C90" s="161"/>
      <c r="D90" s="161"/>
      <c r="E90" s="161"/>
      <c r="F90" s="161" t="str">
        <f ca="1"/>
        <v/>
      </c>
      <c r="G90" s="161"/>
      <c r="H90" s="161"/>
      <c r="I90" s="161"/>
      <c r="J90" s="161"/>
      <c r="K90" s="161"/>
      <c r="L90" s="176" t="str">
        <f t="shared" ref="L90:L103" si="1">IFERROR(1-(G90/H90),"")</f>
        <v/>
      </c>
      <c r="M90" s="161"/>
      <c r="N90" s="161"/>
      <c r="O90" s="161"/>
      <c r="P90" s="161"/>
      <c r="Q90" s="161"/>
      <c r="R90" s="161"/>
      <c r="S90" s="161"/>
      <c r="T90" s="161"/>
    </row>
    <row r="91" spans="1:20" ht="13">
      <c r="A91" s="161"/>
      <c r="B91" s="161"/>
      <c r="C91" s="161"/>
      <c r="D91" s="161"/>
      <c r="E91" s="161"/>
      <c r="F91" s="161" t="str">
        <f ca="1"/>
        <v/>
      </c>
      <c r="G91" s="161"/>
      <c r="H91" s="161"/>
      <c r="I91" s="161"/>
      <c r="J91" s="161"/>
      <c r="K91" s="161"/>
      <c r="L91" s="176" t="str">
        <f t="shared" si="1"/>
        <v/>
      </c>
      <c r="M91" s="161"/>
      <c r="N91" s="161"/>
      <c r="O91" s="161"/>
      <c r="P91" s="161"/>
      <c r="Q91" s="161"/>
      <c r="R91" s="161"/>
      <c r="S91" s="161"/>
      <c r="T91" s="161"/>
    </row>
    <row r="92" spans="1:20" ht="13">
      <c r="A92" s="161"/>
      <c r="B92" s="161"/>
      <c r="C92" s="161"/>
      <c r="D92" s="161"/>
      <c r="E92" s="161"/>
      <c r="F92" s="161" t="str">
        <f ca="1"/>
        <v/>
      </c>
      <c r="G92" s="161"/>
      <c r="H92" s="161"/>
      <c r="I92" s="161"/>
      <c r="J92" s="161"/>
      <c r="K92" s="161"/>
      <c r="L92" s="176" t="str">
        <f t="shared" si="1"/>
        <v/>
      </c>
      <c r="M92" s="161"/>
      <c r="N92" s="161"/>
      <c r="O92" s="161"/>
      <c r="P92" s="161"/>
      <c r="Q92" s="161"/>
      <c r="R92" s="161"/>
      <c r="S92" s="161"/>
      <c r="T92" s="161"/>
    </row>
    <row r="93" spans="1:20" ht="13">
      <c r="A93" s="161"/>
      <c r="B93" s="161"/>
      <c r="C93" s="161"/>
      <c r="D93" s="161"/>
      <c r="E93" s="161"/>
      <c r="F93" s="161" t="str">
        <f ca="1"/>
        <v/>
      </c>
      <c r="G93" s="161"/>
      <c r="H93" s="161"/>
      <c r="I93" s="161"/>
      <c r="J93" s="161"/>
      <c r="K93" s="161"/>
      <c r="L93" s="176" t="str">
        <f t="shared" si="1"/>
        <v/>
      </c>
      <c r="M93" s="161"/>
      <c r="N93" s="161"/>
      <c r="O93" s="161"/>
      <c r="P93" s="161"/>
      <c r="Q93" s="161"/>
      <c r="R93" s="161"/>
      <c r="S93" s="161"/>
      <c r="T93" s="161"/>
    </row>
    <row r="94" spans="1:20" ht="13">
      <c r="A94" s="161"/>
      <c r="B94" s="161"/>
      <c r="C94" s="161"/>
      <c r="D94" s="161"/>
      <c r="E94" s="161"/>
      <c r="F94" s="161" t="str">
        <f ca="1"/>
        <v/>
      </c>
      <c r="G94" s="161"/>
      <c r="H94" s="161"/>
      <c r="I94" s="161"/>
      <c r="J94" s="161"/>
      <c r="K94" s="161"/>
      <c r="L94" s="176" t="str">
        <f t="shared" si="1"/>
        <v/>
      </c>
      <c r="M94" s="161"/>
      <c r="N94" s="161"/>
      <c r="O94" s="161"/>
      <c r="P94" s="161"/>
      <c r="Q94" s="161"/>
      <c r="R94" s="161"/>
      <c r="S94" s="161"/>
      <c r="T94" s="161"/>
    </row>
    <row r="95" spans="1:20" ht="13">
      <c r="A95" s="161"/>
      <c r="B95" s="161"/>
      <c r="C95" s="161"/>
      <c r="D95" s="161"/>
      <c r="E95" s="161"/>
      <c r="F95" s="161" t="str">
        <f ca="1"/>
        <v/>
      </c>
      <c r="G95" s="161"/>
      <c r="H95" s="161"/>
      <c r="I95" s="161"/>
      <c r="J95" s="161"/>
      <c r="K95" s="161"/>
      <c r="L95" s="176" t="str">
        <f t="shared" si="1"/>
        <v/>
      </c>
      <c r="M95" s="161"/>
      <c r="N95" s="161"/>
      <c r="O95" s="161"/>
      <c r="P95" s="161"/>
      <c r="Q95" s="161"/>
      <c r="R95" s="161"/>
      <c r="S95" s="161"/>
      <c r="T95" s="161"/>
    </row>
    <row r="96" spans="1:20" ht="13">
      <c r="A96" s="161"/>
      <c r="B96" s="161"/>
      <c r="C96" s="161"/>
      <c r="D96" s="161"/>
      <c r="E96" s="161"/>
      <c r="F96" s="161" t="str">
        <f ca="1"/>
        <v/>
      </c>
      <c r="G96" s="161"/>
      <c r="H96" s="161"/>
      <c r="I96" s="161"/>
      <c r="J96" s="161"/>
      <c r="K96" s="161"/>
      <c r="L96" s="176" t="str">
        <f t="shared" si="1"/>
        <v/>
      </c>
      <c r="M96" s="161"/>
      <c r="N96" s="161"/>
      <c r="O96" s="161"/>
      <c r="P96" s="161"/>
      <c r="Q96" s="161"/>
      <c r="R96" s="161"/>
      <c r="S96" s="161"/>
      <c r="T96" s="161"/>
    </row>
    <row r="97" spans="1:20" ht="13">
      <c r="A97" s="161"/>
      <c r="B97" s="161"/>
      <c r="C97" s="161"/>
      <c r="D97" s="161"/>
      <c r="E97" s="161"/>
      <c r="F97" s="161" t="str">
        <f ca="1"/>
        <v/>
      </c>
      <c r="G97" s="161"/>
      <c r="H97" s="161"/>
      <c r="I97" s="161"/>
      <c r="J97" s="161"/>
      <c r="K97" s="161"/>
      <c r="L97" s="176" t="str">
        <f t="shared" si="1"/>
        <v/>
      </c>
      <c r="M97" s="161"/>
      <c r="N97" s="161"/>
      <c r="O97" s="161"/>
      <c r="P97" s="161"/>
      <c r="Q97" s="161"/>
      <c r="R97" s="161"/>
      <c r="S97" s="161"/>
      <c r="T97" s="161"/>
    </row>
    <row r="98" spans="1:20" ht="13">
      <c r="A98" s="161"/>
      <c r="B98" s="161"/>
      <c r="C98" s="161"/>
      <c r="D98" s="161"/>
      <c r="E98" s="161"/>
      <c r="F98" s="161" t="str">
        <f ca="1"/>
        <v/>
      </c>
      <c r="G98" s="161"/>
      <c r="H98" s="161"/>
      <c r="I98" s="161"/>
      <c r="J98" s="161"/>
      <c r="K98" s="161"/>
      <c r="L98" s="176" t="str">
        <f t="shared" si="1"/>
        <v/>
      </c>
      <c r="M98" s="161"/>
      <c r="N98" s="161"/>
      <c r="O98" s="161"/>
      <c r="P98" s="161"/>
      <c r="Q98" s="161"/>
      <c r="R98" s="161"/>
      <c r="S98" s="161"/>
      <c r="T98" s="161"/>
    </row>
    <row r="99" spans="1:20" ht="13">
      <c r="A99" s="161"/>
      <c r="B99" s="161"/>
      <c r="C99" s="161"/>
      <c r="D99" s="161"/>
      <c r="E99" s="161"/>
      <c r="F99" s="161" t="str">
        <f ca="1"/>
        <v/>
      </c>
      <c r="G99" s="161"/>
      <c r="H99" s="161"/>
      <c r="I99" s="161"/>
      <c r="J99" s="161"/>
      <c r="K99" s="161"/>
      <c r="L99" s="176" t="str">
        <f t="shared" si="1"/>
        <v/>
      </c>
      <c r="M99" s="161"/>
      <c r="N99" s="161"/>
      <c r="O99" s="161"/>
      <c r="P99" s="161"/>
      <c r="Q99" s="161"/>
      <c r="R99" s="161"/>
      <c r="S99" s="161"/>
      <c r="T99" s="161"/>
    </row>
    <row r="100" spans="1:20" ht="13">
      <c r="A100" s="161"/>
      <c r="B100" s="161"/>
      <c r="C100" s="161"/>
      <c r="D100" s="161"/>
      <c r="E100" s="161"/>
      <c r="F100" s="161" t="str">
        <f ca="1"/>
        <v/>
      </c>
      <c r="G100" s="161"/>
      <c r="H100" s="161"/>
      <c r="I100" s="161"/>
      <c r="J100" s="161"/>
      <c r="K100" s="161"/>
      <c r="L100" s="176" t="str">
        <f t="shared" si="1"/>
        <v/>
      </c>
      <c r="M100" s="161"/>
      <c r="N100" s="161"/>
      <c r="O100" s="161"/>
      <c r="P100" s="161"/>
      <c r="Q100" s="161"/>
      <c r="R100" s="161"/>
      <c r="S100" s="161"/>
      <c r="T100" s="161"/>
    </row>
    <row r="101" spans="1:20" ht="13">
      <c r="A101" s="161"/>
      <c r="B101" s="161"/>
      <c r="C101" s="161"/>
      <c r="D101" s="161"/>
      <c r="E101" s="161"/>
      <c r="F101" s="161" t="str">
        <f ca="1"/>
        <v/>
      </c>
      <c r="G101" s="161"/>
      <c r="H101" s="161"/>
      <c r="I101" s="161"/>
      <c r="J101" s="161"/>
      <c r="K101" s="161"/>
      <c r="L101" s="176" t="str">
        <f t="shared" si="1"/>
        <v/>
      </c>
      <c r="M101" s="161"/>
      <c r="N101" s="161"/>
      <c r="O101" s="161"/>
      <c r="P101" s="161"/>
      <c r="Q101" s="161"/>
      <c r="R101" s="161"/>
      <c r="S101" s="161"/>
      <c r="T101" s="161"/>
    </row>
    <row r="102" spans="1:20" ht="13">
      <c r="A102" s="161"/>
      <c r="B102" s="161"/>
      <c r="C102" s="161"/>
      <c r="D102" s="161"/>
      <c r="E102" s="161"/>
      <c r="F102" s="161" t="str">
        <f ca="1"/>
        <v/>
      </c>
      <c r="G102" s="161"/>
      <c r="H102" s="161"/>
      <c r="I102" s="161"/>
      <c r="J102" s="161"/>
      <c r="K102" s="161"/>
      <c r="L102" s="176" t="str">
        <f t="shared" si="1"/>
        <v/>
      </c>
      <c r="M102" s="161"/>
      <c r="N102" s="161"/>
      <c r="O102" s="161"/>
      <c r="P102" s="161"/>
      <c r="Q102" s="161"/>
      <c r="R102" s="161"/>
      <c r="S102" s="161"/>
      <c r="T102" s="161"/>
    </row>
    <row r="103" spans="1:20" ht="13">
      <c r="A103" s="161"/>
      <c r="B103" s="161"/>
      <c r="C103" s="161"/>
      <c r="D103" s="161"/>
      <c r="E103" s="161"/>
      <c r="F103" s="161" t="str">
        <f ca="1"/>
        <v/>
      </c>
      <c r="G103" s="161"/>
      <c r="H103" s="161"/>
      <c r="I103" s="161"/>
      <c r="J103" s="161"/>
      <c r="K103" s="161"/>
      <c r="L103" s="176" t="str">
        <f t="shared" si="1"/>
        <v/>
      </c>
      <c r="M103" s="161"/>
      <c r="N103" s="161"/>
      <c r="O103" s="161"/>
      <c r="P103" s="161"/>
      <c r="Q103" s="161"/>
      <c r="R103" s="161"/>
      <c r="S103" s="161"/>
      <c r="T103" s="161"/>
    </row>
    <row r="104" spans="1:20" ht="13">
      <c r="A104" s="161"/>
      <c r="B104" s="161"/>
      <c r="C104" s="161"/>
      <c r="D104" s="161"/>
      <c r="E104" s="161"/>
      <c r="F104" s="161" t="str">
        <f ca="1"/>
        <v/>
      </c>
      <c r="G104" s="161"/>
      <c r="H104" s="161"/>
      <c r="I104" s="161"/>
      <c r="J104" s="161"/>
      <c r="K104" s="161"/>
      <c r="L104" s="161"/>
      <c r="M104" s="161"/>
      <c r="N104" s="161"/>
      <c r="O104" s="161"/>
      <c r="P104" s="161"/>
      <c r="Q104" s="161"/>
      <c r="R104" s="161"/>
      <c r="S104" s="161"/>
      <c r="T104" s="161"/>
    </row>
    <row r="105" spans="1:20" ht="13">
      <c r="A105" s="161"/>
      <c r="B105" s="161"/>
      <c r="C105" s="161"/>
      <c r="D105" s="161"/>
      <c r="E105" s="161"/>
      <c r="F105" s="161" t="str">
        <f ca="1"/>
        <v/>
      </c>
      <c r="G105" s="161"/>
      <c r="H105" s="161"/>
      <c r="I105" s="161"/>
      <c r="J105" s="161"/>
      <c r="K105" s="161"/>
      <c r="L105" s="161"/>
      <c r="M105" s="161"/>
      <c r="N105" s="161"/>
      <c r="O105" s="161"/>
      <c r="P105" s="161"/>
      <c r="Q105" s="161"/>
      <c r="R105" s="161"/>
      <c r="S105" s="161"/>
      <c r="T105" s="161"/>
    </row>
    <row r="106" spans="1:20" ht="13">
      <c r="A106" s="161"/>
      <c r="B106" s="161"/>
      <c r="C106" s="161"/>
      <c r="D106" s="161"/>
      <c r="E106" s="161"/>
      <c r="F106" s="161" t="str">
        <f ca="1"/>
        <v/>
      </c>
      <c r="G106" s="161"/>
      <c r="H106" s="161"/>
      <c r="I106" s="161"/>
      <c r="J106" s="161"/>
      <c r="K106" s="161"/>
      <c r="L106" s="161"/>
      <c r="M106" s="161"/>
      <c r="N106" s="161"/>
      <c r="O106" s="161"/>
      <c r="P106" s="161"/>
      <c r="Q106" s="161"/>
      <c r="R106" s="161"/>
      <c r="S106" s="161"/>
      <c r="T106" s="161"/>
    </row>
    <row r="107" spans="1:20" ht="13">
      <c r="A107" s="161"/>
      <c r="B107" s="161"/>
      <c r="C107" s="161"/>
      <c r="D107" s="161"/>
      <c r="E107" s="161"/>
      <c r="F107" s="161">
        <f ca="1"/>
        <v>0</v>
      </c>
      <c r="G107" s="161"/>
      <c r="H107" s="161"/>
      <c r="I107" s="161"/>
      <c r="J107" s="161"/>
      <c r="K107" s="161"/>
      <c r="L107" s="161"/>
      <c r="M107" s="161"/>
      <c r="N107" s="161"/>
      <c r="O107" s="161"/>
      <c r="P107" s="161"/>
      <c r="Q107" s="161"/>
      <c r="R107" s="161"/>
      <c r="S107" s="161"/>
      <c r="T107" s="161"/>
    </row>
    <row r="108" spans="1:20" ht="13">
      <c r="A108" s="161"/>
      <c r="B108" s="161"/>
      <c r="C108" s="161"/>
      <c r="D108" s="161"/>
      <c r="E108" s="161"/>
      <c r="F108" s="161">
        <f ca="1"/>
        <v>0</v>
      </c>
      <c r="G108" s="161"/>
      <c r="H108" s="161"/>
      <c r="I108" s="161"/>
      <c r="J108" s="161"/>
      <c r="K108" s="161"/>
      <c r="L108" s="161"/>
      <c r="M108" s="161"/>
      <c r="N108" s="161"/>
      <c r="O108" s="161"/>
      <c r="P108" s="161"/>
      <c r="Q108" s="161"/>
      <c r="R108" s="161"/>
      <c r="S108" s="161"/>
      <c r="T108" s="161"/>
    </row>
    <row r="109" spans="1:20" ht="13">
      <c r="A109" s="161"/>
      <c r="B109" s="161"/>
      <c r="C109" s="161"/>
      <c r="D109" s="161"/>
      <c r="E109" s="161"/>
      <c r="F109" s="161">
        <f ca="1"/>
        <v>0</v>
      </c>
      <c r="G109" s="161"/>
      <c r="H109" s="161"/>
      <c r="I109" s="161"/>
      <c r="J109" s="161"/>
      <c r="K109" s="161"/>
      <c r="L109" s="161"/>
      <c r="M109" s="161"/>
      <c r="N109" s="161"/>
      <c r="O109" s="161"/>
      <c r="P109" s="161"/>
      <c r="Q109" s="161"/>
      <c r="R109" s="161"/>
      <c r="S109" s="161"/>
      <c r="T109" s="161"/>
    </row>
    <row r="110" spans="1:20" ht="13">
      <c r="A110" s="161"/>
      <c r="B110" s="161"/>
      <c r="C110" s="161"/>
      <c r="D110" s="161"/>
      <c r="E110" s="161"/>
      <c r="F110" s="161">
        <f ca="1"/>
        <v>0</v>
      </c>
      <c r="G110" s="161"/>
      <c r="H110" s="161"/>
      <c r="I110" s="161"/>
      <c r="J110" s="161"/>
      <c r="K110" s="161"/>
      <c r="L110" s="161"/>
      <c r="M110" s="161"/>
      <c r="N110" s="161"/>
      <c r="O110" s="161"/>
      <c r="P110" s="161"/>
      <c r="Q110" s="161"/>
      <c r="R110" s="161"/>
      <c r="S110" s="161"/>
      <c r="T110" s="161"/>
    </row>
    <row r="111" spans="1:20" ht="13">
      <c r="A111" s="161"/>
      <c r="B111" s="161"/>
      <c r="C111" s="161"/>
      <c r="D111" s="161"/>
      <c r="E111" s="161"/>
      <c r="F111" s="161">
        <f ca="1"/>
        <v>0</v>
      </c>
      <c r="G111" s="161"/>
      <c r="H111" s="161"/>
      <c r="I111" s="161"/>
      <c r="J111" s="161"/>
      <c r="K111" s="161"/>
      <c r="L111" s="161"/>
      <c r="M111" s="161"/>
      <c r="N111" s="161"/>
      <c r="O111" s="161"/>
      <c r="P111" s="161"/>
      <c r="Q111" s="161"/>
      <c r="R111" s="161"/>
      <c r="S111" s="161"/>
      <c r="T111" s="161"/>
    </row>
    <row r="112" spans="1:20" ht="13">
      <c r="A112" s="161"/>
      <c r="B112" s="161"/>
      <c r="C112" s="161"/>
      <c r="D112" s="161"/>
      <c r="E112" s="161"/>
      <c r="F112" s="161">
        <f ca="1"/>
        <v>0</v>
      </c>
      <c r="G112" s="161"/>
      <c r="H112" s="161"/>
      <c r="I112" s="161"/>
      <c r="J112" s="161"/>
      <c r="K112" s="161"/>
      <c r="L112" s="161"/>
      <c r="M112" s="161"/>
      <c r="N112" s="161"/>
      <c r="O112" s="161"/>
      <c r="P112" s="161"/>
      <c r="Q112" s="161"/>
      <c r="R112" s="161"/>
      <c r="S112" s="161"/>
      <c r="T112" s="161"/>
    </row>
    <row r="113" spans="1:20" ht="13">
      <c r="A113" s="161"/>
      <c r="B113" s="161"/>
      <c r="C113" s="161"/>
      <c r="D113" s="161"/>
      <c r="E113" s="161"/>
      <c r="F113" s="161">
        <f ca="1"/>
        <v>0</v>
      </c>
      <c r="G113" s="161"/>
      <c r="H113" s="161"/>
      <c r="I113" s="161"/>
      <c r="J113" s="161"/>
      <c r="K113" s="161"/>
      <c r="L113" s="161"/>
      <c r="M113" s="161"/>
      <c r="N113" s="161"/>
      <c r="O113" s="161"/>
      <c r="P113" s="161"/>
      <c r="Q113" s="161"/>
      <c r="R113" s="161"/>
      <c r="S113" s="161"/>
      <c r="T113" s="161"/>
    </row>
    <row r="114" spans="1:20" ht="13">
      <c r="A114" s="161"/>
      <c r="B114" s="161"/>
      <c r="C114" s="161"/>
      <c r="D114" s="161"/>
      <c r="E114" s="161"/>
      <c r="F114" s="161">
        <f ca="1"/>
        <v>0</v>
      </c>
      <c r="G114" s="161"/>
      <c r="H114" s="161"/>
      <c r="I114" s="161"/>
      <c r="J114" s="161"/>
      <c r="K114" s="161"/>
      <c r="L114" s="161"/>
      <c r="M114" s="161"/>
      <c r="N114" s="161"/>
      <c r="O114" s="161"/>
      <c r="P114" s="161"/>
      <c r="Q114" s="161"/>
      <c r="R114" s="161"/>
      <c r="S114" s="161"/>
      <c r="T114" s="161"/>
    </row>
    <row r="115" spans="1:20" ht="13">
      <c r="A115" s="161"/>
      <c r="B115" s="161"/>
      <c r="C115" s="161"/>
      <c r="D115" s="161"/>
      <c r="E115" s="161"/>
      <c r="F115" s="161">
        <f ca="1"/>
        <v>0</v>
      </c>
      <c r="G115" s="161"/>
      <c r="H115" s="161"/>
      <c r="I115" s="161"/>
      <c r="J115" s="161"/>
      <c r="K115" s="161"/>
      <c r="L115" s="161"/>
      <c r="M115" s="161"/>
      <c r="N115" s="161"/>
      <c r="O115" s="161"/>
      <c r="P115" s="161"/>
      <c r="Q115" s="161"/>
      <c r="R115" s="161"/>
      <c r="S115" s="161"/>
      <c r="T115" s="161"/>
    </row>
    <row r="116" spans="1:20" ht="13">
      <c r="A116" s="161"/>
      <c r="B116" s="161"/>
      <c r="C116" s="161"/>
      <c r="D116" s="161"/>
      <c r="E116" s="161"/>
      <c r="F116" s="161">
        <f ca="1"/>
        <v>0</v>
      </c>
      <c r="G116" s="161"/>
      <c r="H116" s="161"/>
      <c r="I116" s="161"/>
      <c r="J116" s="161"/>
      <c r="K116" s="161"/>
      <c r="L116" s="161"/>
      <c r="M116" s="161"/>
      <c r="N116" s="161"/>
      <c r="O116" s="161"/>
      <c r="P116" s="161"/>
      <c r="Q116" s="161"/>
      <c r="R116" s="161"/>
      <c r="S116" s="161"/>
      <c r="T116" s="161"/>
    </row>
    <row r="117" spans="1:20" ht="13">
      <c r="A117" s="161"/>
      <c r="B117" s="161"/>
      <c r="C117" s="161"/>
      <c r="D117" s="161"/>
      <c r="E117" s="161"/>
      <c r="F117" s="161">
        <f ca="1"/>
        <v>0</v>
      </c>
      <c r="G117" s="161"/>
      <c r="H117" s="161"/>
      <c r="I117" s="161"/>
      <c r="J117" s="161"/>
      <c r="K117" s="161"/>
      <c r="L117" s="161"/>
      <c r="M117" s="161"/>
      <c r="N117" s="161"/>
      <c r="O117" s="161"/>
      <c r="P117" s="161"/>
      <c r="Q117" s="161"/>
      <c r="R117" s="161"/>
      <c r="S117" s="161"/>
      <c r="T117" s="161"/>
    </row>
    <row r="118" spans="1:20" ht="13">
      <c r="A118" s="161"/>
      <c r="B118" s="161"/>
      <c r="C118" s="161"/>
      <c r="D118" s="161"/>
      <c r="E118" s="161"/>
      <c r="F118" s="161">
        <f ca="1"/>
        <v>0</v>
      </c>
      <c r="G118" s="161"/>
      <c r="H118" s="161"/>
      <c r="I118" s="161"/>
      <c r="J118" s="161"/>
      <c r="K118" s="161"/>
      <c r="L118" s="161"/>
      <c r="M118" s="161"/>
      <c r="N118" s="161"/>
      <c r="O118" s="161"/>
      <c r="P118" s="161"/>
      <c r="Q118" s="161"/>
      <c r="R118" s="161"/>
      <c r="S118" s="161"/>
      <c r="T118" s="161"/>
    </row>
    <row r="119" spans="1:20" ht="13">
      <c r="A119" s="161"/>
      <c r="B119" s="161"/>
      <c r="C119" s="161"/>
      <c r="D119" s="161"/>
      <c r="E119" s="161"/>
      <c r="F119" s="161"/>
      <c r="G119" s="161"/>
      <c r="H119" s="161"/>
      <c r="I119" s="161"/>
      <c r="J119" s="161"/>
      <c r="K119" s="161"/>
      <c r="L119" s="161"/>
      <c r="M119" s="161"/>
      <c r="N119" s="161"/>
      <c r="O119" s="161"/>
      <c r="P119" s="161"/>
      <c r="Q119" s="161"/>
      <c r="R119" s="161"/>
      <c r="S119" s="161"/>
      <c r="T119" s="161"/>
    </row>
    <row r="120" spans="1:20" ht="13">
      <c r="A120" s="161"/>
      <c r="B120" s="161"/>
      <c r="C120" s="161"/>
      <c r="D120" s="161"/>
      <c r="E120" s="161"/>
      <c r="F120" s="161"/>
      <c r="G120" s="161"/>
      <c r="H120" s="161"/>
      <c r="I120" s="161"/>
      <c r="J120" s="161"/>
      <c r="K120" s="161"/>
      <c r="L120" s="161"/>
      <c r="M120" s="161"/>
      <c r="N120" s="161"/>
      <c r="O120" s="161"/>
      <c r="P120" s="161"/>
      <c r="Q120" s="161"/>
      <c r="R120" s="161"/>
      <c r="S120" s="161"/>
      <c r="T120" s="161"/>
    </row>
    <row r="121" spans="1:20" ht="13">
      <c r="A121" s="161"/>
      <c r="B121" s="161"/>
      <c r="C121" s="161"/>
      <c r="D121" s="161"/>
      <c r="E121" s="161"/>
      <c r="F121" s="161"/>
      <c r="G121" s="161"/>
      <c r="H121" s="161"/>
      <c r="I121" s="161"/>
      <c r="J121" s="161"/>
      <c r="K121" s="161"/>
      <c r="L121" s="161"/>
      <c r="M121" s="161"/>
      <c r="N121" s="161"/>
      <c r="O121" s="161"/>
      <c r="P121" s="161"/>
      <c r="Q121" s="161"/>
      <c r="R121" s="161"/>
      <c r="S121" s="161"/>
      <c r="T121" s="161"/>
    </row>
    <row r="122" spans="1:20" ht="13">
      <c r="A122" s="161"/>
      <c r="B122" s="161"/>
      <c r="C122" s="161"/>
      <c r="D122" s="161"/>
      <c r="E122" s="161"/>
      <c r="F122" s="161"/>
      <c r="G122" s="161"/>
      <c r="H122" s="161"/>
      <c r="I122" s="161"/>
      <c r="J122" s="161"/>
      <c r="K122" s="161"/>
      <c r="L122" s="161"/>
      <c r="M122" s="161"/>
      <c r="N122" s="161"/>
      <c r="O122" s="161"/>
      <c r="P122" s="161"/>
      <c r="Q122" s="161"/>
      <c r="R122" s="161"/>
      <c r="S122" s="161"/>
      <c r="T122" s="161"/>
    </row>
    <row r="123" spans="1:20" ht="13">
      <c r="A123" s="161"/>
      <c r="B123" s="161"/>
      <c r="C123" s="161"/>
      <c r="D123" s="161"/>
      <c r="E123" s="161"/>
      <c r="F123" s="161"/>
      <c r="G123" s="161"/>
      <c r="H123" s="161"/>
      <c r="I123" s="161"/>
      <c r="J123" s="161"/>
      <c r="K123" s="161"/>
      <c r="L123" s="161"/>
      <c r="M123" s="161"/>
      <c r="N123" s="161"/>
      <c r="O123" s="161"/>
      <c r="P123" s="161"/>
      <c r="Q123" s="161"/>
      <c r="R123" s="161"/>
      <c r="S123" s="161"/>
      <c r="T123" s="161"/>
    </row>
    <row r="124" spans="1:20" ht="13">
      <c r="A124" s="161"/>
      <c r="B124" s="161"/>
      <c r="C124" s="161"/>
      <c r="D124" s="161"/>
      <c r="E124" s="161"/>
      <c r="F124" s="161"/>
      <c r="G124" s="161"/>
      <c r="H124" s="161"/>
      <c r="I124" s="161"/>
      <c r="J124" s="161"/>
      <c r="K124" s="161"/>
      <c r="L124" s="161"/>
      <c r="M124" s="161"/>
      <c r="N124" s="161"/>
      <c r="O124" s="161"/>
      <c r="P124" s="161"/>
      <c r="Q124" s="161"/>
      <c r="R124" s="161"/>
      <c r="S124" s="161"/>
      <c r="T124" s="161"/>
    </row>
    <row r="125" spans="1:20" ht="13">
      <c r="A125" s="161"/>
      <c r="B125" s="161"/>
      <c r="C125" s="161"/>
      <c r="D125" s="161"/>
      <c r="E125" s="161"/>
      <c r="F125" s="161"/>
      <c r="G125" s="161"/>
      <c r="H125" s="161"/>
      <c r="I125" s="161"/>
      <c r="J125" s="161"/>
      <c r="K125" s="161"/>
      <c r="L125" s="161"/>
      <c r="M125" s="161"/>
      <c r="N125" s="161"/>
      <c r="O125" s="161"/>
      <c r="P125" s="161"/>
      <c r="Q125" s="161"/>
      <c r="R125" s="161"/>
      <c r="S125" s="161"/>
      <c r="T125" s="161"/>
    </row>
    <row r="126" spans="1:20" ht="13">
      <c r="A126" s="161"/>
      <c r="B126" s="161"/>
      <c r="C126" s="161"/>
      <c r="D126" s="161"/>
      <c r="E126" s="161"/>
      <c r="F126" s="161"/>
      <c r="G126" s="161"/>
      <c r="H126" s="161"/>
      <c r="I126" s="161"/>
      <c r="J126" s="161"/>
      <c r="K126" s="161"/>
      <c r="L126" s="161"/>
      <c r="M126" s="161"/>
      <c r="N126" s="161"/>
      <c r="O126" s="161"/>
      <c r="P126" s="161"/>
      <c r="Q126" s="161"/>
      <c r="R126" s="161"/>
      <c r="S126" s="161"/>
      <c r="T126" s="161"/>
    </row>
    <row r="127" spans="1:20" ht="13">
      <c r="A127" s="161"/>
      <c r="B127" s="161"/>
      <c r="C127" s="161"/>
      <c r="D127" s="161"/>
      <c r="E127" s="161"/>
      <c r="F127" s="161"/>
      <c r="G127" s="161"/>
      <c r="H127" s="161"/>
      <c r="I127" s="161"/>
      <c r="J127" s="161"/>
      <c r="K127" s="161"/>
      <c r="L127" s="161"/>
      <c r="M127" s="161"/>
      <c r="N127" s="161"/>
      <c r="O127" s="161"/>
      <c r="P127" s="161"/>
      <c r="Q127" s="161"/>
      <c r="R127" s="161"/>
      <c r="S127" s="161"/>
      <c r="T127" s="161"/>
    </row>
    <row r="128" spans="1:20" ht="13">
      <c r="A128" s="161"/>
      <c r="B128" s="161"/>
      <c r="C128" s="161"/>
      <c r="D128" s="161"/>
      <c r="E128" s="161"/>
      <c r="F128" s="161"/>
      <c r="G128" s="161"/>
      <c r="H128" s="161"/>
      <c r="I128" s="161"/>
      <c r="J128" s="161"/>
      <c r="K128" s="161"/>
      <c r="L128" s="161"/>
      <c r="M128" s="161"/>
      <c r="N128" s="161"/>
      <c r="O128" s="161"/>
      <c r="P128" s="161"/>
      <c r="Q128" s="161"/>
      <c r="R128" s="161"/>
      <c r="S128" s="161"/>
      <c r="T128" s="161"/>
    </row>
    <row r="129" spans="1:20" ht="13">
      <c r="A129" s="161"/>
      <c r="B129" s="161"/>
      <c r="C129" s="161"/>
      <c r="D129" s="161"/>
      <c r="E129" s="161"/>
      <c r="F129" s="161"/>
      <c r="G129" s="161"/>
      <c r="H129" s="161"/>
      <c r="I129" s="161"/>
      <c r="J129" s="161"/>
      <c r="K129" s="161"/>
      <c r="L129" s="161"/>
      <c r="M129" s="161"/>
      <c r="N129" s="161"/>
      <c r="O129" s="161"/>
      <c r="P129" s="161"/>
      <c r="Q129" s="161"/>
      <c r="R129" s="161"/>
      <c r="S129" s="161"/>
      <c r="T129" s="161"/>
    </row>
    <row r="130" spans="1:20" ht="13">
      <c r="A130" s="161"/>
      <c r="B130" s="161"/>
      <c r="C130" s="161"/>
      <c r="D130" s="161"/>
      <c r="E130" s="161"/>
      <c r="F130" s="161"/>
      <c r="G130" s="161"/>
      <c r="H130" s="161"/>
      <c r="I130" s="161"/>
      <c r="J130" s="161"/>
      <c r="K130" s="161"/>
      <c r="L130" s="161"/>
      <c r="M130" s="161"/>
      <c r="N130" s="161"/>
      <c r="O130" s="161"/>
      <c r="P130" s="161"/>
      <c r="Q130" s="161"/>
      <c r="R130" s="161"/>
      <c r="S130" s="161"/>
      <c r="T130" s="161"/>
    </row>
    <row r="131" spans="1:20" ht="13">
      <c r="A131" s="161"/>
      <c r="B131" s="161"/>
      <c r="C131" s="161"/>
      <c r="D131" s="161"/>
      <c r="E131" s="161"/>
      <c r="F131" s="161"/>
      <c r="G131" s="161"/>
      <c r="H131" s="161"/>
      <c r="I131" s="161"/>
      <c r="J131" s="161"/>
      <c r="K131" s="161"/>
      <c r="L131" s="161"/>
      <c r="M131" s="161"/>
      <c r="N131" s="161"/>
      <c r="O131" s="161"/>
      <c r="P131" s="161"/>
      <c r="Q131" s="161"/>
      <c r="R131" s="161"/>
      <c r="S131" s="161"/>
      <c r="T131" s="161"/>
    </row>
    <row r="132" spans="1:20" ht="13">
      <c r="A132" s="161"/>
      <c r="B132" s="161"/>
      <c r="C132" s="161"/>
      <c r="D132" s="161"/>
      <c r="E132" s="161"/>
      <c r="F132" s="161"/>
      <c r="G132" s="161"/>
      <c r="H132" s="161"/>
      <c r="I132" s="161"/>
      <c r="J132" s="161"/>
      <c r="K132" s="161"/>
      <c r="L132" s="161"/>
      <c r="M132" s="161"/>
      <c r="N132" s="161"/>
      <c r="O132" s="161"/>
      <c r="P132" s="161"/>
      <c r="Q132" s="161"/>
      <c r="R132" s="161"/>
      <c r="S132" s="161"/>
      <c r="T132" s="161"/>
    </row>
    <row r="133" spans="1:20" ht="13">
      <c r="A133" s="161"/>
      <c r="B133" s="161"/>
      <c r="C133" s="161"/>
      <c r="D133" s="161"/>
      <c r="E133" s="161"/>
      <c r="F133" s="161"/>
      <c r="G133" s="161"/>
      <c r="H133" s="161"/>
      <c r="I133" s="161"/>
      <c r="J133" s="161"/>
      <c r="K133" s="161"/>
      <c r="L133" s="161"/>
      <c r="M133" s="161"/>
      <c r="N133" s="161"/>
      <c r="O133" s="161"/>
      <c r="P133" s="161"/>
      <c r="Q133" s="161"/>
      <c r="R133" s="161"/>
      <c r="S133" s="161"/>
      <c r="T133" s="161"/>
    </row>
    <row r="134" spans="1:20" ht="13">
      <c r="A134" s="161"/>
      <c r="B134" s="161"/>
      <c r="C134" s="161"/>
      <c r="D134" s="161"/>
      <c r="E134" s="161"/>
      <c r="F134" s="161"/>
      <c r="G134" s="161"/>
      <c r="H134" s="161"/>
      <c r="I134" s="161"/>
      <c r="J134" s="161"/>
      <c r="K134" s="161"/>
      <c r="L134" s="161"/>
      <c r="M134" s="161"/>
      <c r="N134" s="161"/>
      <c r="O134" s="161"/>
      <c r="P134" s="161"/>
      <c r="Q134" s="161"/>
      <c r="R134" s="161"/>
      <c r="S134" s="161"/>
      <c r="T134" s="161"/>
    </row>
    <row r="135" spans="1:20" ht="13">
      <c r="A135" s="161"/>
      <c r="B135" s="161"/>
      <c r="C135" s="161"/>
      <c r="D135" s="161"/>
      <c r="E135" s="161"/>
      <c r="F135" s="161"/>
      <c r="G135" s="161"/>
      <c r="H135" s="161"/>
      <c r="I135" s="161"/>
      <c r="J135" s="161"/>
      <c r="K135" s="161"/>
      <c r="L135" s="161"/>
      <c r="M135" s="161"/>
      <c r="N135" s="161"/>
      <c r="O135" s="161"/>
      <c r="P135" s="161"/>
      <c r="Q135" s="161"/>
      <c r="R135" s="161"/>
      <c r="S135" s="161"/>
      <c r="T135" s="161"/>
    </row>
    <row r="136" spans="1:20" ht="13">
      <c r="A136" s="161"/>
      <c r="B136" s="161"/>
      <c r="C136" s="161"/>
      <c r="D136" s="161"/>
      <c r="E136" s="161"/>
      <c r="F136" s="161"/>
      <c r="G136" s="161"/>
      <c r="H136" s="161"/>
      <c r="I136" s="161"/>
      <c r="J136" s="161"/>
      <c r="K136" s="161"/>
      <c r="L136" s="161"/>
      <c r="M136" s="161"/>
      <c r="N136" s="161"/>
      <c r="O136" s="161"/>
      <c r="P136" s="161"/>
      <c r="Q136" s="161"/>
      <c r="R136" s="161"/>
      <c r="S136" s="161"/>
      <c r="T136" s="161"/>
    </row>
    <row r="137" spans="1:20" ht="13">
      <c r="A137" s="161"/>
      <c r="B137" s="161"/>
      <c r="C137" s="161"/>
      <c r="D137" s="161"/>
      <c r="E137" s="161"/>
      <c r="F137" s="161"/>
      <c r="G137" s="161"/>
      <c r="H137" s="161"/>
      <c r="I137" s="161"/>
      <c r="J137" s="161"/>
      <c r="K137" s="161"/>
      <c r="L137" s="161"/>
      <c r="M137" s="161"/>
      <c r="N137" s="161"/>
      <c r="O137" s="161"/>
      <c r="P137" s="161"/>
      <c r="Q137" s="161"/>
      <c r="R137" s="161"/>
      <c r="S137" s="161"/>
      <c r="T137" s="161"/>
    </row>
    <row r="138" spans="1:20" ht="13">
      <c r="A138" s="161"/>
      <c r="B138" s="161"/>
      <c r="C138" s="161"/>
      <c r="D138" s="161"/>
      <c r="E138" s="161"/>
      <c r="F138" s="161"/>
      <c r="G138" s="161"/>
      <c r="H138" s="161"/>
      <c r="I138" s="161"/>
      <c r="J138" s="161"/>
      <c r="K138" s="161"/>
      <c r="L138" s="161"/>
      <c r="M138" s="161"/>
      <c r="N138" s="161"/>
      <c r="O138" s="161"/>
      <c r="P138" s="161"/>
      <c r="Q138" s="161"/>
      <c r="R138" s="161"/>
      <c r="S138" s="161"/>
      <c r="T138" s="161"/>
    </row>
    <row r="139" spans="1:20" ht="13">
      <c r="A139" s="161"/>
      <c r="B139" s="161"/>
      <c r="C139" s="161"/>
      <c r="D139" s="161"/>
      <c r="E139" s="161"/>
      <c r="F139" s="161"/>
      <c r="G139" s="161"/>
      <c r="H139" s="161"/>
      <c r="I139" s="161"/>
      <c r="J139" s="161"/>
      <c r="K139" s="161"/>
      <c r="L139" s="161"/>
      <c r="M139" s="161"/>
      <c r="N139" s="161"/>
      <c r="O139" s="161"/>
      <c r="P139" s="161"/>
      <c r="Q139" s="161"/>
      <c r="R139" s="161"/>
      <c r="S139" s="161"/>
      <c r="T139" s="161"/>
    </row>
    <row r="140" spans="1:20" ht="13">
      <c r="A140" s="161"/>
      <c r="B140" s="161"/>
      <c r="C140" s="161"/>
      <c r="D140" s="161"/>
      <c r="E140" s="161"/>
      <c r="F140" s="161"/>
      <c r="G140" s="161"/>
      <c r="H140" s="161"/>
      <c r="I140" s="161"/>
      <c r="J140" s="161"/>
      <c r="K140" s="161"/>
      <c r="L140" s="161"/>
      <c r="M140" s="161"/>
      <c r="N140" s="161"/>
      <c r="O140" s="161"/>
      <c r="P140" s="161"/>
      <c r="Q140" s="161"/>
      <c r="R140" s="161"/>
      <c r="S140" s="161"/>
      <c r="T140" s="161"/>
    </row>
    <row r="141" spans="1:20" ht="13">
      <c r="A141" s="161"/>
      <c r="B141" s="161"/>
      <c r="C141" s="161"/>
      <c r="D141" s="161"/>
      <c r="E141" s="161"/>
      <c r="F141" s="161"/>
      <c r="G141" s="161"/>
      <c r="H141" s="161"/>
      <c r="I141" s="161"/>
      <c r="J141" s="161"/>
      <c r="K141" s="161"/>
      <c r="L141" s="161"/>
      <c r="M141" s="161"/>
      <c r="N141" s="161"/>
      <c r="O141" s="161"/>
      <c r="P141" s="161"/>
      <c r="Q141" s="161"/>
      <c r="R141" s="161"/>
      <c r="S141" s="161"/>
      <c r="T141" s="161"/>
    </row>
    <row r="142" spans="1:20" ht="13">
      <c r="A142" s="161"/>
      <c r="B142" s="161"/>
      <c r="C142" s="161"/>
      <c r="D142" s="161"/>
      <c r="E142" s="161"/>
      <c r="F142" s="161"/>
      <c r="G142" s="161"/>
      <c r="H142" s="161"/>
      <c r="I142" s="161"/>
      <c r="J142" s="161"/>
      <c r="K142" s="161"/>
      <c r="L142" s="161"/>
      <c r="M142" s="161"/>
      <c r="N142" s="161"/>
      <c r="O142" s="161"/>
      <c r="P142" s="161"/>
      <c r="Q142" s="161"/>
      <c r="R142" s="161"/>
      <c r="S142" s="161"/>
      <c r="T142" s="161"/>
    </row>
    <row r="143" spans="1:20" ht="13">
      <c r="A143" s="161"/>
      <c r="B143" s="161"/>
      <c r="C143" s="161"/>
      <c r="D143" s="161"/>
      <c r="E143" s="161"/>
      <c r="F143" s="161"/>
      <c r="G143" s="161"/>
      <c r="H143" s="161"/>
      <c r="I143" s="161"/>
      <c r="J143" s="161"/>
      <c r="K143" s="161"/>
      <c r="L143" s="161"/>
      <c r="M143" s="161"/>
      <c r="N143" s="161"/>
      <c r="O143" s="161"/>
      <c r="P143" s="161"/>
      <c r="Q143" s="161"/>
      <c r="R143" s="161"/>
      <c r="S143" s="161"/>
      <c r="T143" s="161"/>
    </row>
    <row r="144" spans="1:20" ht="13">
      <c r="A144" s="161"/>
      <c r="B144" s="161"/>
      <c r="C144" s="161"/>
      <c r="D144" s="161"/>
      <c r="E144" s="161"/>
      <c r="F144" s="161"/>
      <c r="G144" s="161"/>
      <c r="H144" s="161"/>
      <c r="I144" s="161"/>
      <c r="J144" s="161"/>
      <c r="K144" s="161"/>
      <c r="L144" s="161"/>
      <c r="M144" s="161"/>
      <c r="N144" s="161"/>
      <c r="O144" s="161"/>
      <c r="P144" s="161"/>
      <c r="Q144" s="161"/>
      <c r="R144" s="161"/>
      <c r="S144" s="161"/>
      <c r="T144" s="161"/>
    </row>
    <row r="145" spans="1:20" ht="13">
      <c r="A145" s="161"/>
      <c r="B145" s="161"/>
      <c r="C145" s="161"/>
      <c r="D145" s="161"/>
      <c r="E145" s="161"/>
      <c r="F145" s="161"/>
      <c r="G145" s="161"/>
      <c r="H145" s="161"/>
      <c r="I145" s="161"/>
      <c r="J145" s="161"/>
      <c r="K145" s="161"/>
      <c r="L145" s="161"/>
      <c r="M145" s="161"/>
      <c r="N145" s="161"/>
      <c r="O145" s="161"/>
      <c r="P145" s="161"/>
      <c r="Q145" s="161"/>
      <c r="R145" s="161"/>
      <c r="S145" s="161"/>
      <c r="T145" s="161"/>
    </row>
    <row r="146" spans="1:20" ht="13">
      <c r="A146" s="161"/>
      <c r="B146" s="161"/>
      <c r="C146" s="161"/>
      <c r="D146" s="161"/>
      <c r="E146" s="161"/>
      <c r="F146" s="161"/>
      <c r="G146" s="161"/>
      <c r="H146" s="161"/>
      <c r="I146" s="161"/>
      <c r="J146" s="161"/>
      <c r="K146" s="161"/>
      <c r="L146" s="161"/>
      <c r="M146" s="161"/>
      <c r="N146" s="161"/>
      <c r="O146" s="161"/>
      <c r="P146" s="161"/>
      <c r="Q146" s="161"/>
      <c r="R146" s="161"/>
      <c r="S146" s="161"/>
      <c r="T146" s="161"/>
    </row>
    <row r="147" spans="1:20" ht="13">
      <c r="A147" s="161"/>
      <c r="B147" s="161"/>
      <c r="C147" s="161"/>
      <c r="D147" s="161"/>
      <c r="E147" s="161"/>
      <c r="F147" s="161"/>
      <c r="G147" s="161"/>
      <c r="H147" s="161"/>
      <c r="I147" s="161"/>
      <c r="J147" s="161"/>
      <c r="K147" s="161"/>
      <c r="L147" s="161"/>
      <c r="M147" s="161"/>
      <c r="N147" s="161"/>
      <c r="O147" s="161"/>
      <c r="P147" s="161"/>
      <c r="Q147" s="161"/>
      <c r="R147" s="161"/>
      <c r="S147" s="161"/>
      <c r="T147" s="161"/>
    </row>
    <row r="148" spans="1:20" ht="13">
      <c r="A148" s="161"/>
      <c r="B148" s="161"/>
      <c r="C148" s="161"/>
      <c r="D148" s="161"/>
      <c r="E148" s="161"/>
      <c r="F148" s="161"/>
      <c r="G148" s="161"/>
      <c r="H148" s="161"/>
      <c r="I148" s="161"/>
      <c r="J148" s="161"/>
      <c r="K148" s="161"/>
      <c r="L148" s="161"/>
      <c r="M148" s="161"/>
      <c r="N148" s="161"/>
      <c r="O148" s="161"/>
      <c r="P148" s="161"/>
      <c r="Q148" s="161"/>
      <c r="R148" s="161"/>
      <c r="S148" s="161"/>
      <c r="T148" s="161"/>
    </row>
    <row r="149" spans="1:20" ht="13">
      <c r="A149" s="161"/>
      <c r="B149" s="161"/>
      <c r="C149" s="161"/>
      <c r="D149" s="161"/>
      <c r="E149" s="161"/>
      <c r="F149" s="161"/>
      <c r="G149" s="161"/>
      <c r="H149" s="161"/>
      <c r="I149" s="161"/>
      <c r="J149" s="161"/>
      <c r="K149" s="161"/>
      <c r="L149" s="161"/>
      <c r="M149" s="161"/>
      <c r="N149" s="161"/>
      <c r="O149" s="161"/>
      <c r="P149" s="161"/>
      <c r="Q149" s="161"/>
      <c r="R149" s="161"/>
      <c r="S149" s="161"/>
      <c r="T149" s="161"/>
    </row>
    <row r="150" spans="1:20" ht="13">
      <c r="A150" s="161"/>
      <c r="B150" s="161"/>
      <c r="C150" s="161"/>
      <c r="D150" s="161"/>
      <c r="E150" s="161"/>
      <c r="F150" s="161"/>
      <c r="G150" s="161"/>
      <c r="H150" s="161"/>
      <c r="I150" s="161"/>
      <c r="J150" s="161"/>
      <c r="K150" s="161"/>
      <c r="L150" s="161"/>
      <c r="M150" s="161"/>
      <c r="N150" s="161"/>
      <c r="O150" s="161"/>
      <c r="P150" s="161"/>
      <c r="Q150" s="161"/>
      <c r="R150" s="161"/>
      <c r="S150" s="161"/>
      <c r="T150" s="161"/>
    </row>
    <row r="151" spans="1:20" ht="13">
      <c r="A151" s="161"/>
      <c r="B151" s="161"/>
      <c r="C151" s="161"/>
      <c r="D151" s="161"/>
      <c r="E151" s="161"/>
      <c r="F151" s="161"/>
      <c r="G151" s="161"/>
      <c r="H151" s="161"/>
      <c r="I151" s="161"/>
      <c r="J151" s="161"/>
      <c r="K151" s="161"/>
      <c r="L151" s="161"/>
      <c r="M151" s="161"/>
      <c r="N151" s="161"/>
      <c r="O151" s="161"/>
      <c r="P151" s="161"/>
      <c r="Q151" s="161"/>
      <c r="R151" s="161"/>
      <c r="S151" s="161"/>
      <c r="T151" s="161"/>
    </row>
    <row r="152" spans="1:20" ht="13">
      <c r="A152" s="161"/>
      <c r="B152" s="161"/>
      <c r="C152" s="161"/>
      <c r="D152" s="161"/>
      <c r="E152" s="161"/>
      <c r="F152" s="161"/>
      <c r="G152" s="161"/>
      <c r="H152" s="161"/>
      <c r="I152" s="161"/>
      <c r="J152" s="161"/>
      <c r="K152" s="161"/>
      <c r="L152" s="161"/>
      <c r="M152" s="161"/>
      <c r="N152" s="161"/>
      <c r="O152" s="161"/>
      <c r="P152" s="161"/>
      <c r="Q152" s="161"/>
      <c r="R152" s="161"/>
      <c r="S152" s="161"/>
      <c r="T152" s="161"/>
    </row>
    <row r="153" spans="1:20" ht="13">
      <c r="A153" s="161"/>
      <c r="B153" s="161"/>
      <c r="C153" s="161"/>
      <c r="D153" s="161"/>
      <c r="E153" s="161"/>
      <c r="F153" s="161"/>
      <c r="G153" s="161"/>
      <c r="H153" s="161"/>
      <c r="I153" s="161"/>
      <c r="J153" s="161"/>
      <c r="K153" s="161"/>
      <c r="L153" s="161"/>
      <c r="M153" s="161"/>
      <c r="N153" s="161"/>
      <c r="O153" s="161"/>
      <c r="P153" s="161"/>
      <c r="Q153" s="161"/>
      <c r="R153" s="161"/>
      <c r="S153" s="161"/>
      <c r="T153" s="161"/>
    </row>
    <row r="154" spans="1:20" ht="13">
      <c r="A154" s="161"/>
      <c r="B154" s="161"/>
      <c r="C154" s="161"/>
      <c r="D154" s="161"/>
      <c r="E154" s="161"/>
      <c r="F154" s="161"/>
      <c r="G154" s="161"/>
      <c r="H154" s="161"/>
      <c r="I154" s="161"/>
      <c r="J154" s="161"/>
      <c r="K154" s="161"/>
      <c r="L154" s="161"/>
      <c r="M154" s="161"/>
      <c r="N154" s="161"/>
      <c r="O154" s="161"/>
      <c r="P154" s="161"/>
      <c r="Q154" s="161"/>
      <c r="R154" s="161"/>
      <c r="S154" s="161"/>
      <c r="T154" s="161"/>
    </row>
    <row r="155" spans="1:20" ht="13">
      <c r="A155" s="161"/>
      <c r="B155" s="161"/>
      <c r="C155" s="161"/>
      <c r="D155" s="161"/>
      <c r="E155" s="161"/>
      <c r="F155" s="161"/>
      <c r="G155" s="161"/>
      <c r="H155" s="161"/>
      <c r="I155" s="161"/>
      <c r="J155" s="161"/>
      <c r="K155" s="161"/>
      <c r="L155" s="161"/>
      <c r="M155" s="161"/>
      <c r="N155" s="161"/>
      <c r="O155" s="161"/>
      <c r="P155" s="161"/>
      <c r="Q155" s="161"/>
      <c r="R155" s="161"/>
      <c r="S155" s="161"/>
      <c r="T155" s="161"/>
    </row>
    <row r="156" spans="1:20" ht="13">
      <c r="A156" s="161"/>
      <c r="B156" s="161"/>
      <c r="C156" s="161"/>
      <c r="D156" s="161"/>
      <c r="E156" s="161"/>
      <c r="F156" s="161"/>
      <c r="G156" s="161"/>
      <c r="H156" s="161"/>
      <c r="I156" s="161"/>
      <c r="J156" s="161"/>
      <c r="K156" s="161"/>
      <c r="L156" s="161"/>
      <c r="M156" s="161"/>
      <c r="N156" s="161"/>
      <c r="O156" s="161"/>
      <c r="P156" s="161"/>
      <c r="Q156" s="161"/>
      <c r="R156" s="161"/>
      <c r="S156" s="161"/>
      <c r="T156" s="161"/>
    </row>
    <row r="157" spans="1:20" ht="13">
      <c r="A157" s="161"/>
      <c r="B157" s="161"/>
      <c r="C157" s="161"/>
      <c r="D157" s="161"/>
      <c r="E157" s="161"/>
      <c r="F157" s="161"/>
      <c r="G157" s="161"/>
      <c r="H157" s="161"/>
      <c r="I157" s="161"/>
      <c r="J157" s="161"/>
      <c r="K157" s="161"/>
      <c r="L157" s="161"/>
      <c r="M157" s="161"/>
      <c r="N157" s="161"/>
      <c r="O157" s="161"/>
      <c r="P157" s="161"/>
      <c r="Q157" s="161"/>
      <c r="R157" s="161"/>
      <c r="S157" s="161"/>
      <c r="T157" s="161"/>
    </row>
    <row r="158" spans="1:20" ht="13">
      <c r="A158" s="161"/>
      <c r="B158" s="161"/>
      <c r="C158" s="161"/>
      <c r="D158" s="161"/>
      <c r="E158" s="161"/>
      <c r="F158" s="161"/>
      <c r="G158" s="161"/>
      <c r="H158" s="161"/>
      <c r="I158" s="161"/>
      <c r="J158" s="161"/>
      <c r="K158" s="161"/>
      <c r="L158" s="161"/>
      <c r="M158" s="161"/>
      <c r="N158" s="161"/>
      <c r="O158" s="161"/>
      <c r="P158" s="161"/>
      <c r="Q158" s="161"/>
      <c r="R158" s="161"/>
      <c r="S158" s="161"/>
      <c r="T158" s="161"/>
    </row>
    <row r="159" spans="1:20" ht="13">
      <c r="A159" s="161"/>
      <c r="B159" s="161"/>
      <c r="C159" s="161"/>
      <c r="D159" s="161"/>
      <c r="E159" s="161"/>
      <c r="F159" s="161"/>
      <c r="G159" s="161"/>
      <c r="H159" s="161"/>
      <c r="I159" s="161"/>
      <c r="J159" s="161"/>
      <c r="K159" s="161"/>
      <c r="L159" s="161"/>
      <c r="M159" s="161"/>
      <c r="N159" s="161"/>
      <c r="O159" s="161"/>
      <c r="P159" s="161"/>
      <c r="Q159" s="161"/>
      <c r="R159" s="161"/>
      <c r="S159" s="161"/>
      <c r="T159" s="161"/>
    </row>
    <row r="160" spans="1:20" ht="13">
      <c r="A160" s="161"/>
      <c r="B160" s="161"/>
      <c r="C160" s="161"/>
      <c r="D160" s="161"/>
      <c r="E160" s="161"/>
      <c r="F160" s="161"/>
      <c r="G160" s="161"/>
      <c r="H160" s="161"/>
      <c r="I160" s="161"/>
      <c r="J160" s="161"/>
      <c r="K160" s="161"/>
      <c r="L160" s="161"/>
      <c r="M160" s="161"/>
      <c r="N160" s="161"/>
      <c r="O160" s="161"/>
      <c r="P160" s="161"/>
      <c r="Q160" s="161"/>
      <c r="R160" s="161"/>
      <c r="S160" s="161"/>
      <c r="T160" s="161"/>
    </row>
    <row r="161" spans="1:20" ht="13">
      <c r="A161" s="161"/>
      <c r="B161" s="161"/>
      <c r="C161" s="161"/>
      <c r="D161" s="161"/>
      <c r="E161" s="161"/>
      <c r="F161" s="161"/>
      <c r="G161" s="161"/>
      <c r="H161" s="161"/>
      <c r="I161" s="161"/>
      <c r="J161" s="161"/>
      <c r="K161" s="161"/>
      <c r="L161" s="161"/>
      <c r="M161" s="161"/>
      <c r="N161" s="161"/>
      <c r="O161" s="161"/>
      <c r="P161" s="161"/>
      <c r="Q161" s="161"/>
      <c r="R161" s="161"/>
      <c r="S161" s="161"/>
      <c r="T161" s="161"/>
    </row>
    <row r="162" spans="1:20" ht="13">
      <c r="A162" s="161"/>
      <c r="B162" s="161"/>
      <c r="C162" s="161"/>
      <c r="D162" s="161"/>
      <c r="E162" s="161"/>
      <c r="F162" s="161"/>
      <c r="G162" s="161"/>
      <c r="H162" s="161"/>
      <c r="I162" s="161"/>
      <c r="J162" s="161"/>
      <c r="K162" s="161"/>
      <c r="L162" s="161"/>
      <c r="M162" s="161"/>
      <c r="N162" s="161"/>
      <c r="O162" s="161"/>
      <c r="P162" s="161"/>
      <c r="Q162" s="161"/>
      <c r="R162" s="161"/>
      <c r="S162" s="161"/>
      <c r="T162" s="161"/>
    </row>
    <row r="163" spans="1:20" ht="13">
      <c r="A163" s="161"/>
      <c r="B163" s="161"/>
      <c r="C163" s="161"/>
      <c r="D163" s="161"/>
      <c r="E163" s="161"/>
      <c r="F163" s="161"/>
      <c r="G163" s="161"/>
      <c r="H163" s="161"/>
      <c r="I163" s="161"/>
      <c r="J163" s="161"/>
      <c r="K163" s="161"/>
      <c r="L163" s="161"/>
      <c r="M163" s="161"/>
      <c r="N163" s="161"/>
      <c r="O163" s="161"/>
      <c r="P163" s="161"/>
      <c r="Q163" s="161"/>
      <c r="R163" s="161"/>
      <c r="S163" s="161"/>
      <c r="T163" s="161"/>
    </row>
    <row r="164" spans="1:20" ht="13">
      <c r="A164" s="161"/>
      <c r="B164" s="161"/>
      <c r="C164" s="161"/>
      <c r="D164" s="161"/>
      <c r="E164" s="161"/>
      <c r="F164" s="161"/>
      <c r="G164" s="161"/>
      <c r="H164" s="161"/>
      <c r="I164" s="161"/>
      <c r="J164" s="161"/>
      <c r="K164" s="161"/>
      <c r="L164" s="161"/>
      <c r="M164" s="161"/>
      <c r="N164" s="161"/>
      <c r="O164" s="161"/>
      <c r="P164" s="161"/>
      <c r="Q164" s="161"/>
      <c r="R164" s="161"/>
      <c r="S164" s="161"/>
      <c r="T164" s="161"/>
    </row>
    <row r="165" spans="1:20" ht="13">
      <c r="A165" s="161"/>
      <c r="B165" s="161"/>
      <c r="C165" s="161"/>
      <c r="D165" s="161"/>
      <c r="E165" s="161"/>
      <c r="F165" s="161"/>
      <c r="G165" s="161"/>
      <c r="H165" s="161"/>
      <c r="I165" s="161"/>
      <c r="J165" s="161"/>
      <c r="K165" s="161"/>
      <c r="L165" s="161"/>
      <c r="M165" s="161"/>
      <c r="N165" s="161"/>
      <c r="O165" s="161"/>
      <c r="P165" s="161"/>
      <c r="Q165" s="161"/>
      <c r="R165" s="161"/>
      <c r="S165" s="161"/>
      <c r="T165" s="161"/>
    </row>
    <row r="166" spans="1:20" ht="13">
      <c r="A166" s="161"/>
      <c r="B166" s="161"/>
      <c r="C166" s="161"/>
      <c r="D166" s="161"/>
      <c r="E166" s="161"/>
      <c r="F166" s="161"/>
      <c r="G166" s="161"/>
      <c r="H166" s="161"/>
      <c r="I166" s="161"/>
      <c r="J166" s="161"/>
      <c r="K166" s="161"/>
      <c r="L166" s="161"/>
      <c r="M166" s="161"/>
      <c r="N166" s="161"/>
      <c r="O166" s="161"/>
      <c r="P166" s="161"/>
      <c r="Q166" s="161"/>
      <c r="R166" s="161"/>
      <c r="S166" s="161"/>
      <c r="T166" s="161"/>
    </row>
    <row r="167" spans="1:20" ht="13">
      <c r="A167" s="161"/>
      <c r="B167" s="161"/>
      <c r="C167" s="161"/>
      <c r="D167" s="161"/>
      <c r="E167" s="161"/>
      <c r="F167" s="161"/>
      <c r="G167" s="161"/>
      <c r="H167" s="161"/>
      <c r="I167" s="161"/>
      <c r="J167" s="161"/>
      <c r="K167" s="161"/>
      <c r="L167" s="161"/>
      <c r="M167" s="161"/>
      <c r="N167" s="161"/>
      <c r="O167" s="161"/>
      <c r="P167" s="161"/>
      <c r="Q167" s="161"/>
      <c r="R167" s="161"/>
      <c r="S167" s="161"/>
      <c r="T167" s="161"/>
    </row>
    <row r="168" spans="1:20" ht="13">
      <c r="A168" s="161"/>
      <c r="B168" s="161"/>
      <c r="C168" s="161"/>
      <c r="D168" s="161"/>
      <c r="E168" s="161"/>
      <c r="F168" s="161"/>
      <c r="G168" s="161"/>
      <c r="H168" s="161"/>
      <c r="I168" s="161"/>
      <c r="J168" s="161"/>
      <c r="K168" s="161"/>
      <c r="L168" s="161"/>
      <c r="M168" s="161"/>
      <c r="N168" s="161"/>
      <c r="O168" s="161"/>
      <c r="P168" s="161"/>
      <c r="Q168" s="161"/>
      <c r="R168" s="161"/>
      <c r="S168" s="161"/>
      <c r="T168" s="161"/>
    </row>
    <row r="169" spans="1:20" ht="13">
      <c r="A169" s="161"/>
      <c r="B169" s="161"/>
      <c r="C169" s="161"/>
      <c r="D169" s="161"/>
      <c r="E169" s="161"/>
      <c r="F169" s="161"/>
      <c r="G169" s="161"/>
      <c r="H169" s="161"/>
      <c r="I169" s="161"/>
      <c r="J169" s="161"/>
      <c r="K169" s="161"/>
      <c r="L169" s="161"/>
      <c r="M169" s="161"/>
      <c r="N169" s="161"/>
      <c r="O169" s="161"/>
      <c r="P169" s="161"/>
      <c r="Q169" s="161"/>
      <c r="R169" s="161"/>
      <c r="S169" s="161"/>
      <c r="T169" s="161"/>
    </row>
    <row r="170" spans="1:20" ht="13">
      <c r="A170" s="161"/>
      <c r="B170" s="161"/>
      <c r="C170" s="161"/>
      <c r="D170" s="161"/>
      <c r="E170" s="161"/>
      <c r="F170" s="161"/>
      <c r="G170" s="161"/>
      <c r="H170" s="161"/>
      <c r="I170" s="161"/>
      <c r="J170" s="161"/>
      <c r="K170" s="161"/>
      <c r="L170" s="161"/>
      <c r="M170" s="161"/>
      <c r="N170" s="161"/>
      <c r="O170" s="161"/>
      <c r="P170" s="161"/>
      <c r="Q170" s="161"/>
      <c r="R170" s="161"/>
      <c r="S170" s="161"/>
      <c r="T170" s="161"/>
    </row>
    <row r="171" spans="1:20" ht="13">
      <c r="A171" s="161"/>
      <c r="B171" s="161"/>
      <c r="C171" s="161"/>
      <c r="D171" s="161"/>
      <c r="E171" s="161"/>
      <c r="F171" s="161"/>
      <c r="G171" s="161"/>
      <c r="H171" s="161"/>
      <c r="I171" s="161"/>
      <c r="J171" s="161"/>
      <c r="K171" s="161"/>
      <c r="L171" s="161"/>
      <c r="M171" s="161"/>
      <c r="N171" s="161"/>
      <c r="O171" s="161"/>
      <c r="P171" s="161"/>
      <c r="Q171" s="161"/>
      <c r="R171" s="161"/>
      <c r="S171" s="161"/>
      <c r="T171" s="161"/>
    </row>
    <row r="172" spans="1:20" ht="13">
      <c r="A172" s="161"/>
      <c r="B172" s="161"/>
      <c r="C172" s="161"/>
      <c r="D172" s="161"/>
      <c r="E172" s="161"/>
      <c r="F172" s="161"/>
      <c r="G172" s="161"/>
      <c r="H172" s="161"/>
      <c r="I172" s="161"/>
      <c r="J172" s="161"/>
      <c r="K172" s="161"/>
      <c r="L172" s="161"/>
      <c r="M172" s="161"/>
      <c r="N172" s="161"/>
      <c r="O172" s="161"/>
      <c r="P172" s="161"/>
      <c r="Q172" s="161"/>
      <c r="R172" s="161"/>
      <c r="S172" s="161"/>
      <c r="T172" s="161"/>
    </row>
    <row r="173" spans="1:20" ht="13">
      <c r="A173" s="161"/>
      <c r="B173" s="161"/>
      <c r="C173" s="161"/>
      <c r="D173" s="161"/>
      <c r="E173" s="161"/>
      <c r="F173" s="161"/>
      <c r="G173" s="161"/>
      <c r="H173" s="161"/>
      <c r="I173" s="161"/>
      <c r="J173" s="161"/>
      <c r="K173" s="161"/>
      <c r="L173" s="161"/>
      <c r="M173" s="161"/>
      <c r="N173" s="161"/>
      <c r="O173" s="161"/>
      <c r="P173" s="161"/>
      <c r="Q173" s="161"/>
      <c r="R173" s="161"/>
      <c r="S173" s="161"/>
      <c r="T173" s="161"/>
    </row>
    <row r="174" spans="1:20" ht="13">
      <c r="A174" s="161"/>
      <c r="B174" s="161"/>
      <c r="C174" s="161"/>
      <c r="D174" s="161"/>
      <c r="E174" s="161"/>
      <c r="F174" s="161"/>
      <c r="G174" s="161"/>
      <c r="H174" s="161"/>
      <c r="I174" s="161"/>
      <c r="J174" s="161"/>
      <c r="K174" s="161"/>
      <c r="L174" s="161"/>
      <c r="M174" s="161"/>
      <c r="N174" s="161"/>
      <c r="O174" s="161"/>
      <c r="P174" s="161"/>
      <c r="Q174" s="161"/>
      <c r="R174" s="161"/>
      <c r="S174" s="161"/>
      <c r="T174" s="161"/>
    </row>
    <row r="175" spans="1:20" ht="13">
      <c r="A175" s="161"/>
      <c r="B175" s="161"/>
      <c r="C175" s="161"/>
      <c r="D175" s="161"/>
      <c r="E175" s="161"/>
      <c r="F175" s="161"/>
      <c r="G175" s="161"/>
      <c r="H175" s="161"/>
      <c r="I175" s="161"/>
      <c r="J175" s="161"/>
      <c r="K175" s="161"/>
      <c r="L175" s="161"/>
      <c r="M175" s="161"/>
      <c r="N175" s="161"/>
      <c r="O175" s="161"/>
      <c r="P175" s="161"/>
      <c r="Q175" s="161"/>
      <c r="R175" s="161"/>
      <c r="S175" s="161"/>
      <c r="T175" s="161"/>
    </row>
    <row r="176" spans="1:20" ht="13">
      <c r="A176" s="161"/>
      <c r="B176" s="161"/>
      <c r="C176" s="161"/>
      <c r="D176" s="161"/>
      <c r="E176" s="161"/>
      <c r="F176" s="161"/>
      <c r="G176" s="161"/>
      <c r="H176" s="161"/>
      <c r="I176" s="161"/>
      <c r="J176" s="161"/>
      <c r="K176" s="161"/>
      <c r="L176" s="161"/>
      <c r="M176" s="161"/>
      <c r="N176" s="161"/>
      <c r="O176" s="161"/>
      <c r="P176" s="161"/>
      <c r="Q176" s="161"/>
      <c r="R176" s="161"/>
      <c r="S176" s="161"/>
      <c r="T176" s="161"/>
    </row>
    <row r="177" spans="1:20" ht="13">
      <c r="A177" s="161"/>
      <c r="B177" s="161"/>
      <c r="C177" s="161"/>
      <c r="D177" s="161"/>
      <c r="E177" s="161"/>
      <c r="F177" s="161"/>
      <c r="G177" s="161"/>
      <c r="H177" s="161"/>
      <c r="I177" s="161"/>
      <c r="J177" s="161"/>
      <c r="K177" s="161"/>
      <c r="L177" s="161"/>
      <c r="M177" s="161"/>
      <c r="N177" s="161"/>
      <c r="O177" s="161"/>
      <c r="P177" s="161"/>
      <c r="Q177" s="161"/>
      <c r="R177" s="161"/>
      <c r="S177" s="161"/>
      <c r="T177" s="161"/>
    </row>
    <row r="178" spans="1:20" ht="13">
      <c r="A178" s="161"/>
      <c r="B178" s="161"/>
      <c r="C178" s="161"/>
      <c r="D178" s="161"/>
      <c r="E178" s="161"/>
      <c r="F178" s="161"/>
      <c r="G178" s="161"/>
      <c r="H178" s="161"/>
      <c r="I178" s="161"/>
      <c r="J178" s="161"/>
      <c r="K178" s="161"/>
      <c r="L178" s="161"/>
      <c r="M178" s="161"/>
      <c r="N178" s="161"/>
      <c r="O178" s="161"/>
      <c r="P178" s="161"/>
      <c r="Q178" s="161"/>
      <c r="R178" s="161"/>
      <c r="S178" s="161"/>
      <c r="T178" s="161"/>
    </row>
    <row r="179" spans="1:20" ht="13">
      <c r="A179" s="161"/>
      <c r="B179" s="161"/>
      <c r="C179" s="161"/>
      <c r="D179" s="161"/>
      <c r="E179" s="161"/>
      <c r="F179" s="161"/>
      <c r="G179" s="161"/>
      <c r="H179" s="161"/>
      <c r="I179" s="161"/>
      <c r="J179" s="161"/>
      <c r="K179" s="161"/>
      <c r="L179" s="161"/>
      <c r="M179" s="161"/>
      <c r="N179" s="161"/>
      <c r="O179" s="161"/>
      <c r="P179" s="161"/>
      <c r="Q179" s="161"/>
      <c r="R179" s="161"/>
      <c r="S179" s="161"/>
      <c r="T179" s="161"/>
    </row>
    <row r="180" spans="1:20" ht="13">
      <c r="A180" s="161"/>
      <c r="B180" s="161"/>
      <c r="C180" s="161"/>
      <c r="D180" s="161"/>
      <c r="E180" s="161"/>
      <c r="F180" s="161"/>
      <c r="G180" s="161"/>
      <c r="H180" s="161"/>
      <c r="I180" s="161"/>
      <c r="J180" s="161"/>
      <c r="K180" s="161"/>
      <c r="L180" s="161"/>
      <c r="M180" s="161"/>
      <c r="N180" s="161"/>
      <c r="O180" s="161"/>
      <c r="P180" s="161"/>
      <c r="Q180" s="161"/>
      <c r="R180" s="161"/>
      <c r="S180" s="161"/>
      <c r="T180" s="161"/>
    </row>
    <row r="181" spans="1:20" ht="13">
      <c r="A181" s="161"/>
      <c r="B181" s="161"/>
      <c r="C181" s="161"/>
      <c r="D181" s="161"/>
      <c r="E181" s="161"/>
      <c r="F181" s="161"/>
      <c r="G181" s="161"/>
      <c r="H181" s="161"/>
      <c r="I181" s="161"/>
      <c r="J181" s="161"/>
      <c r="K181" s="161"/>
      <c r="L181" s="161"/>
      <c r="M181" s="161"/>
      <c r="N181" s="161"/>
      <c r="O181" s="161"/>
      <c r="P181" s="161"/>
      <c r="Q181" s="161"/>
      <c r="R181" s="161"/>
      <c r="S181" s="161"/>
      <c r="T181" s="161"/>
    </row>
    <row r="182" spans="1:20" ht="13">
      <c r="A182" s="161"/>
      <c r="B182" s="161"/>
      <c r="C182" s="161"/>
      <c r="D182" s="161"/>
      <c r="E182" s="161"/>
      <c r="F182" s="161"/>
      <c r="G182" s="161"/>
      <c r="H182" s="161"/>
      <c r="I182" s="161"/>
      <c r="J182" s="161"/>
      <c r="K182" s="161"/>
      <c r="L182" s="161"/>
      <c r="M182" s="161"/>
      <c r="N182" s="161"/>
      <c r="O182" s="161"/>
      <c r="P182" s="161"/>
      <c r="Q182" s="161"/>
      <c r="R182" s="161"/>
      <c r="S182" s="161"/>
      <c r="T182" s="161"/>
    </row>
    <row r="183" spans="1:20" ht="13">
      <c r="A183" s="161"/>
      <c r="B183" s="161"/>
      <c r="C183" s="161"/>
      <c r="D183" s="161"/>
      <c r="E183" s="161"/>
      <c r="F183" s="161"/>
      <c r="G183" s="161"/>
      <c r="H183" s="161"/>
      <c r="I183" s="161"/>
      <c r="J183" s="161"/>
      <c r="K183" s="161"/>
      <c r="L183" s="161"/>
      <c r="M183" s="161"/>
      <c r="N183" s="161"/>
      <c r="O183" s="161"/>
      <c r="P183" s="161"/>
      <c r="Q183" s="161"/>
      <c r="R183" s="161"/>
      <c r="S183" s="161"/>
      <c r="T183" s="161"/>
    </row>
    <row r="184" spans="1:20" ht="13">
      <c r="A184" s="161"/>
      <c r="B184" s="161"/>
      <c r="C184" s="161"/>
      <c r="D184" s="161"/>
      <c r="E184" s="161"/>
      <c r="F184" s="161"/>
      <c r="G184" s="161"/>
      <c r="H184" s="161"/>
      <c r="I184" s="161"/>
      <c r="J184" s="161"/>
      <c r="K184" s="161"/>
      <c r="L184" s="161"/>
      <c r="M184" s="161"/>
      <c r="N184" s="161"/>
      <c r="O184" s="161"/>
      <c r="P184" s="161"/>
      <c r="Q184" s="161"/>
      <c r="R184" s="161"/>
      <c r="S184" s="161"/>
      <c r="T184" s="161"/>
    </row>
    <row r="185" spans="1:20" ht="13">
      <c r="A185" s="161"/>
      <c r="B185" s="161"/>
      <c r="C185" s="161"/>
      <c r="D185" s="161"/>
      <c r="E185" s="161"/>
      <c r="F185" s="161"/>
      <c r="G185" s="161"/>
      <c r="H185" s="161"/>
      <c r="I185" s="161"/>
      <c r="J185" s="161"/>
      <c r="K185" s="161"/>
      <c r="L185" s="161"/>
      <c r="M185" s="161"/>
      <c r="N185" s="161"/>
      <c r="O185" s="161"/>
      <c r="P185" s="161"/>
      <c r="Q185" s="161"/>
      <c r="R185" s="161"/>
      <c r="S185" s="161"/>
      <c r="T185" s="161"/>
    </row>
    <row r="186" spans="1:20" ht="13">
      <c r="A186" s="161"/>
      <c r="B186" s="161"/>
      <c r="C186" s="161"/>
      <c r="D186" s="161"/>
      <c r="E186" s="161"/>
      <c r="F186" s="161"/>
      <c r="G186" s="161"/>
      <c r="H186" s="161"/>
      <c r="I186" s="161"/>
      <c r="J186" s="161"/>
      <c r="K186" s="161"/>
      <c r="L186" s="161"/>
      <c r="M186" s="161"/>
      <c r="N186" s="161"/>
      <c r="O186" s="161"/>
      <c r="P186" s="161"/>
      <c r="Q186" s="161"/>
      <c r="R186" s="161"/>
      <c r="S186" s="161"/>
      <c r="T186" s="161"/>
    </row>
    <row r="187" spans="1:20" ht="13">
      <c r="A187" s="161"/>
      <c r="B187" s="161"/>
      <c r="C187" s="161"/>
      <c r="D187" s="161"/>
      <c r="E187" s="161"/>
      <c r="F187" s="161"/>
      <c r="G187" s="161"/>
      <c r="H187" s="161"/>
      <c r="I187" s="161"/>
      <c r="J187" s="161"/>
      <c r="K187" s="161"/>
      <c r="L187" s="161"/>
      <c r="M187" s="161"/>
      <c r="N187" s="161"/>
      <c r="O187" s="161"/>
      <c r="P187" s="161"/>
      <c r="Q187" s="161"/>
      <c r="R187" s="161"/>
      <c r="S187" s="161"/>
      <c r="T187" s="161"/>
    </row>
    <row r="188" spans="1:20" ht="13">
      <c r="A188" s="161"/>
      <c r="B188" s="161"/>
      <c r="C188" s="161"/>
      <c r="D188" s="161"/>
      <c r="E188" s="161"/>
      <c r="F188" s="161"/>
      <c r="G188" s="161"/>
      <c r="H188" s="161"/>
      <c r="I188" s="161"/>
      <c r="J188" s="161"/>
      <c r="K188" s="161"/>
      <c r="L188" s="161"/>
      <c r="M188" s="161"/>
      <c r="N188" s="161"/>
      <c r="O188" s="161"/>
      <c r="P188" s="161"/>
      <c r="Q188" s="161"/>
      <c r="R188" s="161"/>
      <c r="S188" s="161"/>
      <c r="T188" s="161"/>
    </row>
    <row r="189" spans="1:20" ht="13">
      <c r="A189" s="161"/>
      <c r="B189" s="161"/>
      <c r="C189" s="161"/>
      <c r="D189" s="161"/>
      <c r="E189" s="161"/>
      <c r="F189" s="161"/>
      <c r="G189" s="161"/>
      <c r="H189" s="161"/>
      <c r="I189" s="161"/>
      <c r="J189" s="161"/>
      <c r="K189" s="161"/>
      <c r="L189" s="161"/>
      <c r="M189" s="161"/>
      <c r="N189" s="161"/>
      <c r="O189" s="161"/>
      <c r="P189" s="161"/>
      <c r="Q189" s="161"/>
      <c r="R189" s="161"/>
      <c r="S189" s="161"/>
      <c r="T189" s="161"/>
    </row>
    <row r="190" spans="1:20" ht="13">
      <c r="A190" s="161"/>
      <c r="B190" s="161"/>
      <c r="C190" s="161"/>
      <c r="D190" s="161"/>
      <c r="E190" s="161"/>
      <c r="F190" s="161"/>
      <c r="G190" s="161"/>
      <c r="H190" s="161"/>
      <c r="I190" s="161"/>
      <c r="J190" s="161"/>
      <c r="K190" s="161"/>
      <c r="L190" s="161"/>
      <c r="M190" s="161"/>
      <c r="N190" s="161"/>
      <c r="O190" s="161"/>
      <c r="P190" s="161"/>
      <c r="Q190" s="161"/>
      <c r="R190" s="161"/>
      <c r="S190" s="161"/>
      <c r="T190" s="161"/>
    </row>
    <row r="191" spans="1:20" ht="13">
      <c r="A191" s="161"/>
      <c r="B191" s="161"/>
      <c r="C191" s="161"/>
      <c r="D191" s="161"/>
      <c r="E191" s="161"/>
      <c r="F191" s="161"/>
      <c r="G191" s="161"/>
      <c r="H191" s="161"/>
      <c r="I191" s="161"/>
      <c r="J191" s="161"/>
      <c r="K191" s="161"/>
      <c r="L191" s="161"/>
      <c r="M191" s="161"/>
      <c r="N191" s="161"/>
      <c r="O191" s="161"/>
      <c r="P191" s="161"/>
      <c r="Q191" s="161"/>
      <c r="R191" s="161"/>
      <c r="S191" s="161"/>
      <c r="T191" s="161"/>
    </row>
    <row r="192" spans="1:20" ht="13">
      <c r="A192" s="161"/>
      <c r="B192" s="161"/>
      <c r="C192" s="161"/>
      <c r="D192" s="161"/>
      <c r="E192" s="161"/>
      <c r="F192" s="161"/>
      <c r="G192" s="161"/>
      <c r="H192" s="161"/>
      <c r="I192" s="161"/>
      <c r="J192" s="161"/>
      <c r="K192" s="161"/>
      <c r="L192" s="161"/>
      <c r="M192" s="161"/>
      <c r="N192" s="161"/>
      <c r="O192" s="161"/>
      <c r="P192" s="161"/>
      <c r="Q192" s="161"/>
      <c r="R192" s="161"/>
      <c r="S192" s="161"/>
      <c r="T192" s="161"/>
    </row>
    <row r="193" spans="1:20" ht="13">
      <c r="A193" s="161"/>
      <c r="B193" s="161"/>
      <c r="C193" s="161"/>
      <c r="D193" s="161"/>
      <c r="E193" s="161"/>
      <c r="F193" s="161"/>
      <c r="G193" s="161"/>
      <c r="H193" s="161"/>
      <c r="I193" s="161"/>
      <c r="J193" s="161"/>
      <c r="K193" s="161"/>
      <c r="L193" s="161"/>
      <c r="M193" s="161"/>
      <c r="N193" s="161"/>
      <c r="O193" s="161"/>
      <c r="P193" s="161"/>
      <c r="Q193" s="161"/>
      <c r="R193" s="161"/>
      <c r="S193" s="161"/>
      <c r="T193" s="161"/>
    </row>
    <row r="194" spans="1:20" ht="13">
      <c r="A194" s="161"/>
      <c r="B194" s="161"/>
      <c r="C194" s="161"/>
      <c r="D194" s="161"/>
      <c r="E194" s="161"/>
      <c r="F194" s="161"/>
      <c r="G194" s="161"/>
      <c r="H194" s="161"/>
      <c r="I194" s="161"/>
      <c r="J194" s="161"/>
      <c r="K194" s="161"/>
      <c r="L194" s="161"/>
      <c r="M194" s="161"/>
      <c r="N194" s="161"/>
      <c r="O194" s="161"/>
      <c r="P194" s="161"/>
      <c r="Q194" s="161"/>
      <c r="R194" s="161"/>
      <c r="S194" s="161"/>
      <c r="T194" s="161"/>
    </row>
    <row r="195" spans="1:20" ht="13">
      <c r="A195" s="161"/>
      <c r="B195" s="161"/>
      <c r="C195" s="161"/>
      <c r="D195" s="161"/>
      <c r="E195" s="161"/>
      <c r="F195" s="161"/>
      <c r="G195" s="161"/>
      <c r="H195" s="161"/>
      <c r="I195" s="161"/>
      <c r="J195" s="161"/>
      <c r="K195" s="161"/>
      <c r="L195" s="161"/>
      <c r="M195" s="161"/>
      <c r="N195" s="161"/>
      <c r="O195" s="161"/>
      <c r="P195" s="161"/>
      <c r="Q195" s="161"/>
      <c r="R195" s="161"/>
      <c r="S195" s="161"/>
      <c r="T195" s="161"/>
    </row>
    <row r="196" spans="1:20" ht="13">
      <c r="A196" s="161"/>
      <c r="B196" s="161"/>
      <c r="C196" s="161"/>
      <c r="D196" s="161"/>
      <c r="E196" s="161"/>
      <c r="F196" s="161"/>
      <c r="G196" s="161"/>
      <c r="H196" s="161"/>
      <c r="I196" s="161"/>
      <c r="J196" s="161"/>
      <c r="K196" s="161"/>
      <c r="L196" s="161"/>
      <c r="M196" s="161"/>
      <c r="N196" s="161"/>
      <c r="O196" s="161"/>
      <c r="P196" s="161"/>
      <c r="Q196" s="161"/>
      <c r="R196" s="161"/>
      <c r="S196" s="161"/>
      <c r="T196" s="161"/>
    </row>
    <row r="197" spans="1:20" ht="13">
      <c r="A197" s="161"/>
      <c r="B197" s="161"/>
      <c r="C197" s="161"/>
      <c r="D197" s="161"/>
      <c r="E197" s="161"/>
      <c r="F197" s="161"/>
      <c r="G197" s="161"/>
      <c r="H197" s="161"/>
      <c r="I197" s="161"/>
      <c r="J197" s="161"/>
      <c r="K197" s="161"/>
      <c r="L197" s="161"/>
      <c r="M197" s="161"/>
      <c r="N197" s="161"/>
      <c r="O197" s="161"/>
      <c r="P197" s="161"/>
      <c r="Q197" s="161"/>
      <c r="R197" s="161"/>
      <c r="S197" s="161"/>
      <c r="T197" s="161"/>
    </row>
    <row r="198" spans="1:20" ht="13">
      <c r="A198" s="161"/>
      <c r="B198" s="161"/>
      <c r="C198" s="161"/>
      <c r="D198" s="161"/>
      <c r="E198" s="161"/>
      <c r="F198" s="161"/>
      <c r="G198" s="161"/>
      <c r="H198" s="161"/>
      <c r="I198" s="161"/>
      <c r="J198" s="161"/>
      <c r="K198" s="161"/>
      <c r="L198" s="161"/>
      <c r="M198" s="161"/>
      <c r="N198" s="161"/>
      <c r="O198" s="161"/>
      <c r="P198" s="161"/>
      <c r="Q198" s="161"/>
      <c r="R198" s="161"/>
      <c r="S198" s="161"/>
      <c r="T198" s="161"/>
    </row>
    <row r="199" spans="1:20" ht="13">
      <c r="A199" s="161"/>
      <c r="B199" s="161"/>
      <c r="C199" s="161"/>
      <c r="D199" s="161"/>
      <c r="E199" s="161"/>
      <c r="F199" s="161"/>
      <c r="G199" s="161"/>
      <c r="H199" s="161"/>
      <c r="I199" s="161"/>
      <c r="J199" s="161"/>
      <c r="K199" s="161"/>
      <c r="L199" s="161"/>
      <c r="M199" s="161"/>
      <c r="N199" s="161"/>
      <c r="O199" s="161"/>
      <c r="P199" s="161"/>
      <c r="Q199" s="161"/>
      <c r="R199" s="161"/>
      <c r="S199" s="161"/>
      <c r="T199" s="161"/>
    </row>
    <row r="200" spans="1:20" ht="13">
      <c r="A200" s="161"/>
      <c r="B200" s="161"/>
      <c r="C200" s="161"/>
      <c r="D200" s="161"/>
      <c r="E200" s="161"/>
      <c r="F200" s="161"/>
      <c r="G200" s="161"/>
      <c r="H200" s="161"/>
      <c r="I200" s="161"/>
      <c r="J200" s="161"/>
      <c r="K200" s="161"/>
      <c r="L200" s="161"/>
      <c r="M200" s="161"/>
      <c r="N200" s="161"/>
      <c r="O200" s="161"/>
      <c r="P200" s="161"/>
      <c r="Q200" s="161"/>
      <c r="R200" s="161"/>
      <c r="S200" s="161"/>
      <c r="T200" s="161"/>
    </row>
    <row r="201" spans="1:20" ht="13">
      <c r="A201" s="161"/>
      <c r="B201" s="161"/>
      <c r="C201" s="161"/>
      <c r="D201" s="161"/>
      <c r="E201" s="161"/>
      <c r="F201" s="161"/>
      <c r="G201" s="161"/>
      <c r="H201" s="161"/>
      <c r="I201" s="161"/>
      <c r="J201" s="161"/>
      <c r="K201" s="161"/>
      <c r="L201" s="161"/>
      <c r="M201" s="161"/>
      <c r="N201" s="161"/>
      <c r="O201" s="161"/>
      <c r="P201" s="161"/>
      <c r="Q201" s="161"/>
      <c r="R201" s="161"/>
      <c r="S201" s="161"/>
      <c r="T201" s="161"/>
    </row>
    <row r="202" spans="1:20" ht="13">
      <c r="A202" s="161"/>
      <c r="B202" s="161"/>
      <c r="C202" s="161"/>
      <c r="D202" s="161"/>
      <c r="E202" s="161"/>
      <c r="F202" s="161"/>
      <c r="G202" s="161"/>
      <c r="H202" s="161"/>
      <c r="I202" s="161"/>
      <c r="J202" s="161"/>
      <c r="K202" s="161"/>
      <c r="L202" s="161"/>
      <c r="M202" s="161"/>
      <c r="N202" s="161"/>
      <c r="O202" s="161"/>
      <c r="P202" s="161"/>
      <c r="Q202" s="161"/>
      <c r="R202" s="161"/>
      <c r="S202" s="161"/>
      <c r="T202" s="161"/>
    </row>
    <row r="203" spans="1:20" ht="13">
      <c r="A203" s="161"/>
      <c r="B203" s="161"/>
      <c r="C203" s="161"/>
      <c r="D203" s="161"/>
      <c r="E203" s="161"/>
      <c r="F203" s="161"/>
      <c r="G203" s="161"/>
      <c r="H203" s="161"/>
      <c r="I203" s="161"/>
      <c r="J203" s="161"/>
      <c r="K203" s="161"/>
      <c r="L203" s="161"/>
      <c r="M203" s="161"/>
      <c r="N203" s="161"/>
      <c r="O203" s="161"/>
      <c r="P203" s="161"/>
      <c r="Q203" s="161"/>
      <c r="R203" s="161"/>
      <c r="S203" s="161"/>
      <c r="T203" s="161"/>
    </row>
    <row r="204" spans="1:20" ht="13">
      <c r="A204" s="161"/>
      <c r="B204" s="161"/>
      <c r="C204" s="161"/>
      <c r="D204" s="161"/>
      <c r="E204" s="161"/>
      <c r="F204" s="161"/>
      <c r="G204" s="161"/>
      <c r="H204" s="161"/>
      <c r="I204" s="161"/>
      <c r="J204" s="161"/>
      <c r="K204" s="161"/>
      <c r="L204" s="161"/>
      <c r="M204" s="161"/>
      <c r="N204" s="161"/>
      <c r="O204" s="161"/>
      <c r="P204" s="161"/>
      <c r="Q204" s="161"/>
      <c r="R204" s="161"/>
      <c r="S204" s="161"/>
      <c r="T204" s="161"/>
    </row>
    <row r="205" spans="1:20" ht="13">
      <c r="A205" s="161"/>
      <c r="B205" s="161"/>
      <c r="C205" s="161"/>
      <c r="D205" s="161"/>
      <c r="E205" s="161"/>
      <c r="F205" s="161"/>
      <c r="G205" s="161"/>
      <c r="H205" s="161"/>
      <c r="I205" s="161"/>
      <c r="J205" s="161"/>
      <c r="K205" s="161"/>
      <c r="L205" s="161"/>
      <c r="M205" s="161"/>
      <c r="N205" s="161"/>
      <c r="O205" s="161"/>
      <c r="P205" s="161"/>
      <c r="Q205" s="161"/>
      <c r="R205" s="161"/>
      <c r="S205" s="161"/>
      <c r="T205" s="161"/>
    </row>
    <row r="206" spans="1:20" ht="13">
      <c r="A206" s="161"/>
      <c r="B206" s="161"/>
      <c r="C206" s="161"/>
      <c r="D206" s="161"/>
      <c r="E206" s="161"/>
      <c r="F206" s="161"/>
      <c r="G206" s="161"/>
      <c r="H206" s="161"/>
      <c r="I206" s="161"/>
      <c r="J206" s="161"/>
      <c r="K206" s="161"/>
      <c r="L206" s="161"/>
      <c r="M206" s="161"/>
      <c r="N206" s="161"/>
      <c r="O206" s="161"/>
      <c r="P206" s="161"/>
      <c r="Q206" s="161"/>
      <c r="R206" s="161"/>
      <c r="S206" s="161"/>
      <c r="T206" s="161"/>
    </row>
    <row r="207" spans="1:20" ht="13">
      <c r="A207" s="161"/>
      <c r="B207" s="161"/>
      <c r="C207" s="161"/>
      <c r="D207" s="161"/>
      <c r="E207" s="161"/>
      <c r="F207" s="161"/>
      <c r="G207" s="161"/>
      <c r="H207" s="161"/>
      <c r="I207" s="161"/>
      <c r="J207" s="161"/>
      <c r="K207" s="161"/>
      <c r="L207" s="161"/>
      <c r="M207" s="161"/>
      <c r="N207" s="161"/>
      <c r="O207" s="161"/>
      <c r="P207" s="161"/>
      <c r="Q207" s="161"/>
      <c r="R207" s="161"/>
      <c r="S207" s="161"/>
      <c r="T207" s="161"/>
    </row>
    <row r="208" spans="1:20" ht="13">
      <c r="A208" s="161"/>
      <c r="B208" s="161"/>
      <c r="C208" s="161"/>
      <c r="D208" s="161"/>
      <c r="E208" s="161"/>
      <c r="F208" s="161"/>
      <c r="G208" s="161"/>
      <c r="H208" s="161"/>
      <c r="I208" s="161"/>
      <c r="J208" s="161"/>
      <c r="K208" s="161"/>
      <c r="L208" s="161"/>
      <c r="M208" s="161"/>
      <c r="N208" s="161"/>
      <c r="O208" s="161"/>
      <c r="P208" s="161"/>
      <c r="Q208" s="161"/>
      <c r="R208" s="161"/>
      <c r="S208" s="161"/>
      <c r="T208" s="161"/>
    </row>
    <row r="209" spans="1:20" ht="13">
      <c r="A209" s="161"/>
      <c r="B209" s="161"/>
      <c r="C209" s="161"/>
      <c r="D209" s="161"/>
      <c r="E209" s="161"/>
      <c r="F209" s="161"/>
      <c r="G209" s="161"/>
      <c r="H209" s="161"/>
      <c r="I209" s="161"/>
      <c r="J209" s="161"/>
      <c r="K209" s="161"/>
      <c r="L209" s="161"/>
      <c r="M209" s="161"/>
      <c r="N209" s="161"/>
      <c r="O209" s="161"/>
      <c r="P209" s="161"/>
      <c r="Q209" s="161"/>
      <c r="R209" s="161"/>
      <c r="S209" s="161"/>
      <c r="T209" s="161"/>
    </row>
    <row r="210" spans="1:20" ht="13">
      <c r="A210" s="161"/>
      <c r="B210" s="161"/>
      <c r="C210" s="161"/>
      <c r="D210" s="161"/>
      <c r="E210" s="161"/>
      <c r="F210" s="161"/>
      <c r="G210" s="161"/>
      <c r="H210" s="161"/>
      <c r="I210" s="161"/>
      <c r="J210" s="161"/>
      <c r="K210" s="161"/>
      <c r="L210" s="161"/>
      <c r="M210" s="161"/>
      <c r="N210" s="161"/>
      <c r="O210" s="161"/>
      <c r="P210" s="161"/>
      <c r="Q210" s="161"/>
      <c r="R210" s="161"/>
      <c r="S210" s="161"/>
      <c r="T210" s="161"/>
    </row>
    <row r="211" spans="1:20" ht="13">
      <c r="A211" s="161"/>
      <c r="B211" s="161"/>
      <c r="C211" s="161"/>
      <c r="D211" s="161"/>
      <c r="E211" s="161"/>
      <c r="F211" s="161"/>
      <c r="G211" s="161"/>
      <c r="H211" s="161"/>
      <c r="I211" s="161"/>
      <c r="J211" s="161"/>
      <c r="K211" s="161"/>
      <c r="L211" s="161"/>
      <c r="M211" s="161"/>
      <c r="N211" s="161"/>
      <c r="O211" s="161"/>
      <c r="P211" s="161"/>
      <c r="Q211" s="161"/>
      <c r="R211" s="161"/>
      <c r="S211" s="161"/>
      <c r="T211" s="161"/>
    </row>
    <row r="212" spans="1:20" ht="13">
      <c r="A212" s="161"/>
      <c r="B212" s="161"/>
      <c r="C212" s="161"/>
      <c r="D212" s="161"/>
      <c r="E212" s="161"/>
      <c r="F212" s="161"/>
      <c r="G212" s="161"/>
      <c r="H212" s="161"/>
      <c r="I212" s="161"/>
      <c r="J212" s="161"/>
      <c r="K212" s="161"/>
      <c r="L212" s="161"/>
      <c r="M212" s="161"/>
      <c r="N212" s="161"/>
      <c r="O212" s="161"/>
      <c r="P212" s="161"/>
      <c r="Q212" s="161"/>
      <c r="R212" s="161"/>
      <c r="S212" s="161"/>
      <c r="T212" s="161"/>
    </row>
    <row r="213" spans="1:20" ht="13">
      <c r="A213" s="161"/>
      <c r="B213" s="161"/>
      <c r="C213" s="161"/>
      <c r="D213" s="161"/>
      <c r="E213" s="161"/>
      <c r="F213" s="161"/>
      <c r="G213" s="161"/>
      <c r="H213" s="161"/>
      <c r="I213" s="161"/>
      <c r="J213" s="161"/>
      <c r="K213" s="161"/>
      <c r="L213" s="161"/>
      <c r="M213" s="161"/>
      <c r="N213" s="161"/>
      <c r="O213" s="161"/>
      <c r="P213" s="161"/>
      <c r="Q213" s="161"/>
      <c r="R213" s="161"/>
      <c r="S213" s="161"/>
      <c r="T213" s="161"/>
    </row>
    <row r="214" spans="1:20" ht="13">
      <c r="A214" s="161"/>
      <c r="B214" s="161"/>
      <c r="C214" s="161"/>
      <c r="D214" s="161"/>
      <c r="E214" s="161"/>
      <c r="F214" s="161"/>
      <c r="G214" s="161"/>
      <c r="H214" s="161"/>
      <c r="I214" s="161"/>
      <c r="J214" s="161"/>
      <c r="K214" s="161"/>
      <c r="L214" s="161"/>
      <c r="M214" s="161"/>
      <c r="N214" s="161"/>
      <c r="O214" s="161"/>
      <c r="P214" s="161"/>
      <c r="Q214" s="161"/>
      <c r="R214" s="161"/>
      <c r="S214" s="161"/>
      <c r="T214" s="161"/>
    </row>
    <row r="215" spans="1:20" ht="13">
      <c r="A215" s="161"/>
      <c r="B215" s="161"/>
      <c r="C215" s="161"/>
      <c r="D215" s="161"/>
      <c r="E215" s="161"/>
      <c r="F215" s="161"/>
      <c r="G215" s="161"/>
      <c r="H215" s="161"/>
      <c r="I215" s="161"/>
      <c r="J215" s="161"/>
      <c r="K215" s="161"/>
      <c r="L215" s="161"/>
      <c r="M215" s="161"/>
      <c r="N215" s="161"/>
      <c r="O215" s="161"/>
      <c r="P215" s="161"/>
      <c r="Q215" s="161"/>
      <c r="R215" s="161"/>
      <c r="S215" s="161"/>
      <c r="T215" s="161"/>
    </row>
    <row r="216" spans="1:20" ht="13">
      <c r="A216" s="161"/>
      <c r="B216" s="161"/>
      <c r="C216" s="161"/>
      <c r="D216" s="161"/>
      <c r="E216" s="161"/>
      <c r="F216" s="161"/>
      <c r="G216" s="161"/>
      <c r="H216" s="161"/>
      <c r="I216" s="161"/>
      <c r="J216" s="161"/>
      <c r="K216" s="161"/>
      <c r="L216" s="161"/>
      <c r="M216" s="161"/>
      <c r="N216" s="161"/>
      <c r="O216" s="161"/>
      <c r="P216" s="161"/>
      <c r="Q216" s="161"/>
      <c r="R216" s="161"/>
      <c r="S216" s="161"/>
      <c r="T216" s="161"/>
    </row>
    <row r="217" spans="1:20" ht="13">
      <c r="A217" s="161"/>
      <c r="B217" s="161"/>
      <c r="C217" s="161"/>
      <c r="D217" s="161"/>
      <c r="E217" s="161"/>
      <c r="F217" s="161"/>
      <c r="G217" s="161"/>
      <c r="H217" s="161"/>
      <c r="I217" s="161"/>
      <c r="J217" s="161"/>
      <c r="K217" s="161"/>
      <c r="L217" s="161"/>
      <c r="M217" s="161"/>
      <c r="N217" s="161"/>
      <c r="O217" s="161"/>
      <c r="P217" s="161"/>
      <c r="Q217" s="161"/>
      <c r="R217" s="161"/>
      <c r="S217" s="161"/>
      <c r="T217" s="161"/>
    </row>
    <row r="218" spans="1:20" ht="13">
      <c r="A218" s="161"/>
      <c r="B218" s="161"/>
      <c r="C218" s="161"/>
      <c r="D218" s="161"/>
      <c r="E218" s="161"/>
      <c r="F218" s="161"/>
      <c r="G218" s="161"/>
      <c r="H218" s="161"/>
      <c r="I218" s="161"/>
      <c r="J218" s="161"/>
      <c r="K218" s="161"/>
      <c r="L218" s="161"/>
      <c r="M218" s="161"/>
      <c r="N218" s="161"/>
      <c r="O218" s="161"/>
      <c r="P218" s="161"/>
      <c r="Q218" s="161"/>
      <c r="R218" s="161"/>
      <c r="S218" s="161"/>
      <c r="T218" s="161"/>
    </row>
    <row r="219" spans="1:20" ht="13">
      <c r="A219" s="161"/>
      <c r="B219" s="161"/>
      <c r="C219" s="161"/>
      <c r="D219" s="161"/>
      <c r="E219" s="161"/>
      <c r="F219" s="161"/>
      <c r="G219" s="161"/>
      <c r="H219" s="161"/>
      <c r="I219" s="161"/>
      <c r="J219" s="161"/>
      <c r="K219" s="161"/>
      <c r="L219" s="161"/>
      <c r="M219" s="161"/>
      <c r="N219" s="161"/>
      <c r="O219" s="161"/>
      <c r="P219" s="161"/>
      <c r="Q219" s="161"/>
      <c r="R219" s="161"/>
      <c r="S219" s="161"/>
      <c r="T219" s="161"/>
    </row>
    <row r="220" spans="1:20" ht="13">
      <c r="A220" s="161"/>
      <c r="B220" s="161"/>
      <c r="C220" s="161"/>
      <c r="D220" s="161"/>
      <c r="E220" s="161"/>
      <c r="F220" s="161"/>
      <c r="G220" s="161"/>
      <c r="H220" s="161"/>
      <c r="I220" s="161"/>
      <c r="J220" s="161"/>
      <c r="K220" s="161"/>
      <c r="L220" s="161"/>
      <c r="M220" s="161"/>
      <c r="N220" s="161"/>
      <c r="O220" s="161"/>
      <c r="P220" s="161"/>
      <c r="Q220" s="161"/>
      <c r="R220" s="161"/>
      <c r="S220" s="161"/>
      <c r="T220" s="161"/>
    </row>
    <row r="221" spans="1:20" ht="13">
      <c r="A221" s="161"/>
      <c r="B221" s="161"/>
      <c r="C221" s="161"/>
      <c r="D221" s="161"/>
      <c r="E221" s="161"/>
      <c r="F221" s="161"/>
      <c r="G221" s="161"/>
      <c r="H221" s="161"/>
      <c r="I221" s="161"/>
      <c r="J221" s="161"/>
      <c r="K221" s="161"/>
      <c r="L221" s="161"/>
      <c r="M221" s="161"/>
      <c r="N221" s="161"/>
      <c r="O221" s="161"/>
      <c r="P221" s="161"/>
      <c r="Q221" s="161"/>
      <c r="R221" s="161"/>
      <c r="S221" s="161"/>
      <c r="T221" s="161"/>
    </row>
    <row r="222" spans="1:20" ht="13">
      <c r="A222" s="161"/>
      <c r="B222" s="161"/>
      <c r="C222" s="161"/>
      <c r="D222" s="161"/>
      <c r="E222" s="161"/>
      <c r="F222" s="161"/>
      <c r="G222" s="161"/>
      <c r="H222" s="161"/>
      <c r="I222" s="161"/>
      <c r="J222" s="161"/>
      <c r="K222" s="161"/>
      <c r="L222" s="161"/>
      <c r="M222" s="161"/>
      <c r="N222" s="161"/>
      <c r="O222" s="161"/>
      <c r="P222" s="161"/>
      <c r="Q222" s="161"/>
      <c r="R222" s="161"/>
      <c r="S222" s="161"/>
      <c r="T222" s="161"/>
    </row>
    <row r="223" spans="1:20" ht="13">
      <c r="A223" s="161"/>
      <c r="B223" s="161"/>
      <c r="C223" s="161"/>
      <c r="D223" s="161"/>
      <c r="E223" s="161"/>
      <c r="F223" s="161"/>
      <c r="G223" s="161"/>
      <c r="H223" s="161"/>
      <c r="I223" s="161"/>
      <c r="J223" s="161"/>
      <c r="K223" s="161"/>
      <c r="L223" s="161"/>
      <c r="M223" s="161"/>
      <c r="N223" s="161"/>
      <c r="O223" s="161"/>
      <c r="P223" s="161"/>
      <c r="Q223" s="161"/>
      <c r="R223" s="161"/>
      <c r="S223" s="161"/>
      <c r="T223" s="161"/>
    </row>
    <row r="224" spans="1:20" ht="13">
      <c r="A224" s="161"/>
      <c r="B224" s="161"/>
      <c r="C224" s="161"/>
      <c r="D224" s="161"/>
      <c r="E224" s="161"/>
      <c r="F224" s="161"/>
      <c r="G224" s="161"/>
      <c r="H224" s="161"/>
      <c r="I224" s="161"/>
      <c r="J224" s="161"/>
      <c r="K224" s="161"/>
      <c r="L224" s="161"/>
      <c r="M224" s="161"/>
      <c r="N224" s="161"/>
      <c r="O224" s="161"/>
      <c r="P224" s="161"/>
      <c r="Q224" s="161"/>
      <c r="R224" s="161"/>
      <c r="S224" s="161"/>
      <c r="T224" s="161"/>
    </row>
    <row r="225" spans="1:20" ht="13">
      <c r="A225" s="161"/>
      <c r="B225" s="161"/>
      <c r="C225" s="161"/>
      <c r="D225" s="161"/>
      <c r="E225" s="161"/>
      <c r="F225" s="161"/>
      <c r="G225" s="161"/>
      <c r="H225" s="161"/>
      <c r="I225" s="161"/>
      <c r="J225" s="161"/>
      <c r="K225" s="161"/>
      <c r="L225" s="161"/>
      <c r="M225" s="161"/>
      <c r="N225" s="161"/>
      <c r="O225" s="161"/>
      <c r="P225" s="161"/>
      <c r="Q225" s="161"/>
      <c r="R225" s="161"/>
      <c r="S225" s="161"/>
      <c r="T225" s="161"/>
    </row>
    <row r="226" spans="1:20" ht="13">
      <c r="A226" s="161"/>
      <c r="B226" s="161"/>
      <c r="C226" s="161"/>
      <c r="D226" s="161"/>
      <c r="E226" s="161"/>
      <c r="F226" s="161"/>
      <c r="G226" s="161"/>
      <c r="H226" s="161"/>
      <c r="I226" s="161"/>
      <c r="J226" s="161"/>
      <c r="K226" s="161"/>
      <c r="L226" s="161"/>
      <c r="M226" s="161"/>
      <c r="N226" s="161"/>
      <c r="O226" s="161"/>
      <c r="P226" s="161"/>
      <c r="Q226" s="161"/>
      <c r="R226" s="161"/>
      <c r="S226" s="161"/>
      <c r="T226" s="161"/>
    </row>
    <row r="227" spans="1:20" ht="13">
      <c r="A227" s="161"/>
      <c r="B227" s="161"/>
      <c r="C227" s="161"/>
      <c r="D227" s="161"/>
      <c r="E227" s="161"/>
      <c r="F227" s="161"/>
      <c r="G227" s="161"/>
      <c r="H227" s="161"/>
      <c r="I227" s="161"/>
      <c r="J227" s="161"/>
      <c r="K227" s="161"/>
      <c r="L227" s="161"/>
      <c r="M227" s="161"/>
      <c r="N227" s="161"/>
      <c r="O227" s="161"/>
      <c r="P227" s="161"/>
      <c r="Q227" s="161"/>
      <c r="R227" s="161"/>
      <c r="S227" s="161"/>
      <c r="T227" s="161"/>
    </row>
    <row r="228" spans="1:20" ht="13">
      <c r="A228" s="161"/>
      <c r="B228" s="161"/>
      <c r="C228" s="161"/>
      <c r="D228" s="161"/>
      <c r="E228" s="161"/>
      <c r="F228" s="161"/>
      <c r="G228" s="161"/>
      <c r="H228" s="161"/>
      <c r="I228" s="161"/>
      <c r="J228" s="161"/>
      <c r="K228" s="161"/>
      <c r="L228" s="161"/>
      <c r="M228" s="161"/>
      <c r="N228" s="161"/>
      <c r="O228" s="161"/>
      <c r="P228" s="161"/>
      <c r="Q228" s="161"/>
      <c r="R228" s="161"/>
      <c r="S228" s="161"/>
      <c r="T228" s="161"/>
    </row>
    <row r="229" spans="1:20" ht="13">
      <c r="A229" s="161"/>
      <c r="B229" s="161"/>
      <c r="C229" s="161"/>
      <c r="D229" s="161"/>
      <c r="E229" s="161"/>
      <c r="F229" s="161"/>
      <c r="G229" s="161"/>
      <c r="H229" s="161"/>
      <c r="I229" s="161"/>
      <c r="J229" s="161"/>
      <c r="K229" s="161"/>
      <c r="L229" s="161"/>
      <c r="M229" s="161"/>
      <c r="N229" s="161"/>
      <c r="O229" s="161"/>
      <c r="P229" s="161"/>
      <c r="Q229" s="161"/>
      <c r="R229" s="161"/>
      <c r="S229" s="161"/>
      <c r="T229" s="161"/>
    </row>
    <row r="230" spans="1:20" ht="13">
      <c r="A230" s="161"/>
      <c r="B230" s="161"/>
      <c r="C230" s="161"/>
      <c r="D230" s="161"/>
      <c r="E230" s="161"/>
      <c r="F230" s="161"/>
      <c r="G230" s="161"/>
      <c r="H230" s="161"/>
      <c r="I230" s="161"/>
      <c r="J230" s="161"/>
      <c r="K230" s="161"/>
      <c r="L230" s="161"/>
      <c r="M230" s="161"/>
      <c r="N230" s="161"/>
      <c r="O230" s="161"/>
      <c r="P230" s="161"/>
      <c r="Q230" s="161"/>
      <c r="R230" s="161"/>
      <c r="S230" s="161"/>
      <c r="T230" s="161"/>
    </row>
    <row r="231" spans="1:20" ht="13">
      <c r="A231" s="161"/>
      <c r="B231" s="161"/>
      <c r="C231" s="161"/>
      <c r="D231" s="161"/>
      <c r="E231" s="161"/>
      <c r="F231" s="161"/>
      <c r="G231" s="161"/>
      <c r="H231" s="161"/>
      <c r="I231" s="161"/>
      <c r="J231" s="161"/>
      <c r="K231" s="161"/>
      <c r="L231" s="161"/>
      <c r="M231" s="161"/>
      <c r="N231" s="161"/>
      <c r="O231" s="161"/>
      <c r="P231" s="161"/>
      <c r="Q231" s="161"/>
      <c r="R231" s="161"/>
      <c r="S231" s="161"/>
      <c r="T231" s="161"/>
    </row>
    <row r="232" spans="1:20" ht="13">
      <c r="A232" s="161"/>
      <c r="B232" s="161"/>
      <c r="C232" s="161"/>
      <c r="D232" s="161"/>
      <c r="E232" s="161"/>
      <c r="F232" s="161"/>
      <c r="G232" s="161"/>
      <c r="H232" s="161"/>
      <c r="I232" s="161"/>
      <c r="J232" s="161"/>
      <c r="K232" s="161"/>
      <c r="L232" s="161"/>
      <c r="M232" s="161"/>
      <c r="N232" s="161"/>
      <c r="O232" s="161"/>
      <c r="P232" s="161"/>
      <c r="Q232" s="161"/>
      <c r="R232" s="161"/>
      <c r="S232" s="161"/>
      <c r="T232" s="161"/>
    </row>
    <row r="233" spans="1:20" ht="13">
      <c r="A233" s="161"/>
      <c r="B233" s="161"/>
      <c r="C233" s="161"/>
      <c r="D233" s="161"/>
      <c r="E233" s="161"/>
      <c r="F233" s="161"/>
      <c r="G233" s="161"/>
      <c r="H233" s="161"/>
      <c r="I233" s="161"/>
      <c r="J233" s="161"/>
      <c r="K233" s="161"/>
      <c r="L233" s="161"/>
      <c r="M233" s="161"/>
      <c r="N233" s="161"/>
      <c r="O233" s="161"/>
      <c r="P233" s="161"/>
      <c r="Q233" s="161"/>
      <c r="R233" s="161"/>
      <c r="S233" s="161"/>
      <c r="T233" s="161"/>
    </row>
    <row r="234" spans="1:20" ht="13">
      <c r="A234" s="161"/>
      <c r="B234" s="161"/>
      <c r="C234" s="161"/>
      <c r="D234" s="161"/>
      <c r="E234" s="161"/>
      <c r="F234" s="161"/>
      <c r="G234" s="161"/>
      <c r="H234" s="161"/>
      <c r="I234" s="161"/>
      <c r="J234" s="161"/>
      <c r="K234" s="161"/>
      <c r="L234" s="161"/>
      <c r="M234" s="161"/>
      <c r="N234" s="161"/>
      <c r="O234" s="161"/>
      <c r="P234" s="161"/>
      <c r="Q234" s="161"/>
      <c r="R234" s="161"/>
      <c r="S234" s="161"/>
      <c r="T234" s="161"/>
    </row>
    <row r="235" spans="1:20" ht="13">
      <c r="A235" s="161"/>
      <c r="B235" s="161"/>
      <c r="C235" s="161"/>
      <c r="D235" s="161"/>
      <c r="E235" s="161"/>
      <c r="F235" s="161"/>
      <c r="G235" s="161"/>
      <c r="H235" s="161"/>
      <c r="I235" s="161"/>
      <c r="J235" s="161"/>
      <c r="K235" s="161"/>
      <c r="L235" s="161"/>
      <c r="M235" s="161"/>
      <c r="N235" s="161"/>
      <c r="O235" s="161"/>
      <c r="P235" s="161"/>
      <c r="Q235" s="161"/>
      <c r="R235" s="161"/>
      <c r="S235" s="161"/>
      <c r="T235" s="161"/>
    </row>
    <row r="236" spans="1:20" ht="13">
      <c r="A236" s="161"/>
      <c r="B236" s="161"/>
      <c r="C236" s="161"/>
      <c r="D236" s="161"/>
      <c r="E236" s="161"/>
      <c r="F236" s="161"/>
      <c r="G236" s="161"/>
      <c r="H236" s="161"/>
      <c r="I236" s="161"/>
      <c r="J236" s="161"/>
      <c r="K236" s="161"/>
      <c r="L236" s="161"/>
      <c r="M236" s="161"/>
      <c r="N236" s="161"/>
      <c r="O236" s="161"/>
      <c r="P236" s="161"/>
      <c r="Q236" s="161"/>
      <c r="R236" s="161"/>
      <c r="S236" s="161"/>
      <c r="T236" s="161"/>
    </row>
    <row r="237" spans="1:20" ht="13">
      <c r="A237" s="161"/>
      <c r="B237" s="161"/>
      <c r="C237" s="161"/>
      <c r="D237" s="161"/>
      <c r="E237" s="161"/>
      <c r="F237" s="161"/>
      <c r="G237" s="161"/>
      <c r="H237" s="161"/>
      <c r="I237" s="161"/>
      <c r="J237" s="161"/>
      <c r="K237" s="161"/>
      <c r="L237" s="161"/>
      <c r="M237" s="161"/>
      <c r="N237" s="161"/>
      <c r="O237" s="161"/>
      <c r="P237" s="161"/>
      <c r="Q237" s="161"/>
      <c r="R237" s="161"/>
      <c r="S237" s="161"/>
      <c r="T237" s="161"/>
    </row>
    <row r="238" spans="1:20" ht="13">
      <c r="A238" s="161"/>
      <c r="B238" s="161"/>
      <c r="C238" s="161"/>
      <c r="D238" s="161"/>
      <c r="E238" s="161"/>
      <c r="F238" s="161"/>
      <c r="G238" s="161"/>
      <c r="H238" s="161"/>
      <c r="I238" s="161"/>
      <c r="J238" s="161"/>
      <c r="K238" s="161"/>
      <c r="L238" s="161"/>
      <c r="M238" s="161"/>
      <c r="N238" s="161"/>
      <c r="O238" s="161"/>
      <c r="P238" s="161"/>
      <c r="Q238" s="161"/>
      <c r="R238" s="161"/>
      <c r="S238" s="161"/>
      <c r="T238" s="161"/>
    </row>
    <row r="239" spans="1:20" ht="13">
      <c r="A239" s="161"/>
      <c r="B239" s="161"/>
      <c r="C239" s="161"/>
      <c r="D239" s="161"/>
      <c r="E239" s="161"/>
      <c r="F239" s="161"/>
      <c r="G239" s="161"/>
      <c r="H239" s="161"/>
      <c r="I239" s="161"/>
      <c r="J239" s="161"/>
      <c r="K239" s="161"/>
      <c r="L239" s="161"/>
      <c r="M239" s="161"/>
      <c r="N239" s="161"/>
      <c r="O239" s="161"/>
      <c r="P239" s="161"/>
      <c r="Q239" s="161"/>
      <c r="R239" s="161"/>
      <c r="S239" s="161"/>
      <c r="T239" s="161"/>
    </row>
    <row r="240" spans="1:20" ht="13">
      <c r="A240" s="161"/>
      <c r="B240" s="161"/>
      <c r="C240" s="161"/>
      <c r="D240" s="161"/>
      <c r="E240" s="161"/>
      <c r="F240" s="161"/>
      <c r="G240" s="161"/>
      <c r="H240" s="161"/>
      <c r="I240" s="161"/>
      <c r="J240" s="161"/>
      <c r="K240" s="161"/>
      <c r="L240" s="161"/>
      <c r="M240" s="161"/>
      <c r="N240" s="161"/>
      <c r="O240" s="161"/>
      <c r="P240" s="161"/>
      <c r="Q240" s="161"/>
      <c r="R240" s="161"/>
      <c r="S240" s="161"/>
      <c r="T240" s="161"/>
    </row>
    <row r="241" spans="1:20" ht="13">
      <c r="A241" s="161"/>
      <c r="B241" s="161"/>
      <c r="C241" s="161"/>
      <c r="D241" s="161"/>
      <c r="E241" s="161"/>
      <c r="F241" s="161"/>
      <c r="G241" s="161"/>
      <c r="H241" s="161"/>
      <c r="I241" s="161"/>
      <c r="J241" s="161"/>
      <c r="K241" s="161"/>
      <c r="L241" s="161"/>
      <c r="M241" s="161"/>
      <c r="N241" s="161"/>
      <c r="O241" s="161"/>
      <c r="P241" s="161"/>
      <c r="Q241" s="161"/>
      <c r="R241" s="161"/>
      <c r="S241" s="161"/>
      <c r="T241" s="161"/>
    </row>
    <row r="242" spans="1:20" ht="13">
      <c r="A242" s="161"/>
      <c r="B242" s="161"/>
      <c r="C242" s="161"/>
      <c r="D242" s="161"/>
      <c r="E242" s="161"/>
      <c r="F242" s="161"/>
      <c r="G242" s="161"/>
      <c r="H242" s="161"/>
      <c r="I242" s="161"/>
      <c r="J242" s="161"/>
      <c r="K242" s="161"/>
      <c r="L242" s="161"/>
      <c r="M242" s="161"/>
      <c r="N242" s="161"/>
      <c r="O242" s="161"/>
      <c r="P242" s="161"/>
      <c r="Q242" s="161"/>
      <c r="R242" s="161"/>
      <c r="S242" s="161"/>
      <c r="T242" s="161"/>
    </row>
    <row r="243" spans="1:20" ht="13">
      <c r="A243" s="161"/>
      <c r="B243" s="161"/>
      <c r="C243" s="161"/>
      <c r="D243" s="161"/>
      <c r="E243" s="161"/>
      <c r="F243" s="161"/>
      <c r="G243" s="161"/>
      <c r="H243" s="161"/>
      <c r="I243" s="161"/>
      <c r="J243" s="161"/>
      <c r="K243" s="161"/>
      <c r="L243" s="161"/>
      <c r="M243" s="161"/>
      <c r="N243" s="161"/>
      <c r="O243" s="161"/>
      <c r="P243" s="161"/>
      <c r="Q243" s="161"/>
      <c r="R243" s="161"/>
      <c r="S243" s="161"/>
      <c r="T243" s="161"/>
    </row>
    <row r="244" spans="1:20" ht="13">
      <c r="A244" s="161"/>
      <c r="B244" s="161"/>
      <c r="C244" s="161"/>
      <c r="D244" s="161"/>
      <c r="E244" s="161"/>
      <c r="F244" s="161"/>
      <c r="G244" s="161"/>
      <c r="H244" s="161"/>
      <c r="I244" s="161"/>
      <c r="J244" s="161"/>
      <c r="K244" s="161"/>
      <c r="L244" s="161"/>
      <c r="M244" s="161"/>
      <c r="N244" s="161"/>
      <c r="O244" s="161"/>
      <c r="P244" s="161"/>
      <c r="Q244" s="161"/>
      <c r="R244" s="161"/>
      <c r="S244" s="161"/>
      <c r="T244" s="161"/>
    </row>
    <row r="245" spans="1:20" ht="13">
      <c r="A245" s="161"/>
      <c r="B245" s="161"/>
      <c r="C245" s="161"/>
      <c r="D245" s="161"/>
      <c r="E245" s="161"/>
      <c r="F245" s="161"/>
      <c r="G245" s="161"/>
      <c r="H245" s="161"/>
      <c r="I245" s="161"/>
      <c r="J245" s="161"/>
      <c r="K245" s="161"/>
      <c r="L245" s="161"/>
      <c r="M245" s="161"/>
      <c r="N245" s="161"/>
      <c r="O245" s="161"/>
      <c r="P245" s="161"/>
      <c r="Q245" s="161"/>
      <c r="R245" s="161"/>
      <c r="S245" s="161"/>
      <c r="T245" s="161"/>
    </row>
    <row r="246" spans="1:20" ht="13">
      <c r="A246" s="161"/>
      <c r="B246" s="161"/>
      <c r="C246" s="161"/>
      <c r="D246" s="161"/>
      <c r="E246" s="161"/>
      <c r="F246" s="161"/>
      <c r="G246" s="161"/>
      <c r="H246" s="161"/>
      <c r="I246" s="161"/>
      <c r="J246" s="161"/>
      <c r="K246" s="161"/>
      <c r="L246" s="161"/>
      <c r="M246" s="161"/>
      <c r="N246" s="161"/>
      <c r="O246" s="161"/>
      <c r="P246" s="161"/>
      <c r="Q246" s="161"/>
      <c r="R246" s="161"/>
      <c r="S246" s="161"/>
      <c r="T246" s="161"/>
    </row>
    <row r="247" spans="1:20" ht="13">
      <c r="A247" s="161"/>
      <c r="B247" s="161"/>
      <c r="C247" s="161"/>
      <c r="D247" s="161"/>
      <c r="E247" s="161"/>
      <c r="F247" s="161"/>
      <c r="G247" s="161"/>
      <c r="H247" s="161"/>
      <c r="I247" s="161"/>
      <c r="J247" s="161"/>
      <c r="K247" s="161"/>
      <c r="L247" s="161"/>
      <c r="M247" s="161"/>
      <c r="N247" s="161"/>
      <c r="O247" s="161"/>
      <c r="P247" s="161"/>
      <c r="Q247" s="161"/>
      <c r="R247" s="161"/>
      <c r="S247" s="161"/>
      <c r="T247" s="161"/>
    </row>
    <row r="248" spans="1:20" ht="13">
      <c r="A248" s="161"/>
      <c r="B248" s="161"/>
      <c r="C248" s="161"/>
      <c r="D248" s="161"/>
      <c r="E248" s="161"/>
      <c r="F248" s="161"/>
      <c r="G248" s="161"/>
      <c r="H248" s="161"/>
      <c r="I248" s="161"/>
      <c r="J248" s="161"/>
      <c r="K248" s="161"/>
      <c r="L248" s="161"/>
      <c r="M248" s="161"/>
      <c r="N248" s="161"/>
      <c r="O248" s="161"/>
      <c r="P248" s="161"/>
      <c r="Q248" s="161"/>
      <c r="R248" s="161"/>
      <c r="S248" s="161"/>
      <c r="T248" s="161"/>
    </row>
    <row r="249" spans="1:20" ht="13">
      <c r="A249" s="161"/>
      <c r="B249" s="161"/>
      <c r="C249" s="161"/>
      <c r="D249" s="161"/>
      <c r="E249" s="161"/>
      <c r="F249" s="161"/>
      <c r="G249" s="161"/>
      <c r="H249" s="161"/>
      <c r="I249" s="161"/>
      <c r="J249" s="161"/>
      <c r="K249" s="161"/>
      <c r="L249" s="161"/>
      <c r="M249" s="161"/>
      <c r="N249" s="161"/>
      <c r="O249" s="161"/>
      <c r="P249" s="161"/>
      <c r="Q249" s="161"/>
      <c r="R249" s="161"/>
      <c r="S249" s="161"/>
      <c r="T249" s="161"/>
    </row>
    <row r="250" spans="1:20" ht="13">
      <c r="A250" s="161"/>
      <c r="B250" s="161"/>
      <c r="C250" s="161"/>
      <c r="D250" s="161"/>
      <c r="E250" s="161"/>
      <c r="F250" s="161"/>
      <c r="G250" s="161"/>
      <c r="H250" s="161"/>
      <c r="I250" s="161"/>
      <c r="J250" s="161"/>
      <c r="K250" s="161"/>
      <c r="L250" s="161"/>
      <c r="M250" s="161"/>
      <c r="N250" s="161"/>
      <c r="O250" s="161"/>
      <c r="P250" s="161"/>
      <c r="Q250" s="161"/>
      <c r="R250" s="161"/>
      <c r="S250" s="161"/>
      <c r="T250" s="161"/>
    </row>
    <row r="251" spans="1:20" ht="13">
      <c r="A251" s="161"/>
      <c r="B251" s="161"/>
      <c r="C251" s="161"/>
      <c r="D251" s="161"/>
      <c r="E251" s="161"/>
      <c r="F251" s="161"/>
      <c r="G251" s="161"/>
      <c r="H251" s="161"/>
      <c r="I251" s="161"/>
      <c r="J251" s="161"/>
      <c r="K251" s="161"/>
      <c r="L251" s="161"/>
      <c r="M251" s="161"/>
      <c r="N251" s="161"/>
      <c r="O251" s="161"/>
      <c r="P251" s="161"/>
      <c r="Q251" s="161"/>
      <c r="R251" s="161"/>
      <c r="S251" s="161"/>
      <c r="T251" s="161"/>
    </row>
    <row r="252" spans="1:20" ht="13">
      <c r="A252" s="161"/>
      <c r="B252" s="161"/>
      <c r="C252" s="161"/>
      <c r="D252" s="161"/>
      <c r="E252" s="161"/>
      <c r="F252" s="161"/>
      <c r="G252" s="161"/>
      <c r="H252" s="161"/>
      <c r="I252" s="161"/>
      <c r="J252" s="161"/>
      <c r="K252" s="161"/>
      <c r="L252" s="161"/>
      <c r="M252" s="161"/>
      <c r="N252" s="161"/>
      <c r="O252" s="161"/>
      <c r="P252" s="161"/>
      <c r="Q252" s="161"/>
      <c r="R252" s="161"/>
      <c r="S252" s="161"/>
      <c r="T252" s="161"/>
    </row>
    <row r="253" spans="1:20" ht="13">
      <c r="A253" s="161"/>
      <c r="B253" s="161"/>
      <c r="C253" s="161"/>
      <c r="D253" s="161"/>
      <c r="E253" s="161"/>
      <c r="F253" s="161"/>
      <c r="G253" s="161"/>
      <c r="H253" s="161"/>
      <c r="I253" s="161"/>
      <c r="J253" s="161"/>
      <c r="K253" s="161"/>
      <c r="L253" s="161"/>
      <c r="M253" s="161"/>
      <c r="N253" s="161"/>
      <c r="O253" s="161"/>
      <c r="P253" s="161"/>
      <c r="Q253" s="161"/>
      <c r="R253" s="161"/>
      <c r="S253" s="161"/>
      <c r="T253" s="161"/>
    </row>
    <row r="254" spans="1:20" ht="13">
      <c r="A254" s="161"/>
      <c r="B254" s="161"/>
      <c r="C254" s="161"/>
      <c r="D254" s="161"/>
      <c r="E254" s="161"/>
      <c r="F254" s="161"/>
      <c r="G254" s="161"/>
      <c r="H254" s="161"/>
      <c r="I254" s="161"/>
      <c r="J254" s="161"/>
      <c r="K254" s="161"/>
      <c r="L254" s="161"/>
      <c r="M254" s="161"/>
      <c r="N254" s="161"/>
      <c r="O254" s="161"/>
      <c r="P254" s="161"/>
      <c r="Q254" s="161"/>
      <c r="R254" s="161"/>
      <c r="S254" s="161"/>
      <c r="T254" s="161"/>
    </row>
    <row r="255" spans="1:20" ht="13">
      <c r="A255" s="161"/>
      <c r="B255" s="161"/>
      <c r="C255" s="161"/>
      <c r="D255" s="161"/>
      <c r="E255" s="161"/>
      <c r="F255" s="161"/>
      <c r="G255" s="161"/>
      <c r="H255" s="161"/>
      <c r="I255" s="161"/>
      <c r="J255" s="161"/>
      <c r="K255" s="161"/>
      <c r="L255" s="161"/>
      <c r="M255" s="161"/>
      <c r="N255" s="161"/>
      <c r="O255" s="161"/>
      <c r="P255" s="161"/>
      <c r="Q255" s="161"/>
      <c r="R255" s="161"/>
      <c r="S255" s="161"/>
      <c r="T255" s="161"/>
    </row>
    <row r="256" spans="1:20" ht="13">
      <c r="A256" s="161"/>
      <c r="B256" s="161"/>
      <c r="C256" s="161"/>
      <c r="D256" s="161"/>
      <c r="E256" s="161"/>
      <c r="F256" s="161"/>
      <c r="G256" s="161"/>
      <c r="H256" s="161"/>
      <c r="I256" s="161"/>
      <c r="J256" s="161"/>
      <c r="K256" s="161"/>
      <c r="L256" s="161"/>
      <c r="M256" s="161"/>
      <c r="N256" s="161"/>
      <c r="O256" s="161"/>
      <c r="P256" s="161"/>
      <c r="Q256" s="161"/>
      <c r="R256" s="161"/>
      <c r="S256" s="161"/>
      <c r="T256" s="161"/>
    </row>
    <row r="257" spans="1:20" ht="13">
      <c r="A257" s="161"/>
      <c r="B257" s="161"/>
      <c r="C257" s="161"/>
      <c r="D257" s="161"/>
      <c r="E257" s="161"/>
      <c r="F257" s="161"/>
      <c r="G257" s="161"/>
      <c r="H257" s="161"/>
      <c r="I257" s="161"/>
      <c r="J257" s="161"/>
      <c r="K257" s="161"/>
      <c r="L257" s="161"/>
      <c r="M257" s="161"/>
      <c r="N257" s="161"/>
      <c r="O257" s="161"/>
      <c r="P257" s="161"/>
      <c r="Q257" s="161"/>
      <c r="R257" s="161"/>
      <c r="S257" s="161"/>
      <c r="T257" s="161"/>
    </row>
    <row r="258" spans="1:20" ht="13">
      <c r="A258" s="161"/>
      <c r="B258" s="161"/>
      <c r="C258" s="161"/>
      <c r="D258" s="161"/>
      <c r="E258" s="161"/>
      <c r="F258" s="161"/>
      <c r="G258" s="161"/>
      <c r="H258" s="161"/>
      <c r="I258" s="161"/>
      <c r="J258" s="161"/>
      <c r="K258" s="161"/>
      <c r="L258" s="161"/>
      <c r="M258" s="161"/>
      <c r="N258" s="161"/>
      <c r="O258" s="161"/>
      <c r="P258" s="161"/>
      <c r="Q258" s="161"/>
      <c r="R258" s="161"/>
      <c r="S258" s="161"/>
      <c r="T258" s="161"/>
    </row>
    <row r="259" spans="1:20" ht="13">
      <c r="A259" s="161"/>
      <c r="B259" s="161"/>
      <c r="C259" s="161"/>
      <c r="D259" s="161"/>
      <c r="E259" s="161"/>
      <c r="F259" s="161"/>
      <c r="G259" s="161"/>
      <c r="H259" s="161"/>
      <c r="I259" s="161"/>
      <c r="J259" s="161"/>
      <c r="K259" s="161"/>
      <c r="L259" s="161"/>
      <c r="M259" s="161"/>
      <c r="N259" s="161"/>
      <c r="O259" s="161"/>
      <c r="P259" s="161"/>
      <c r="Q259" s="161"/>
      <c r="R259" s="161"/>
      <c r="S259" s="161"/>
      <c r="T259" s="161"/>
    </row>
    <row r="260" spans="1:20" ht="13">
      <c r="A260" s="161"/>
      <c r="B260" s="161"/>
      <c r="C260" s="161"/>
      <c r="D260" s="161"/>
      <c r="E260" s="161"/>
      <c r="F260" s="161"/>
      <c r="G260" s="161"/>
      <c r="H260" s="161"/>
      <c r="I260" s="161"/>
      <c r="J260" s="161"/>
      <c r="K260" s="161"/>
      <c r="L260" s="161"/>
      <c r="M260" s="161"/>
      <c r="N260" s="161"/>
      <c r="O260" s="161"/>
      <c r="P260" s="161"/>
      <c r="Q260" s="161"/>
      <c r="R260" s="161"/>
      <c r="S260" s="161"/>
      <c r="T260" s="161"/>
    </row>
    <row r="261" spans="1:20" ht="13">
      <c r="A261" s="161"/>
      <c r="B261" s="161"/>
      <c r="C261" s="161"/>
      <c r="D261" s="161"/>
      <c r="E261" s="161"/>
      <c r="F261" s="161"/>
      <c r="G261" s="161"/>
      <c r="H261" s="161"/>
      <c r="I261" s="161"/>
      <c r="J261" s="161"/>
      <c r="K261" s="161"/>
      <c r="L261" s="161"/>
      <c r="M261" s="161"/>
      <c r="N261" s="161"/>
      <c r="O261" s="161"/>
      <c r="P261" s="161"/>
      <c r="Q261" s="161"/>
      <c r="R261" s="161"/>
      <c r="S261" s="161"/>
      <c r="T261" s="161"/>
    </row>
    <row r="262" spans="1:20" ht="13">
      <c r="A262" s="161"/>
      <c r="B262" s="161"/>
      <c r="C262" s="161"/>
      <c r="D262" s="161"/>
      <c r="E262" s="161"/>
      <c r="F262" s="161"/>
      <c r="G262" s="161"/>
      <c r="H262" s="161"/>
      <c r="I262" s="161"/>
      <c r="J262" s="161"/>
      <c r="K262" s="161"/>
      <c r="L262" s="161"/>
      <c r="M262" s="161"/>
      <c r="N262" s="161"/>
      <c r="O262" s="161"/>
      <c r="P262" s="161"/>
      <c r="Q262" s="161"/>
      <c r="R262" s="161"/>
      <c r="S262" s="161"/>
      <c r="T262" s="161"/>
    </row>
    <row r="263" spans="1:20" ht="13">
      <c r="A263" s="161"/>
      <c r="B263" s="161"/>
      <c r="C263" s="161"/>
      <c r="D263" s="161"/>
      <c r="E263" s="161"/>
      <c r="F263" s="161"/>
      <c r="G263" s="161"/>
      <c r="H263" s="161"/>
      <c r="I263" s="161"/>
      <c r="J263" s="161"/>
      <c r="K263" s="161"/>
      <c r="L263" s="161"/>
      <c r="M263" s="161"/>
      <c r="N263" s="161"/>
      <c r="O263" s="161"/>
      <c r="P263" s="161"/>
      <c r="Q263" s="161"/>
      <c r="R263" s="161"/>
      <c r="S263" s="161"/>
      <c r="T263" s="161"/>
    </row>
    <row r="264" spans="1:20" ht="13">
      <c r="A264" s="161"/>
      <c r="B264" s="161"/>
      <c r="C264" s="161"/>
      <c r="D264" s="161"/>
      <c r="E264" s="161"/>
      <c r="F264" s="161"/>
      <c r="G264" s="161"/>
      <c r="H264" s="161"/>
      <c r="I264" s="161"/>
      <c r="J264" s="161"/>
      <c r="K264" s="161"/>
      <c r="L264" s="161"/>
      <c r="M264" s="161"/>
      <c r="N264" s="161"/>
      <c r="O264" s="161"/>
      <c r="P264" s="161"/>
      <c r="Q264" s="161"/>
      <c r="R264" s="161"/>
      <c r="S264" s="161"/>
      <c r="T264" s="161"/>
    </row>
    <row r="265" spans="1:20" ht="13">
      <c r="A265" s="161"/>
      <c r="B265" s="161"/>
      <c r="C265" s="161"/>
      <c r="D265" s="161"/>
      <c r="E265" s="161"/>
      <c r="F265" s="161"/>
      <c r="G265" s="161"/>
      <c r="H265" s="161"/>
      <c r="I265" s="161"/>
      <c r="J265" s="161"/>
      <c r="K265" s="161"/>
      <c r="L265" s="161"/>
      <c r="M265" s="161"/>
      <c r="N265" s="161"/>
      <c r="O265" s="161"/>
      <c r="P265" s="161"/>
      <c r="Q265" s="161"/>
      <c r="R265" s="161"/>
      <c r="S265" s="161"/>
      <c r="T265" s="161"/>
    </row>
    <row r="266" spans="1:20" ht="13">
      <c r="A266" s="161"/>
      <c r="B266" s="161"/>
      <c r="C266" s="161"/>
      <c r="D266" s="161"/>
      <c r="E266" s="161"/>
      <c r="F266" s="161"/>
      <c r="G266" s="161"/>
      <c r="H266" s="161"/>
      <c r="I266" s="161"/>
      <c r="J266" s="161"/>
      <c r="K266" s="161"/>
      <c r="L266" s="161"/>
      <c r="M266" s="161"/>
      <c r="N266" s="161"/>
      <c r="O266" s="161"/>
      <c r="P266" s="161"/>
      <c r="Q266" s="161"/>
      <c r="R266" s="161"/>
      <c r="S266" s="161"/>
      <c r="T266" s="161"/>
    </row>
    <row r="267" spans="1:20" ht="13">
      <c r="A267" s="161"/>
      <c r="B267" s="161"/>
      <c r="C267" s="161"/>
      <c r="D267" s="161"/>
      <c r="E267" s="161"/>
      <c r="F267" s="161"/>
      <c r="G267" s="161"/>
      <c r="H267" s="161"/>
      <c r="I267" s="161"/>
      <c r="J267" s="161"/>
      <c r="K267" s="161"/>
      <c r="L267" s="161"/>
      <c r="M267" s="161"/>
      <c r="N267" s="161"/>
      <c r="O267" s="161"/>
      <c r="P267" s="161"/>
      <c r="Q267" s="161"/>
      <c r="R267" s="161"/>
      <c r="S267" s="161"/>
      <c r="T267" s="161"/>
    </row>
    <row r="268" spans="1:20" ht="13">
      <c r="A268" s="161"/>
      <c r="B268" s="161"/>
      <c r="C268" s="161"/>
      <c r="D268" s="161"/>
      <c r="E268" s="161"/>
      <c r="F268" s="161"/>
      <c r="G268" s="161"/>
      <c r="H268" s="161"/>
      <c r="I268" s="161"/>
      <c r="J268" s="161"/>
      <c r="K268" s="161"/>
      <c r="L268" s="161"/>
      <c r="M268" s="161"/>
      <c r="N268" s="161"/>
      <c r="O268" s="161"/>
      <c r="P268" s="161"/>
      <c r="Q268" s="161"/>
      <c r="R268" s="161"/>
      <c r="S268" s="161"/>
      <c r="T268" s="161"/>
    </row>
    <row r="269" spans="1:20" ht="13">
      <c r="A269" s="161"/>
      <c r="B269" s="161"/>
      <c r="C269" s="161"/>
      <c r="D269" s="161"/>
      <c r="E269" s="161"/>
      <c r="F269" s="161"/>
      <c r="G269" s="161"/>
      <c r="H269" s="161"/>
      <c r="I269" s="161"/>
      <c r="J269" s="161"/>
      <c r="K269" s="161"/>
      <c r="L269" s="161"/>
      <c r="M269" s="161"/>
      <c r="N269" s="161"/>
      <c r="O269" s="161"/>
      <c r="P269" s="161"/>
      <c r="Q269" s="161"/>
      <c r="R269" s="161"/>
      <c r="S269" s="161"/>
      <c r="T269" s="161"/>
    </row>
    <row r="270" spans="1:20" ht="13">
      <c r="A270" s="161"/>
      <c r="B270" s="161"/>
      <c r="C270" s="161"/>
      <c r="D270" s="161"/>
      <c r="E270" s="161"/>
      <c r="F270" s="161"/>
      <c r="G270" s="161"/>
      <c r="H270" s="161"/>
      <c r="I270" s="161"/>
      <c r="J270" s="161"/>
      <c r="K270" s="161"/>
      <c r="L270" s="161"/>
      <c r="M270" s="161"/>
      <c r="N270" s="161"/>
      <c r="O270" s="161"/>
      <c r="P270" s="161"/>
      <c r="Q270" s="161"/>
      <c r="R270" s="161"/>
      <c r="S270" s="161"/>
      <c r="T270" s="161"/>
    </row>
    <row r="271" spans="1:20" ht="13">
      <c r="A271" s="161"/>
      <c r="B271" s="161"/>
      <c r="C271" s="161"/>
      <c r="D271" s="161"/>
      <c r="E271" s="161"/>
      <c r="F271" s="161"/>
      <c r="G271" s="161"/>
      <c r="H271" s="161"/>
      <c r="I271" s="161"/>
      <c r="J271" s="161"/>
      <c r="K271" s="161"/>
      <c r="L271" s="161"/>
      <c r="M271" s="161"/>
      <c r="N271" s="161"/>
      <c r="O271" s="161"/>
      <c r="P271" s="161"/>
      <c r="Q271" s="161"/>
      <c r="R271" s="161"/>
      <c r="S271" s="161"/>
      <c r="T271" s="161"/>
    </row>
    <row r="272" spans="1:20" ht="13">
      <c r="A272" s="161"/>
      <c r="B272" s="161"/>
      <c r="C272" s="161"/>
      <c r="D272" s="161"/>
      <c r="E272" s="161"/>
      <c r="F272" s="161"/>
      <c r="G272" s="161"/>
      <c r="H272" s="161"/>
      <c r="I272" s="161"/>
      <c r="J272" s="161"/>
      <c r="K272" s="161"/>
      <c r="L272" s="161"/>
      <c r="M272" s="161"/>
      <c r="N272" s="161"/>
      <c r="O272" s="161"/>
      <c r="P272" s="161"/>
      <c r="Q272" s="161"/>
      <c r="R272" s="161"/>
      <c r="S272" s="161"/>
      <c r="T272" s="161"/>
    </row>
    <row r="273" spans="1:20" ht="13">
      <c r="A273" s="161"/>
      <c r="B273" s="161"/>
      <c r="C273" s="161"/>
      <c r="D273" s="161"/>
      <c r="E273" s="161"/>
      <c r="F273" s="161"/>
      <c r="G273" s="161"/>
      <c r="H273" s="161"/>
      <c r="I273" s="161"/>
      <c r="J273" s="161"/>
      <c r="K273" s="161"/>
      <c r="L273" s="161"/>
      <c r="M273" s="161"/>
      <c r="N273" s="161"/>
      <c r="O273" s="161"/>
      <c r="P273" s="161"/>
      <c r="Q273" s="161"/>
      <c r="R273" s="161"/>
      <c r="S273" s="161"/>
      <c r="T273" s="161"/>
    </row>
    <row r="274" spans="1:20" ht="13">
      <c r="A274" s="161"/>
      <c r="B274" s="161"/>
      <c r="C274" s="161"/>
      <c r="D274" s="161"/>
      <c r="E274" s="161"/>
      <c r="F274" s="161"/>
      <c r="G274" s="161"/>
      <c r="H274" s="161"/>
      <c r="I274" s="161"/>
      <c r="J274" s="161"/>
      <c r="K274" s="161"/>
      <c r="L274" s="161"/>
      <c r="M274" s="161"/>
      <c r="N274" s="161"/>
      <c r="O274" s="161"/>
      <c r="P274" s="161"/>
      <c r="Q274" s="161"/>
      <c r="R274" s="161"/>
      <c r="S274" s="161"/>
      <c r="T274" s="161"/>
    </row>
    <row r="275" spans="1:20" ht="13">
      <c r="A275" s="161"/>
      <c r="B275" s="161"/>
      <c r="C275" s="161"/>
      <c r="D275" s="161"/>
      <c r="E275" s="161"/>
      <c r="F275" s="161"/>
      <c r="G275" s="161"/>
      <c r="H275" s="161"/>
      <c r="I275" s="161"/>
      <c r="J275" s="161"/>
      <c r="K275" s="161"/>
      <c r="L275" s="161"/>
      <c r="M275" s="161"/>
      <c r="N275" s="161"/>
      <c r="O275" s="161"/>
      <c r="P275" s="161"/>
      <c r="Q275" s="161"/>
      <c r="R275" s="161"/>
      <c r="S275" s="161"/>
      <c r="T275" s="161"/>
    </row>
    <row r="276" spans="1:20" ht="13">
      <c r="A276" s="161"/>
      <c r="B276" s="161"/>
      <c r="C276" s="161"/>
      <c r="D276" s="161"/>
      <c r="E276" s="161"/>
      <c r="F276" s="161"/>
      <c r="G276" s="161"/>
      <c r="H276" s="161"/>
      <c r="I276" s="161"/>
      <c r="J276" s="161"/>
      <c r="K276" s="161"/>
      <c r="L276" s="161"/>
      <c r="M276" s="161"/>
      <c r="N276" s="161"/>
      <c r="O276" s="161"/>
      <c r="P276" s="161"/>
      <c r="Q276" s="161"/>
      <c r="R276" s="161"/>
      <c r="S276" s="161"/>
      <c r="T276" s="161"/>
    </row>
    <row r="277" spans="1:20" ht="13">
      <c r="A277" s="161"/>
      <c r="B277" s="161"/>
      <c r="C277" s="161"/>
      <c r="D277" s="161"/>
      <c r="E277" s="161"/>
      <c r="F277" s="161"/>
      <c r="G277" s="161"/>
      <c r="H277" s="161"/>
      <c r="I277" s="161"/>
      <c r="J277" s="161"/>
      <c r="K277" s="161"/>
      <c r="L277" s="161"/>
      <c r="M277" s="161"/>
      <c r="N277" s="161"/>
      <c r="O277" s="161"/>
      <c r="P277" s="161"/>
      <c r="Q277" s="161"/>
      <c r="R277" s="161"/>
      <c r="S277" s="161"/>
      <c r="T277" s="161"/>
    </row>
    <row r="278" spans="1:20" ht="13">
      <c r="A278" s="161"/>
      <c r="B278" s="161"/>
      <c r="C278" s="161"/>
      <c r="D278" s="161"/>
      <c r="E278" s="161"/>
      <c r="F278" s="161"/>
      <c r="G278" s="161"/>
      <c r="H278" s="161"/>
      <c r="I278" s="161"/>
      <c r="J278" s="161"/>
      <c r="K278" s="161"/>
      <c r="L278" s="161"/>
      <c r="M278" s="161"/>
      <c r="N278" s="161"/>
      <c r="O278" s="161"/>
      <c r="P278" s="161"/>
      <c r="Q278" s="161"/>
      <c r="R278" s="161"/>
      <c r="S278" s="161"/>
      <c r="T278" s="161"/>
    </row>
    <row r="279" spans="1:20" ht="13">
      <c r="A279" s="161"/>
      <c r="B279" s="161"/>
      <c r="C279" s="161"/>
      <c r="D279" s="161"/>
      <c r="E279" s="161"/>
      <c r="F279" s="161"/>
      <c r="G279" s="161"/>
      <c r="H279" s="161"/>
      <c r="I279" s="161"/>
      <c r="J279" s="161"/>
      <c r="K279" s="161"/>
      <c r="L279" s="161"/>
      <c r="M279" s="161"/>
      <c r="N279" s="161"/>
      <c r="O279" s="161"/>
      <c r="P279" s="161"/>
      <c r="Q279" s="161"/>
      <c r="R279" s="161"/>
      <c r="S279" s="161"/>
      <c r="T279" s="161"/>
    </row>
    <row r="280" spans="1:20" ht="13">
      <c r="A280" s="161"/>
      <c r="B280" s="161"/>
      <c r="C280" s="161"/>
      <c r="D280" s="161"/>
      <c r="E280" s="161"/>
      <c r="F280" s="161"/>
      <c r="G280" s="161"/>
      <c r="H280" s="161"/>
      <c r="I280" s="161"/>
      <c r="J280" s="161"/>
      <c r="K280" s="161"/>
      <c r="L280" s="161"/>
      <c r="M280" s="161"/>
      <c r="N280" s="161"/>
      <c r="O280" s="161"/>
      <c r="P280" s="161"/>
      <c r="Q280" s="161"/>
      <c r="R280" s="161"/>
      <c r="S280" s="161"/>
      <c r="T280" s="161"/>
    </row>
    <row r="281" spans="1:20" ht="13">
      <c r="A281" s="161"/>
      <c r="B281" s="161"/>
      <c r="C281" s="161"/>
      <c r="D281" s="161"/>
      <c r="E281" s="161"/>
      <c r="F281" s="161"/>
      <c r="G281" s="161"/>
      <c r="H281" s="161"/>
      <c r="I281" s="161"/>
      <c r="J281" s="161"/>
      <c r="K281" s="161"/>
      <c r="L281" s="161"/>
      <c r="M281" s="161"/>
      <c r="N281" s="161"/>
      <c r="O281" s="161"/>
      <c r="P281" s="161"/>
      <c r="Q281" s="161"/>
      <c r="R281" s="161"/>
      <c r="S281" s="161"/>
      <c r="T281" s="161"/>
    </row>
    <row r="282" spans="1:20" ht="13">
      <c r="A282" s="161"/>
      <c r="B282" s="161"/>
      <c r="C282" s="161"/>
      <c r="D282" s="161"/>
      <c r="E282" s="161"/>
      <c r="F282" s="161"/>
      <c r="G282" s="161"/>
      <c r="H282" s="161"/>
      <c r="I282" s="161"/>
      <c r="J282" s="161"/>
      <c r="K282" s="161"/>
      <c r="L282" s="161"/>
      <c r="M282" s="161"/>
      <c r="N282" s="161"/>
      <c r="O282" s="161"/>
      <c r="P282" s="161"/>
      <c r="Q282" s="161"/>
      <c r="R282" s="161"/>
      <c r="S282" s="161"/>
      <c r="T282" s="161"/>
    </row>
    <row r="283" spans="1:20" ht="13">
      <c r="A283" s="161"/>
      <c r="B283" s="161"/>
      <c r="C283" s="161"/>
      <c r="D283" s="161"/>
      <c r="E283" s="161"/>
      <c r="F283" s="161"/>
      <c r="G283" s="161"/>
      <c r="H283" s="161"/>
      <c r="I283" s="161"/>
      <c r="J283" s="161"/>
      <c r="K283" s="161"/>
      <c r="L283" s="161"/>
      <c r="M283" s="161"/>
      <c r="N283" s="161"/>
      <c r="O283" s="161"/>
      <c r="P283" s="161"/>
      <c r="Q283" s="161"/>
      <c r="R283" s="161"/>
      <c r="S283" s="161"/>
      <c r="T283" s="161"/>
    </row>
    <row r="284" spans="1:20" ht="13">
      <c r="A284" s="161"/>
      <c r="B284" s="161"/>
      <c r="C284" s="161"/>
      <c r="D284" s="161"/>
      <c r="E284" s="161"/>
      <c r="F284" s="161"/>
      <c r="G284" s="161"/>
      <c r="H284" s="161"/>
      <c r="I284" s="161"/>
      <c r="J284" s="161"/>
      <c r="K284" s="161"/>
      <c r="L284" s="161"/>
      <c r="M284" s="161"/>
      <c r="N284" s="161"/>
      <c r="O284" s="161"/>
      <c r="P284" s="161"/>
      <c r="Q284" s="161"/>
      <c r="R284" s="161"/>
      <c r="S284" s="161"/>
      <c r="T284" s="161"/>
    </row>
    <row r="285" spans="1:20" ht="13">
      <c r="A285" s="161"/>
      <c r="B285" s="161"/>
      <c r="C285" s="161"/>
      <c r="D285" s="161"/>
      <c r="E285" s="161"/>
      <c r="F285" s="161"/>
      <c r="G285" s="161"/>
      <c r="H285" s="161"/>
      <c r="I285" s="161"/>
      <c r="J285" s="161"/>
      <c r="K285" s="161"/>
      <c r="L285" s="161"/>
      <c r="M285" s="161"/>
      <c r="N285" s="161"/>
      <c r="O285" s="161"/>
      <c r="P285" s="161"/>
      <c r="Q285" s="161"/>
      <c r="R285" s="161"/>
      <c r="S285" s="161"/>
      <c r="T285" s="161"/>
    </row>
    <row r="286" spans="1:20" ht="13">
      <c r="A286" s="161"/>
      <c r="B286" s="161"/>
      <c r="C286" s="161"/>
      <c r="D286" s="161"/>
      <c r="E286" s="161"/>
      <c r="F286" s="161"/>
      <c r="G286" s="161"/>
      <c r="H286" s="161"/>
      <c r="I286" s="161"/>
      <c r="J286" s="161"/>
      <c r="K286" s="161"/>
      <c r="L286" s="161"/>
      <c r="M286" s="161"/>
      <c r="N286" s="161"/>
      <c r="O286" s="161"/>
      <c r="P286" s="161"/>
      <c r="Q286" s="161"/>
      <c r="R286" s="161"/>
      <c r="S286" s="161"/>
      <c r="T286" s="161"/>
    </row>
    <row r="287" spans="1:20" ht="13">
      <c r="A287" s="161"/>
      <c r="B287" s="161"/>
      <c r="C287" s="161"/>
      <c r="D287" s="161"/>
      <c r="E287" s="161"/>
      <c r="F287" s="161"/>
      <c r="G287" s="161"/>
      <c r="H287" s="161"/>
      <c r="I287" s="161"/>
      <c r="J287" s="161"/>
      <c r="K287" s="161"/>
      <c r="L287" s="161"/>
      <c r="M287" s="161"/>
      <c r="N287" s="161"/>
      <c r="O287" s="161"/>
      <c r="P287" s="161"/>
      <c r="Q287" s="161"/>
      <c r="R287" s="161"/>
      <c r="S287" s="161"/>
      <c r="T287" s="161"/>
    </row>
    <row r="288" spans="1:20" ht="13">
      <c r="A288" s="161"/>
      <c r="B288" s="161"/>
      <c r="C288" s="161"/>
      <c r="D288" s="161"/>
      <c r="E288" s="161"/>
      <c r="F288" s="161"/>
      <c r="G288" s="161"/>
      <c r="H288" s="161"/>
      <c r="I288" s="161"/>
      <c r="J288" s="161"/>
      <c r="K288" s="161"/>
      <c r="L288" s="161"/>
      <c r="M288" s="161"/>
      <c r="N288" s="161"/>
      <c r="O288" s="161"/>
      <c r="P288" s="161"/>
      <c r="Q288" s="161"/>
      <c r="R288" s="161"/>
      <c r="S288" s="161"/>
      <c r="T288" s="161"/>
    </row>
    <row r="289" spans="1:20" ht="13">
      <c r="A289" s="161"/>
      <c r="B289" s="161"/>
      <c r="C289" s="161"/>
      <c r="D289" s="161"/>
      <c r="E289" s="161"/>
      <c r="F289" s="161"/>
      <c r="G289" s="161"/>
      <c r="H289" s="161"/>
      <c r="I289" s="161"/>
      <c r="J289" s="161"/>
      <c r="K289" s="161"/>
      <c r="L289" s="161"/>
      <c r="M289" s="161"/>
      <c r="N289" s="161"/>
      <c r="O289" s="161"/>
      <c r="P289" s="161"/>
      <c r="Q289" s="161"/>
      <c r="R289" s="161"/>
      <c r="S289" s="161"/>
      <c r="T289" s="161"/>
    </row>
    <row r="290" spans="1:20" ht="13">
      <c r="A290" s="161"/>
      <c r="B290" s="161"/>
      <c r="C290" s="161"/>
      <c r="D290" s="161"/>
      <c r="E290" s="161"/>
      <c r="F290" s="161"/>
      <c r="G290" s="161"/>
      <c r="H290" s="161"/>
      <c r="I290" s="161"/>
      <c r="J290" s="161"/>
      <c r="K290" s="161"/>
      <c r="L290" s="161"/>
      <c r="M290" s="161"/>
      <c r="N290" s="161"/>
      <c r="O290" s="161"/>
      <c r="P290" s="161"/>
      <c r="Q290" s="161"/>
      <c r="R290" s="161"/>
      <c r="S290" s="161"/>
      <c r="T290" s="161"/>
    </row>
    <row r="291" spans="1:20" ht="13">
      <c r="A291" s="161"/>
      <c r="B291" s="161"/>
      <c r="C291" s="161"/>
      <c r="D291" s="161"/>
      <c r="E291" s="161"/>
      <c r="F291" s="161"/>
      <c r="G291" s="161"/>
      <c r="H291" s="161"/>
      <c r="I291" s="161"/>
      <c r="J291" s="161"/>
      <c r="K291" s="161"/>
      <c r="L291" s="161"/>
      <c r="M291" s="161"/>
      <c r="N291" s="161"/>
      <c r="O291" s="161"/>
      <c r="P291" s="161"/>
      <c r="Q291" s="161"/>
      <c r="R291" s="161"/>
      <c r="S291" s="161"/>
      <c r="T291" s="161"/>
    </row>
    <row r="292" spans="1:20" ht="13">
      <c r="A292" s="161"/>
      <c r="B292" s="161"/>
      <c r="C292" s="161"/>
      <c r="D292" s="161"/>
      <c r="E292" s="161"/>
      <c r="F292" s="161"/>
      <c r="G292" s="161"/>
      <c r="H292" s="161"/>
      <c r="I292" s="161"/>
      <c r="J292" s="161"/>
      <c r="K292" s="161"/>
      <c r="L292" s="161"/>
      <c r="M292" s="161"/>
      <c r="N292" s="161"/>
      <c r="O292" s="161"/>
      <c r="P292" s="161"/>
      <c r="Q292" s="161"/>
      <c r="R292" s="161"/>
      <c r="S292" s="161"/>
      <c r="T292" s="161"/>
    </row>
    <row r="293" spans="1:20" ht="13">
      <c r="A293" s="161"/>
      <c r="B293" s="161"/>
      <c r="C293" s="161"/>
      <c r="D293" s="161"/>
      <c r="E293" s="161"/>
      <c r="F293" s="161"/>
      <c r="G293" s="161"/>
      <c r="H293" s="161"/>
      <c r="I293" s="161"/>
      <c r="J293" s="161"/>
      <c r="K293" s="161"/>
      <c r="L293" s="161"/>
      <c r="M293" s="161"/>
      <c r="N293" s="161"/>
      <c r="O293" s="161"/>
      <c r="P293" s="161"/>
      <c r="Q293" s="161"/>
      <c r="R293" s="161"/>
      <c r="S293" s="161"/>
      <c r="T293" s="161"/>
    </row>
    <row r="294" spans="1:20" ht="13">
      <c r="A294" s="161"/>
      <c r="B294" s="161"/>
      <c r="C294" s="161"/>
      <c r="D294" s="161"/>
      <c r="E294" s="161"/>
      <c r="F294" s="161"/>
      <c r="G294" s="161"/>
      <c r="H294" s="161"/>
      <c r="I294" s="161"/>
      <c r="J294" s="161"/>
      <c r="K294" s="161"/>
      <c r="L294" s="161"/>
      <c r="M294" s="161"/>
      <c r="N294" s="161"/>
      <c r="O294" s="161"/>
      <c r="P294" s="161"/>
      <c r="Q294" s="161"/>
      <c r="R294" s="161"/>
      <c r="S294" s="161"/>
      <c r="T294" s="161"/>
    </row>
    <row r="295" spans="1:20" ht="13">
      <c r="A295" s="161"/>
      <c r="B295" s="161"/>
      <c r="C295" s="161"/>
      <c r="D295" s="161"/>
      <c r="E295" s="161"/>
      <c r="F295" s="161"/>
      <c r="G295" s="161"/>
      <c r="H295" s="161"/>
      <c r="I295" s="161"/>
      <c r="J295" s="161"/>
      <c r="K295" s="161"/>
      <c r="L295" s="161"/>
      <c r="M295" s="161"/>
      <c r="N295" s="161"/>
      <c r="O295" s="161"/>
      <c r="P295" s="161"/>
      <c r="Q295" s="161"/>
      <c r="R295" s="161"/>
      <c r="S295" s="161"/>
      <c r="T295" s="161"/>
    </row>
    <row r="296" spans="1:20" ht="13">
      <c r="A296" s="161"/>
      <c r="B296" s="161"/>
      <c r="C296" s="161"/>
      <c r="D296" s="161"/>
      <c r="E296" s="161"/>
      <c r="F296" s="161"/>
      <c r="G296" s="161"/>
      <c r="H296" s="161"/>
      <c r="I296" s="161"/>
      <c r="J296" s="161"/>
      <c r="K296" s="161"/>
      <c r="L296" s="161"/>
      <c r="M296" s="161"/>
      <c r="N296" s="161"/>
      <c r="O296" s="161"/>
      <c r="P296" s="161"/>
      <c r="Q296" s="161"/>
      <c r="R296" s="161"/>
      <c r="S296" s="161"/>
      <c r="T296" s="161"/>
    </row>
    <row r="297" spans="1:20" ht="13">
      <c r="A297" s="161"/>
      <c r="B297" s="161"/>
      <c r="C297" s="161"/>
      <c r="D297" s="161"/>
      <c r="E297" s="161"/>
      <c r="F297" s="161"/>
      <c r="G297" s="161"/>
      <c r="H297" s="161"/>
      <c r="I297" s="161"/>
      <c r="J297" s="161"/>
      <c r="K297" s="161"/>
      <c r="L297" s="161"/>
      <c r="M297" s="161"/>
      <c r="N297" s="161"/>
      <c r="O297" s="161"/>
      <c r="P297" s="161"/>
      <c r="Q297" s="161"/>
      <c r="R297" s="161"/>
      <c r="S297" s="161"/>
      <c r="T297" s="161"/>
    </row>
    <row r="298" spans="1:20" ht="13">
      <c r="A298" s="161"/>
      <c r="B298" s="161"/>
      <c r="C298" s="161"/>
      <c r="D298" s="161"/>
      <c r="E298" s="161"/>
      <c r="F298" s="161"/>
      <c r="G298" s="161"/>
      <c r="H298" s="161"/>
      <c r="I298" s="161"/>
      <c r="J298" s="161"/>
      <c r="K298" s="161"/>
      <c r="L298" s="161"/>
      <c r="M298" s="161"/>
      <c r="N298" s="161"/>
      <c r="O298" s="161"/>
      <c r="P298" s="161"/>
      <c r="Q298" s="161"/>
      <c r="R298" s="161"/>
      <c r="S298" s="161"/>
      <c r="T298" s="161"/>
    </row>
    <row r="299" spans="1:20" ht="13">
      <c r="A299" s="161"/>
      <c r="B299" s="161"/>
      <c r="C299" s="161"/>
      <c r="D299" s="161"/>
      <c r="E299" s="161"/>
      <c r="F299" s="161"/>
      <c r="G299" s="161"/>
      <c r="H299" s="161"/>
      <c r="I299" s="161"/>
      <c r="J299" s="161"/>
      <c r="K299" s="161"/>
      <c r="L299" s="161"/>
      <c r="M299" s="161"/>
      <c r="N299" s="161"/>
      <c r="O299" s="161"/>
      <c r="P299" s="161"/>
      <c r="Q299" s="161"/>
      <c r="R299" s="161"/>
      <c r="S299" s="161"/>
      <c r="T299" s="161"/>
    </row>
    <row r="300" spans="1:20" ht="13">
      <c r="A300" s="161"/>
      <c r="B300" s="161"/>
      <c r="C300" s="161"/>
      <c r="D300" s="161"/>
      <c r="E300" s="161"/>
      <c r="F300" s="161"/>
      <c r="G300" s="161"/>
      <c r="H300" s="161"/>
      <c r="I300" s="161"/>
      <c r="J300" s="161"/>
      <c r="K300" s="161"/>
      <c r="L300" s="161"/>
      <c r="M300" s="161"/>
      <c r="N300" s="161"/>
      <c r="O300" s="161"/>
      <c r="P300" s="161"/>
      <c r="Q300" s="161"/>
      <c r="R300" s="161"/>
      <c r="S300" s="161"/>
      <c r="T300" s="161"/>
    </row>
    <row r="301" spans="1:20" ht="13">
      <c r="A301" s="161"/>
      <c r="B301" s="161"/>
      <c r="C301" s="161"/>
      <c r="D301" s="161"/>
      <c r="E301" s="161"/>
      <c r="F301" s="161"/>
      <c r="G301" s="161"/>
      <c r="H301" s="161"/>
      <c r="I301" s="161"/>
      <c r="J301" s="161"/>
      <c r="K301" s="161"/>
      <c r="L301" s="161"/>
      <c r="M301" s="161"/>
      <c r="N301" s="161"/>
      <c r="O301" s="161"/>
      <c r="P301" s="161"/>
      <c r="Q301" s="161"/>
      <c r="R301" s="161"/>
      <c r="S301" s="161"/>
      <c r="T301" s="161"/>
    </row>
    <row r="302" spans="1:20" ht="13">
      <c r="A302" s="161"/>
      <c r="B302" s="161"/>
      <c r="C302" s="161"/>
      <c r="D302" s="161"/>
      <c r="E302" s="161"/>
      <c r="F302" s="161"/>
      <c r="G302" s="161"/>
      <c r="H302" s="161"/>
      <c r="I302" s="161"/>
      <c r="J302" s="161"/>
      <c r="K302" s="161"/>
      <c r="L302" s="161"/>
      <c r="M302" s="161"/>
      <c r="N302" s="161"/>
      <c r="O302" s="161"/>
      <c r="P302" s="161"/>
      <c r="Q302" s="161"/>
      <c r="R302" s="161"/>
      <c r="S302" s="161"/>
      <c r="T302" s="161"/>
    </row>
    <row r="303" spans="1:20" ht="13">
      <c r="A303" s="161"/>
      <c r="B303" s="161"/>
      <c r="C303" s="161"/>
      <c r="D303" s="161"/>
      <c r="E303" s="161"/>
      <c r="F303" s="161"/>
      <c r="G303" s="161"/>
      <c r="H303" s="161"/>
      <c r="I303" s="161"/>
      <c r="J303" s="161"/>
      <c r="K303" s="161"/>
      <c r="L303" s="161"/>
      <c r="M303" s="161"/>
      <c r="N303" s="161"/>
      <c r="O303" s="161"/>
      <c r="P303" s="161"/>
      <c r="Q303" s="161"/>
      <c r="R303" s="161"/>
      <c r="S303" s="161"/>
      <c r="T303" s="161"/>
    </row>
    <row r="304" spans="1:20" ht="13">
      <c r="A304" s="161"/>
      <c r="B304" s="161"/>
      <c r="C304" s="161"/>
      <c r="D304" s="161"/>
      <c r="E304" s="161"/>
      <c r="F304" s="161"/>
      <c r="G304" s="161"/>
      <c r="H304" s="161"/>
      <c r="I304" s="161"/>
      <c r="J304" s="161"/>
      <c r="K304" s="161"/>
      <c r="L304" s="161"/>
      <c r="M304" s="161"/>
      <c r="N304" s="161"/>
      <c r="O304" s="161"/>
      <c r="P304" s="161"/>
      <c r="Q304" s="161"/>
      <c r="R304" s="161"/>
      <c r="S304" s="161"/>
      <c r="T304" s="161"/>
    </row>
    <row r="305" spans="1:20" ht="13">
      <c r="A305" s="161"/>
      <c r="B305" s="161"/>
      <c r="C305" s="161"/>
      <c r="D305" s="161"/>
      <c r="E305" s="161"/>
      <c r="F305" s="161"/>
      <c r="G305" s="161"/>
      <c r="H305" s="161"/>
      <c r="I305" s="161"/>
      <c r="J305" s="161"/>
      <c r="K305" s="161"/>
      <c r="L305" s="161"/>
      <c r="M305" s="161"/>
      <c r="N305" s="161"/>
      <c r="O305" s="161"/>
      <c r="P305" s="161"/>
      <c r="Q305" s="161"/>
      <c r="R305" s="161"/>
      <c r="S305" s="161"/>
      <c r="T305" s="161"/>
    </row>
    <row r="306" spans="1:20" ht="13">
      <c r="A306" s="161"/>
      <c r="B306" s="161"/>
      <c r="C306" s="161"/>
      <c r="D306" s="161"/>
      <c r="E306" s="161"/>
      <c r="F306" s="161"/>
      <c r="G306" s="161"/>
      <c r="H306" s="161"/>
      <c r="I306" s="161"/>
      <c r="J306" s="161"/>
      <c r="K306" s="161"/>
      <c r="L306" s="161"/>
      <c r="M306" s="161"/>
      <c r="N306" s="161"/>
      <c r="O306" s="161"/>
      <c r="P306" s="161"/>
      <c r="Q306" s="161"/>
      <c r="R306" s="161"/>
      <c r="S306" s="161"/>
      <c r="T306" s="161"/>
    </row>
    <row r="307" spans="1:20" ht="13">
      <c r="A307" s="161"/>
      <c r="B307" s="161"/>
      <c r="C307" s="161"/>
      <c r="D307" s="161"/>
      <c r="E307" s="161"/>
      <c r="F307" s="161"/>
      <c r="G307" s="161"/>
      <c r="H307" s="161"/>
      <c r="I307" s="161"/>
      <c r="J307" s="161"/>
      <c r="K307" s="161"/>
      <c r="L307" s="161"/>
      <c r="M307" s="161"/>
      <c r="N307" s="161"/>
      <c r="O307" s="161"/>
      <c r="P307" s="161"/>
      <c r="Q307" s="161"/>
      <c r="R307" s="161"/>
      <c r="S307" s="161"/>
      <c r="T307" s="161"/>
    </row>
    <row r="308" spans="1:20" ht="13">
      <c r="A308" s="161"/>
      <c r="B308" s="161"/>
      <c r="C308" s="161"/>
      <c r="D308" s="161"/>
      <c r="E308" s="161"/>
      <c r="F308" s="161"/>
      <c r="G308" s="161"/>
      <c r="H308" s="161"/>
      <c r="I308" s="161"/>
      <c r="J308" s="161"/>
      <c r="K308" s="161"/>
      <c r="L308" s="161"/>
      <c r="M308" s="161"/>
      <c r="N308" s="161"/>
      <c r="O308" s="161"/>
      <c r="P308" s="161"/>
      <c r="Q308" s="161"/>
      <c r="R308" s="161"/>
      <c r="S308" s="161"/>
      <c r="T308" s="161"/>
    </row>
    <row r="309" spans="1:20" ht="13">
      <c r="A309" s="161"/>
      <c r="B309" s="161"/>
      <c r="C309" s="161"/>
      <c r="D309" s="161"/>
      <c r="E309" s="161"/>
      <c r="F309" s="161"/>
      <c r="G309" s="161"/>
      <c r="H309" s="161"/>
      <c r="I309" s="161"/>
      <c r="J309" s="161"/>
      <c r="K309" s="161"/>
      <c r="L309" s="161"/>
      <c r="M309" s="161"/>
      <c r="N309" s="161"/>
      <c r="O309" s="161"/>
      <c r="P309" s="161"/>
      <c r="Q309" s="161"/>
      <c r="R309" s="161"/>
      <c r="S309" s="161"/>
      <c r="T309" s="161"/>
    </row>
    <row r="310" spans="1:20" ht="13">
      <c r="A310" s="161"/>
      <c r="B310" s="161"/>
      <c r="C310" s="161"/>
      <c r="D310" s="161"/>
      <c r="E310" s="161"/>
      <c r="F310" s="161"/>
      <c r="G310" s="161"/>
      <c r="H310" s="161"/>
      <c r="I310" s="161"/>
      <c r="J310" s="161"/>
      <c r="K310" s="161"/>
      <c r="L310" s="161"/>
      <c r="M310" s="161"/>
      <c r="N310" s="161"/>
      <c r="O310" s="161"/>
      <c r="P310" s="161"/>
      <c r="Q310" s="161"/>
      <c r="R310" s="161"/>
      <c r="S310" s="161"/>
      <c r="T310" s="161"/>
    </row>
    <row r="311" spans="1:20" ht="13">
      <c r="A311" s="161"/>
      <c r="B311" s="161"/>
      <c r="C311" s="161"/>
      <c r="D311" s="161"/>
      <c r="E311" s="161"/>
      <c r="F311" s="161"/>
      <c r="G311" s="161"/>
      <c r="H311" s="161"/>
      <c r="I311" s="161"/>
      <c r="J311" s="161"/>
      <c r="K311" s="161"/>
      <c r="L311" s="161"/>
      <c r="M311" s="161"/>
      <c r="N311" s="161"/>
      <c r="O311" s="161"/>
      <c r="P311" s="161"/>
      <c r="Q311" s="161"/>
      <c r="R311" s="161"/>
      <c r="S311" s="161"/>
      <c r="T311" s="161"/>
    </row>
    <row r="312" spans="1:20" ht="13">
      <c r="A312" s="161"/>
      <c r="B312" s="161"/>
      <c r="C312" s="161"/>
      <c r="D312" s="161"/>
      <c r="E312" s="161"/>
      <c r="F312" s="161"/>
      <c r="G312" s="161"/>
      <c r="H312" s="161"/>
      <c r="I312" s="161"/>
      <c r="J312" s="161"/>
      <c r="K312" s="161"/>
      <c r="L312" s="161"/>
      <c r="M312" s="161"/>
      <c r="N312" s="161"/>
      <c r="O312" s="161"/>
      <c r="P312" s="161"/>
      <c r="Q312" s="161"/>
      <c r="R312" s="161"/>
      <c r="S312" s="161"/>
      <c r="T312" s="161"/>
    </row>
    <row r="313" spans="1:20" ht="13">
      <c r="A313" s="161"/>
      <c r="B313" s="161"/>
      <c r="C313" s="161"/>
      <c r="D313" s="161"/>
      <c r="E313" s="161"/>
      <c r="F313" s="161"/>
      <c r="G313" s="161"/>
      <c r="H313" s="161"/>
      <c r="I313" s="161"/>
      <c r="J313" s="161"/>
      <c r="K313" s="161"/>
      <c r="L313" s="161"/>
      <c r="M313" s="161"/>
      <c r="N313" s="161"/>
      <c r="O313" s="161"/>
      <c r="P313" s="161"/>
      <c r="Q313" s="161"/>
      <c r="R313" s="161"/>
      <c r="S313" s="161"/>
      <c r="T313" s="161"/>
    </row>
    <row r="314" spans="1:20" ht="13">
      <c r="A314" s="161"/>
      <c r="B314" s="161"/>
      <c r="C314" s="161"/>
      <c r="D314" s="161"/>
      <c r="E314" s="161"/>
      <c r="F314" s="161"/>
      <c r="G314" s="161"/>
      <c r="H314" s="161"/>
      <c r="I314" s="161"/>
      <c r="J314" s="161"/>
      <c r="K314" s="161"/>
      <c r="L314" s="161"/>
      <c r="M314" s="161"/>
      <c r="N314" s="161"/>
      <c r="O314" s="161"/>
      <c r="P314" s="161"/>
      <c r="Q314" s="161"/>
      <c r="R314" s="161"/>
      <c r="S314" s="161"/>
      <c r="T314" s="161"/>
    </row>
    <row r="315" spans="1:20" ht="13">
      <c r="A315" s="161"/>
      <c r="B315" s="161"/>
      <c r="C315" s="161"/>
      <c r="D315" s="161"/>
      <c r="E315" s="161"/>
      <c r="F315" s="161"/>
      <c r="G315" s="161"/>
      <c r="H315" s="161"/>
      <c r="I315" s="161"/>
      <c r="J315" s="161"/>
      <c r="K315" s="161"/>
      <c r="L315" s="161"/>
      <c r="M315" s="161"/>
      <c r="N315" s="161"/>
      <c r="O315" s="161"/>
      <c r="P315" s="161"/>
      <c r="Q315" s="161"/>
      <c r="R315" s="161"/>
      <c r="S315" s="161"/>
      <c r="T315" s="161"/>
    </row>
    <row r="316" spans="1:20" ht="13">
      <c r="A316" s="161"/>
      <c r="B316" s="161"/>
      <c r="C316" s="161"/>
      <c r="D316" s="161"/>
      <c r="E316" s="161"/>
      <c r="F316" s="161"/>
      <c r="G316" s="161"/>
      <c r="H316" s="161"/>
      <c r="I316" s="161"/>
      <c r="J316" s="161"/>
      <c r="K316" s="161"/>
      <c r="L316" s="161"/>
      <c r="M316" s="161"/>
      <c r="N316" s="161"/>
      <c r="O316" s="161"/>
      <c r="P316" s="161"/>
      <c r="Q316" s="161"/>
      <c r="R316" s="161"/>
      <c r="S316" s="161"/>
      <c r="T316" s="161"/>
    </row>
    <row r="317" spans="1:20" ht="13">
      <c r="A317" s="161"/>
      <c r="B317" s="161"/>
      <c r="C317" s="161"/>
      <c r="D317" s="161"/>
      <c r="E317" s="161"/>
      <c r="F317" s="161"/>
      <c r="G317" s="161"/>
      <c r="H317" s="161"/>
      <c r="I317" s="161"/>
      <c r="J317" s="161"/>
      <c r="K317" s="161"/>
      <c r="L317" s="161"/>
      <c r="M317" s="161"/>
      <c r="N317" s="161"/>
      <c r="O317" s="161"/>
      <c r="P317" s="161"/>
      <c r="Q317" s="161"/>
      <c r="R317" s="161"/>
      <c r="S317" s="161"/>
      <c r="T317" s="161"/>
    </row>
    <row r="318" spans="1:20" ht="13">
      <c r="A318" s="161"/>
      <c r="B318" s="161"/>
      <c r="C318" s="161"/>
      <c r="D318" s="161"/>
      <c r="E318" s="161"/>
      <c r="F318" s="161"/>
      <c r="G318" s="161"/>
      <c r="H318" s="161"/>
      <c r="I318" s="161"/>
      <c r="J318" s="161"/>
      <c r="K318" s="161"/>
      <c r="L318" s="161"/>
      <c r="M318" s="161"/>
      <c r="N318" s="161"/>
      <c r="O318" s="161"/>
      <c r="P318" s="161"/>
      <c r="Q318" s="161"/>
      <c r="R318" s="161"/>
      <c r="S318" s="161"/>
      <c r="T318" s="161"/>
    </row>
    <row r="319" spans="1:20" ht="13">
      <c r="A319" s="161"/>
      <c r="B319" s="161"/>
      <c r="C319" s="161"/>
      <c r="D319" s="161"/>
      <c r="E319" s="161"/>
      <c r="F319" s="161"/>
      <c r="G319" s="161"/>
      <c r="H319" s="161"/>
      <c r="I319" s="161"/>
      <c r="J319" s="161"/>
      <c r="K319" s="161"/>
      <c r="L319" s="161"/>
      <c r="M319" s="161"/>
      <c r="N319" s="161"/>
      <c r="O319" s="161"/>
      <c r="P319" s="161"/>
      <c r="Q319" s="161"/>
      <c r="R319" s="161"/>
      <c r="S319" s="161"/>
      <c r="T319" s="161"/>
    </row>
    <row r="320" spans="1:20" ht="13">
      <c r="A320" s="161"/>
      <c r="B320" s="161"/>
      <c r="C320" s="161"/>
      <c r="D320" s="161"/>
      <c r="E320" s="161"/>
      <c r="F320" s="161"/>
      <c r="G320" s="161"/>
      <c r="H320" s="161"/>
      <c r="I320" s="161"/>
      <c r="J320" s="161"/>
      <c r="K320" s="161"/>
      <c r="L320" s="161"/>
      <c r="M320" s="161"/>
      <c r="N320" s="161"/>
      <c r="O320" s="161"/>
      <c r="P320" s="161"/>
      <c r="Q320" s="161"/>
      <c r="R320" s="161"/>
      <c r="S320" s="161"/>
      <c r="T320" s="161"/>
    </row>
    <row r="321" spans="1:20" ht="13">
      <c r="A321" s="161"/>
      <c r="B321" s="161"/>
      <c r="C321" s="161"/>
      <c r="D321" s="161"/>
      <c r="E321" s="161"/>
      <c r="F321" s="161"/>
      <c r="G321" s="161"/>
      <c r="H321" s="161"/>
      <c r="I321" s="161"/>
      <c r="J321" s="161"/>
      <c r="K321" s="161"/>
      <c r="L321" s="161"/>
      <c r="M321" s="161"/>
      <c r="N321" s="161"/>
      <c r="O321" s="161"/>
      <c r="P321" s="161"/>
      <c r="Q321" s="161"/>
      <c r="R321" s="161"/>
      <c r="S321" s="161"/>
      <c r="T321" s="161"/>
    </row>
    <row r="322" spans="1:20" ht="13">
      <c r="A322" s="161"/>
      <c r="B322" s="161"/>
      <c r="C322" s="161"/>
      <c r="D322" s="161"/>
      <c r="E322" s="161"/>
      <c r="F322" s="161"/>
      <c r="G322" s="161"/>
      <c r="H322" s="161"/>
      <c r="I322" s="161"/>
      <c r="J322" s="161"/>
      <c r="K322" s="161"/>
      <c r="L322" s="161"/>
      <c r="M322" s="161"/>
      <c r="N322" s="161"/>
      <c r="O322" s="161"/>
      <c r="P322" s="161"/>
      <c r="Q322" s="161"/>
      <c r="R322" s="161"/>
      <c r="S322" s="161"/>
      <c r="T322" s="161"/>
    </row>
    <row r="323" spans="1:20" ht="13">
      <c r="A323" s="161"/>
      <c r="B323" s="161"/>
      <c r="C323" s="161"/>
      <c r="D323" s="161"/>
      <c r="E323" s="161"/>
      <c r="F323" s="161"/>
      <c r="G323" s="161"/>
      <c r="H323" s="161"/>
      <c r="I323" s="161"/>
      <c r="J323" s="161"/>
      <c r="K323" s="161"/>
      <c r="L323" s="161"/>
      <c r="M323" s="161"/>
      <c r="N323" s="161"/>
      <c r="O323" s="161"/>
      <c r="P323" s="161"/>
      <c r="Q323" s="161"/>
      <c r="R323" s="161"/>
      <c r="S323" s="161"/>
      <c r="T323" s="161"/>
    </row>
    <row r="324" spans="1:20" ht="13">
      <c r="A324" s="161"/>
      <c r="B324" s="161"/>
      <c r="C324" s="161"/>
      <c r="D324" s="161"/>
      <c r="E324" s="161"/>
      <c r="F324" s="161"/>
      <c r="G324" s="161"/>
      <c r="H324" s="161"/>
      <c r="I324" s="161"/>
      <c r="J324" s="161"/>
      <c r="K324" s="161"/>
      <c r="L324" s="161"/>
      <c r="M324" s="161"/>
      <c r="N324" s="161"/>
      <c r="O324" s="161"/>
      <c r="P324" s="161"/>
      <c r="Q324" s="161"/>
      <c r="R324" s="161"/>
      <c r="S324" s="161"/>
      <c r="T324" s="161"/>
    </row>
    <row r="325" spans="1:20" ht="13">
      <c r="A325" s="161"/>
      <c r="B325" s="161"/>
      <c r="C325" s="161"/>
      <c r="D325" s="161"/>
      <c r="E325" s="161"/>
      <c r="F325" s="161"/>
      <c r="G325" s="161"/>
      <c r="H325" s="161"/>
      <c r="I325" s="161"/>
      <c r="J325" s="161"/>
      <c r="K325" s="161"/>
      <c r="L325" s="161"/>
      <c r="M325" s="161"/>
      <c r="N325" s="161"/>
      <c r="O325" s="161"/>
      <c r="P325" s="161"/>
      <c r="Q325" s="161"/>
      <c r="R325" s="161"/>
      <c r="S325" s="161"/>
      <c r="T325" s="161"/>
    </row>
    <row r="326" spans="1:20" ht="13">
      <c r="A326" s="161"/>
      <c r="B326" s="161"/>
      <c r="C326" s="161"/>
      <c r="D326" s="161"/>
      <c r="E326" s="161"/>
      <c r="F326" s="161"/>
      <c r="G326" s="161"/>
      <c r="H326" s="161"/>
      <c r="I326" s="161"/>
      <c r="J326" s="161"/>
      <c r="K326" s="161"/>
      <c r="L326" s="161"/>
      <c r="M326" s="161"/>
      <c r="N326" s="161"/>
      <c r="O326" s="161"/>
      <c r="P326" s="161"/>
      <c r="Q326" s="161"/>
      <c r="R326" s="161"/>
      <c r="S326" s="161"/>
      <c r="T326" s="161"/>
    </row>
    <row r="327" spans="1:20" ht="13">
      <c r="A327" s="161"/>
      <c r="B327" s="161"/>
      <c r="C327" s="161"/>
      <c r="D327" s="161"/>
      <c r="E327" s="161"/>
      <c r="F327" s="161"/>
      <c r="G327" s="161"/>
      <c r="H327" s="161"/>
      <c r="I327" s="161"/>
      <c r="J327" s="161"/>
      <c r="K327" s="161"/>
      <c r="L327" s="161"/>
      <c r="M327" s="161"/>
      <c r="N327" s="161"/>
      <c r="O327" s="161"/>
      <c r="P327" s="161"/>
      <c r="Q327" s="161"/>
      <c r="R327" s="161"/>
      <c r="S327" s="161"/>
      <c r="T327" s="161"/>
    </row>
    <row r="328" spans="1:20" ht="13">
      <c r="A328" s="161"/>
      <c r="B328" s="161"/>
      <c r="C328" s="161"/>
      <c r="D328" s="161"/>
      <c r="E328" s="161"/>
      <c r="F328" s="161"/>
      <c r="G328" s="161"/>
      <c r="H328" s="161"/>
      <c r="I328" s="161"/>
      <c r="J328" s="161"/>
      <c r="K328" s="161"/>
      <c r="L328" s="161"/>
      <c r="M328" s="161"/>
      <c r="N328" s="161"/>
      <c r="O328" s="161"/>
      <c r="P328" s="161"/>
      <c r="Q328" s="161"/>
      <c r="R328" s="161"/>
      <c r="S328" s="161"/>
      <c r="T328" s="161"/>
    </row>
    <row r="329" spans="1:20" ht="13">
      <c r="A329" s="161"/>
      <c r="B329" s="161"/>
      <c r="C329" s="161"/>
      <c r="D329" s="161"/>
      <c r="E329" s="161"/>
      <c r="F329" s="161"/>
      <c r="G329" s="161"/>
      <c r="H329" s="161"/>
      <c r="I329" s="161"/>
      <c r="J329" s="161"/>
      <c r="K329" s="161"/>
      <c r="L329" s="161"/>
      <c r="M329" s="161"/>
      <c r="N329" s="161"/>
      <c r="O329" s="161"/>
      <c r="P329" s="161"/>
      <c r="Q329" s="161"/>
      <c r="R329" s="161"/>
      <c r="S329" s="161"/>
      <c r="T329" s="161"/>
    </row>
    <row r="330" spans="1:20" ht="13">
      <c r="A330" s="161"/>
      <c r="B330" s="161"/>
      <c r="C330" s="161"/>
      <c r="D330" s="161"/>
      <c r="E330" s="161"/>
      <c r="F330" s="161"/>
      <c r="G330" s="161"/>
      <c r="H330" s="161"/>
      <c r="I330" s="161"/>
      <c r="J330" s="161"/>
      <c r="K330" s="161"/>
      <c r="L330" s="161"/>
      <c r="M330" s="161"/>
      <c r="N330" s="161"/>
      <c r="O330" s="161"/>
      <c r="P330" s="161"/>
      <c r="Q330" s="161"/>
      <c r="R330" s="161"/>
      <c r="S330" s="161"/>
      <c r="T330" s="161"/>
    </row>
    <row r="331" spans="1:20" ht="13">
      <c r="A331" s="161"/>
      <c r="B331" s="161"/>
      <c r="C331" s="161"/>
      <c r="D331" s="161"/>
      <c r="E331" s="161"/>
      <c r="F331" s="161"/>
      <c r="G331" s="161"/>
      <c r="H331" s="161"/>
      <c r="I331" s="161"/>
      <c r="J331" s="161"/>
      <c r="K331" s="161"/>
      <c r="L331" s="161"/>
      <c r="M331" s="161"/>
      <c r="N331" s="161"/>
      <c r="O331" s="161"/>
      <c r="P331" s="161"/>
      <c r="Q331" s="161"/>
      <c r="R331" s="161"/>
      <c r="S331" s="161"/>
      <c r="T331" s="161"/>
    </row>
    <row r="332" spans="1:20" ht="13">
      <c r="A332" s="161"/>
      <c r="B332" s="161"/>
      <c r="C332" s="161"/>
      <c r="D332" s="161"/>
      <c r="E332" s="161"/>
      <c r="F332" s="161"/>
      <c r="G332" s="161"/>
      <c r="H332" s="161"/>
      <c r="I332" s="161"/>
      <c r="J332" s="161"/>
      <c r="K332" s="161"/>
      <c r="L332" s="161"/>
      <c r="M332" s="161"/>
      <c r="N332" s="161"/>
      <c r="O332" s="161"/>
      <c r="P332" s="161"/>
      <c r="Q332" s="161"/>
      <c r="R332" s="161"/>
      <c r="S332" s="161"/>
      <c r="T332" s="161"/>
    </row>
    <row r="333" spans="1:20" ht="13">
      <c r="A333" s="161"/>
      <c r="B333" s="161"/>
      <c r="C333" s="161"/>
      <c r="D333" s="161"/>
      <c r="E333" s="161"/>
      <c r="F333" s="161"/>
      <c r="G333" s="161"/>
      <c r="H333" s="161"/>
      <c r="I333" s="161"/>
      <c r="J333" s="161"/>
      <c r="K333" s="161"/>
      <c r="L333" s="161"/>
      <c r="M333" s="161"/>
      <c r="N333" s="161"/>
      <c r="O333" s="161"/>
      <c r="P333" s="161"/>
      <c r="Q333" s="161"/>
      <c r="R333" s="161"/>
      <c r="S333" s="161"/>
      <c r="T333" s="161"/>
    </row>
    <row r="334" spans="1:20" ht="13">
      <c r="A334" s="161"/>
      <c r="B334" s="161"/>
      <c r="C334" s="161"/>
      <c r="D334" s="161"/>
      <c r="E334" s="161"/>
      <c r="F334" s="161"/>
      <c r="G334" s="161"/>
      <c r="H334" s="161"/>
      <c r="I334" s="161"/>
      <c r="J334" s="161"/>
      <c r="K334" s="161"/>
      <c r="L334" s="161"/>
      <c r="M334" s="161"/>
      <c r="N334" s="161"/>
      <c r="O334" s="161"/>
      <c r="P334" s="161"/>
      <c r="Q334" s="161"/>
      <c r="R334" s="161"/>
      <c r="S334" s="161"/>
      <c r="T334" s="161"/>
    </row>
    <row r="335" spans="1:20" ht="13">
      <c r="A335" s="161"/>
      <c r="B335" s="161"/>
      <c r="C335" s="161"/>
      <c r="D335" s="161"/>
      <c r="E335" s="161"/>
      <c r="F335" s="161"/>
      <c r="G335" s="161"/>
      <c r="H335" s="161"/>
      <c r="I335" s="161"/>
      <c r="J335" s="161"/>
      <c r="K335" s="161"/>
      <c r="L335" s="161"/>
      <c r="M335" s="161"/>
      <c r="N335" s="161"/>
      <c r="O335" s="161"/>
      <c r="P335" s="161"/>
      <c r="Q335" s="161"/>
      <c r="R335" s="161"/>
      <c r="S335" s="161"/>
      <c r="T335" s="161"/>
    </row>
    <row r="336" spans="1:20" ht="13">
      <c r="A336" s="161"/>
      <c r="B336" s="161"/>
      <c r="C336" s="161"/>
      <c r="D336" s="161"/>
      <c r="E336" s="161"/>
      <c r="F336" s="161"/>
      <c r="G336" s="161"/>
      <c r="H336" s="161"/>
      <c r="I336" s="161"/>
      <c r="J336" s="161"/>
      <c r="K336" s="161"/>
      <c r="L336" s="161"/>
      <c r="M336" s="161"/>
      <c r="N336" s="161"/>
      <c r="O336" s="161"/>
      <c r="P336" s="161"/>
      <c r="Q336" s="161"/>
      <c r="R336" s="161"/>
      <c r="S336" s="161"/>
      <c r="T336" s="161"/>
    </row>
    <row r="337" spans="1:20" ht="13">
      <c r="A337" s="161"/>
      <c r="B337" s="161"/>
      <c r="C337" s="161"/>
      <c r="D337" s="161"/>
      <c r="E337" s="161"/>
      <c r="F337" s="161"/>
      <c r="G337" s="161"/>
      <c r="H337" s="161"/>
      <c r="I337" s="161"/>
      <c r="J337" s="161"/>
      <c r="K337" s="161"/>
      <c r="L337" s="161"/>
      <c r="M337" s="161"/>
      <c r="N337" s="161"/>
      <c r="O337" s="161"/>
      <c r="P337" s="161"/>
      <c r="Q337" s="161"/>
      <c r="R337" s="161"/>
      <c r="S337" s="161"/>
      <c r="T337" s="161"/>
    </row>
    <row r="338" spans="1:20" ht="13">
      <c r="A338" s="161"/>
      <c r="B338" s="161"/>
      <c r="C338" s="161"/>
      <c r="D338" s="161"/>
      <c r="E338" s="161"/>
      <c r="F338" s="161"/>
      <c r="G338" s="161"/>
      <c r="H338" s="161"/>
      <c r="I338" s="161"/>
      <c r="J338" s="161"/>
      <c r="K338" s="161"/>
      <c r="L338" s="161"/>
      <c r="M338" s="161"/>
      <c r="N338" s="161"/>
      <c r="O338" s="161"/>
      <c r="P338" s="161"/>
      <c r="Q338" s="161"/>
      <c r="R338" s="161"/>
      <c r="S338" s="161"/>
      <c r="T338" s="161"/>
    </row>
    <row r="339" spans="1:20" ht="13">
      <c r="A339" s="161"/>
      <c r="B339" s="161"/>
      <c r="C339" s="161"/>
      <c r="D339" s="161"/>
      <c r="E339" s="161"/>
      <c r="F339" s="161"/>
      <c r="G339" s="161"/>
      <c r="H339" s="161"/>
      <c r="I339" s="161"/>
      <c r="J339" s="161"/>
      <c r="K339" s="161"/>
      <c r="L339" s="161"/>
      <c r="M339" s="161"/>
      <c r="N339" s="161"/>
      <c r="O339" s="161"/>
      <c r="P339" s="161"/>
      <c r="Q339" s="161"/>
      <c r="R339" s="161"/>
      <c r="S339" s="161"/>
      <c r="T339" s="161"/>
    </row>
    <row r="340" spans="1:20" ht="13">
      <c r="A340" s="161"/>
      <c r="B340" s="161"/>
      <c r="C340" s="161"/>
      <c r="D340" s="161"/>
      <c r="E340" s="161"/>
      <c r="F340" s="161"/>
      <c r="G340" s="161"/>
      <c r="H340" s="161"/>
      <c r="I340" s="161"/>
      <c r="J340" s="161"/>
      <c r="K340" s="161"/>
      <c r="L340" s="161"/>
      <c r="M340" s="161"/>
      <c r="N340" s="161"/>
      <c r="O340" s="161"/>
      <c r="P340" s="161"/>
      <c r="Q340" s="161"/>
      <c r="R340" s="161"/>
      <c r="S340" s="161"/>
      <c r="T340" s="161"/>
    </row>
    <row r="341" spans="1:20" ht="13">
      <c r="A341" s="161"/>
      <c r="B341" s="161"/>
      <c r="C341" s="161"/>
      <c r="D341" s="161"/>
      <c r="E341" s="161"/>
      <c r="F341" s="161"/>
      <c r="G341" s="161"/>
      <c r="H341" s="161"/>
      <c r="I341" s="161"/>
      <c r="J341" s="161"/>
      <c r="K341" s="161"/>
      <c r="L341" s="161"/>
      <c r="M341" s="161"/>
      <c r="N341" s="161"/>
      <c r="O341" s="161"/>
      <c r="P341" s="161"/>
      <c r="Q341" s="161"/>
      <c r="R341" s="161"/>
      <c r="S341" s="161"/>
      <c r="T341" s="161"/>
    </row>
    <row r="342" spans="1:20" ht="13">
      <c r="A342" s="161"/>
      <c r="B342" s="161"/>
      <c r="C342" s="161"/>
      <c r="D342" s="161"/>
      <c r="E342" s="161"/>
      <c r="F342" s="161"/>
      <c r="G342" s="161"/>
      <c r="H342" s="161"/>
      <c r="I342" s="161"/>
      <c r="J342" s="161"/>
      <c r="K342" s="161"/>
      <c r="L342" s="161"/>
      <c r="M342" s="161"/>
      <c r="N342" s="161"/>
      <c r="O342" s="161"/>
      <c r="P342" s="161"/>
      <c r="Q342" s="161"/>
      <c r="R342" s="161"/>
      <c r="S342" s="161"/>
      <c r="T342" s="161"/>
    </row>
    <row r="343" spans="1:20" ht="13">
      <c r="A343" s="161"/>
      <c r="B343" s="161"/>
      <c r="C343" s="161"/>
      <c r="D343" s="161"/>
      <c r="E343" s="161"/>
      <c r="F343" s="161"/>
      <c r="G343" s="161"/>
      <c r="H343" s="161"/>
      <c r="I343" s="161"/>
      <c r="J343" s="161"/>
      <c r="K343" s="161"/>
      <c r="L343" s="161"/>
      <c r="M343" s="161"/>
      <c r="N343" s="161"/>
      <c r="O343" s="161"/>
      <c r="P343" s="161"/>
      <c r="Q343" s="161"/>
      <c r="R343" s="161"/>
      <c r="S343" s="161"/>
      <c r="T343" s="161"/>
    </row>
    <row r="344" spans="1:20" ht="13">
      <c r="A344" s="161"/>
      <c r="B344" s="161"/>
      <c r="C344" s="161"/>
      <c r="D344" s="161"/>
      <c r="E344" s="161"/>
      <c r="F344" s="161"/>
      <c r="G344" s="161"/>
      <c r="H344" s="161"/>
      <c r="I344" s="161"/>
      <c r="J344" s="161"/>
      <c r="K344" s="161"/>
      <c r="L344" s="161"/>
      <c r="M344" s="161"/>
      <c r="N344" s="161"/>
      <c r="O344" s="161"/>
      <c r="P344" s="161"/>
      <c r="Q344" s="161"/>
      <c r="R344" s="161"/>
      <c r="S344" s="161"/>
      <c r="T344" s="161"/>
    </row>
    <row r="345" spans="1:20" ht="13">
      <c r="A345" s="161"/>
      <c r="B345" s="161"/>
      <c r="C345" s="161"/>
      <c r="D345" s="161"/>
      <c r="E345" s="161"/>
      <c r="F345" s="161"/>
      <c r="G345" s="161"/>
      <c r="H345" s="161"/>
      <c r="I345" s="161"/>
      <c r="J345" s="161"/>
      <c r="K345" s="161"/>
      <c r="L345" s="161"/>
      <c r="M345" s="161"/>
      <c r="N345" s="161"/>
      <c r="O345" s="161"/>
      <c r="P345" s="161"/>
      <c r="Q345" s="161"/>
      <c r="R345" s="161"/>
      <c r="S345" s="161"/>
      <c r="T345" s="161"/>
    </row>
    <row r="346" spans="1:20" ht="13">
      <c r="A346" s="161"/>
      <c r="B346" s="161"/>
      <c r="C346" s="161"/>
      <c r="D346" s="161"/>
      <c r="E346" s="161"/>
      <c r="F346" s="161"/>
      <c r="G346" s="161"/>
      <c r="H346" s="161"/>
      <c r="I346" s="161"/>
      <c r="J346" s="161"/>
      <c r="K346" s="161"/>
      <c r="L346" s="161"/>
      <c r="M346" s="161"/>
      <c r="N346" s="161"/>
      <c r="O346" s="161"/>
      <c r="P346" s="161"/>
      <c r="Q346" s="161"/>
      <c r="R346" s="161"/>
      <c r="S346" s="161"/>
      <c r="T346" s="161"/>
    </row>
    <row r="347" spans="1:20" ht="13">
      <c r="A347" s="161"/>
      <c r="B347" s="161"/>
      <c r="C347" s="161"/>
      <c r="D347" s="161"/>
      <c r="E347" s="161"/>
      <c r="F347" s="161"/>
      <c r="G347" s="161"/>
      <c r="H347" s="161"/>
      <c r="I347" s="161"/>
      <c r="J347" s="161"/>
      <c r="K347" s="161"/>
      <c r="L347" s="161"/>
      <c r="M347" s="161"/>
      <c r="N347" s="161"/>
      <c r="O347" s="161"/>
      <c r="P347" s="161"/>
      <c r="Q347" s="161"/>
      <c r="R347" s="161"/>
      <c r="S347" s="161"/>
      <c r="T347" s="161"/>
    </row>
    <row r="348" spans="1:20" ht="13">
      <c r="A348" s="161"/>
      <c r="B348" s="161"/>
      <c r="C348" s="161"/>
      <c r="D348" s="161"/>
      <c r="E348" s="161"/>
      <c r="F348" s="161"/>
      <c r="G348" s="161"/>
      <c r="H348" s="161"/>
      <c r="I348" s="161"/>
      <c r="J348" s="161"/>
      <c r="K348" s="161"/>
      <c r="L348" s="161"/>
      <c r="M348" s="161"/>
      <c r="N348" s="161"/>
      <c r="O348" s="161"/>
      <c r="P348" s="161"/>
      <c r="Q348" s="161"/>
      <c r="R348" s="161"/>
      <c r="S348" s="161"/>
      <c r="T348" s="161"/>
    </row>
    <row r="349" spans="1:20" ht="13">
      <c r="A349" s="161"/>
      <c r="B349" s="161"/>
      <c r="C349" s="161"/>
      <c r="D349" s="161"/>
      <c r="E349" s="161"/>
      <c r="F349" s="161"/>
      <c r="G349" s="161"/>
      <c r="H349" s="161"/>
      <c r="I349" s="161"/>
      <c r="J349" s="161"/>
      <c r="K349" s="161"/>
      <c r="L349" s="161"/>
      <c r="M349" s="161"/>
      <c r="N349" s="161"/>
      <c r="O349" s="161"/>
      <c r="P349" s="161"/>
      <c r="Q349" s="161"/>
      <c r="R349" s="161"/>
      <c r="S349" s="161"/>
      <c r="T349" s="161"/>
    </row>
    <row r="350" spans="1:20" ht="13">
      <c r="A350" s="161"/>
      <c r="B350" s="161"/>
      <c r="C350" s="161"/>
      <c r="D350" s="161"/>
      <c r="E350" s="161"/>
      <c r="F350" s="161"/>
      <c r="G350" s="161"/>
      <c r="H350" s="161"/>
      <c r="I350" s="161"/>
      <c r="J350" s="161"/>
      <c r="K350" s="161"/>
      <c r="L350" s="161"/>
      <c r="M350" s="161"/>
      <c r="N350" s="161"/>
      <c r="O350" s="161"/>
      <c r="P350" s="161"/>
      <c r="Q350" s="161"/>
      <c r="R350" s="161"/>
      <c r="S350" s="161"/>
      <c r="T350" s="161"/>
    </row>
    <row r="351" spans="1:20" ht="13">
      <c r="A351" s="161"/>
      <c r="B351" s="161"/>
      <c r="C351" s="161"/>
      <c r="D351" s="161"/>
      <c r="E351" s="161"/>
      <c r="F351" s="161"/>
      <c r="G351" s="161"/>
      <c r="H351" s="161"/>
      <c r="I351" s="161"/>
      <c r="J351" s="161"/>
      <c r="K351" s="161"/>
      <c r="L351" s="161"/>
      <c r="M351" s="161"/>
      <c r="N351" s="161"/>
      <c r="O351" s="161"/>
      <c r="P351" s="161"/>
      <c r="Q351" s="161"/>
      <c r="R351" s="161"/>
      <c r="S351" s="161"/>
      <c r="T351" s="161"/>
    </row>
    <row r="352" spans="1:20" ht="13">
      <c r="A352" s="161"/>
      <c r="B352" s="161"/>
      <c r="C352" s="161"/>
      <c r="D352" s="161"/>
      <c r="E352" s="161"/>
      <c r="F352" s="161"/>
      <c r="G352" s="161"/>
      <c r="H352" s="161"/>
      <c r="I352" s="161"/>
      <c r="J352" s="161"/>
      <c r="K352" s="161"/>
      <c r="L352" s="161"/>
      <c r="M352" s="161"/>
      <c r="N352" s="161"/>
      <c r="O352" s="161"/>
      <c r="P352" s="161"/>
      <c r="Q352" s="161"/>
      <c r="R352" s="161"/>
      <c r="S352" s="161"/>
      <c r="T352" s="161"/>
    </row>
    <row r="353" spans="1:20" ht="13">
      <c r="A353" s="161"/>
      <c r="B353" s="161"/>
      <c r="C353" s="161"/>
      <c r="D353" s="161"/>
      <c r="E353" s="161"/>
      <c r="F353" s="161"/>
      <c r="G353" s="161"/>
      <c r="H353" s="161"/>
      <c r="I353" s="161"/>
      <c r="J353" s="161"/>
      <c r="K353" s="161"/>
      <c r="L353" s="161"/>
      <c r="M353" s="161"/>
      <c r="N353" s="161"/>
      <c r="O353" s="161"/>
      <c r="P353" s="161"/>
      <c r="Q353" s="161"/>
      <c r="R353" s="161"/>
      <c r="S353" s="161"/>
      <c r="T353" s="161"/>
    </row>
    <row r="354" spans="1:20" ht="13">
      <c r="A354" s="161"/>
      <c r="B354" s="161"/>
      <c r="C354" s="161"/>
      <c r="D354" s="161"/>
      <c r="E354" s="161"/>
      <c r="F354" s="161"/>
      <c r="G354" s="161"/>
      <c r="H354" s="161"/>
      <c r="I354" s="161"/>
      <c r="J354" s="161"/>
      <c r="K354" s="161"/>
      <c r="L354" s="161"/>
      <c r="M354" s="161"/>
      <c r="N354" s="161"/>
      <c r="O354" s="161"/>
      <c r="P354" s="161"/>
      <c r="Q354" s="161"/>
      <c r="R354" s="161"/>
      <c r="S354" s="161"/>
      <c r="T354" s="161"/>
    </row>
    <row r="355" spans="1:20" ht="13">
      <c r="A355" s="161"/>
      <c r="B355" s="161"/>
      <c r="C355" s="161"/>
      <c r="D355" s="161"/>
      <c r="E355" s="161"/>
      <c r="F355" s="161"/>
      <c r="G355" s="161"/>
      <c r="H355" s="161"/>
      <c r="I355" s="161"/>
      <c r="J355" s="161"/>
      <c r="K355" s="161"/>
      <c r="L355" s="161"/>
      <c r="M355" s="161"/>
      <c r="N355" s="161"/>
      <c r="O355" s="161"/>
      <c r="P355" s="161"/>
      <c r="Q355" s="161"/>
      <c r="R355" s="161"/>
      <c r="S355" s="161"/>
      <c r="T355" s="161"/>
    </row>
    <row r="356" spans="1:20" ht="13">
      <c r="A356" s="161"/>
      <c r="B356" s="161"/>
      <c r="C356" s="161"/>
      <c r="D356" s="161"/>
      <c r="E356" s="161"/>
      <c r="F356" s="161"/>
      <c r="G356" s="161"/>
      <c r="H356" s="161"/>
      <c r="I356" s="161"/>
      <c r="J356" s="161"/>
      <c r="K356" s="161"/>
      <c r="L356" s="161"/>
      <c r="M356" s="161"/>
      <c r="N356" s="161"/>
      <c r="O356" s="161"/>
      <c r="P356" s="161"/>
      <c r="Q356" s="161"/>
      <c r="R356" s="161"/>
      <c r="S356" s="161"/>
      <c r="T356" s="161"/>
    </row>
    <row r="357" spans="1:20" ht="13">
      <c r="A357" s="161"/>
      <c r="B357" s="161"/>
      <c r="C357" s="161"/>
      <c r="D357" s="161"/>
      <c r="E357" s="161"/>
      <c r="F357" s="161"/>
      <c r="G357" s="161"/>
      <c r="H357" s="161"/>
      <c r="I357" s="161"/>
      <c r="J357" s="161"/>
      <c r="K357" s="161"/>
      <c r="L357" s="161"/>
      <c r="M357" s="161"/>
      <c r="N357" s="161"/>
      <c r="O357" s="161"/>
      <c r="P357" s="161"/>
      <c r="Q357" s="161"/>
      <c r="R357" s="161"/>
      <c r="S357" s="161"/>
      <c r="T357" s="161"/>
    </row>
    <row r="358" spans="1:20" ht="13">
      <c r="A358" s="161"/>
      <c r="B358" s="161"/>
      <c r="C358" s="161"/>
      <c r="D358" s="161"/>
      <c r="E358" s="161"/>
      <c r="F358" s="161"/>
      <c r="G358" s="161"/>
      <c r="H358" s="161"/>
      <c r="I358" s="161"/>
      <c r="J358" s="161"/>
      <c r="K358" s="161"/>
      <c r="L358" s="161"/>
      <c r="M358" s="161"/>
      <c r="N358" s="161"/>
      <c r="O358" s="161"/>
      <c r="P358" s="161"/>
      <c r="Q358" s="161"/>
      <c r="R358" s="161"/>
      <c r="S358" s="161"/>
      <c r="T358" s="161"/>
    </row>
    <row r="359" spans="1:20" ht="13">
      <c r="A359" s="161"/>
      <c r="B359" s="161"/>
      <c r="C359" s="161"/>
      <c r="D359" s="161"/>
      <c r="E359" s="161"/>
      <c r="F359" s="161"/>
      <c r="G359" s="161"/>
      <c r="H359" s="161"/>
      <c r="I359" s="161"/>
      <c r="J359" s="161"/>
      <c r="K359" s="161"/>
      <c r="L359" s="161"/>
      <c r="M359" s="161"/>
      <c r="N359" s="161"/>
      <c r="O359" s="161"/>
      <c r="P359" s="161"/>
      <c r="Q359" s="161"/>
      <c r="R359" s="161"/>
      <c r="S359" s="161"/>
      <c r="T359" s="161"/>
    </row>
    <row r="360" spans="1:20" ht="13">
      <c r="A360" s="161"/>
      <c r="B360" s="161"/>
      <c r="C360" s="161"/>
      <c r="D360" s="161"/>
      <c r="E360" s="161"/>
      <c r="F360" s="161"/>
      <c r="G360" s="161"/>
      <c r="H360" s="161"/>
      <c r="I360" s="161"/>
      <c r="J360" s="161"/>
      <c r="K360" s="161"/>
      <c r="L360" s="161"/>
      <c r="M360" s="161"/>
      <c r="N360" s="161"/>
      <c r="O360" s="161"/>
      <c r="P360" s="161"/>
      <c r="Q360" s="161"/>
      <c r="R360" s="161"/>
      <c r="S360" s="161"/>
      <c r="T360" s="161"/>
    </row>
    <row r="361" spans="1:20" ht="13">
      <c r="A361" s="161"/>
      <c r="B361" s="161"/>
      <c r="C361" s="161"/>
      <c r="D361" s="161"/>
      <c r="E361" s="161"/>
      <c r="F361" s="161"/>
      <c r="G361" s="161"/>
      <c r="H361" s="161"/>
      <c r="I361" s="161"/>
      <c r="J361" s="161"/>
      <c r="K361" s="161"/>
      <c r="L361" s="161"/>
      <c r="M361" s="161"/>
      <c r="N361" s="161"/>
      <c r="O361" s="161"/>
      <c r="P361" s="161"/>
      <c r="Q361" s="161"/>
      <c r="R361" s="161"/>
      <c r="S361" s="161"/>
      <c r="T361" s="161"/>
    </row>
    <row r="362" spans="1:20" ht="13">
      <c r="A362" s="161"/>
      <c r="B362" s="161"/>
      <c r="C362" s="161"/>
      <c r="D362" s="161"/>
      <c r="E362" s="161"/>
      <c r="F362" s="161"/>
      <c r="G362" s="161"/>
      <c r="H362" s="161"/>
      <c r="I362" s="161"/>
      <c r="J362" s="161"/>
      <c r="K362" s="161"/>
      <c r="L362" s="161"/>
      <c r="M362" s="161"/>
      <c r="N362" s="161"/>
      <c r="O362" s="161"/>
      <c r="P362" s="161"/>
      <c r="Q362" s="161"/>
      <c r="R362" s="161"/>
      <c r="S362" s="161"/>
      <c r="T362" s="161"/>
    </row>
    <row r="363" spans="1:20" ht="13">
      <c r="A363" s="161"/>
      <c r="B363" s="161"/>
      <c r="C363" s="161"/>
      <c r="D363" s="161"/>
      <c r="E363" s="161"/>
      <c r="F363" s="161"/>
      <c r="G363" s="161"/>
      <c r="H363" s="161"/>
      <c r="I363" s="161"/>
      <c r="J363" s="161"/>
      <c r="K363" s="161"/>
      <c r="L363" s="161"/>
      <c r="M363" s="161"/>
      <c r="N363" s="161"/>
      <c r="O363" s="161"/>
      <c r="P363" s="161"/>
      <c r="Q363" s="161"/>
      <c r="R363" s="161"/>
      <c r="S363" s="161"/>
      <c r="T363" s="161"/>
    </row>
    <row r="364" spans="1:20" ht="13">
      <c r="A364" s="161"/>
      <c r="B364" s="161"/>
      <c r="C364" s="161"/>
      <c r="D364" s="161"/>
      <c r="E364" s="161"/>
      <c r="F364" s="161"/>
      <c r="G364" s="161"/>
      <c r="H364" s="161"/>
      <c r="I364" s="161"/>
      <c r="J364" s="161"/>
      <c r="K364" s="161"/>
      <c r="L364" s="161"/>
      <c r="M364" s="161"/>
      <c r="N364" s="161"/>
      <c r="O364" s="161"/>
      <c r="P364" s="161"/>
      <c r="Q364" s="161"/>
      <c r="R364" s="161"/>
      <c r="S364" s="161"/>
      <c r="T364" s="161"/>
    </row>
    <row r="365" spans="1:20" ht="13">
      <c r="A365" s="161"/>
      <c r="B365" s="161"/>
      <c r="C365" s="161"/>
      <c r="D365" s="161"/>
      <c r="E365" s="161"/>
      <c r="F365" s="161"/>
      <c r="G365" s="161"/>
      <c r="H365" s="161"/>
      <c r="I365" s="161"/>
      <c r="J365" s="161"/>
      <c r="K365" s="161"/>
      <c r="L365" s="161"/>
      <c r="M365" s="161"/>
      <c r="N365" s="161"/>
      <c r="O365" s="161"/>
      <c r="P365" s="161"/>
      <c r="Q365" s="161"/>
      <c r="R365" s="161"/>
      <c r="S365" s="161"/>
      <c r="T365" s="161"/>
    </row>
    <row r="366" spans="1:20" ht="13">
      <c r="A366" s="161"/>
      <c r="B366" s="161"/>
      <c r="C366" s="161"/>
      <c r="D366" s="161"/>
      <c r="E366" s="161"/>
      <c r="F366" s="161"/>
      <c r="G366" s="161"/>
      <c r="H366" s="161"/>
      <c r="I366" s="161"/>
      <c r="J366" s="161"/>
      <c r="K366" s="161"/>
      <c r="L366" s="161"/>
      <c r="M366" s="161"/>
      <c r="N366" s="161"/>
      <c r="O366" s="161"/>
      <c r="P366" s="161"/>
      <c r="Q366" s="161"/>
      <c r="R366" s="161"/>
      <c r="S366" s="161"/>
      <c r="T366" s="161"/>
    </row>
    <row r="367" spans="1:20" ht="13">
      <c r="A367" s="161"/>
      <c r="B367" s="161"/>
      <c r="C367" s="161"/>
      <c r="D367" s="161"/>
      <c r="E367" s="161"/>
      <c r="F367" s="161"/>
      <c r="G367" s="161"/>
      <c r="H367" s="161"/>
      <c r="I367" s="161"/>
      <c r="J367" s="161"/>
      <c r="K367" s="161"/>
      <c r="L367" s="161"/>
      <c r="M367" s="161"/>
      <c r="N367" s="161"/>
      <c r="O367" s="161"/>
      <c r="P367" s="161"/>
      <c r="Q367" s="161"/>
      <c r="R367" s="161"/>
      <c r="S367" s="161"/>
      <c r="T367" s="161"/>
    </row>
    <row r="368" spans="1:20" ht="13">
      <c r="A368" s="161"/>
      <c r="B368" s="161"/>
      <c r="C368" s="161"/>
      <c r="D368" s="161"/>
      <c r="E368" s="161"/>
      <c r="F368" s="161"/>
      <c r="G368" s="161"/>
      <c r="H368" s="161"/>
      <c r="I368" s="161"/>
      <c r="J368" s="161"/>
      <c r="K368" s="161"/>
      <c r="L368" s="161"/>
      <c r="M368" s="161"/>
      <c r="N368" s="161"/>
      <c r="O368" s="161"/>
      <c r="P368" s="161"/>
      <c r="Q368" s="161"/>
      <c r="R368" s="161"/>
      <c r="S368" s="161"/>
      <c r="T368" s="161"/>
    </row>
    <row r="369" spans="1:20" ht="13">
      <c r="A369" s="161"/>
      <c r="B369" s="161"/>
      <c r="C369" s="161"/>
      <c r="D369" s="161"/>
      <c r="E369" s="161"/>
      <c r="F369" s="161"/>
      <c r="G369" s="161"/>
      <c r="H369" s="161"/>
      <c r="I369" s="161"/>
      <c r="J369" s="161"/>
      <c r="K369" s="161"/>
      <c r="L369" s="161"/>
      <c r="M369" s="161"/>
      <c r="N369" s="161"/>
      <c r="O369" s="161"/>
      <c r="P369" s="161"/>
      <c r="Q369" s="161"/>
      <c r="R369" s="161"/>
      <c r="S369" s="161"/>
      <c r="T369" s="161"/>
    </row>
    <row r="370" spans="1:20" ht="13">
      <c r="A370" s="161"/>
      <c r="B370" s="161"/>
      <c r="C370" s="161"/>
      <c r="D370" s="161"/>
      <c r="E370" s="161"/>
      <c r="F370" s="161"/>
      <c r="G370" s="161"/>
      <c r="H370" s="161"/>
      <c r="I370" s="161"/>
      <c r="J370" s="161"/>
      <c r="K370" s="161"/>
      <c r="L370" s="161"/>
      <c r="M370" s="161"/>
      <c r="N370" s="161"/>
      <c r="O370" s="161"/>
      <c r="P370" s="161"/>
      <c r="Q370" s="161"/>
      <c r="R370" s="161"/>
      <c r="S370" s="161"/>
      <c r="T370" s="161"/>
    </row>
    <row r="371" spans="1:20" ht="13">
      <c r="A371" s="161"/>
      <c r="B371" s="161"/>
      <c r="C371" s="161"/>
      <c r="D371" s="161"/>
      <c r="E371" s="161"/>
      <c r="F371" s="161"/>
      <c r="G371" s="161"/>
      <c r="H371" s="161"/>
      <c r="I371" s="161"/>
      <c r="J371" s="161"/>
      <c r="K371" s="161"/>
      <c r="L371" s="161"/>
      <c r="M371" s="161"/>
      <c r="N371" s="161"/>
      <c r="O371" s="161"/>
      <c r="P371" s="161"/>
      <c r="Q371" s="161"/>
      <c r="R371" s="161"/>
      <c r="S371" s="161"/>
      <c r="T371" s="161"/>
    </row>
    <row r="372" spans="1:20" ht="13">
      <c r="A372" s="161"/>
      <c r="B372" s="161"/>
      <c r="C372" s="161"/>
      <c r="D372" s="161"/>
      <c r="E372" s="161"/>
      <c r="F372" s="161"/>
      <c r="G372" s="161"/>
      <c r="H372" s="161"/>
      <c r="I372" s="161"/>
      <c r="J372" s="161"/>
      <c r="K372" s="161"/>
      <c r="L372" s="161"/>
      <c r="M372" s="161"/>
      <c r="N372" s="161"/>
      <c r="O372" s="161"/>
      <c r="P372" s="161"/>
      <c r="Q372" s="161"/>
      <c r="R372" s="161"/>
      <c r="S372" s="161"/>
      <c r="T372" s="161"/>
    </row>
    <row r="373" spans="1:20" ht="13">
      <c r="A373" s="161"/>
      <c r="B373" s="161"/>
      <c r="C373" s="161"/>
      <c r="D373" s="161"/>
      <c r="E373" s="161"/>
      <c r="F373" s="161"/>
      <c r="G373" s="161"/>
      <c r="H373" s="161"/>
      <c r="I373" s="161"/>
      <c r="J373" s="161"/>
      <c r="K373" s="161"/>
      <c r="L373" s="161"/>
      <c r="M373" s="161"/>
      <c r="N373" s="161"/>
      <c r="O373" s="161"/>
      <c r="P373" s="161"/>
      <c r="Q373" s="161"/>
      <c r="R373" s="161"/>
      <c r="S373" s="161"/>
      <c r="T373" s="161"/>
    </row>
    <row r="374" spans="1:20" ht="13">
      <c r="A374" s="161"/>
      <c r="B374" s="161"/>
      <c r="C374" s="161"/>
      <c r="D374" s="161"/>
      <c r="E374" s="161"/>
      <c r="F374" s="161"/>
      <c r="G374" s="161"/>
      <c r="H374" s="161"/>
      <c r="I374" s="161"/>
      <c r="J374" s="161"/>
      <c r="K374" s="161"/>
      <c r="L374" s="161"/>
      <c r="M374" s="161"/>
      <c r="N374" s="161"/>
      <c r="O374" s="161"/>
      <c r="P374" s="161"/>
      <c r="Q374" s="161"/>
      <c r="R374" s="161"/>
      <c r="S374" s="161"/>
      <c r="T374" s="161"/>
    </row>
    <row r="375" spans="1:20" ht="13">
      <c r="A375" s="161"/>
      <c r="B375" s="161"/>
      <c r="C375" s="161"/>
      <c r="D375" s="161"/>
      <c r="E375" s="161"/>
      <c r="F375" s="161"/>
      <c r="G375" s="161"/>
      <c r="H375" s="161"/>
      <c r="I375" s="161"/>
      <c r="J375" s="161"/>
      <c r="K375" s="161"/>
      <c r="L375" s="161"/>
      <c r="M375" s="161"/>
      <c r="N375" s="161"/>
      <c r="O375" s="161"/>
      <c r="P375" s="161"/>
      <c r="Q375" s="161"/>
      <c r="R375" s="161"/>
      <c r="S375" s="161"/>
      <c r="T375" s="161"/>
    </row>
    <row r="376" spans="1:20" ht="13">
      <c r="A376" s="161"/>
      <c r="B376" s="161"/>
      <c r="C376" s="161"/>
      <c r="D376" s="161"/>
      <c r="E376" s="161"/>
      <c r="F376" s="161"/>
      <c r="G376" s="161"/>
      <c r="H376" s="161"/>
      <c r="I376" s="161"/>
      <c r="J376" s="161"/>
      <c r="K376" s="161"/>
      <c r="L376" s="161"/>
      <c r="M376" s="161"/>
      <c r="N376" s="161"/>
      <c r="O376" s="161"/>
      <c r="P376" s="161"/>
      <c r="Q376" s="161"/>
      <c r="R376" s="161"/>
      <c r="S376" s="161"/>
      <c r="T376" s="161"/>
    </row>
    <row r="377" spans="1:20" ht="13">
      <c r="A377" s="161"/>
      <c r="B377" s="161"/>
      <c r="C377" s="161"/>
      <c r="D377" s="161"/>
      <c r="E377" s="161"/>
      <c r="F377" s="161"/>
      <c r="G377" s="161"/>
      <c r="H377" s="161"/>
      <c r="I377" s="161"/>
      <c r="J377" s="161"/>
      <c r="K377" s="161"/>
      <c r="L377" s="161"/>
      <c r="M377" s="161"/>
      <c r="N377" s="161"/>
      <c r="O377" s="161"/>
      <c r="P377" s="161"/>
      <c r="Q377" s="161"/>
      <c r="R377" s="161"/>
      <c r="S377" s="161"/>
      <c r="T377" s="161"/>
    </row>
    <row r="378" spans="1:20" ht="13">
      <c r="A378" s="161"/>
      <c r="B378" s="161"/>
      <c r="C378" s="161"/>
      <c r="D378" s="161"/>
      <c r="E378" s="161"/>
      <c r="F378" s="161"/>
      <c r="G378" s="161"/>
      <c r="H378" s="161"/>
      <c r="I378" s="161"/>
      <c r="J378" s="161"/>
      <c r="K378" s="161"/>
      <c r="L378" s="161"/>
      <c r="M378" s="161"/>
      <c r="N378" s="161"/>
      <c r="O378" s="161"/>
      <c r="P378" s="161"/>
      <c r="Q378" s="161"/>
      <c r="R378" s="161"/>
      <c r="S378" s="161"/>
      <c r="T378" s="161"/>
    </row>
    <row r="379" spans="1:20" ht="13">
      <c r="A379" s="161"/>
      <c r="B379" s="161"/>
      <c r="C379" s="161"/>
      <c r="D379" s="161"/>
      <c r="E379" s="161"/>
      <c r="F379" s="161"/>
      <c r="G379" s="161"/>
      <c r="H379" s="161"/>
      <c r="I379" s="161"/>
      <c r="J379" s="161"/>
      <c r="K379" s="161"/>
      <c r="L379" s="161"/>
      <c r="M379" s="161"/>
      <c r="N379" s="161"/>
      <c r="O379" s="161"/>
      <c r="P379" s="161"/>
      <c r="Q379" s="161"/>
      <c r="R379" s="161"/>
      <c r="S379" s="161"/>
      <c r="T379" s="161"/>
    </row>
    <row r="380" spans="1:20" ht="13">
      <c r="A380" s="161"/>
      <c r="B380" s="161"/>
      <c r="C380" s="161"/>
      <c r="D380" s="161"/>
      <c r="E380" s="161"/>
      <c r="F380" s="161"/>
      <c r="G380" s="161"/>
      <c r="H380" s="161"/>
      <c r="I380" s="161"/>
      <c r="J380" s="161"/>
      <c r="K380" s="161"/>
      <c r="L380" s="161"/>
      <c r="M380" s="161"/>
      <c r="N380" s="161"/>
      <c r="O380" s="161"/>
      <c r="P380" s="161"/>
      <c r="Q380" s="161"/>
      <c r="R380" s="161"/>
      <c r="S380" s="161"/>
      <c r="T380" s="161"/>
    </row>
    <row r="381" spans="1:20" ht="13">
      <c r="A381" s="161"/>
      <c r="B381" s="161"/>
      <c r="C381" s="161"/>
      <c r="D381" s="161"/>
      <c r="E381" s="161"/>
      <c r="F381" s="161"/>
      <c r="G381" s="161"/>
      <c r="H381" s="161"/>
      <c r="I381" s="161"/>
      <c r="J381" s="161"/>
      <c r="K381" s="161"/>
      <c r="L381" s="161"/>
      <c r="M381" s="161"/>
      <c r="N381" s="161"/>
      <c r="O381" s="161"/>
      <c r="P381" s="161"/>
      <c r="Q381" s="161"/>
      <c r="R381" s="161"/>
      <c r="S381" s="161"/>
      <c r="T381" s="161"/>
    </row>
    <row r="382" spans="1:20" ht="13">
      <c r="A382" s="161"/>
      <c r="B382" s="161"/>
      <c r="C382" s="161"/>
      <c r="D382" s="161"/>
      <c r="E382" s="161"/>
      <c r="F382" s="161"/>
      <c r="G382" s="161"/>
      <c r="H382" s="161"/>
      <c r="I382" s="161"/>
      <c r="J382" s="161"/>
      <c r="K382" s="161"/>
      <c r="L382" s="161"/>
      <c r="M382" s="161"/>
      <c r="N382" s="161"/>
      <c r="O382" s="161"/>
      <c r="P382" s="161"/>
      <c r="Q382" s="161"/>
      <c r="R382" s="161"/>
      <c r="S382" s="161"/>
      <c r="T382" s="161"/>
    </row>
    <row r="383" spans="1:20" ht="13">
      <c r="A383" s="161"/>
      <c r="B383" s="161"/>
      <c r="C383" s="161"/>
      <c r="D383" s="161"/>
      <c r="E383" s="161"/>
      <c r="F383" s="161"/>
      <c r="G383" s="161"/>
      <c r="H383" s="161"/>
      <c r="I383" s="161"/>
      <c r="J383" s="161"/>
      <c r="K383" s="161"/>
      <c r="L383" s="161"/>
      <c r="M383" s="161"/>
      <c r="N383" s="161"/>
      <c r="O383" s="161"/>
      <c r="P383" s="161"/>
      <c r="Q383" s="161"/>
      <c r="R383" s="161"/>
      <c r="S383" s="161"/>
      <c r="T383" s="161"/>
    </row>
    <row r="384" spans="1:20" ht="13">
      <c r="A384" s="161"/>
      <c r="B384" s="161"/>
      <c r="C384" s="161"/>
      <c r="D384" s="161"/>
      <c r="E384" s="161"/>
      <c r="F384" s="161"/>
      <c r="G384" s="161"/>
      <c r="H384" s="161"/>
      <c r="I384" s="161"/>
      <c r="J384" s="161"/>
      <c r="K384" s="161"/>
      <c r="L384" s="161"/>
      <c r="M384" s="161"/>
      <c r="N384" s="161"/>
      <c r="O384" s="161"/>
      <c r="P384" s="161"/>
      <c r="Q384" s="161"/>
      <c r="R384" s="161"/>
      <c r="S384" s="161"/>
      <c r="T384" s="161"/>
    </row>
    <row r="385" spans="1:20" ht="13">
      <c r="A385" s="161"/>
      <c r="B385" s="161"/>
      <c r="C385" s="161"/>
      <c r="D385" s="161"/>
      <c r="E385" s="161"/>
      <c r="F385" s="161"/>
      <c r="G385" s="161"/>
      <c r="H385" s="161"/>
      <c r="I385" s="161"/>
      <c r="J385" s="161"/>
      <c r="K385" s="161"/>
      <c r="L385" s="161"/>
      <c r="M385" s="161"/>
      <c r="N385" s="161"/>
      <c r="O385" s="161"/>
      <c r="P385" s="161"/>
      <c r="Q385" s="161"/>
      <c r="R385" s="161"/>
      <c r="S385" s="161"/>
      <c r="T385" s="161"/>
    </row>
    <row r="386" spans="1:20" ht="13">
      <c r="A386" s="161"/>
      <c r="B386" s="161"/>
      <c r="C386" s="161"/>
      <c r="D386" s="161"/>
      <c r="E386" s="161"/>
      <c r="F386" s="161"/>
      <c r="G386" s="161"/>
      <c r="H386" s="161"/>
      <c r="I386" s="161"/>
      <c r="J386" s="161"/>
      <c r="K386" s="161"/>
      <c r="L386" s="161"/>
      <c r="M386" s="161"/>
      <c r="N386" s="161"/>
      <c r="O386" s="161"/>
      <c r="P386" s="161"/>
      <c r="Q386" s="161"/>
      <c r="R386" s="161"/>
      <c r="S386" s="161"/>
      <c r="T386" s="161"/>
    </row>
    <row r="387" spans="1:20" ht="13">
      <c r="A387" s="161"/>
      <c r="B387" s="161"/>
      <c r="C387" s="161"/>
      <c r="D387" s="161"/>
      <c r="E387" s="161"/>
      <c r="F387" s="161"/>
      <c r="G387" s="161"/>
      <c r="H387" s="161"/>
      <c r="I387" s="161"/>
      <c r="J387" s="161"/>
      <c r="K387" s="161"/>
      <c r="L387" s="161"/>
      <c r="M387" s="161"/>
      <c r="N387" s="161"/>
      <c r="O387" s="161"/>
      <c r="P387" s="161"/>
      <c r="Q387" s="161"/>
      <c r="R387" s="161"/>
      <c r="S387" s="161"/>
      <c r="T387" s="161"/>
    </row>
    <row r="388" spans="1:20" ht="13">
      <c r="A388" s="161"/>
      <c r="B388" s="161"/>
      <c r="C388" s="161"/>
      <c r="D388" s="161"/>
      <c r="E388" s="161"/>
      <c r="F388" s="161"/>
      <c r="G388" s="161"/>
      <c r="H388" s="161"/>
      <c r="I388" s="161"/>
      <c r="J388" s="161"/>
      <c r="K388" s="161"/>
      <c r="L388" s="161"/>
      <c r="M388" s="161"/>
      <c r="N388" s="161"/>
      <c r="O388" s="161"/>
      <c r="P388" s="161"/>
      <c r="Q388" s="161"/>
      <c r="R388" s="161"/>
      <c r="S388" s="161"/>
      <c r="T388" s="161"/>
    </row>
    <row r="389" spans="1:20" ht="13">
      <c r="A389" s="161"/>
      <c r="B389" s="161"/>
      <c r="C389" s="161"/>
      <c r="D389" s="161"/>
      <c r="E389" s="161"/>
      <c r="F389" s="161"/>
      <c r="G389" s="161"/>
      <c r="H389" s="161"/>
      <c r="I389" s="161"/>
      <c r="J389" s="161"/>
      <c r="K389" s="161"/>
      <c r="L389" s="161"/>
      <c r="M389" s="161"/>
      <c r="N389" s="161"/>
      <c r="O389" s="161"/>
      <c r="P389" s="161"/>
      <c r="Q389" s="161"/>
      <c r="R389" s="161"/>
      <c r="S389" s="161"/>
      <c r="T389" s="161"/>
    </row>
    <row r="390" spans="1:20" ht="13">
      <c r="A390" s="161"/>
      <c r="B390" s="161"/>
      <c r="C390" s="161"/>
      <c r="D390" s="161"/>
      <c r="E390" s="161"/>
      <c r="F390" s="161"/>
      <c r="G390" s="161"/>
      <c r="H390" s="161"/>
      <c r="I390" s="161"/>
      <c r="J390" s="161"/>
      <c r="K390" s="161"/>
      <c r="L390" s="161"/>
      <c r="M390" s="161"/>
      <c r="N390" s="161"/>
      <c r="O390" s="161"/>
      <c r="P390" s="161"/>
      <c r="Q390" s="161"/>
      <c r="R390" s="161"/>
      <c r="S390" s="161"/>
      <c r="T390" s="161"/>
    </row>
    <row r="391" spans="1:20" ht="13">
      <c r="A391" s="161"/>
      <c r="B391" s="161"/>
      <c r="C391" s="161"/>
      <c r="D391" s="161"/>
      <c r="E391" s="161"/>
      <c r="F391" s="161"/>
      <c r="G391" s="161"/>
      <c r="H391" s="161"/>
      <c r="I391" s="161"/>
      <c r="J391" s="161"/>
      <c r="K391" s="161"/>
      <c r="L391" s="161"/>
      <c r="M391" s="161"/>
      <c r="N391" s="161"/>
      <c r="O391" s="161"/>
      <c r="P391" s="161"/>
      <c r="Q391" s="161"/>
      <c r="R391" s="161"/>
      <c r="S391" s="161"/>
      <c r="T391" s="161"/>
    </row>
    <row r="392" spans="1:20" ht="13">
      <c r="A392" s="161"/>
      <c r="B392" s="161"/>
      <c r="C392" s="161"/>
      <c r="D392" s="161"/>
      <c r="E392" s="161"/>
      <c r="F392" s="161"/>
      <c r="G392" s="161"/>
      <c r="H392" s="161"/>
      <c r="I392" s="161"/>
      <c r="J392" s="161"/>
      <c r="K392" s="161"/>
      <c r="L392" s="161"/>
      <c r="M392" s="161"/>
      <c r="N392" s="161"/>
      <c r="O392" s="161"/>
      <c r="P392" s="161"/>
      <c r="Q392" s="161"/>
      <c r="R392" s="161"/>
      <c r="S392" s="161"/>
      <c r="T392" s="161"/>
    </row>
    <row r="393" spans="1:20" ht="13">
      <c r="A393" s="161"/>
      <c r="B393" s="161"/>
      <c r="C393" s="161"/>
      <c r="D393" s="161"/>
      <c r="E393" s="161"/>
      <c r="F393" s="161"/>
      <c r="G393" s="161"/>
      <c r="H393" s="161"/>
      <c r="I393" s="161"/>
      <c r="J393" s="161"/>
      <c r="K393" s="161"/>
      <c r="L393" s="161"/>
      <c r="M393" s="161"/>
      <c r="N393" s="161"/>
      <c r="O393" s="161"/>
      <c r="P393" s="161"/>
      <c r="Q393" s="161"/>
      <c r="R393" s="161"/>
      <c r="S393" s="161"/>
      <c r="T393" s="161"/>
    </row>
    <row r="394" spans="1:20" ht="13">
      <c r="A394" s="161"/>
      <c r="B394" s="161"/>
      <c r="C394" s="161"/>
      <c r="D394" s="161"/>
      <c r="E394" s="161"/>
      <c r="F394" s="161"/>
      <c r="G394" s="161"/>
      <c r="H394" s="161"/>
      <c r="I394" s="161"/>
      <c r="J394" s="161"/>
      <c r="K394" s="161"/>
      <c r="L394" s="161"/>
      <c r="M394" s="161"/>
      <c r="N394" s="161"/>
      <c r="O394" s="161"/>
      <c r="P394" s="161"/>
      <c r="Q394" s="161"/>
      <c r="R394" s="161"/>
      <c r="S394" s="161"/>
      <c r="T394" s="161"/>
    </row>
    <row r="395" spans="1:20" ht="13">
      <c r="A395" s="161"/>
      <c r="B395" s="161"/>
      <c r="C395" s="161"/>
      <c r="D395" s="161"/>
      <c r="E395" s="161"/>
      <c r="F395" s="161"/>
      <c r="G395" s="161"/>
      <c r="H395" s="161"/>
      <c r="I395" s="161"/>
      <c r="J395" s="161"/>
      <c r="K395" s="161"/>
      <c r="L395" s="161"/>
      <c r="M395" s="161"/>
      <c r="N395" s="161"/>
      <c r="O395" s="161"/>
      <c r="P395" s="161"/>
      <c r="Q395" s="161"/>
      <c r="R395" s="161"/>
      <c r="S395" s="161"/>
      <c r="T395" s="161"/>
    </row>
    <row r="396" spans="1:20" ht="13">
      <c r="A396" s="161"/>
      <c r="B396" s="161"/>
      <c r="C396" s="161"/>
      <c r="D396" s="161"/>
      <c r="E396" s="161"/>
      <c r="F396" s="161"/>
      <c r="G396" s="161"/>
      <c r="H396" s="161"/>
      <c r="I396" s="161"/>
      <c r="J396" s="161"/>
      <c r="K396" s="161"/>
      <c r="L396" s="161"/>
      <c r="M396" s="161"/>
      <c r="N396" s="161"/>
      <c r="O396" s="161"/>
      <c r="P396" s="161"/>
      <c r="Q396" s="161"/>
      <c r="R396" s="161"/>
      <c r="S396" s="161"/>
      <c r="T396" s="161"/>
    </row>
    <row r="397" spans="1:20" ht="13">
      <c r="A397" s="161"/>
      <c r="B397" s="161"/>
      <c r="C397" s="161"/>
      <c r="D397" s="161"/>
      <c r="E397" s="161"/>
      <c r="F397" s="161"/>
      <c r="G397" s="161"/>
      <c r="H397" s="161"/>
      <c r="I397" s="161"/>
      <c r="J397" s="161"/>
      <c r="K397" s="161"/>
      <c r="L397" s="161"/>
      <c r="M397" s="161"/>
      <c r="N397" s="161"/>
      <c r="O397" s="161"/>
      <c r="P397" s="161"/>
      <c r="Q397" s="161"/>
      <c r="R397" s="161"/>
      <c r="S397" s="161"/>
      <c r="T397" s="161"/>
    </row>
    <row r="398" spans="1:20" ht="13">
      <c r="A398" s="161"/>
      <c r="B398" s="161"/>
      <c r="C398" s="161"/>
      <c r="D398" s="161"/>
      <c r="E398" s="161"/>
      <c r="F398" s="161"/>
      <c r="G398" s="161"/>
      <c r="H398" s="161"/>
      <c r="I398" s="161"/>
      <c r="J398" s="161"/>
      <c r="K398" s="161"/>
      <c r="L398" s="161"/>
      <c r="M398" s="161"/>
      <c r="N398" s="161"/>
      <c r="O398" s="161"/>
      <c r="P398" s="161"/>
      <c r="Q398" s="161"/>
      <c r="R398" s="161"/>
      <c r="S398" s="161"/>
      <c r="T398" s="161"/>
    </row>
    <row r="399" spans="1:20" ht="13">
      <c r="A399" s="161"/>
      <c r="B399" s="161"/>
      <c r="C399" s="161"/>
      <c r="D399" s="161"/>
      <c r="E399" s="161"/>
      <c r="F399" s="161"/>
      <c r="G399" s="161"/>
      <c r="H399" s="161"/>
      <c r="I399" s="161"/>
      <c r="J399" s="161"/>
      <c r="K399" s="161"/>
      <c r="L399" s="161"/>
      <c r="M399" s="161"/>
      <c r="N399" s="161"/>
      <c r="O399" s="161"/>
      <c r="P399" s="161"/>
      <c r="Q399" s="161"/>
      <c r="R399" s="161"/>
      <c r="S399" s="161"/>
      <c r="T399" s="161"/>
    </row>
    <row r="400" spans="1:20" ht="13">
      <c r="A400" s="161"/>
      <c r="B400" s="161"/>
      <c r="C400" s="161"/>
      <c r="D400" s="161"/>
      <c r="E400" s="161"/>
      <c r="F400" s="161"/>
      <c r="G400" s="161"/>
      <c r="H400" s="161"/>
      <c r="I400" s="161"/>
      <c r="J400" s="161"/>
      <c r="K400" s="161"/>
      <c r="L400" s="161"/>
      <c r="M400" s="161"/>
      <c r="N400" s="161"/>
      <c r="O400" s="161"/>
      <c r="P400" s="161"/>
      <c r="Q400" s="161"/>
      <c r="R400" s="161"/>
      <c r="S400" s="161"/>
      <c r="T400" s="161"/>
    </row>
    <row r="401" spans="1:20" ht="13">
      <c r="A401" s="161"/>
      <c r="B401" s="161"/>
      <c r="C401" s="161"/>
      <c r="D401" s="161"/>
      <c r="E401" s="161"/>
      <c r="F401" s="161"/>
      <c r="G401" s="161"/>
      <c r="H401" s="161"/>
      <c r="I401" s="161"/>
      <c r="J401" s="161"/>
      <c r="K401" s="161"/>
      <c r="L401" s="161"/>
      <c r="M401" s="161"/>
      <c r="N401" s="161"/>
      <c r="O401" s="161"/>
      <c r="P401" s="161"/>
      <c r="Q401" s="161"/>
      <c r="R401" s="161"/>
      <c r="S401" s="161"/>
      <c r="T401" s="161"/>
    </row>
    <row r="402" spans="1:20" ht="13">
      <c r="A402" s="161"/>
      <c r="B402" s="161"/>
      <c r="C402" s="161"/>
      <c r="D402" s="161"/>
      <c r="E402" s="161"/>
      <c r="F402" s="161"/>
      <c r="G402" s="161"/>
      <c r="H402" s="161"/>
      <c r="I402" s="161"/>
      <c r="J402" s="161"/>
      <c r="K402" s="161"/>
      <c r="L402" s="161"/>
      <c r="M402" s="161"/>
      <c r="N402" s="161"/>
      <c r="O402" s="161"/>
      <c r="P402" s="161"/>
      <c r="Q402" s="161"/>
      <c r="R402" s="161"/>
      <c r="S402" s="161"/>
      <c r="T402" s="161"/>
    </row>
    <row r="403" spans="1:20" ht="13">
      <c r="A403" s="161"/>
      <c r="B403" s="161"/>
      <c r="C403" s="161"/>
      <c r="D403" s="161"/>
      <c r="E403" s="161"/>
      <c r="F403" s="161"/>
      <c r="G403" s="161"/>
      <c r="H403" s="161"/>
      <c r="I403" s="161"/>
      <c r="J403" s="161"/>
      <c r="K403" s="161"/>
      <c r="L403" s="161"/>
      <c r="M403" s="161"/>
      <c r="N403" s="161"/>
      <c r="O403" s="161"/>
      <c r="P403" s="161"/>
      <c r="Q403" s="161"/>
      <c r="R403" s="161"/>
      <c r="S403" s="161"/>
      <c r="T403" s="161"/>
    </row>
    <row r="404" spans="1:20" ht="13">
      <c r="A404" s="161"/>
      <c r="B404" s="161"/>
      <c r="C404" s="161"/>
      <c r="D404" s="161"/>
      <c r="E404" s="161"/>
      <c r="F404" s="161"/>
      <c r="G404" s="161"/>
      <c r="H404" s="161"/>
      <c r="I404" s="161"/>
      <c r="J404" s="161"/>
      <c r="K404" s="161"/>
      <c r="L404" s="161"/>
      <c r="M404" s="161"/>
      <c r="N404" s="161"/>
      <c r="O404" s="161"/>
      <c r="P404" s="161"/>
      <c r="Q404" s="161"/>
      <c r="R404" s="161"/>
      <c r="S404" s="161"/>
      <c r="T404" s="161"/>
    </row>
    <row r="405" spans="1:20" ht="13">
      <c r="A405" s="161"/>
      <c r="B405" s="161"/>
      <c r="C405" s="161"/>
      <c r="D405" s="161"/>
      <c r="E405" s="161"/>
      <c r="F405" s="161"/>
      <c r="G405" s="161"/>
      <c r="H405" s="161"/>
      <c r="I405" s="161"/>
      <c r="J405" s="161"/>
      <c r="K405" s="161"/>
      <c r="L405" s="161"/>
      <c r="M405" s="161"/>
      <c r="N405" s="161"/>
      <c r="O405" s="161"/>
      <c r="P405" s="161"/>
      <c r="Q405" s="161"/>
      <c r="R405" s="161"/>
      <c r="S405" s="161"/>
      <c r="T405" s="161"/>
    </row>
    <row r="406" spans="1:20" ht="13">
      <c r="A406" s="161"/>
      <c r="B406" s="161"/>
      <c r="C406" s="161"/>
      <c r="D406" s="161"/>
      <c r="E406" s="161"/>
      <c r="F406" s="161"/>
      <c r="G406" s="161"/>
      <c r="H406" s="161"/>
      <c r="I406" s="161"/>
      <c r="J406" s="161"/>
      <c r="K406" s="161"/>
      <c r="L406" s="161"/>
      <c r="M406" s="161"/>
      <c r="N406" s="161"/>
      <c r="O406" s="161"/>
      <c r="P406" s="161"/>
      <c r="Q406" s="161"/>
      <c r="R406" s="161"/>
      <c r="S406" s="161"/>
      <c r="T406" s="161"/>
    </row>
    <row r="407" spans="1:20" ht="13">
      <c r="A407" s="161"/>
      <c r="B407" s="161"/>
      <c r="C407" s="161"/>
      <c r="D407" s="161"/>
      <c r="E407" s="161"/>
      <c r="F407" s="161"/>
      <c r="G407" s="161"/>
      <c r="H407" s="161"/>
      <c r="I407" s="161"/>
      <c r="J407" s="161"/>
      <c r="K407" s="161"/>
      <c r="L407" s="161"/>
      <c r="M407" s="161"/>
      <c r="N407" s="161"/>
      <c r="O407" s="161"/>
      <c r="P407" s="161"/>
      <c r="Q407" s="161"/>
      <c r="R407" s="161"/>
      <c r="S407" s="161"/>
      <c r="T407" s="161"/>
    </row>
    <row r="408" spans="1:20" ht="13">
      <c r="A408" s="161"/>
      <c r="B408" s="161"/>
      <c r="C408" s="161"/>
      <c r="D408" s="161"/>
      <c r="E408" s="161"/>
      <c r="F408" s="161"/>
      <c r="G408" s="161"/>
      <c r="H408" s="161"/>
      <c r="I408" s="161"/>
      <c r="J408" s="161"/>
      <c r="K408" s="161"/>
      <c r="L408" s="161"/>
      <c r="M408" s="161"/>
      <c r="N408" s="161"/>
      <c r="O408" s="161"/>
      <c r="P408" s="161"/>
      <c r="Q408" s="161"/>
      <c r="R408" s="161"/>
      <c r="S408" s="161"/>
      <c r="T408" s="161"/>
    </row>
    <row r="409" spans="1:20" ht="13">
      <c r="A409" s="161"/>
      <c r="B409" s="161"/>
      <c r="C409" s="161"/>
      <c r="D409" s="161"/>
      <c r="E409" s="161"/>
      <c r="F409" s="161"/>
      <c r="G409" s="161"/>
      <c r="H409" s="161"/>
      <c r="I409" s="161"/>
      <c r="J409" s="161"/>
      <c r="K409" s="161"/>
      <c r="L409" s="161"/>
      <c r="M409" s="161"/>
      <c r="N409" s="161"/>
      <c r="O409" s="161"/>
      <c r="P409" s="161"/>
      <c r="Q409" s="161"/>
      <c r="R409" s="161"/>
      <c r="S409" s="161"/>
      <c r="T409" s="161"/>
    </row>
    <row r="410" spans="1:20" ht="13">
      <c r="A410" s="161"/>
      <c r="B410" s="161"/>
      <c r="C410" s="161"/>
      <c r="D410" s="161"/>
      <c r="E410" s="161"/>
      <c r="F410" s="161"/>
      <c r="G410" s="161"/>
      <c r="H410" s="161"/>
      <c r="I410" s="161"/>
      <c r="J410" s="161"/>
      <c r="K410" s="161"/>
      <c r="L410" s="161"/>
      <c r="M410" s="161"/>
      <c r="N410" s="161"/>
      <c r="O410" s="161"/>
      <c r="P410" s="161"/>
      <c r="Q410" s="161"/>
      <c r="R410" s="161"/>
      <c r="S410" s="161"/>
      <c r="T410" s="161"/>
    </row>
    <row r="411" spans="1:20" ht="13">
      <c r="A411" s="161"/>
      <c r="B411" s="161"/>
      <c r="C411" s="161"/>
      <c r="D411" s="161"/>
      <c r="E411" s="161"/>
      <c r="F411" s="161"/>
      <c r="G411" s="161"/>
      <c r="H411" s="161"/>
      <c r="I411" s="161"/>
      <c r="J411" s="161"/>
      <c r="K411" s="161"/>
      <c r="L411" s="161"/>
      <c r="M411" s="161"/>
      <c r="N411" s="161"/>
      <c r="O411" s="161"/>
      <c r="P411" s="161"/>
      <c r="Q411" s="161"/>
      <c r="R411" s="161"/>
      <c r="S411" s="161"/>
      <c r="T411" s="161"/>
    </row>
    <row r="412" spans="1:20" ht="13">
      <c r="A412" s="161"/>
      <c r="B412" s="161"/>
      <c r="C412" s="161"/>
      <c r="D412" s="161"/>
      <c r="E412" s="161"/>
      <c r="F412" s="161"/>
      <c r="G412" s="161"/>
      <c r="H412" s="161"/>
      <c r="I412" s="161"/>
      <c r="J412" s="161"/>
      <c r="K412" s="161"/>
      <c r="L412" s="161"/>
      <c r="M412" s="161"/>
      <c r="N412" s="161"/>
      <c r="O412" s="161"/>
      <c r="P412" s="161"/>
      <c r="Q412" s="161"/>
      <c r="R412" s="161"/>
      <c r="S412" s="161"/>
      <c r="T412" s="161"/>
    </row>
    <row r="413" spans="1:20" ht="13">
      <c r="A413" s="161"/>
      <c r="B413" s="161"/>
      <c r="C413" s="161"/>
      <c r="D413" s="161"/>
      <c r="E413" s="161"/>
      <c r="F413" s="161"/>
      <c r="G413" s="161"/>
      <c r="H413" s="161"/>
      <c r="I413" s="161"/>
      <c r="J413" s="161"/>
      <c r="K413" s="161"/>
      <c r="L413" s="161"/>
      <c r="M413" s="161"/>
      <c r="N413" s="161"/>
      <c r="O413" s="161"/>
      <c r="P413" s="161"/>
      <c r="Q413" s="161"/>
      <c r="R413" s="161"/>
      <c r="S413" s="161"/>
      <c r="T413" s="161"/>
    </row>
    <row r="414" spans="1:20" ht="13">
      <c r="A414" s="161"/>
      <c r="B414" s="161"/>
      <c r="C414" s="161"/>
      <c r="D414" s="161"/>
      <c r="E414" s="161"/>
      <c r="F414" s="161"/>
      <c r="G414" s="161"/>
      <c r="H414" s="161"/>
      <c r="I414" s="161"/>
      <c r="J414" s="161"/>
      <c r="K414" s="161"/>
      <c r="L414" s="161"/>
      <c r="M414" s="161"/>
      <c r="N414" s="161"/>
      <c r="O414" s="161"/>
      <c r="P414" s="161"/>
      <c r="Q414" s="161"/>
      <c r="R414" s="161"/>
      <c r="S414" s="161"/>
      <c r="T414" s="161"/>
    </row>
    <row r="415" spans="1:20" ht="13">
      <c r="A415" s="161"/>
      <c r="B415" s="161"/>
      <c r="C415" s="161"/>
      <c r="D415" s="161"/>
      <c r="E415" s="161"/>
      <c r="F415" s="161"/>
      <c r="G415" s="161"/>
      <c r="H415" s="161"/>
      <c r="I415" s="161"/>
      <c r="J415" s="161"/>
      <c r="K415" s="161"/>
      <c r="L415" s="161"/>
      <c r="M415" s="161"/>
      <c r="N415" s="161"/>
      <c r="O415" s="161"/>
      <c r="P415" s="161"/>
      <c r="Q415" s="161"/>
      <c r="R415" s="161"/>
      <c r="S415" s="161"/>
      <c r="T415" s="161"/>
    </row>
    <row r="416" spans="1:20" ht="13">
      <c r="A416" s="161"/>
      <c r="B416" s="161"/>
      <c r="C416" s="161"/>
      <c r="D416" s="161"/>
      <c r="E416" s="161"/>
      <c r="F416" s="161"/>
      <c r="G416" s="161"/>
      <c r="H416" s="161"/>
      <c r="I416" s="161"/>
      <c r="J416" s="161"/>
      <c r="K416" s="161"/>
      <c r="L416" s="161"/>
      <c r="M416" s="161"/>
      <c r="N416" s="161"/>
      <c r="O416" s="161"/>
      <c r="P416" s="161"/>
      <c r="Q416" s="161"/>
      <c r="R416" s="161"/>
      <c r="S416" s="161"/>
      <c r="T416" s="161"/>
    </row>
    <row r="417" spans="1:20" ht="13">
      <c r="A417" s="161"/>
      <c r="B417" s="161"/>
      <c r="C417" s="161"/>
      <c r="D417" s="161"/>
      <c r="E417" s="161"/>
      <c r="F417" s="161"/>
      <c r="G417" s="161"/>
      <c r="H417" s="161"/>
      <c r="I417" s="161"/>
      <c r="J417" s="161"/>
      <c r="K417" s="161"/>
      <c r="L417" s="161"/>
      <c r="M417" s="161"/>
      <c r="N417" s="161"/>
      <c r="O417" s="161"/>
      <c r="P417" s="161"/>
      <c r="Q417" s="161"/>
      <c r="R417" s="161"/>
      <c r="S417" s="161"/>
      <c r="T417" s="161"/>
    </row>
    <row r="418" spans="1:20" ht="13">
      <c r="A418" s="161"/>
      <c r="B418" s="161"/>
      <c r="C418" s="161"/>
      <c r="D418" s="161"/>
      <c r="E418" s="161"/>
      <c r="F418" s="161"/>
      <c r="G418" s="161"/>
      <c r="H418" s="161"/>
      <c r="I418" s="161"/>
      <c r="J418" s="161"/>
      <c r="K418" s="161"/>
      <c r="L418" s="161"/>
      <c r="M418" s="161"/>
      <c r="N418" s="161"/>
      <c r="O418" s="161"/>
      <c r="P418" s="161"/>
      <c r="Q418" s="161"/>
      <c r="R418" s="161"/>
      <c r="S418" s="161"/>
      <c r="T418" s="161"/>
    </row>
    <row r="419" spans="1:20" ht="13">
      <c r="A419" s="161"/>
      <c r="B419" s="161"/>
      <c r="C419" s="161"/>
      <c r="D419" s="161"/>
      <c r="E419" s="161"/>
      <c r="F419" s="161"/>
      <c r="G419" s="161"/>
      <c r="H419" s="161"/>
      <c r="I419" s="161"/>
      <c r="J419" s="161"/>
      <c r="K419" s="161"/>
      <c r="L419" s="161"/>
      <c r="M419" s="161"/>
      <c r="N419" s="161"/>
      <c r="O419" s="161"/>
      <c r="P419" s="161"/>
      <c r="Q419" s="161"/>
      <c r="R419" s="161"/>
      <c r="S419" s="161"/>
      <c r="T419" s="161"/>
    </row>
    <row r="420" spans="1:20" ht="13">
      <c r="A420" s="161"/>
      <c r="B420" s="161"/>
      <c r="C420" s="161"/>
      <c r="D420" s="161"/>
      <c r="E420" s="161"/>
      <c r="F420" s="161"/>
      <c r="G420" s="161"/>
      <c r="H420" s="161"/>
      <c r="I420" s="161"/>
      <c r="J420" s="161"/>
      <c r="K420" s="161"/>
      <c r="L420" s="161"/>
      <c r="M420" s="161"/>
      <c r="N420" s="161"/>
      <c r="O420" s="161"/>
      <c r="P420" s="161"/>
      <c r="Q420" s="161"/>
      <c r="R420" s="161"/>
      <c r="S420" s="161"/>
      <c r="T420" s="161"/>
    </row>
    <row r="421" spans="1:20" ht="13">
      <c r="A421" s="161"/>
      <c r="B421" s="161"/>
      <c r="C421" s="161"/>
      <c r="D421" s="161"/>
      <c r="E421" s="161"/>
      <c r="F421" s="161"/>
      <c r="G421" s="161"/>
      <c r="H421" s="161"/>
      <c r="I421" s="161"/>
      <c r="J421" s="161"/>
      <c r="K421" s="161"/>
      <c r="L421" s="161"/>
      <c r="M421" s="161"/>
      <c r="N421" s="161"/>
      <c r="O421" s="161"/>
      <c r="P421" s="161"/>
      <c r="Q421" s="161"/>
      <c r="R421" s="161"/>
      <c r="S421" s="161"/>
      <c r="T421" s="161"/>
    </row>
    <row r="422" spans="1:20" ht="13">
      <c r="A422" s="161"/>
      <c r="B422" s="161"/>
      <c r="C422" s="161"/>
      <c r="D422" s="161"/>
      <c r="E422" s="161"/>
      <c r="F422" s="161"/>
      <c r="G422" s="161"/>
      <c r="H422" s="161"/>
      <c r="I422" s="161"/>
      <c r="J422" s="161"/>
      <c r="K422" s="161"/>
      <c r="L422" s="161"/>
      <c r="M422" s="161"/>
      <c r="N422" s="161"/>
      <c r="O422" s="161"/>
      <c r="P422" s="161"/>
      <c r="Q422" s="161"/>
      <c r="R422" s="161"/>
      <c r="S422" s="161"/>
      <c r="T422" s="161"/>
    </row>
    <row r="423" spans="1:20" ht="13">
      <c r="A423" s="161"/>
      <c r="B423" s="161"/>
      <c r="C423" s="161"/>
      <c r="D423" s="161"/>
      <c r="E423" s="161"/>
      <c r="F423" s="161"/>
      <c r="G423" s="161"/>
      <c r="H423" s="161"/>
      <c r="I423" s="161"/>
      <c r="J423" s="161"/>
      <c r="K423" s="161"/>
      <c r="L423" s="161"/>
      <c r="M423" s="161"/>
      <c r="N423" s="161"/>
      <c r="O423" s="161"/>
      <c r="P423" s="161"/>
      <c r="Q423" s="161"/>
      <c r="R423" s="161"/>
      <c r="S423" s="161"/>
      <c r="T423" s="161"/>
    </row>
    <row r="424" spans="1:20" ht="13">
      <c r="A424" s="161"/>
      <c r="B424" s="161"/>
      <c r="C424" s="161"/>
      <c r="D424" s="161"/>
      <c r="E424" s="161"/>
      <c r="F424" s="161"/>
      <c r="G424" s="161"/>
      <c r="H424" s="161"/>
      <c r="I424" s="161"/>
      <c r="J424" s="161"/>
      <c r="K424" s="161"/>
      <c r="L424" s="161"/>
      <c r="M424" s="161"/>
      <c r="N424" s="161"/>
      <c r="O424" s="161"/>
      <c r="P424" s="161"/>
      <c r="Q424" s="161"/>
      <c r="R424" s="161"/>
      <c r="S424" s="161"/>
      <c r="T424" s="161"/>
    </row>
    <row r="425" spans="1:20" ht="13">
      <c r="A425" s="161"/>
      <c r="B425" s="161"/>
      <c r="C425" s="161"/>
      <c r="D425" s="161"/>
      <c r="E425" s="161"/>
      <c r="F425" s="161"/>
      <c r="G425" s="161"/>
      <c r="H425" s="161"/>
      <c r="I425" s="161"/>
      <c r="J425" s="161"/>
      <c r="K425" s="161"/>
      <c r="L425" s="161"/>
      <c r="M425" s="161"/>
      <c r="N425" s="161"/>
      <c r="O425" s="161"/>
      <c r="P425" s="161"/>
      <c r="Q425" s="161"/>
      <c r="R425" s="161"/>
      <c r="S425" s="161"/>
      <c r="T425" s="161"/>
    </row>
    <row r="426" spans="1:20" ht="13">
      <c r="A426" s="161"/>
      <c r="B426" s="161"/>
      <c r="C426" s="161"/>
      <c r="D426" s="161"/>
      <c r="E426" s="161"/>
      <c r="F426" s="161"/>
      <c r="G426" s="161"/>
      <c r="H426" s="161"/>
      <c r="I426" s="161"/>
      <c r="J426" s="161"/>
      <c r="K426" s="161"/>
      <c r="L426" s="161"/>
      <c r="M426" s="161"/>
      <c r="N426" s="161"/>
      <c r="O426" s="161"/>
      <c r="P426" s="161"/>
      <c r="Q426" s="161"/>
      <c r="R426" s="161"/>
      <c r="S426" s="161"/>
      <c r="T426" s="161"/>
    </row>
    <row r="427" spans="1:20" ht="13">
      <c r="A427" s="161"/>
      <c r="B427" s="161"/>
      <c r="C427" s="161"/>
      <c r="D427" s="161"/>
      <c r="E427" s="161"/>
      <c r="F427" s="161"/>
      <c r="G427" s="161"/>
      <c r="H427" s="161"/>
      <c r="I427" s="161"/>
      <c r="J427" s="161"/>
      <c r="K427" s="161"/>
      <c r="L427" s="161"/>
      <c r="M427" s="161"/>
      <c r="N427" s="161"/>
      <c r="O427" s="161"/>
      <c r="P427" s="161"/>
      <c r="Q427" s="161"/>
      <c r="R427" s="161"/>
      <c r="S427" s="161"/>
      <c r="T427" s="161"/>
    </row>
    <row r="428" spans="1:20" ht="13">
      <c r="A428" s="161"/>
      <c r="B428" s="161"/>
      <c r="C428" s="161"/>
      <c r="D428" s="161"/>
      <c r="E428" s="161"/>
      <c r="F428" s="161"/>
      <c r="G428" s="161"/>
      <c r="H428" s="161"/>
      <c r="I428" s="161"/>
      <c r="J428" s="161"/>
      <c r="K428" s="161"/>
      <c r="L428" s="161"/>
      <c r="M428" s="161"/>
      <c r="N428" s="161"/>
      <c r="O428" s="161"/>
      <c r="P428" s="161"/>
      <c r="Q428" s="161"/>
      <c r="R428" s="161"/>
      <c r="S428" s="161"/>
      <c r="T428" s="161"/>
    </row>
    <row r="429" spans="1:20" ht="13">
      <c r="A429" s="161"/>
      <c r="B429" s="161"/>
      <c r="C429" s="161"/>
      <c r="D429" s="161"/>
      <c r="E429" s="161"/>
      <c r="F429" s="161"/>
      <c r="G429" s="161"/>
      <c r="H429" s="161"/>
      <c r="I429" s="161"/>
      <c r="J429" s="161"/>
      <c r="K429" s="161"/>
      <c r="L429" s="161"/>
      <c r="M429" s="161"/>
      <c r="N429" s="161"/>
      <c r="O429" s="161"/>
      <c r="P429" s="161"/>
      <c r="Q429" s="161"/>
      <c r="R429" s="161"/>
      <c r="S429" s="161"/>
      <c r="T429" s="161"/>
    </row>
    <row r="430" spans="1:20" ht="13">
      <c r="A430" s="161"/>
      <c r="B430" s="161"/>
      <c r="C430" s="161"/>
      <c r="D430" s="161"/>
      <c r="E430" s="161"/>
      <c r="F430" s="161"/>
      <c r="G430" s="161"/>
      <c r="H430" s="161"/>
      <c r="I430" s="161"/>
      <c r="J430" s="161"/>
      <c r="K430" s="161"/>
      <c r="L430" s="161"/>
      <c r="M430" s="161"/>
      <c r="N430" s="161"/>
      <c r="O430" s="161"/>
      <c r="P430" s="161"/>
      <c r="Q430" s="161"/>
      <c r="R430" s="161"/>
      <c r="S430" s="161"/>
      <c r="T430" s="161"/>
    </row>
    <row r="431" spans="1:20" ht="13">
      <c r="A431" s="161"/>
      <c r="B431" s="161"/>
      <c r="C431" s="161"/>
      <c r="D431" s="161"/>
      <c r="E431" s="161"/>
      <c r="F431" s="161"/>
      <c r="G431" s="161"/>
      <c r="H431" s="161"/>
      <c r="I431" s="161"/>
      <c r="J431" s="161"/>
      <c r="K431" s="161"/>
      <c r="L431" s="161"/>
      <c r="M431" s="161"/>
      <c r="N431" s="161"/>
      <c r="O431" s="161"/>
      <c r="P431" s="161"/>
      <c r="Q431" s="161"/>
      <c r="R431" s="161"/>
      <c r="S431" s="161"/>
      <c r="T431" s="161"/>
    </row>
    <row r="432" spans="1:20" ht="13">
      <c r="A432" s="161"/>
      <c r="B432" s="161"/>
      <c r="C432" s="161"/>
      <c r="D432" s="161"/>
      <c r="E432" s="161"/>
      <c r="F432" s="161"/>
      <c r="G432" s="161"/>
      <c r="H432" s="161"/>
      <c r="I432" s="161"/>
      <c r="J432" s="161"/>
      <c r="K432" s="161"/>
      <c r="L432" s="161"/>
      <c r="M432" s="161"/>
      <c r="N432" s="161"/>
      <c r="O432" s="161"/>
      <c r="P432" s="161"/>
      <c r="Q432" s="161"/>
      <c r="R432" s="161"/>
      <c r="S432" s="161"/>
      <c r="T432" s="161"/>
    </row>
    <row r="433" spans="1:20" ht="13">
      <c r="A433" s="161"/>
      <c r="B433" s="161"/>
      <c r="C433" s="161"/>
      <c r="D433" s="161"/>
      <c r="E433" s="161"/>
      <c r="F433" s="161"/>
      <c r="G433" s="161"/>
      <c r="H433" s="161"/>
      <c r="I433" s="161"/>
      <c r="J433" s="161"/>
      <c r="K433" s="161"/>
      <c r="L433" s="161"/>
      <c r="M433" s="161"/>
      <c r="N433" s="161"/>
      <c r="O433" s="161"/>
      <c r="P433" s="161"/>
      <c r="Q433" s="161"/>
      <c r="R433" s="161"/>
      <c r="S433" s="161"/>
      <c r="T433" s="161"/>
    </row>
    <row r="434" spans="1:20" ht="13">
      <c r="A434" s="161"/>
      <c r="B434" s="161"/>
      <c r="C434" s="161"/>
      <c r="D434" s="161"/>
      <c r="E434" s="161"/>
      <c r="F434" s="161"/>
      <c r="G434" s="161"/>
      <c r="H434" s="161"/>
      <c r="I434" s="161"/>
      <c r="J434" s="161"/>
      <c r="K434" s="161"/>
      <c r="L434" s="161"/>
      <c r="M434" s="161"/>
      <c r="N434" s="161"/>
      <c r="O434" s="161"/>
      <c r="P434" s="161"/>
      <c r="Q434" s="161"/>
      <c r="R434" s="161"/>
      <c r="S434" s="161"/>
      <c r="T434" s="161"/>
    </row>
    <row r="435" spans="1:20" ht="13">
      <c r="A435" s="161"/>
      <c r="B435" s="161"/>
      <c r="C435" s="161"/>
      <c r="D435" s="161"/>
      <c r="E435" s="161"/>
      <c r="F435" s="161"/>
      <c r="G435" s="161"/>
      <c r="H435" s="161"/>
      <c r="I435" s="161"/>
      <c r="J435" s="161"/>
      <c r="K435" s="161"/>
      <c r="L435" s="161"/>
      <c r="M435" s="161"/>
      <c r="N435" s="161"/>
      <c r="O435" s="161"/>
      <c r="P435" s="161"/>
      <c r="Q435" s="161"/>
      <c r="R435" s="161"/>
      <c r="S435" s="161"/>
      <c r="T435" s="161"/>
    </row>
    <row r="436" spans="1:20" ht="13">
      <c r="A436" s="161"/>
      <c r="B436" s="161"/>
      <c r="C436" s="161"/>
      <c r="D436" s="161"/>
      <c r="E436" s="161"/>
      <c r="F436" s="161"/>
      <c r="G436" s="161"/>
      <c r="H436" s="161"/>
      <c r="I436" s="161"/>
      <c r="J436" s="161"/>
      <c r="K436" s="161"/>
      <c r="L436" s="161"/>
      <c r="M436" s="161"/>
      <c r="N436" s="161"/>
      <c r="O436" s="161"/>
      <c r="P436" s="161"/>
      <c r="Q436" s="161"/>
      <c r="R436" s="161"/>
      <c r="S436" s="161"/>
      <c r="T436" s="161"/>
    </row>
    <row r="437" spans="1:20" ht="13">
      <c r="A437" s="161"/>
      <c r="B437" s="161"/>
      <c r="C437" s="161"/>
      <c r="D437" s="161"/>
      <c r="E437" s="161"/>
      <c r="F437" s="161"/>
      <c r="G437" s="161"/>
      <c r="H437" s="161"/>
      <c r="I437" s="161"/>
      <c r="J437" s="161"/>
      <c r="K437" s="161"/>
      <c r="L437" s="161"/>
      <c r="M437" s="161"/>
      <c r="N437" s="161"/>
      <c r="O437" s="161"/>
      <c r="P437" s="161"/>
      <c r="Q437" s="161"/>
      <c r="R437" s="161"/>
      <c r="S437" s="161"/>
      <c r="T437" s="161"/>
    </row>
    <row r="438" spans="1:20" ht="13">
      <c r="A438" s="161"/>
      <c r="B438" s="161"/>
      <c r="C438" s="161"/>
      <c r="D438" s="161"/>
      <c r="E438" s="161"/>
      <c r="F438" s="161"/>
      <c r="G438" s="161"/>
      <c r="H438" s="161"/>
      <c r="I438" s="161"/>
      <c r="J438" s="161"/>
      <c r="K438" s="161"/>
      <c r="L438" s="161"/>
      <c r="M438" s="161"/>
      <c r="N438" s="161"/>
      <c r="O438" s="161"/>
      <c r="P438" s="161"/>
      <c r="Q438" s="161"/>
      <c r="R438" s="161"/>
      <c r="S438" s="161"/>
      <c r="T438" s="161"/>
    </row>
    <row r="439" spans="1:20" ht="13">
      <c r="A439" s="161"/>
      <c r="B439" s="161"/>
      <c r="C439" s="161"/>
      <c r="D439" s="161"/>
      <c r="E439" s="161"/>
      <c r="F439" s="161"/>
      <c r="G439" s="161"/>
      <c r="H439" s="161"/>
      <c r="I439" s="161"/>
      <c r="J439" s="161"/>
      <c r="K439" s="161"/>
      <c r="L439" s="161"/>
      <c r="M439" s="161"/>
      <c r="N439" s="161"/>
      <c r="O439" s="161"/>
      <c r="P439" s="161"/>
      <c r="Q439" s="161"/>
      <c r="R439" s="161"/>
      <c r="S439" s="161"/>
      <c r="T439" s="161"/>
    </row>
    <row r="440" spans="1:20" ht="13">
      <c r="A440" s="161"/>
      <c r="B440" s="161"/>
      <c r="C440" s="161"/>
      <c r="D440" s="161"/>
      <c r="E440" s="161"/>
      <c r="F440" s="161"/>
      <c r="G440" s="161"/>
      <c r="H440" s="161"/>
      <c r="I440" s="161"/>
      <c r="J440" s="161"/>
      <c r="K440" s="161"/>
      <c r="L440" s="161"/>
      <c r="M440" s="161"/>
      <c r="N440" s="161"/>
      <c r="O440" s="161"/>
      <c r="P440" s="161"/>
      <c r="Q440" s="161"/>
      <c r="R440" s="161"/>
      <c r="S440" s="161"/>
      <c r="T440" s="161"/>
    </row>
    <row r="441" spans="1:20" ht="13">
      <c r="A441" s="161"/>
      <c r="B441" s="161"/>
      <c r="C441" s="161"/>
      <c r="D441" s="161"/>
      <c r="E441" s="161"/>
      <c r="F441" s="161"/>
      <c r="G441" s="161"/>
      <c r="H441" s="161"/>
      <c r="I441" s="161"/>
      <c r="J441" s="161"/>
      <c r="K441" s="161"/>
      <c r="L441" s="161"/>
      <c r="M441" s="161"/>
      <c r="N441" s="161"/>
      <c r="O441" s="161"/>
      <c r="P441" s="161"/>
      <c r="Q441" s="161"/>
      <c r="R441" s="161"/>
      <c r="S441" s="161"/>
      <c r="T441" s="161"/>
    </row>
    <row r="442" spans="1:20" ht="13">
      <c r="A442" s="161"/>
      <c r="B442" s="161"/>
      <c r="C442" s="161"/>
      <c r="D442" s="161"/>
      <c r="E442" s="161"/>
      <c r="F442" s="161"/>
      <c r="G442" s="161"/>
      <c r="H442" s="161"/>
      <c r="I442" s="161"/>
      <c r="J442" s="161"/>
      <c r="K442" s="161"/>
      <c r="L442" s="161"/>
      <c r="M442" s="161"/>
      <c r="N442" s="161"/>
      <c r="O442" s="161"/>
      <c r="P442" s="161"/>
      <c r="Q442" s="161"/>
      <c r="R442" s="161"/>
      <c r="S442" s="161"/>
      <c r="T442" s="161"/>
    </row>
    <row r="443" spans="1:20" ht="13">
      <c r="A443" s="161"/>
      <c r="B443" s="161"/>
      <c r="C443" s="161"/>
      <c r="D443" s="161"/>
      <c r="E443" s="161"/>
      <c r="F443" s="161"/>
      <c r="G443" s="161"/>
      <c r="H443" s="161"/>
      <c r="I443" s="161"/>
      <c r="J443" s="161"/>
      <c r="K443" s="161"/>
      <c r="L443" s="161"/>
      <c r="M443" s="161"/>
      <c r="N443" s="161"/>
      <c r="O443" s="161"/>
      <c r="P443" s="161"/>
      <c r="Q443" s="161"/>
      <c r="R443" s="161"/>
      <c r="S443" s="161"/>
      <c r="T443" s="161"/>
    </row>
    <row r="444" spans="1:20" ht="13">
      <c r="A444" s="161"/>
      <c r="B444" s="161"/>
      <c r="C444" s="161"/>
      <c r="D444" s="161"/>
      <c r="E444" s="161"/>
      <c r="F444" s="161"/>
      <c r="G444" s="161"/>
      <c r="H444" s="161"/>
      <c r="I444" s="161"/>
      <c r="J444" s="161"/>
      <c r="K444" s="161"/>
      <c r="L444" s="161"/>
      <c r="M444" s="161"/>
      <c r="N444" s="161"/>
      <c r="O444" s="161"/>
      <c r="P444" s="161"/>
      <c r="Q444" s="161"/>
      <c r="R444" s="161"/>
      <c r="S444" s="161"/>
      <c r="T444" s="161"/>
    </row>
    <row r="445" spans="1:20" ht="13">
      <c r="A445" s="161"/>
      <c r="B445" s="161"/>
      <c r="C445" s="161"/>
      <c r="D445" s="161"/>
      <c r="E445" s="161"/>
      <c r="F445" s="161"/>
      <c r="G445" s="161"/>
      <c r="H445" s="161"/>
      <c r="I445" s="161"/>
      <c r="J445" s="161"/>
      <c r="K445" s="161"/>
      <c r="L445" s="161"/>
      <c r="M445" s="161"/>
      <c r="N445" s="161"/>
      <c r="O445" s="161"/>
      <c r="P445" s="161"/>
      <c r="Q445" s="161"/>
      <c r="R445" s="161"/>
      <c r="S445" s="161"/>
      <c r="T445" s="161"/>
    </row>
    <row r="446" spans="1:20" ht="13">
      <c r="A446" s="161"/>
      <c r="B446" s="161"/>
      <c r="C446" s="161"/>
      <c r="D446" s="161"/>
      <c r="E446" s="161"/>
      <c r="F446" s="161"/>
      <c r="G446" s="161"/>
      <c r="H446" s="161"/>
      <c r="I446" s="161"/>
      <c r="J446" s="161"/>
      <c r="K446" s="161"/>
      <c r="L446" s="161"/>
      <c r="M446" s="161"/>
      <c r="N446" s="161"/>
      <c r="O446" s="161"/>
      <c r="P446" s="161"/>
      <c r="Q446" s="161"/>
      <c r="R446" s="161"/>
      <c r="S446" s="161"/>
      <c r="T446" s="161"/>
    </row>
    <row r="447" spans="1:20" ht="13">
      <c r="A447" s="161"/>
      <c r="B447" s="161"/>
      <c r="C447" s="161"/>
      <c r="D447" s="161"/>
      <c r="E447" s="161"/>
      <c r="F447" s="161"/>
      <c r="G447" s="161"/>
      <c r="H447" s="161"/>
      <c r="I447" s="161"/>
      <c r="J447" s="161"/>
      <c r="K447" s="161"/>
      <c r="L447" s="161"/>
      <c r="M447" s="161"/>
      <c r="N447" s="161"/>
      <c r="O447" s="161"/>
      <c r="P447" s="161"/>
      <c r="Q447" s="161"/>
      <c r="R447" s="161"/>
      <c r="S447" s="161"/>
      <c r="T447" s="161"/>
    </row>
    <row r="448" spans="1:20" ht="13">
      <c r="A448" s="161"/>
      <c r="B448" s="161"/>
      <c r="C448" s="161"/>
      <c r="D448" s="161"/>
      <c r="E448" s="161"/>
      <c r="F448" s="161"/>
      <c r="G448" s="161"/>
      <c r="H448" s="161"/>
      <c r="I448" s="161"/>
      <c r="J448" s="161"/>
      <c r="K448" s="161"/>
      <c r="L448" s="161"/>
      <c r="M448" s="161"/>
      <c r="N448" s="161"/>
      <c r="O448" s="161"/>
      <c r="P448" s="161"/>
      <c r="Q448" s="161"/>
      <c r="R448" s="161"/>
      <c r="S448" s="161"/>
      <c r="T448" s="161"/>
    </row>
    <row r="449" spans="1:20" ht="13">
      <c r="A449" s="161"/>
      <c r="B449" s="161"/>
      <c r="C449" s="161"/>
      <c r="D449" s="161"/>
      <c r="E449" s="161"/>
      <c r="F449" s="161"/>
      <c r="G449" s="161"/>
      <c r="H449" s="161"/>
      <c r="I449" s="161"/>
      <c r="J449" s="161"/>
      <c r="K449" s="161"/>
      <c r="L449" s="161"/>
      <c r="M449" s="161"/>
      <c r="N449" s="161"/>
      <c r="O449" s="161"/>
      <c r="P449" s="161"/>
      <c r="Q449" s="161"/>
      <c r="R449" s="161"/>
      <c r="S449" s="161"/>
      <c r="T449" s="161"/>
    </row>
    <row r="450" spans="1:20" ht="13">
      <c r="A450" s="161"/>
      <c r="B450" s="161"/>
      <c r="C450" s="161"/>
      <c r="D450" s="161"/>
      <c r="E450" s="161"/>
      <c r="F450" s="161"/>
      <c r="G450" s="161"/>
      <c r="H450" s="161"/>
      <c r="I450" s="161"/>
      <c r="J450" s="161"/>
      <c r="K450" s="161"/>
      <c r="L450" s="161"/>
      <c r="M450" s="161"/>
      <c r="N450" s="161"/>
      <c r="O450" s="161"/>
      <c r="P450" s="161"/>
      <c r="Q450" s="161"/>
      <c r="R450" s="161"/>
      <c r="S450" s="161"/>
      <c r="T450" s="161"/>
    </row>
    <row r="451" spans="1:20" ht="13">
      <c r="A451" s="161"/>
      <c r="B451" s="161"/>
      <c r="C451" s="161"/>
      <c r="D451" s="161"/>
      <c r="E451" s="161"/>
      <c r="F451" s="161"/>
      <c r="G451" s="161"/>
      <c r="H451" s="161"/>
      <c r="I451" s="161"/>
      <c r="J451" s="161"/>
      <c r="K451" s="161"/>
      <c r="L451" s="161"/>
      <c r="M451" s="161"/>
      <c r="N451" s="161"/>
      <c r="O451" s="161"/>
      <c r="P451" s="161"/>
      <c r="Q451" s="161"/>
      <c r="R451" s="161"/>
      <c r="S451" s="161"/>
      <c r="T451" s="161"/>
    </row>
    <row r="452" spans="1:20" ht="13">
      <c r="A452" s="161"/>
      <c r="B452" s="161"/>
      <c r="C452" s="161"/>
      <c r="D452" s="161"/>
      <c r="E452" s="161"/>
      <c r="F452" s="161"/>
      <c r="G452" s="161"/>
      <c r="H452" s="161"/>
      <c r="I452" s="161"/>
      <c r="J452" s="161"/>
      <c r="K452" s="161"/>
      <c r="L452" s="161"/>
      <c r="M452" s="161"/>
      <c r="N452" s="161"/>
      <c r="O452" s="161"/>
      <c r="P452" s="161"/>
      <c r="Q452" s="161"/>
      <c r="R452" s="161"/>
      <c r="S452" s="161"/>
      <c r="T452" s="161"/>
    </row>
    <row r="453" spans="1:20" ht="13">
      <c r="A453" s="161"/>
      <c r="B453" s="161"/>
      <c r="C453" s="161"/>
      <c r="D453" s="161"/>
      <c r="E453" s="161"/>
      <c r="F453" s="161"/>
      <c r="G453" s="161"/>
      <c r="H453" s="161"/>
      <c r="I453" s="161"/>
      <c r="J453" s="161"/>
      <c r="K453" s="161"/>
      <c r="L453" s="161"/>
      <c r="M453" s="161"/>
      <c r="N453" s="161"/>
      <c r="O453" s="161"/>
      <c r="P453" s="161"/>
      <c r="Q453" s="161"/>
      <c r="R453" s="161"/>
      <c r="S453" s="161"/>
      <c r="T453" s="161"/>
    </row>
    <row r="454" spans="1:20" ht="13">
      <c r="A454" s="161"/>
      <c r="B454" s="161"/>
      <c r="C454" s="161"/>
      <c r="D454" s="161"/>
      <c r="E454" s="161"/>
      <c r="F454" s="161"/>
      <c r="G454" s="161"/>
      <c r="H454" s="161"/>
      <c r="I454" s="161"/>
      <c r="J454" s="161"/>
      <c r="K454" s="161"/>
      <c r="L454" s="161"/>
      <c r="M454" s="161"/>
      <c r="N454" s="161"/>
      <c r="O454" s="161"/>
      <c r="P454" s="161"/>
      <c r="Q454" s="161"/>
      <c r="R454" s="161"/>
      <c r="S454" s="161"/>
      <c r="T454" s="161"/>
    </row>
    <row r="455" spans="1:20" ht="13">
      <c r="A455" s="161"/>
      <c r="B455" s="161"/>
      <c r="C455" s="161"/>
      <c r="D455" s="161"/>
      <c r="E455" s="161"/>
      <c r="F455" s="161"/>
      <c r="G455" s="161"/>
      <c r="H455" s="161"/>
      <c r="I455" s="161"/>
      <c r="J455" s="161"/>
      <c r="K455" s="161"/>
      <c r="L455" s="161"/>
      <c r="M455" s="161"/>
      <c r="N455" s="161"/>
      <c r="O455" s="161"/>
      <c r="P455" s="161"/>
      <c r="Q455" s="161"/>
      <c r="R455" s="161"/>
      <c r="S455" s="161"/>
      <c r="T455" s="161"/>
    </row>
    <row r="456" spans="1:20" ht="13">
      <c r="A456" s="161"/>
      <c r="B456" s="161"/>
      <c r="C456" s="161"/>
      <c r="D456" s="161"/>
      <c r="E456" s="161"/>
      <c r="F456" s="161"/>
      <c r="G456" s="161"/>
      <c r="H456" s="161"/>
      <c r="I456" s="161"/>
      <c r="J456" s="161"/>
      <c r="K456" s="161"/>
      <c r="L456" s="161"/>
      <c r="M456" s="161"/>
      <c r="N456" s="161"/>
      <c r="O456" s="161"/>
      <c r="P456" s="161"/>
      <c r="Q456" s="161"/>
      <c r="R456" s="161"/>
      <c r="S456" s="161"/>
      <c r="T456" s="161"/>
    </row>
    <row r="457" spans="1:20" ht="13">
      <c r="A457" s="161"/>
      <c r="B457" s="161"/>
      <c r="C457" s="161"/>
      <c r="D457" s="161"/>
      <c r="E457" s="161"/>
      <c r="F457" s="161"/>
      <c r="G457" s="161"/>
      <c r="H457" s="161"/>
      <c r="I457" s="161"/>
      <c r="J457" s="161"/>
      <c r="K457" s="161"/>
      <c r="L457" s="161"/>
      <c r="M457" s="161"/>
      <c r="N457" s="161"/>
      <c r="O457" s="161"/>
      <c r="P457" s="161"/>
      <c r="Q457" s="161"/>
      <c r="R457" s="161"/>
      <c r="S457" s="161"/>
      <c r="T457" s="161"/>
    </row>
    <row r="458" spans="1:20" ht="13">
      <c r="A458" s="161"/>
      <c r="B458" s="161"/>
      <c r="C458" s="161"/>
      <c r="D458" s="161"/>
      <c r="E458" s="161"/>
      <c r="F458" s="161"/>
      <c r="G458" s="161"/>
      <c r="H458" s="161"/>
      <c r="I458" s="161"/>
      <c r="J458" s="161"/>
      <c r="K458" s="161"/>
      <c r="L458" s="161"/>
      <c r="M458" s="161"/>
      <c r="N458" s="161"/>
      <c r="O458" s="161"/>
      <c r="P458" s="161"/>
      <c r="Q458" s="161"/>
      <c r="R458" s="161"/>
      <c r="S458" s="161"/>
      <c r="T458" s="161"/>
    </row>
    <row r="459" spans="1:20" ht="13">
      <c r="A459" s="161"/>
      <c r="B459" s="161"/>
      <c r="C459" s="161"/>
      <c r="D459" s="161"/>
      <c r="E459" s="161"/>
      <c r="F459" s="161"/>
      <c r="G459" s="161"/>
      <c r="H459" s="161"/>
      <c r="I459" s="161"/>
      <c r="J459" s="161"/>
      <c r="K459" s="161"/>
      <c r="L459" s="161"/>
      <c r="M459" s="161"/>
      <c r="N459" s="161"/>
      <c r="O459" s="161"/>
      <c r="P459" s="161"/>
      <c r="Q459" s="161"/>
      <c r="R459" s="161"/>
      <c r="S459" s="161"/>
      <c r="T459" s="161"/>
    </row>
    <row r="460" spans="1:20" ht="13">
      <c r="A460" s="161"/>
      <c r="B460" s="161"/>
      <c r="C460" s="161"/>
      <c r="D460" s="161"/>
      <c r="E460" s="161"/>
      <c r="F460" s="161"/>
      <c r="G460" s="161"/>
      <c r="H460" s="161"/>
      <c r="I460" s="161"/>
      <c r="J460" s="161"/>
      <c r="K460" s="161"/>
      <c r="L460" s="161"/>
      <c r="M460" s="161"/>
      <c r="N460" s="161"/>
      <c r="O460" s="161"/>
      <c r="P460" s="161"/>
      <c r="Q460" s="161"/>
      <c r="R460" s="161"/>
      <c r="S460" s="161"/>
      <c r="T460" s="161"/>
    </row>
    <row r="461" spans="1:20" ht="13">
      <c r="A461" s="161"/>
      <c r="B461" s="161"/>
      <c r="C461" s="161"/>
      <c r="D461" s="161"/>
      <c r="E461" s="161"/>
      <c r="F461" s="161"/>
      <c r="G461" s="161"/>
      <c r="H461" s="161"/>
      <c r="I461" s="161"/>
      <c r="J461" s="161"/>
      <c r="K461" s="161"/>
      <c r="L461" s="161"/>
      <c r="M461" s="161"/>
      <c r="N461" s="161"/>
      <c r="O461" s="161"/>
      <c r="P461" s="161"/>
      <c r="Q461" s="161"/>
      <c r="R461" s="161"/>
      <c r="S461" s="161"/>
      <c r="T461" s="161"/>
    </row>
    <row r="462" spans="1:20" ht="13">
      <c r="A462" s="161"/>
      <c r="B462" s="161"/>
      <c r="C462" s="161"/>
      <c r="D462" s="161"/>
      <c r="E462" s="161"/>
      <c r="F462" s="161"/>
      <c r="G462" s="161"/>
      <c r="H462" s="161"/>
      <c r="I462" s="161"/>
      <c r="J462" s="161"/>
      <c r="K462" s="161"/>
      <c r="L462" s="161"/>
      <c r="M462" s="161"/>
      <c r="N462" s="161"/>
      <c r="O462" s="161"/>
      <c r="P462" s="161"/>
      <c r="Q462" s="161"/>
      <c r="R462" s="161"/>
      <c r="S462" s="161"/>
      <c r="T462" s="161"/>
    </row>
    <row r="463" spans="1:20" ht="13">
      <c r="A463" s="161"/>
      <c r="B463" s="161"/>
      <c r="C463" s="161"/>
      <c r="D463" s="161"/>
      <c r="E463" s="161"/>
      <c r="F463" s="161"/>
      <c r="G463" s="161"/>
      <c r="H463" s="161"/>
      <c r="I463" s="161"/>
      <c r="J463" s="161"/>
      <c r="K463" s="161"/>
      <c r="L463" s="161"/>
      <c r="M463" s="161"/>
      <c r="N463" s="161"/>
      <c r="O463" s="161"/>
      <c r="P463" s="161"/>
      <c r="Q463" s="161"/>
      <c r="R463" s="161"/>
      <c r="S463" s="161"/>
      <c r="T463" s="161"/>
    </row>
    <row r="464" spans="1:20" ht="13">
      <c r="A464" s="161"/>
      <c r="B464" s="161"/>
      <c r="C464" s="161"/>
      <c r="D464" s="161"/>
      <c r="E464" s="161"/>
      <c r="F464" s="161"/>
      <c r="G464" s="161"/>
      <c r="H464" s="161"/>
      <c r="I464" s="161"/>
      <c r="J464" s="161"/>
      <c r="K464" s="161"/>
      <c r="L464" s="161"/>
      <c r="M464" s="161"/>
      <c r="N464" s="161"/>
      <c r="O464" s="161"/>
      <c r="P464" s="161"/>
      <c r="Q464" s="161"/>
      <c r="R464" s="161"/>
      <c r="S464" s="161"/>
      <c r="T464" s="161"/>
    </row>
    <row r="465" spans="1:20" ht="13">
      <c r="A465" s="161"/>
      <c r="B465" s="161"/>
      <c r="C465" s="161"/>
      <c r="D465" s="161"/>
      <c r="E465" s="161"/>
      <c r="F465" s="161"/>
      <c r="G465" s="161"/>
      <c r="H465" s="161"/>
      <c r="I465" s="161"/>
      <c r="J465" s="161"/>
      <c r="K465" s="161"/>
      <c r="L465" s="161"/>
      <c r="M465" s="161"/>
      <c r="N465" s="161"/>
      <c r="O465" s="161"/>
      <c r="P465" s="161"/>
      <c r="Q465" s="161"/>
      <c r="R465" s="161"/>
      <c r="S465" s="161"/>
      <c r="T465" s="161"/>
    </row>
    <row r="466" spans="1:20" ht="13">
      <c r="A466" s="161"/>
      <c r="B466" s="161"/>
      <c r="C466" s="161"/>
      <c r="D466" s="161"/>
      <c r="E466" s="161"/>
      <c r="F466" s="161"/>
      <c r="G466" s="161"/>
      <c r="H466" s="161"/>
      <c r="I466" s="161"/>
      <c r="J466" s="161"/>
      <c r="K466" s="161"/>
      <c r="L466" s="161"/>
      <c r="M466" s="161"/>
      <c r="N466" s="161"/>
      <c r="O466" s="161"/>
      <c r="P466" s="161"/>
      <c r="Q466" s="161"/>
      <c r="R466" s="161"/>
      <c r="S466" s="161"/>
      <c r="T466" s="161"/>
    </row>
    <row r="467" spans="1:20" ht="13">
      <c r="A467" s="161"/>
      <c r="B467" s="161"/>
      <c r="C467" s="161"/>
      <c r="D467" s="161"/>
      <c r="E467" s="161"/>
      <c r="F467" s="161"/>
      <c r="G467" s="161"/>
      <c r="H467" s="161"/>
      <c r="I467" s="161"/>
      <c r="J467" s="161"/>
      <c r="K467" s="161"/>
      <c r="L467" s="161"/>
      <c r="M467" s="161"/>
      <c r="N467" s="161"/>
      <c r="O467" s="161"/>
      <c r="P467" s="161"/>
      <c r="Q467" s="161"/>
      <c r="R467" s="161"/>
      <c r="S467" s="161"/>
      <c r="T467" s="161"/>
    </row>
    <row r="468" spans="1:20" ht="13">
      <c r="A468" s="161"/>
      <c r="B468" s="161"/>
      <c r="C468" s="161"/>
      <c r="D468" s="161"/>
      <c r="E468" s="161"/>
      <c r="F468" s="161"/>
      <c r="G468" s="161"/>
      <c r="H468" s="161"/>
      <c r="I468" s="161"/>
      <c r="J468" s="161"/>
      <c r="K468" s="161"/>
      <c r="L468" s="161"/>
      <c r="M468" s="161"/>
      <c r="N468" s="161"/>
      <c r="O468" s="161"/>
      <c r="P468" s="161"/>
      <c r="Q468" s="161"/>
      <c r="R468" s="161"/>
      <c r="S468" s="161"/>
      <c r="T468" s="161"/>
    </row>
    <row r="469" spans="1:20" ht="13">
      <c r="A469" s="161"/>
      <c r="B469" s="161"/>
      <c r="C469" s="161"/>
      <c r="D469" s="161"/>
      <c r="E469" s="161"/>
      <c r="F469" s="161"/>
      <c r="G469" s="161"/>
      <c r="H469" s="161"/>
      <c r="I469" s="161"/>
      <c r="J469" s="161"/>
      <c r="K469" s="161"/>
      <c r="L469" s="161"/>
      <c r="M469" s="161"/>
      <c r="N469" s="161"/>
      <c r="O469" s="161"/>
      <c r="P469" s="161"/>
      <c r="Q469" s="161"/>
      <c r="R469" s="161"/>
      <c r="S469" s="161"/>
      <c r="T469" s="161"/>
    </row>
    <row r="470" spans="1:20" ht="13">
      <c r="A470" s="161"/>
      <c r="B470" s="161"/>
      <c r="C470" s="161"/>
      <c r="D470" s="161"/>
      <c r="E470" s="161"/>
      <c r="F470" s="161"/>
      <c r="G470" s="161"/>
      <c r="H470" s="161"/>
      <c r="I470" s="161"/>
      <c r="J470" s="161"/>
      <c r="K470" s="161"/>
      <c r="L470" s="161"/>
      <c r="M470" s="161"/>
      <c r="N470" s="161"/>
      <c r="O470" s="161"/>
      <c r="P470" s="161"/>
      <c r="Q470" s="161"/>
      <c r="R470" s="161"/>
      <c r="S470" s="161"/>
      <c r="T470" s="161"/>
    </row>
    <row r="471" spans="1:20" ht="13">
      <c r="A471" s="161"/>
      <c r="B471" s="161"/>
      <c r="C471" s="161"/>
      <c r="D471" s="161"/>
      <c r="E471" s="161"/>
      <c r="F471" s="161"/>
      <c r="G471" s="161"/>
      <c r="H471" s="161"/>
      <c r="I471" s="161"/>
      <c r="J471" s="161"/>
      <c r="K471" s="161"/>
      <c r="L471" s="161"/>
      <c r="M471" s="161"/>
      <c r="N471" s="161"/>
      <c r="O471" s="161"/>
      <c r="P471" s="161"/>
      <c r="Q471" s="161"/>
      <c r="R471" s="161"/>
      <c r="S471" s="161"/>
      <c r="T471" s="161"/>
    </row>
    <row r="472" spans="1:20" ht="13">
      <c r="A472" s="161"/>
      <c r="B472" s="161"/>
      <c r="C472" s="161"/>
      <c r="D472" s="161"/>
      <c r="E472" s="161"/>
      <c r="F472" s="161"/>
      <c r="G472" s="161"/>
      <c r="H472" s="161"/>
      <c r="I472" s="161"/>
      <c r="J472" s="161"/>
      <c r="K472" s="161"/>
      <c r="L472" s="161"/>
      <c r="M472" s="161"/>
      <c r="N472" s="161"/>
      <c r="O472" s="161"/>
      <c r="P472" s="161"/>
      <c r="Q472" s="161"/>
      <c r="R472" s="161"/>
      <c r="S472" s="161"/>
      <c r="T472" s="161"/>
    </row>
    <row r="473" spans="1:20" ht="13">
      <c r="A473" s="161"/>
      <c r="B473" s="161"/>
      <c r="C473" s="161"/>
      <c r="D473" s="161"/>
      <c r="E473" s="161"/>
      <c r="F473" s="161"/>
      <c r="G473" s="161"/>
      <c r="H473" s="161"/>
      <c r="I473" s="161"/>
      <c r="J473" s="161"/>
      <c r="K473" s="161"/>
      <c r="L473" s="161"/>
      <c r="M473" s="161"/>
      <c r="N473" s="161"/>
      <c r="O473" s="161"/>
      <c r="P473" s="161"/>
      <c r="Q473" s="161"/>
      <c r="R473" s="161"/>
      <c r="S473" s="161"/>
      <c r="T473" s="161"/>
    </row>
    <row r="474" spans="1:20" ht="13">
      <c r="A474" s="161"/>
      <c r="B474" s="161"/>
      <c r="C474" s="161"/>
      <c r="D474" s="161"/>
      <c r="E474" s="161"/>
      <c r="F474" s="161"/>
      <c r="G474" s="161"/>
      <c r="H474" s="161"/>
      <c r="I474" s="161"/>
      <c r="J474" s="161"/>
      <c r="K474" s="161"/>
      <c r="L474" s="161"/>
      <c r="M474" s="161"/>
      <c r="N474" s="161"/>
      <c r="O474" s="161"/>
      <c r="P474" s="161"/>
      <c r="Q474" s="161"/>
      <c r="R474" s="161"/>
      <c r="S474" s="161"/>
      <c r="T474" s="161"/>
    </row>
    <row r="475" spans="1:20" ht="13">
      <c r="A475" s="161"/>
      <c r="B475" s="161"/>
      <c r="C475" s="161"/>
      <c r="D475" s="161"/>
      <c r="E475" s="161"/>
      <c r="F475" s="161"/>
      <c r="G475" s="161"/>
      <c r="H475" s="161"/>
      <c r="I475" s="161"/>
      <c r="J475" s="161"/>
      <c r="K475" s="161"/>
      <c r="L475" s="161"/>
      <c r="M475" s="161"/>
      <c r="N475" s="161"/>
      <c r="O475" s="161"/>
      <c r="P475" s="161"/>
      <c r="Q475" s="161"/>
      <c r="R475" s="161"/>
      <c r="S475" s="161"/>
      <c r="T475" s="161"/>
    </row>
    <row r="476" spans="1:20" ht="13">
      <c r="A476" s="161"/>
      <c r="B476" s="161"/>
      <c r="C476" s="161"/>
      <c r="D476" s="161"/>
      <c r="E476" s="161"/>
      <c r="F476" s="161"/>
      <c r="G476" s="161"/>
      <c r="H476" s="161"/>
      <c r="I476" s="161"/>
      <c r="J476" s="161"/>
      <c r="K476" s="161"/>
      <c r="L476" s="161"/>
      <c r="M476" s="161"/>
      <c r="N476" s="161"/>
      <c r="O476" s="161"/>
      <c r="P476" s="161"/>
      <c r="Q476" s="161"/>
      <c r="R476" s="161"/>
      <c r="S476" s="161"/>
      <c r="T476" s="161"/>
    </row>
    <row r="477" spans="1:20" ht="13">
      <c r="A477" s="161"/>
      <c r="B477" s="161"/>
      <c r="C477" s="161"/>
      <c r="D477" s="161"/>
      <c r="E477" s="161"/>
      <c r="F477" s="161"/>
      <c r="G477" s="161"/>
      <c r="H477" s="161"/>
      <c r="I477" s="161"/>
      <c r="J477" s="161"/>
      <c r="K477" s="161"/>
      <c r="L477" s="161"/>
      <c r="M477" s="161"/>
      <c r="N477" s="161"/>
      <c r="O477" s="161"/>
      <c r="P477" s="161"/>
      <c r="Q477" s="161"/>
      <c r="R477" s="161"/>
      <c r="S477" s="161"/>
      <c r="T477" s="161"/>
    </row>
    <row r="478" spans="1:20" ht="13">
      <c r="A478" s="161"/>
      <c r="B478" s="161"/>
      <c r="C478" s="161"/>
      <c r="D478" s="161"/>
      <c r="E478" s="161"/>
      <c r="F478" s="161"/>
      <c r="G478" s="161"/>
      <c r="H478" s="161"/>
      <c r="I478" s="161"/>
      <c r="J478" s="161"/>
      <c r="K478" s="161"/>
      <c r="L478" s="161"/>
      <c r="M478" s="161"/>
      <c r="N478" s="161"/>
      <c r="O478" s="161"/>
      <c r="P478" s="161"/>
      <c r="Q478" s="161"/>
      <c r="R478" s="161"/>
      <c r="S478" s="161"/>
      <c r="T478" s="161"/>
    </row>
    <row r="479" spans="1:20" ht="13">
      <c r="A479" s="161"/>
      <c r="B479" s="161"/>
      <c r="C479" s="161"/>
      <c r="D479" s="161"/>
      <c r="E479" s="161"/>
      <c r="F479" s="161"/>
      <c r="G479" s="161"/>
      <c r="H479" s="161"/>
      <c r="I479" s="161"/>
      <c r="J479" s="161"/>
      <c r="K479" s="161"/>
      <c r="L479" s="161"/>
      <c r="M479" s="161"/>
      <c r="N479" s="161"/>
      <c r="O479" s="161"/>
      <c r="P479" s="161"/>
      <c r="Q479" s="161"/>
      <c r="R479" s="161"/>
      <c r="S479" s="161"/>
      <c r="T479" s="161"/>
    </row>
    <row r="480" spans="1:20" ht="13">
      <c r="A480" s="161"/>
      <c r="B480" s="161"/>
      <c r="C480" s="161"/>
      <c r="D480" s="161"/>
      <c r="E480" s="161"/>
      <c r="F480" s="161"/>
      <c r="G480" s="161"/>
      <c r="H480" s="161"/>
      <c r="I480" s="161"/>
      <c r="J480" s="161"/>
      <c r="K480" s="161"/>
      <c r="L480" s="161"/>
      <c r="M480" s="161"/>
      <c r="N480" s="161"/>
      <c r="O480" s="161"/>
      <c r="P480" s="161"/>
      <c r="Q480" s="161"/>
      <c r="R480" s="161"/>
      <c r="S480" s="161"/>
      <c r="T480" s="161"/>
    </row>
    <row r="481" spans="1:20" ht="13">
      <c r="A481" s="161"/>
      <c r="B481" s="161"/>
      <c r="C481" s="161"/>
      <c r="D481" s="161"/>
      <c r="E481" s="161"/>
      <c r="F481" s="161"/>
      <c r="G481" s="161"/>
      <c r="H481" s="161"/>
      <c r="I481" s="161"/>
      <c r="J481" s="161"/>
      <c r="K481" s="161"/>
      <c r="L481" s="161"/>
      <c r="M481" s="161"/>
      <c r="N481" s="161"/>
      <c r="O481" s="161"/>
      <c r="P481" s="161"/>
      <c r="Q481" s="161"/>
      <c r="R481" s="161"/>
      <c r="S481" s="161"/>
      <c r="T481" s="161"/>
    </row>
    <row r="482" spans="1:20" ht="13">
      <c r="A482" s="161"/>
      <c r="B482" s="161"/>
      <c r="C482" s="161"/>
      <c r="D482" s="161"/>
      <c r="E482" s="161"/>
      <c r="F482" s="161"/>
      <c r="G482" s="161"/>
      <c r="H482" s="161"/>
      <c r="I482" s="161"/>
      <c r="J482" s="161"/>
      <c r="K482" s="161"/>
      <c r="L482" s="161"/>
      <c r="M482" s="161"/>
      <c r="N482" s="161"/>
      <c r="O482" s="161"/>
      <c r="P482" s="161"/>
      <c r="Q482" s="161"/>
      <c r="R482" s="161"/>
      <c r="S482" s="161"/>
      <c r="T482" s="161"/>
    </row>
    <row r="483" spans="1:20" ht="13">
      <c r="A483" s="161"/>
      <c r="B483" s="161"/>
      <c r="C483" s="161"/>
      <c r="D483" s="161"/>
      <c r="E483" s="161"/>
      <c r="F483" s="161"/>
      <c r="G483" s="161"/>
      <c r="H483" s="161"/>
      <c r="I483" s="161"/>
      <c r="J483" s="161"/>
      <c r="K483" s="161"/>
      <c r="L483" s="161"/>
      <c r="M483" s="161"/>
      <c r="N483" s="161"/>
      <c r="O483" s="161"/>
      <c r="P483" s="161"/>
      <c r="Q483" s="161"/>
      <c r="R483" s="161"/>
      <c r="S483" s="161"/>
      <c r="T483" s="161"/>
    </row>
    <row r="484" spans="1:20" ht="13">
      <c r="A484" s="161"/>
      <c r="B484" s="161"/>
      <c r="C484" s="161"/>
      <c r="D484" s="161"/>
      <c r="E484" s="161"/>
      <c r="F484" s="161"/>
      <c r="G484" s="161"/>
      <c r="H484" s="161"/>
      <c r="I484" s="161"/>
      <c r="J484" s="161"/>
      <c r="K484" s="161"/>
      <c r="L484" s="161"/>
      <c r="M484" s="161"/>
      <c r="N484" s="161"/>
      <c r="O484" s="161"/>
      <c r="P484" s="161"/>
      <c r="Q484" s="161"/>
      <c r="R484" s="161"/>
      <c r="S484" s="161"/>
      <c r="T484" s="161"/>
    </row>
    <row r="485" spans="1:20" ht="13">
      <c r="A485" s="161"/>
      <c r="B485" s="161"/>
      <c r="C485" s="161"/>
      <c r="D485" s="161"/>
      <c r="E485" s="161"/>
      <c r="F485" s="161"/>
      <c r="G485" s="161"/>
      <c r="H485" s="161"/>
      <c r="I485" s="161"/>
      <c r="J485" s="161"/>
      <c r="K485" s="161"/>
      <c r="L485" s="161"/>
      <c r="M485" s="161"/>
      <c r="N485" s="161"/>
      <c r="O485" s="161"/>
      <c r="P485" s="161"/>
      <c r="Q485" s="161"/>
      <c r="R485" s="161"/>
      <c r="S485" s="161"/>
      <c r="T485" s="161"/>
    </row>
    <row r="486" spans="1:20" ht="13">
      <c r="A486" s="161"/>
      <c r="B486" s="161"/>
      <c r="C486" s="161"/>
      <c r="D486" s="161"/>
      <c r="E486" s="161"/>
      <c r="F486" s="161"/>
      <c r="G486" s="161"/>
      <c r="H486" s="161"/>
      <c r="I486" s="161"/>
      <c r="J486" s="161"/>
      <c r="K486" s="161"/>
      <c r="L486" s="161"/>
      <c r="M486" s="161"/>
      <c r="N486" s="161"/>
      <c r="O486" s="161"/>
      <c r="P486" s="161"/>
      <c r="Q486" s="161"/>
      <c r="R486" s="161"/>
      <c r="S486" s="161"/>
      <c r="T486" s="161"/>
    </row>
    <row r="487" spans="1:20" ht="13">
      <c r="A487" s="161"/>
      <c r="B487" s="161"/>
      <c r="C487" s="161"/>
      <c r="D487" s="161"/>
      <c r="E487" s="161"/>
      <c r="F487" s="161"/>
      <c r="G487" s="161"/>
      <c r="H487" s="161"/>
      <c r="I487" s="161"/>
      <c r="J487" s="161"/>
      <c r="K487" s="161"/>
      <c r="L487" s="161"/>
      <c r="M487" s="161"/>
      <c r="N487" s="161"/>
      <c r="O487" s="161"/>
      <c r="P487" s="161"/>
      <c r="Q487" s="161"/>
      <c r="R487" s="161"/>
      <c r="S487" s="161"/>
      <c r="T487" s="161"/>
    </row>
    <row r="488" spans="1:20" ht="13">
      <c r="A488" s="161"/>
      <c r="B488" s="161"/>
      <c r="C488" s="161"/>
      <c r="D488" s="161"/>
      <c r="E488" s="161"/>
      <c r="F488" s="161"/>
      <c r="G488" s="161"/>
      <c r="H488" s="161"/>
      <c r="I488" s="161"/>
      <c r="J488" s="161"/>
      <c r="K488" s="161"/>
      <c r="L488" s="161"/>
      <c r="M488" s="161"/>
      <c r="N488" s="161"/>
      <c r="O488" s="161"/>
      <c r="P488" s="161"/>
      <c r="Q488" s="161"/>
      <c r="R488" s="161"/>
      <c r="S488" s="161"/>
      <c r="T488" s="161"/>
    </row>
    <row r="489" spans="1:20" ht="13">
      <c r="A489" s="161"/>
      <c r="B489" s="161"/>
      <c r="C489" s="161"/>
      <c r="D489" s="161"/>
      <c r="E489" s="161"/>
      <c r="F489" s="161"/>
      <c r="G489" s="161"/>
      <c r="H489" s="161"/>
      <c r="I489" s="161"/>
      <c r="J489" s="161"/>
      <c r="K489" s="161"/>
      <c r="L489" s="161"/>
      <c r="M489" s="161"/>
      <c r="N489" s="161"/>
      <c r="O489" s="161"/>
      <c r="P489" s="161"/>
      <c r="Q489" s="161"/>
      <c r="R489" s="161"/>
      <c r="S489" s="161"/>
      <c r="T489" s="161"/>
    </row>
    <row r="490" spans="1:20" ht="13">
      <c r="A490" s="161"/>
      <c r="B490" s="161"/>
      <c r="C490" s="161"/>
      <c r="D490" s="161"/>
      <c r="E490" s="161"/>
      <c r="F490" s="161"/>
      <c r="G490" s="161"/>
      <c r="H490" s="161"/>
      <c r="I490" s="161"/>
      <c r="J490" s="161"/>
      <c r="K490" s="161"/>
      <c r="L490" s="161"/>
      <c r="M490" s="161"/>
      <c r="N490" s="161"/>
      <c r="O490" s="161"/>
      <c r="P490" s="161"/>
      <c r="Q490" s="161"/>
      <c r="R490" s="161"/>
      <c r="S490" s="161"/>
      <c r="T490" s="161"/>
    </row>
    <row r="491" spans="1:20" ht="13">
      <c r="A491" s="161"/>
      <c r="B491" s="161"/>
      <c r="C491" s="161"/>
      <c r="D491" s="161"/>
      <c r="E491" s="161"/>
      <c r="F491" s="161"/>
      <c r="G491" s="161"/>
      <c r="H491" s="161"/>
      <c r="I491" s="161"/>
      <c r="J491" s="161"/>
      <c r="K491" s="161"/>
      <c r="L491" s="161"/>
      <c r="M491" s="161"/>
      <c r="N491" s="161"/>
      <c r="O491" s="161"/>
      <c r="P491" s="161"/>
      <c r="Q491" s="161"/>
      <c r="R491" s="161"/>
      <c r="S491" s="161"/>
      <c r="T491" s="161"/>
    </row>
    <row r="492" spans="1:20" ht="13">
      <c r="A492" s="161"/>
      <c r="B492" s="161"/>
      <c r="C492" s="161"/>
      <c r="D492" s="161"/>
      <c r="E492" s="161"/>
      <c r="F492" s="161"/>
      <c r="G492" s="161"/>
      <c r="H492" s="161"/>
      <c r="I492" s="161"/>
      <c r="J492" s="161"/>
      <c r="K492" s="161"/>
      <c r="L492" s="161"/>
      <c r="M492" s="161"/>
      <c r="N492" s="161"/>
      <c r="O492" s="161"/>
      <c r="P492" s="161"/>
      <c r="Q492" s="161"/>
      <c r="R492" s="161"/>
      <c r="S492" s="161"/>
      <c r="T492" s="161"/>
    </row>
    <row r="493" spans="1:20" ht="13">
      <c r="A493" s="161"/>
      <c r="B493" s="161"/>
      <c r="C493" s="161"/>
      <c r="D493" s="161"/>
      <c r="E493" s="161"/>
      <c r="F493" s="161"/>
      <c r="G493" s="161"/>
      <c r="H493" s="161"/>
      <c r="I493" s="161"/>
      <c r="J493" s="161"/>
      <c r="K493" s="161"/>
      <c r="L493" s="161"/>
      <c r="M493" s="161"/>
      <c r="N493" s="161"/>
      <c r="O493" s="161"/>
      <c r="P493" s="161"/>
      <c r="Q493" s="161"/>
      <c r="R493" s="161"/>
      <c r="S493" s="161"/>
      <c r="T493" s="161"/>
    </row>
    <row r="494" spans="1:20" ht="13">
      <c r="A494" s="161"/>
      <c r="B494" s="161"/>
      <c r="C494" s="161"/>
      <c r="D494" s="161"/>
      <c r="E494" s="161"/>
      <c r="F494" s="161"/>
      <c r="G494" s="161"/>
      <c r="H494" s="161"/>
      <c r="I494" s="161"/>
      <c r="J494" s="161"/>
      <c r="K494" s="161"/>
      <c r="L494" s="161"/>
      <c r="M494" s="161"/>
      <c r="N494" s="161"/>
      <c r="O494" s="161"/>
      <c r="P494" s="161"/>
      <c r="Q494" s="161"/>
      <c r="R494" s="161"/>
      <c r="S494" s="161"/>
      <c r="T494" s="161"/>
    </row>
    <row r="495" spans="1:20" ht="13">
      <c r="A495" s="161"/>
      <c r="B495" s="161"/>
      <c r="C495" s="161"/>
      <c r="D495" s="161"/>
      <c r="E495" s="161"/>
      <c r="F495" s="161"/>
      <c r="G495" s="161"/>
      <c r="H495" s="161"/>
      <c r="I495" s="161"/>
      <c r="J495" s="161"/>
      <c r="K495" s="161"/>
      <c r="L495" s="161"/>
      <c r="M495" s="161"/>
      <c r="N495" s="161"/>
      <c r="O495" s="161"/>
      <c r="P495" s="161"/>
      <c r="Q495" s="161"/>
      <c r="R495" s="161"/>
      <c r="S495" s="161"/>
      <c r="T495" s="161"/>
    </row>
    <row r="496" spans="1:20" ht="13">
      <c r="A496" s="161"/>
      <c r="B496" s="161"/>
      <c r="C496" s="161"/>
      <c r="D496" s="161"/>
      <c r="E496" s="161"/>
      <c r="F496" s="161"/>
      <c r="G496" s="161"/>
      <c r="H496" s="161"/>
      <c r="I496" s="161"/>
      <c r="J496" s="161"/>
      <c r="K496" s="161"/>
      <c r="L496" s="161"/>
      <c r="M496" s="161"/>
      <c r="N496" s="161"/>
      <c r="O496" s="161"/>
      <c r="P496" s="161"/>
      <c r="Q496" s="161"/>
      <c r="R496" s="161"/>
      <c r="S496" s="161"/>
      <c r="T496" s="161"/>
    </row>
    <row r="497" spans="1:20" ht="13">
      <c r="A497" s="161"/>
      <c r="B497" s="161"/>
      <c r="C497" s="161"/>
      <c r="D497" s="161"/>
      <c r="E497" s="161"/>
      <c r="F497" s="161"/>
      <c r="G497" s="161"/>
      <c r="H497" s="161"/>
      <c r="I497" s="161"/>
      <c r="J497" s="161"/>
      <c r="K497" s="161"/>
      <c r="L497" s="161"/>
      <c r="M497" s="161"/>
      <c r="N497" s="161"/>
      <c r="O497" s="161"/>
      <c r="P497" s="161"/>
      <c r="Q497" s="161"/>
      <c r="R497" s="161"/>
      <c r="S497" s="161"/>
      <c r="T497" s="161"/>
    </row>
    <row r="498" spans="1:20" ht="13">
      <c r="A498" s="161"/>
      <c r="B498" s="161"/>
      <c r="C498" s="161"/>
      <c r="D498" s="161"/>
      <c r="E498" s="161"/>
      <c r="F498" s="161"/>
      <c r="G498" s="161"/>
      <c r="H498" s="161"/>
      <c r="I498" s="161"/>
      <c r="J498" s="161"/>
      <c r="K498" s="161"/>
      <c r="L498" s="161"/>
      <c r="M498" s="161"/>
      <c r="N498" s="161"/>
      <c r="O498" s="161"/>
      <c r="P498" s="161"/>
      <c r="Q498" s="161"/>
      <c r="R498" s="161"/>
      <c r="S498" s="161"/>
      <c r="T498" s="161"/>
    </row>
    <row r="499" spans="1:20" ht="13">
      <c r="A499" s="161"/>
      <c r="B499" s="161"/>
      <c r="C499" s="161"/>
      <c r="D499" s="161"/>
      <c r="E499" s="161"/>
      <c r="F499" s="161"/>
      <c r="G499" s="161"/>
      <c r="H499" s="161"/>
      <c r="I499" s="161"/>
      <c r="J499" s="161"/>
      <c r="K499" s="161"/>
      <c r="L499" s="161"/>
      <c r="M499" s="161"/>
      <c r="N499" s="161"/>
      <c r="O499" s="161"/>
      <c r="P499" s="161"/>
      <c r="Q499" s="161"/>
      <c r="R499" s="161"/>
      <c r="S499" s="161"/>
      <c r="T499" s="161"/>
    </row>
    <row r="500" spans="1:20" ht="13">
      <c r="A500" s="161"/>
      <c r="B500" s="161"/>
      <c r="C500" s="161"/>
      <c r="D500" s="161"/>
      <c r="E500" s="161"/>
      <c r="F500" s="161"/>
      <c r="G500" s="161"/>
      <c r="H500" s="161"/>
      <c r="I500" s="161"/>
      <c r="J500" s="161"/>
      <c r="K500" s="161"/>
      <c r="L500" s="161"/>
      <c r="M500" s="161"/>
      <c r="N500" s="161"/>
      <c r="O500" s="161"/>
      <c r="P500" s="161"/>
      <c r="Q500" s="161"/>
      <c r="R500" s="161"/>
      <c r="S500" s="161"/>
      <c r="T500" s="161"/>
    </row>
    <row r="501" spans="1:20" ht="13">
      <c r="A501" s="161"/>
      <c r="B501" s="161"/>
      <c r="C501" s="161"/>
      <c r="D501" s="161"/>
      <c r="E501" s="161"/>
      <c r="F501" s="161"/>
      <c r="G501" s="161"/>
      <c r="H501" s="161"/>
      <c r="I501" s="161"/>
      <c r="J501" s="161"/>
      <c r="K501" s="161"/>
      <c r="L501" s="161"/>
      <c r="M501" s="161"/>
      <c r="N501" s="161"/>
      <c r="O501" s="161"/>
      <c r="P501" s="161"/>
      <c r="Q501" s="161"/>
      <c r="R501" s="161"/>
      <c r="S501" s="161"/>
      <c r="T501" s="161"/>
    </row>
    <row r="502" spans="1:20" ht="13">
      <c r="A502" s="161"/>
      <c r="B502" s="161"/>
      <c r="C502" s="161"/>
      <c r="D502" s="161"/>
      <c r="E502" s="161"/>
      <c r="F502" s="161"/>
      <c r="G502" s="161"/>
      <c r="H502" s="161"/>
      <c r="I502" s="161"/>
      <c r="J502" s="161"/>
      <c r="K502" s="161"/>
      <c r="L502" s="161"/>
      <c r="M502" s="161"/>
      <c r="N502" s="161"/>
      <c r="O502" s="161"/>
      <c r="P502" s="161"/>
      <c r="Q502" s="161"/>
      <c r="R502" s="161"/>
      <c r="S502" s="161"/>
      <c r="T502" s="161"/>
    </row>
    <row r="503" spans="1:20" ht="13">
      <c r="A503" s="161"/>
      <c r="B503" s="161"/>
      <c r="C503" s="161"/>
      <c r="D503" s="161"/>
      <c r="E503" s="161"/>
      <c r="F503" s="161"/>
      <c r="G503" s="161"/>
      <c r="H503" s="161"/>
      <c r="I503" s="161"/>
      <c r="J503" s="161"/>
      <c r="K503" s="161"/>
      <c r="L503" s="161"/>
      <c r="M503" s="161"/>
      <c r="N503" s="161"/>
      <c r="O503" s="161"/>
      <c r="P503" s="161"/>
      <c r="Q503" s="161"/>
      <c r="R503" s="161"/>
      <c r="S503" s="161"/>
      <c r="T503" s="161"/>
    </row>
    <row r="504" spans="1:20" ht="13">
      <c r="A504" s="161"/>
      <c r="B504" s="161"/>
      <c r="C504" s="161"/>
      <c r="D504" s="161"/>
      <c r="E504" s="161"/>
      <c r="F504" s="161"/>
      <c r="G504" s="161"/>
      <c r="H504" s="161"/>
      <c r="I504" s="161"/>
      <c r="J504" s="161"/>
      <c r="K504" s="161"/>
      <c r="L504" s="161"/>
      <c r="M504" s="161"/>
      <c r="N504" s="161"/>
      <c r="O504" s="161"/>
      <c r="P504" s="161"/>
      <c r="Q504" s="161"/>
      <c r="R504" s="161"/>
      <c r="S504" s="161"/>
      <c r="T504" s="161"/>
    </row>
    <row r="505" spans="1:20" ht="13">
      <c r="A505" s="161"/>
      <c r="B505" s="161"/>
      <c r="C505" s="161"/>
      <c r="D505" s="161"/>
      <c r="E505" s="161"/>
      <c r="F505" s="161"/>
      <c r="G505" s="161"/>
      <c r="H505" s="161"/>
      <c r="I505" s="161"/>
      <c r="J505" s="161"/>
      <c r="K505" s="161"/>
      <c r="L505" s="161"/>
      <c r="M505" s="161"/>
      <c r="N505" s="161"/>
      <c r="O505" s="161"/>
      <c r="P505" s="161"/>
      <c r="Q505" s="161"/>
      <c r="R505" s="161"/>
      <c r="S505" s="161"/>
      <c r="T505" s="161"/>
    </row>
    <row r="506" spans="1:20" ht="13">
      <c r="A506" s="161"/>
      <c r="B506" s="161"/>
      <c r="C506" s="161"/>
      <c r="D506" s="161"/>
      <c r="E506" s="161"/>
      <c r="F506" s="161"/>
      <c r="G506" s="161"/>
      <c r="H506" s="161"/>
      <c r="I506" s="161"/>
      <c r="J506" s="161"/>
      <c r="K506" s="161"/>
      <c r="L506" s="161"/>
      <c r="M506" s="161"/>
      <c r="N506" s="161"/>
      <c r="O506" s="161"/>
      <c r="P506" s="161"/>
      <c r="Q506" s="161"/>
      <c r="R506" s="161"/>
      <c r="S506" s="161"/>
      <c r="T506" s="161"/>
    </row>
    <row r="507" spans="1:20" ht="13">
      <c r="A507" s="161"/>
      <c r="B507" s="161"/>
      <c r="C507" s="161"/>
      <c r="D507" s="161"/>
      <c r="E507" s="161"/>
      <c r="F507" s="161"/>
      <c r="G507" s="161"/>
      <c r="H507" s="161"/>
      <c r="I507" s="161"/>
      <c r="J507" s="161"/>
      <c r="K507" s="161"/>
      <c r="L507" s="161"/>
      <c r="M507" s="161"/>
      <c r="N507" s="161"/>
      <c r="O507" s="161"/>
      <c r="P507" s="161"/>
      <c r="Q507" s="161"/>
      <c r="R507" s="161"/>
      <c r="S507" s="161"/>
      <c r="T507" s="161"/>
    </row>
    <row r="508" spans="1:20" ht="13">
      <c r="A508" s="161"/>
      <c r="B508" s="161"/>
      <c r="C508" s="161"/>
      <c r="D508" s="161"/>
      <c r="E508" s="161"/>
      <c r="F508" s="161"/>
      <c r="G508" s="161"/>
      <c r="H508" s="161"/>
      <c r="I508" s="161"/>
      <c r="J508" s="161"/>
      <c r="K508" s="161"/>
      <c r="L508" s="161"/>
      <c r="M508" s="161"/>
      <c r="N508" s="161"/>
      <c r="O508" s="161"/>
      <c r="P508" s="161"/>
      <c r="Q508" s="161"/>
      <c r="R508" s="161"/>
      <c r="S508" s="161"/>
      <c r="T508" s="161"/>
    </row>
    <row r="509" spans="1:20" ht="13">
      <c r="A509" s="161"/>
      <c r="B509" s="161"/>
      <c r="C509" s="161"/>
      <c r="D509" s="161"/>
      <c r="E509" s="161"/>
      <c r="F509" s="161"/>
      <c r="G509" s="161"/>
      <c r="H509" s="161"/>
      <c r="I509" s="161"/>
      <c r="J509" s="161"/>
      <c r="K509" s="161"/>
      <c r="L509" s="161"/>
      <c r="M509" s="161"/>
      <c r="N509" s="161"/>
      <c r="O509" s="161"/>
      <c r="P509" s="161"/>
      <c r="Q509" s="161"/>
      <c r="R509" s="161"/>
      <c r="S509" s="161"/>
      <c r="T509" s="161"/>
    </row>
    <row r="510" spans="1:20" ht="13">
      <c r="A510" s="161"/>
      <c r="B510" s="161"/>
      <c r="C510" s="161"/>
      <c r="D510" s="161"/>
      <c r="E510" s="161"/>
      <c r="F510" s="161"/>
      <c r="G510" s="161"/>
      <c r="H510" s="161"/>
      <c r="I510" s="161"/>
      <c r="J510" s="161"/>
      <c r="K510" s="161"/>
      <c r="L510" s="161"/>
      <c r="M510" s="161"/>
      <c r="N510" s="161"/>
      <c r="O510" s="161"/>
      <c r="P510" s="161"/>
      <c r="Q510" s="161"/>
      <c r="R510" s="161"/>
      <c r="S510" s="161"/>
      <c r="T510" s="161"/>
    </row>
    <row r="511" spans="1:20" ht="13">
      <c r="A511" s="161"/>
      <c r="B511" s="161"/>
      <c r="C511" s="161"/>
      <c r="D511" s="161"/>
      <c r="E511" s="161"/>
      <c r="F511" s="161"/>
      <c r="G511" s="161"/>
      <c r="H511" s="161"/>
      <c r="I511" s="161"/>
      <c r="J511" s="161"/>
      <c r="K511" s="161"/>
      <c r="L511" s="161"/>
      <c r="M511" s="161"/>
      <c r="N511" s="161"/>
      <c r="O511" s="161"/>
      <c r="P511" s="161"/>
      <c r="Q511" s="161"/>
      <c r="R511" s="161"/>
      <c r="S511" s="161"/>
      <c r="T511" s="161"/>
    </row>
    <row r="512" spans="1:20" ht="13">
      <c r="A512" s="161"/>
      <c r="B512" s="161"/>
      <c r="C512" s="161"/>
      <c r="D512" s="161"/>
      <c r="E512" s="161"/>
      <c r="F512" s="161"/>
      <c r="G512" s="161"/>
      <c r="H512" s="161"/>
      <c r="I512" s="161"/>
      <c r="J512" s="161"/>
      <c r="K512" s="161"/>
      <c r="L512" s="161"/>
      <c r="M512" s="161"/>
      <c r="N512" s="161"/>
      <c r="O512" s="161"/>
      <c r="P512" s="161"/>
      <c r="Q512" s="161"/>
      <c r="R512" s="161"/>
      <c r="S512" s="161"/>
      <c r="T512" s="161"/>
    </row>
    <row r="513" spans="1:20" ht="13">
      <c r="A513" s="161"/>
      <c r="B513" s="161"/>
      <c r="C513" s="161"/>
      <c r="D513" s="161"/>
      <c r="E513" s="161"/>
      <c r="F513" s="161"/>
      <c r="G513" s="161"/>
      <c r="H513" s="161"/>
      <c r="I513" s="161"/>
      <c r="J513" s="161"/>
      <c r="K513" s="161"/>
      <c r="L513" s="161"/>
      <c r="M513" s="161"/>
      <c r="N513" s="161"/>
      <c r="O513" s="161"/>
      <c r="P513" s="161"/>
      <c r="Q513" s="161"/>
      <c r="R513" s="161"/>
      <c r="S513" s="161"/>
      <c r="T513" s="161"/>
    </row>
    <row r="514" spans="1:20" ht="13">
      <c r="A514" s="161"/>
      <c r="B514" s="161"/>
      <c r="C514" s="161"/>
      <c r="D514" s="161"/>
      <c r="E514" s="161"/>
      <c r="F514" s="161"/>
      <c r="G514" s="161"/>
      <c r="H514" s="161"/>
      <c r="I514" s="161"/>
      <c r="J514" s="161"/>
      <c r="K514" s="161"/>
      <c r="L514" s="161"/>
      <c r="M514" s="161"/>
      <c r="N514" s="161"/>
      <c r="O514" s="161"/>
      <c r="P514" s="161"/>
      <c r="Q514" s="161"/>
      <c r="R514" s="161"/>
      <c r="S514" s="161"/>
      <c r="T514" s="161"/>
    </row>
    <row r="515" spans="1:20" ht="13">
      <c r="A515" s="161"/>
      <c r="B515" s="161"/>
      <c r="C515" s="161"/>
      <c r="D515" s="161"/>
      <c r="E515" s="161"/>
      <c r="F515" s="161"/>
      <c r="G515" s="161"/>
      <c r="H515" s="161"/>
      <c r="I515" s="161"/>
      <c r="J515" s="161"/>
      <c r="K515" s="161"/>
      <c r="L515" s="161"/>
      <c r="M515" s="161"/>
      <c r="N515" s="161"/>
      <c r="O515" s="161"/>
      <c r="P515" s="161"/>
      <c r="Q515" s="161"/>
      <c r="R515" s="161"/>
      <c r="S515" s="161"/>
      <c r="T515" s="161"/>
    </row>
    <row r="516" spans="1:20" ht="13">
      <c r="A516" s="161"/>
      <c r="B516" s="161"/>
      <c r="C516" s="161"/>
      <c r="D516" s="161"/>
      <c r="E516" s="161"/>
      <c r="F516" s="161"/>
      <c r="G516" s="161"/>
      <c r="H516" s="161"/>
      <c r="I516" s="161"/>
      <c r="J516" s="161"/>
      <c r="K516" s="161"/>
      <c r="L516" s="161"/>
      <c r="M516" s="161"/>
      <c r="N516" s="161"/>
      <c r="O516" s="161"/>
      <c r="P516" s="161"/>
      <c r="Q516" s="161"/>
      <c r="R516" s="161"/>
      <c r="S516" s="161"/>
      <c r="T516" s="161"/>
    </row>
    <row r="517" spans="1:20" ht="13">
      <c r="A517" s="161"/>
      <c r="B517" s="161"/>
      <c r="C517" s="161"/>
      <c r="D517" s="161"/>
      <c r="E517" s="161"/>
      <c r="F517" s="161"/>
      <c r="G517" s="161"/>
      <c r="H517" s="161"/>
      <c r="I517" s="161"/>
      <c r="J517" s="161"/>
      <c r="K517" s="161"/>
      <c r="L517" s="161"/>
      <c r="M517" s="161"/>
      <c r="N517" s="161"/>
      <c r="O517" s="161"/>
      <c r="P517" s="161"/>
      <c r="Q517" s="161"/>
      <c r="R517" s="161"/>
      <c r="S517" s="161"/>
      <c r="T517" s="161"/>
    </row>
    <row r="518" spans="1:20" ht="13">
      <c r="A518" s="161"/>
      <c r="B518" s="161"/>
      <c r="C518" s="161"/>
      <c r="D518" s="161"/>
      <c r="E518" s="161"/>
      <c r="F518" s="161"/>
      <c r="G518" s="161"/>
      <c r="H518" s="161"/>
      <c r="I518" s="161"/>
      <c r="J518" s="161"/>
      <c r="K518" s="161"/>
      <c r="L518" s="161"/>
      <c r="M518" s="161"/>
      <c r="N518" s="161"/>
      <c r="O518" s="161"/>
      <c r="P518" s="161"/>
      <c r="Q518" s="161"/>
      <c r="R518" s="161"/>
      <c r="S518" s="161"/>
      <c r="T518" s="161"/>
    </row>
    <row r="519" spans="1:20" ht="13">
      <c r="A519" s="161"/>
      <c r="B519" s="161"/>
      <c r="C519" s="161"/>
      <c r="D519" s="161"/>
      <c r="E519" s="161"/>
      <c r="F519" s="161"/>
      <c r="G519" s="161"/>
      <c r="H519" s="161"/>
      <c r="I519" s="161"/>
      <c r="J519" s="161"/>
      <c r="K519" s="161"/>
      <c r="L519" s="161"/>
      <c r="M519" s="161"/>
      <c r="N519" s="161"/>
      <c r="O519" s="161"/>
      <c r="P519" s="161"/>
      <c r="Q519" s="161"/>
      <c r="R519" s="161"/>
      <c r="S519" s="161"/>
      <c r="T519" s="161"/>
    </row>
    <row r="520" spans="1:20" ht="13">
      <c r="A520" s="161"/>
      <c r="B520" s="161"/>
      <c r="C520" s="161"/>
      <c r="D520" s="161"/>
      <c r="E520" s="161"/>
      <c r="F520" s="161"/>
      <c r="G520" s="161"/>
      <c r="H520" s="161"/>
      <c r="I520" s="161"/>
      <c r="J520" s="161"/>
      <c r="K520" s="161"/>
      <c r="L520" s="161"/>
      <c r="M520" s="161"/>
      <c r="N520" s="161"/>
      <c r="O520" s="161"/>
      <c r="P520" s="161"/>
      <c r="Q520" s="161"/>
      <c r="R520" s="161"/>
      <c r="S520" s="161"/>
      <c r="T520" s="161"/>
    </row>
    <row r="521" spans="1:20" ht="13">
      <c r="A521" s="161"/>
      <c r="B521" s="161"/>
      <c r="C521" s="161"/>
      <c r="D521" s="161"/>
      <c r="E521" s="161"/>
      <c r="F521" s="161"/>
      <c r="G521" s="161"/>
      <c r="H521" s="161"/>
      <c r="I521" s="161"/>
      <c r="J521" s="161"/>
      <c r="K521" s="161"/>
      <c r="L521" s="161"/>
      <c r="M521" s="161"/>
      <c r="N521" s="161"/>
      <c r="O521" s="161"/>
      <c r="P521" s="161"/>
      <c r="Q521" s="161"/>
      <c r="R521" s="161"/>
      <c r="S521" s="161"/>
      <c r="T521" s="161"/>
    </row>
    <row r="522" spans="1:20" ht="13">
      <c r="A522" s="161"/>
      <c r="B522" s="161"/>
      <c r="C522" s="161"/>
      <c r="D522" s="161"/>
      <c r="E522" s="161"/>
      <c r="F522" s="161"/>
      <c r="G522" s="161"/>
      <c r="H522" s="161"/>
      <c r="I522" s="161"/>
      <c r="J522" s="161"/>
      <c r="K522" s="161"/>
      <c r="L522" s="161"/>
      <c r="M522" s="161"/>
      <c r="N522" s="161"/>
      <c r="O522" s="161"/>
      <c r="P522" s="161"/>
      <c r="Q522" s="161"/>
      <c r="R522" s="161"/>
      <c r="S522" s="161"/>
      <c r="T522" s="161"/>
    </row>
    <row r="523" spans="1:20" ht="13">
      <c r="A523" s="161"/>
      <c r="B523" s="161"/>
      <c r="C523" s="161"/>
      <c r="D523" s="161"/>
      <c r="E523" s="161"/>
      <c r="F523" s="161"/>
      <c r="G523" s="161"/>
      <c r="H523" s="161"/>
      <c r="I523" s="161"/>
      <c r="J523" s="161"/>
      <c r="K523" s="161"/>
      <c r="L523" s="161"/>
      <c r="M523" s="161"/>
      <c r="N523" s="161"/>
      <c r="O523" s="161"/>
      <c r="P523" s="161"/>
      <c r="Q523" s="161"/>
      <c r="R523" s="161"/>
      <c r="S523" s="161"/>
      <c r="T523" s="161"/>
    </row>
    <row r="524" spans="1:20" ht="13">
      <c r="A524" s="161"/>
      <c r="B524" s="161"/>
      <c r="C524" s="161"/>
      <c r="D524" s="161"/>
      <c r="E524" s="161"/>
      <c r="F524" s="161"/>
      <c r="G524" s="161"/>
      <c r="H524" s="161"/>
      <c r="I524" s="161"/>
      <c r="J524" s="161"/>
      <c r="K524" s="161"/>
      <c r="L524" s="161"/>
      <c r="M524" s="161"/>
      <c r="N524" s="161"/>
      <c r="O524" s="161"/>
      <c r="P524" s="161"/>
      <c r="Q524" s="161"/>
      <c r="R524" s="161"/>
      <c r="S524" s="161"/>
      <c r="T524" s="161"/>
    </row>
    <row r="525" spans="1:20" ht="13">
      <c r="A525" s="161"/>
      <c r="B525" s="161"/>
      <c r="C525" s="161"/>
      <c r="D525" s="161"/>
      <c r="E525" s="161"/>
      <c r="F525" s="161"/>
      <c r="G525" s="161"/>
      <c r="H525" s="161"/>
      <c r="I525" s="161"/>
      <c r="J525" s="161"/>
      <c r="K525" s="161"/>
      <c r="L525" s="161"/>
      <c r="M525" s="161"/>
      <c r="N525" s="161"/>
      <c r="O525" s="161"/>
      <c r="P525" s="161"/>
      <c r="Q525" s="161"/>
      <c r="R525" s="161"/>
      <c r="S525" s="161"/>
      <c r="T525" s="161"/>
    </row>
    <row r="526" spans="1:20" ht="13">
      <c r="A526" s="161"/>
      <c r="B526" s="161"/>
      <c r="C526" s="161"/>
      <c r="D526" s="161"/>
      <c r="E526" s="161"/>
      <c r="F526" s="161"/>
      <c r="G526" s="161"/>
      <c r="H526" s="161"/>
      <c r="I526" s="161"/>
      <c r="J526" s="161"/>
      <c r="K526" s="161"/>
      <c r="L526" s="161"/>
      <c r="M526" s="161"/>
      <c r="N526" s="161"/>
      <c r="O526" s="161"/>
      <c r="P526" s="161"/>
      <c r="Q526" s="161"/>
      <c r="R526" s="161"/>
      <c r="S526" s="161"/>
      <c r="T526" s="161"/>
    </row>
    <row r="527" spans="1:20" ht="13">
      <c r="A527" s="161"/>
      <c r="B527" s="161"/>
      <c r="C527" s="161"/>
      <c r="D527" s="161"/>
      <c r="E527" s="161"/>
      <c r="F527" s="161"/>
      <c r="G527" s="161"/>
      <c r="H527" s="161"/>
      <c r="I527" s="161"/>
      <c r="J527" s="161"/>
      <c r="K527" s="161"/>
      <c r="L527" s="161"/>
      <c r="M527" s="161"/>
      <c r="N527" s="161"/>
      <c r="O527" s="161"/>
      <c r="P527" s="161"/>
      <c r="Q527" s="161"/>
      <c r="R527" s="161"/>
      <c r="S527" s="161"/>
      <c r="T527" s="161"/>
    </row>
    <row r="528" spans="1:20" ht="13">
      <c r="A528" s="161"/>
      <c r="B528" s="161"/>
      <c r="C528" s="161"/>
      <c r="D528" s="161"/>
      <c r="E528" s="161"/>
      <c r="F528" s="161"/>
      <c r="G528" s="161"/>
      <c r="H528" s="161"/>
      <c r="I528" s="161"/>
      <c r="J528" s="161"/>
      <c r="K528" s="161"/>
      <c r="L528" s="161"/>
      <c r="M528" s="161"/>
      <c r="N528" s="161"/>
      <c r="O528" s="161"/>
      <c r="P528" s="161"/>
      <c r="Q528" s="161"/>
      <c r="R528" s="161"/>
      <c r="S528" s="161"/>
      <c r="T528" s="161"/>
    </row>
    <row r="529" spans="1:20" ht="13">
      <c r="A529" s="161"/>
      <c r="B529" s="161"/>
      <c r="C529" s="161"/>
      <c r="D529" s="161"/>
      <c r="E529" s="161"/>
      <c r="F529" s="161"/>
      <c r="G529" s="161"/>
      <c r="H529" s="161"/>
      <c r="I529" s="161"/>
      <c r="J529" s="161"/>
      <c r="K529" s="161"/>
      <c r="L529" s="161"/>
      <c r="M529" s="161"/>
      <c r="N529" s="161"/>
      <c r="O529" s="161"/>
      <c r="P529" s="161"/>
      <c r="Q529" s="161"/>
      <c r="R529" s="161"/>
      <c r="S529" s="161"/>
      <c r="T529" s="161"/>
    </row>
    <row r="530" spans="1:20" ht="13">
      <c r="A530" s="161"/>
      <c r="B530" s="161"/>
      <c r="C530" s="161"/>
      <c r="D530" s="161"/>
      <c r="E530" s="161"/>
      <c r="F530" s="161"/>
      <c r="G530" s="161"/>
      <c r="H530" s="161"/>
      <c r="I530" s="161"/>
      <c r="J530" s="161"/>
      <c r="K530" s="161"/>
      <c r="L530" s="161"/>
      <c r="M530" s="161"/>
      <c r="N530" s="161"/>
      <c r="O530" s="161"/>
      <c r="P530" s="161"/>
      <c r="Q530" s="161"/>
      <c r="R530" s="161"/>
      <c r="S530" s="161"/>
      <c r="T530" s="161"/>
    </row>
    <row r="531" spans="1:20" ht="13">
      <c r="A531" s="161"/>
      <c r="B531" s="161"/>
      <c r="C531" s="161"/>
      <c r="D531" s="161"/>
      <c r="E531" s="161"/>
      <c r="F531" s="161"/>
      <c r="G531" s="161"/>
      <c r="H531" s="161"/>
      <c r="I531" s="161"/>
      <c r="J531" s="161"/>
      <c r="K531" s="161"/>
      <c r="L531" s="161"/>
      <c r="M531" s="161"/>
      <c r="N531" s="161"/>
      <c r="O531" s="161"/>
      <c r="P531" s="161"/>
      <c r="Q531" s="161"/>
      <c r="R531" s="161"/>
      <c r="S531" s="161"/>
      <c r="T531" s="161"/>
    </row>
    <row r="532" spans="1:20" ht="13">
      <c r="A532" s="161"/>
      <c r="B532" s="161"/>
      <c r="C532" s="161"/>
      <c r="D532" s="161"/>
      <c r="E532" s="161"/>
      <c r="F532" s="161"/>
      <c r="G532" s="161"/>
      <c r="H532" s="161"/>
      <c r="I532" s="161"/>
      <c r="J532" s="161"/>
      <c r="K532" s="161"/>
      <c r="L532" s="161"/>
      <c r="M532" s="161"/>
      <c r="N532" s="161"/>
      <c r="O532" s="161"/>
      <c r="P532" s="161"/>
      <c r="Q532" s="161"/>
      <c r="R532" s="161"/>
      <c r="S532" s="161"/>
      <c r="T532" s="161"/>
    </row>
    <row r="533" spans="1:20" ht="13">
      <c r="A533" s="161"/>
      <c r="B533" s="161"/>
      <c r="C533" s="161"/>
      <c r="D533" s="161"/>
      <c r="E533" s="161"/>
      <c r="F533" s="161"/>
      <c r="G533" s="161"/>
      <c r="H533" s="161"/>
      <c r="I533" s="161"/>
      <c r="J533" s="161"/>
      <c r="K533" s="161"/>
      <c r="L533" s="161"/>
      <c r="M533" s="161"/>
      <c r="N533" s="161"/>
      <c r="O533" s="161"/>
      <c r="P533" s="161"/>
      <c r="Q533" s="161"/>
      <c r="R533" s="161"/>
      <c r="S533" s="161"/>
      <c r="T533" s="161"/>
    </row>
    <row r="534" spans="1:20" ht="13">
      <c r="A534" s="161"/>
      <c r="B534" s="161"/>
      <c r="C534" s="161"/>
      <c r="D534" s="161"/>
      <c r="E534" s="161"/>
      <c r="F534" s="161"/>
      <c r="G534" s="161"/>
      <c r="H534" s="161"/>
      <c r="I534" s="161"/>
      <c r="J534" s="161"/>
      <c r="K534" s="161"/>
      <c r="L534" s="161"/>
      <c r="M534" s="161"/>
      <c r="N534" s="161"/>
      <c r="O534" s="161"/>
      <c r="P534" s="161"/>
      <c r="Q534" s="161"/>
      <c r="R534" s="161"/>
      <c r="S534" s="161"/>
      <c r="T534" s="161"/>
    </row>
    <row r="535" spans="1:20" ht="13">
      <c r="A535" s="161"/>
      <c r="B535" s="161"/>
      <c r="C535" s="161"/>
      <c r="D535" s="161"/>
      <c r="E535" s="161"/>
      <c r="F535" s="161"/>
      <c r="G535" s="161"/>
      <c r="H535" s="161"/>
      <c r="I535" s="161"/>
      <c r="J535" s="161"/>
      <c r="K535" s="161"/>
      <c r="L535" s="161"/>
      <c r="M535" s="161"/>
      <c r="N535" s="161"/>
      <c r="O535" s="161"/>
      <c r="P535" s="161"/>
      <c r="Q535" s="161"/>
      <c r="R535" s="161"/>
      <c r="S535" s="161"/>
      <c r="T535" s="161"/>
    </row>
    <row r="536" spans="1:20" ht="13">
      <c r="A536" s="161"/>
      <c r="B536" s="161"/>
      <c r="C536" s="161"/>
      <c r="D536" s="161"/>
      <c r="E536" s="161"/>
      <c r="F536" s="161"/>
      <c r="G536" s="161"/>
      <c r="H536" s="161"/>
      <c r="I536" s="161"/>
      <c r="J536" s="161"/>
      <c r="K536" s="161"/>
      <c r="L536" s="161"/>
      <c r="M536" s="161"/>
      <c r="N536" s="161"/>
      <c r="O536" s="161"/>
      <c r="P536" s="161"/>
      <c r="Q536" s="161"/>
      <c r="R536" s="161"/>
      <c r="S536" s="161"/>
      <c r="T536" s="161"/>
    </row>
    <row r="537" spans="1:20" ht="13">
      <c r="A537" s="161"/>
      <c r="B537" s="161"/>
      <c r="C537" s="161"/>
      <c r="D537" s="161"/>
      <c r="E537" s="161"/>
      <c r="F537" s="161"/>
      <c r="G537" s="161"/>
      <c r="H537" s="161"/>
      <c r="I537" s="161"/>
      <c r="J537" s="161"/>
      <c r="K537" s="161"/>
      <c r="L537" s="161"/>
      <c r="M537" s="161"/>
      <c r="N537" s="161"/>
      <c r="O537" s="161"/>
      <c r="P537" s="161"/>
      <c r="Q537" s="161"/>
      <c r="R537" s="161"/>
      <c r="S537" s="161"/>
      <c r="T537" s="161"/>
    </row>
    <row r="538" spans="1:20" ht="13">
      <c r="A538" s="161"/>
      <c r="B538" s="161"/>
      <c r="C538" s="161"/>
      <c r="D538" s="161"/>
      <c r="E538" s="161"/>
      <c r="F538" s="161"/>
      <c r="G538" s="161"/>
      <c r="H538" s="161"/>
      <c r="I538" s="161"/>
      <c r="J538" s="161"/>
      <c r="K538" s="161"/>
      <c r="L538" s="161"/>
      <c r="M538" s="161"/>
      <c r="N538" s="161"/>
      <c r="O538" s="161"/>
      <c r="P538" s="161"/>
      <c r="Q538" s="161"/>
      <c r="R538" s="161"/>
      <c r="S538" s="161"/>
      <c r="T538" s="161"/>
    </row>
    <row r="539" spans="1:20" ht="13">
      <c r="A539" s="161"/>
      <c r="B539" s="161"/>
      <c r="C539" s="161"/>
      <c r="D539" s="161"/>
      <c r="E539" s="161"/>
      <c r="F539" s="161"/>
      <c r="G539" s="161"/>
      <c r="H539" s="161"/>
      <c r="I539" s="161"/>
      <c r="J539" s="161"/>
      <c r="K539" s="161"/>
      <c r="L539" s="161"/>
      <c r="M539" s="161"/>
      <c r="N539" s="161"/>
      <c r="O539" s="161"/>
      <c r="P539" s="161"/>
      <c r="Q539" s="161"/>
      <c r="R539" s="161"/>
      <c r="S539" s="161"/>
      <c r="T539" s="161"/>
    </row>
    <row r="540" spans="1:20" ht="13">
      <c r="A540" s="161"/>
      <c r="B540" s="161"/>
      <c r="C540" s="161"/>
      <c r="D540" s="161"/>
      <c r="E540" s="161"/>
      <c r="F540" s="161"/>
      <c r="G540" s="161"/>
      <c r="H540" s="161"/>
      <c r="I540" s="161"/>
      <c r="J540" s="161"/>
      <c r="K540" s="161"/>
      <c r="L540" s="161"/>
      <c r="M540" s="161"/>
      <c r="N540" s="161"/>
      <c r="O540" s="161"/>
      <c r="P540" s="161"/>
      <c r="Q540" s="161"/>
      <c r="R540" s="161"/>
      <c r="S540" s="161"/>
      <c r="T540" s="161"/>
    </row>
    <row r="541" spans="1:20" ht="13">
      <c r="A541" s="161"/>
      <c r="B541" s="161"/>
      <c r="C541" s="161"/>
      <c r="D541" s="161"/>
      <c r="E541" s="161"/>
      <c r="F541" s="161"/>
      <c r="G541" s="161"/>
      <c r="H541" s="161"/>
      <c r="I541" s="161"/>
      <c r="J541" s="161"/>
      <c r="K541" s="161"/>
      <c r="L541" s="161"/>
      <c r="M541" s="161"/>
      <c r="N541" s="161"/>
      <c r="O541" s="161"/>
      <c r="P541" s="161"/>
      <c r="Q541" s="161"/>
      <c r="R541" s="161"/>
      <c r="S541" s="161"/>
      <c r="T541" s="161"/>
    </row>
    <row r="542" spans="1:20" ht="13">
      <c r="A542" s="161"/>
      <c r="B542" s="161"/>
      <c r="C542" s="161"/>
      <c r="D542" s="161"/>
      <c r="E542" s="161"/>
      <c r="F542" s="161"/>
      <c r="G542" s="161"/>
      <c r="H542" s="161"/>
      <c r="I542" s="161"/>
      <c r="J542" s="161"/>
      <c r="K542" s="161"/>
      <c r="L542" s="161"/>
      <c r="M542" s="161"/>
      <c r="N542" s="161"/>
      <c r="O542" s="161"/>
      <c r="P542" s="161"/>
      <c r="Q542" s="161"/>
      <c r="R542" s="161"/>
      <c r="S542" s="161"/>
      <c r="T542" s="161"/>
    </row>
    <row r="543" spans="1:20" ht="13">
      <c r="A543" s="161"/>
      <c r="B543" s="161"/>
      <c r="C543" s="161"/>
      <c r="D543" s="161"/>
      <c r="E543" s="161"/>
      <c r="F543" s="161"/>
      <c r="G543" s="161"/>
      <c r="H543" s="161"/>
      <c r="I543" s="161"/>
      <c r="J543" s="161"/>
      <c r="K543" s="161"/>
      <c r="L543" s="161"/>
      <c r="M543" s="161"/>
      <c r="N543" s="161"/>
      <c r="O543" s="161"/>
      <c r="P543" s="161"/>
      <c r="Q543" s="161"/>
      <c r="R543" s="161"/>
      <c r="S543" s="161"/>
      <c r="T543" s="161"/>
    </row>
    <row r="544" spans="1:20" ht="13">
      <c r="A544" s="161"/>
      <c r="B544" s="161"/>
      <c r="C544" s="161"/>
      <c r="D544" s="161"/>
      <c r="E544" s="161"/>
      <c r="F544" s="161"/>
      <c r="G544" s="161"/>
      <c r="H544" s="161"/>
      <c r="I544" s="161"/>
      <c r="J544" s="161"/>
      <c r="K544" s="161"/>
      <c r="L544" s="161"/>
      <c r="M544" s="161"/>
      <c r="N544" s="161"/>
      <c r="O544" s="161"/>
      <c r="P544" s="161"/>
      <c r="Q544" s="161"/>
      <c r="R544" s="161"/>
      <c r="S544" s="161"/>
      <c r="T544" s="161"/>
    </row>
    <row r="545" spans="1:20" ht="13">
      <c r="A545" s="161"/>
      <c r="B545" s="161"/>
      <c r="C545" s="161"/>
      <c r="D545" s="161"/>
      <c r="E545" s="161"/>
      <c r="F545" s="161"/>
      <c r="G545" s="161"/>
      <c r="H545" s="161"/>
      <c r="I545" s="161"/>
      <c r="J545" s="161"/>
      <c r="K545" s="161"/>
      <c r="L545" s="161"/>
      <c r="M545" s="161"/>
      <c r="N545" s="161"/>
      <c r="O545" s="161"/>
      <c r="P545" s="161"/>
      <c r="Q545" s="161"/>
      <c r="R545" s="161"/>
      <c r="S545" s="161"/>
      <c r="T545" s="161"/>
    </row>
    <row r="546" spans="1:20" ht="13">
      <c r="A546" s="161"/>
      <c r="B546" s="161"/>
      <c r="C546" s="161"/>
      <c r="D546" s="161"/>
      <c r="E546" s="161"/>
      <c r="F546" s="161"/>
      <c r="G546" s="161"/>
      <c r="H546" s="161"/>
      <c r="I546" s="161"/>
      <c r="J546" s="161"/>
      <c r="K546" s="161"/>
      <c r="L546" s="161"/>
      <c r="M546" s="161"/>
      <c r="N546" s="161"/>
      <c r="O546" s="161"/>
      <c r="P546" s="161"/>
      <c r="Q546" s="161"/>
      <c r="R546" s="161"/>
      <c r="S546" s="161"/>
      <c r="T546" s="161"/>
    </row>
    <row r="547" spans="1:20" ht="13">
      <c r="A547" s="161"/>
      <c r="B547" s="161"/>
      <c r="C547" s="161"/>
      <c r="D547" s="161"/>
      <c r="E547" s="161"/>
      <c r="F547" s="161"/>
      <c r="G547" s="161"/>
      <c r="H547" s="161"/>
      <c r="I547" s="161"/>
      <c r="J547" s="161"/>
      <c r="K547" s="161"/>
      <c r="L547" s="161"/>
      <c r="M547" s="161"/>
      <c r="N547" s="161"/>
      <c r="O547" s="161"/>
      <c r="P547" s="161"/>
      <c r="Q547" s="161"/>
      <c r="R547" s="161"/>
      <c r="S547" s="161"/>
      <c r="T547" s="161"/>
    </row>
    <row r="548" spans="1:20" ht="13">
      <c r="A548" s="161"/>
      <c r="B548" s="161"/>
      <c r="C548" s="161"/>
      <c r="D548" s="161"/>
      <c r="E548" s="161"/>
      <c r="F548" s="161"/>
      <c r="G548" s="161"/>
      <c r="H548" s="161"/>
      <c r="I548" s="161"/>
      <c r="J548" s="161"/>
      <c r="K548" s="161"/>
      <c r="L548" s="161"/>
      <c r="M548" s="161"/>
      <c r="N548" s="161"/>
      <c r="O548" s="161"/>
      <c r="P548" s="161"/>
      <c r="Q548" s="161"/>
      <c r="R548" s="161"/>
      <c r="S548" s="161"/>
      <c r="T548" s="161"/>
    </row>
    <row r="549" spans="1:20" ht="13">
      <c r="A549" s="161"/>
      <c r="B549" s="161"/>
      <c r="C549" s="161"/>
      <c r="D549" s="161"/>
      <c r="E549" s="161"/>
      <c r="F549" s="161"/>
      <c r="G549" s="161"/>
      <c r="H549" s="161"/>
      <c r="I549" s="161"/>
      <c r="J549" s="161"/>
      <c r="K549" s="161"/>
      <c r="L549" s="161"/>
      <c r="M549" s="161"/>
      <c r="N549" s="161"/>
      <c r="O549" s="161"/>
      <c r="P549" s="161"/>
      <c r="Q549" s="161"/>
      <c r="R549" s="161"/>
      <c r="S549" s="161"/>
      <c r="T549" s="161"/>
    </row>
    <row r="550" spans="1:20" ht="13">
      <c r="A550" s="161"/>
      <c r="B550" s="161"/>
      <c r="C550" s="161"/>
      <c r="D550" s="161"/>
      <c r="E550" s="161"/>
      <c r="F550" s="161"/>
      <c r="G550" s="161"/>
      <c r="H550" s="161"/>
      <c r="I550" s="161"/>
      <c r="J550" s="161"/>
      <c r="K550" s="161"/>
      <c r="L550" s="161"/>
      <c r="M550" s="161"/>
      <c r="N550" s="161"/>
      <c r="O550" s="161"/>
      <c r="P550" s="161"/>
      <c r="Q550" s="161"/>
      <c r="R550" s="161"/>
      <c r="S550" s="161"/>
      <c r="T550" s="161"/>
    </row>
    <row r="551" spans="1:20" ht="13">
      <c r="A551" s="161"/>
      <c r="B551" s="161"/>
      <c r="C551" s="161"/>
      <c r="D551" s="161"/>
      <c r="E551" s="161"/>
      <c r="F551" s="161"/>
      <c r="G551" s="161"/>
      <c r="H551" s="161"/>
      <c r="I551" s="161"/>
      <c r="J551" s="161"/>
      <c r="K551" s="161"/>
      <c r="L551" s="161"/>
      <c r="M551" s="161"/>
      <c r="N551" s="161"/>
      <c r="O551" s="161"/>
      <c r="P551" s="161"/>
      <c r="Q551" s="161"/>
      <c r="R551" s="161"/>
      <c r="S551" s="161"/>
      <c r="T551" s="161"/>
    </row>
    <row r="552" spans="1:20" ht="13">
      <c r="A552" s="161"/>
      <c r="B552" s="161"/>
      <c r="C552" s="161"/>
      <c r="D552" s="161"/>
      <c r="E552" s="161"/>
      <c r="F552" s="161"/>
      <c r="G552" s="161"/>
      <c r="H552" s="161"/>
      <c r="I552" s="161"/>
      <c r="J552" s="161"/>
      <c r="K552" s="161"/>
      <c r="L552" s="161"/>
      <c r="M552" s="161"/>
      <c r="N552" s="161"/>
      <c r="O552" s="161"/>
      <c r="P552" s="161"/>
      <c r="Q552" s="161"/>
      <c r="R552" s="161"/>
      <c r="S552" s="161"/>
      <c r="T552" s="161"/>
    </row>
    <row r="553" spans="1:20" ht="13">
      <c r="A553" s="161"/>
      <c r="B553" s="161"/>
      <c r="C553" s="161"/>
      <c r="D553" s="161"/>
      <c r="E553" s="161"/>
      <c r="F553" s="161"/>
      <c r="G553" s="161"/>
      <c r="H553" s="161"/>
      <c r="I553" s="161"/>
      <c r="J553" s="161"/>
      <c r="K553" s="161"/>
      <c r="L553" s="161"/>
      <c r="M553" s="161"/>
      <c r="N553" s="161"/>
      <c r="O553" s="161"/>
      <c r="P553" s="161"/>
      <c r="Q553" s="161"/>
      <c r="R553" s="161"/>
      <c r="S553" s="161"/>
      <c r="T553" s="161"/>
    </row>
    <row r="554" spans="1:20" ht="13">
      <c r="A554" s="161"/>
      <c r="B554" s="161"/>
      <c r="C554" s="161"/>
      <c r="D554" s="161"/>
      <c r="E554" s="161"/>
      <c r="F554" s="161"/>
      <c r="G554" s="161"/>
      <c r="H554" s="161"/>
      <c r="I554" s="161"/>
      <c r="J554" s="161"/>
      <c r="K554" s="161"/>
      <c r="L554" s="161"/>
      <c r="M554" s="161"/>
      <c r="N554" s="161"/>
      <c r="O554" s="161"/>
      <c r="P554" s="161"/>
      <c r="Q554" s="161"/>
      <c r="R554" s="161"/>
      <c r="S554" s="161"/>
      <c r="T554" s="161"/>
    </row>
    <row r="555" spans="1:20" ht="13">
      <c r="A555" s="161"/>
      <c r="B555" s="161"/>
      <c r="C555" s="161"/>
      <c r="D555" s="161"/>
      <c r="E555" s="161"/>
      <c r="F555" s="161"/>
      <c r="G555" s="161"/>
      <c r="H555" s="161"/>
      <c r="I555" s="161"/>
      <c r="J555" s="161"/>
      <c r="K555" s="161"/>
      <c r="L555" s="161"/>
      <c r="M555" s="161"/>
      <c r="N555" s="161"/>
      <c r="O555" s="161"/>
      <c r="P555" s="161"/>
      <c r="Q555" s="161"/>
      <c r="R555" s="161"/>
      <c r="S555" s="161"/>
      <c r="T555" s="161"/>
    </row>
    <row r="556" spans="1:20" ht="13">
      <c r="A556" s="161"/>
      <c r="B556" s="161"/>
      <c r="C556" s="161"/>
      <c r="D556" s="161"/>
      <c r="E556" s="161"/>
      <c r="F556" s="161"/>
      <c r="G556" s="161"/>
      <c r="H556" s="161"/>
      <c r="I556" s="161"/>
      <c r="J556" s="161"/>
      <c r="K556" s="161"/>
      <c r="L556" s="161"/>
      <c r="M556" s="161"/>
      <c r="N556" s="161"/>
      <c r="O556" s="161"/>
      <c r="P556" s="161"/>
      <c r="Q556" s="161"/>
      <c r="R556" s="161"/>
      <c r="S556" s="161"/>
      <c r="T556" s="161"/>
    </row>
    <row r="557" spans="1:20" ht="13">
      <c r="A557" s="161"/>
      <c r="B557" s="161"/>
      <c r="C557" s="161"/>
      <c r="D557" s="161"/>
      <c r="E557" s="161"/>
      <c r="F557" s="161"/>
      <c r="G557" s="161"/>
      <c r="H557" s="161"/>
      <c r="I557" s="161"/>
      <c r="J557" s="161"/>
      <c r="K557" s="161"/>
      <c r="L557" s="161"/>
      <c r="M557" s="161"/>
      <c r="N557" s="161"/>
      <c r="O557" s="161"/>
      <c r="P557" s="161"/>
      <c r="Q557" s="161"/>
      <c r="R557" s="161"/>
      <c r="S557" s="161"/>
      <c r="T557" s="161"/>
    </row>
    <row r="558" spans="1:20" ht="13">
      <c r="A558" s="161"/>
      <c r="B558" s="161"/>
      <c r="C558" s="161"/>
      <c r="D558" s="161"/>
      <c r="E558" s="161"/>
      <c r="F558" s="161"/>
      <c r="G558" s="161"/>
      <c r="H558" s="161"/>
      <c r="I558" s="161"/>
      <c r="J558" s="161"/>
      <c r="K558" s="161"/>
      <c r="L558" s="161"/>
      <c r="M558" s="161"/>
      <c r="N558" s="161"/>
      <c r="O558" s="161"/>
      <c r="P558" s="161"/>
      <c r="Q558" s="161"/>
      <c r="R558" s="161"/>
      <c r="S558" s="161"/>
      <c r="T558" s="161"/>
    </row>
    <row r="559" spans="1:20" ht="13">
      <c r="A559" s="161"/>
      <c r="B559" s="161"/>
      <c r="C559" s="161"/>
      <c r="D559" s="161"/>
      <c r="E559" s="161"/>
      <c r="F559" s="161"/>
      <c r="G559" s="161"/>
      <c r="H559" s="161"/>
      <c r="I559" s="161"/>
      <c r="J559" s="161"/>
      <c r="K559" s="161"/>
      <c r="L559" s="161"/>
      <c r="M559" s="161"/>
      <c r="N559" s="161"/>
      <c r="O559" s="161"/>
      <c r="P559" s="161"/>
      <c r="Q559" s="161"/>
      <c r="R559" s="161"/>
      <c r="S559" s="161"/>
      <c r="T559" s="161"/>
    </row>
    <row r="560" spans="1:20" ht="13">
      <c r="A560" s="161"/>
      <c r="B560" s="161"/>
      <c r="C560" s="161"/>
      <c r="D560" s="161"/>
      <c r="E560" s="161"/>
      <c r="F560" s="161"/>
      <c r="G560" s="161"/>
      <c r="H560" s="161"/>
      <c r="I560" s="161"/>
      <c r="J560" s="161"/>
      <c r="K560" s="161"/>
      <c r="L560" s="161"/>
      <c r="M560" s="161"/>
      <c r="N560" s="161"/>
      <c r="O560" s="161"/>
      <c r="P560" s="161"/>
      <c r="Q560" s="161"/>
      <c r="R560" s="161"/>
      <c r="S560" s="161"/>
      <c r="T560" s="161"/>
    </row>
    <row r="561" spans="1:20" ht="13">
      <c r="A561" s="161"/>
      <c r="B561" s="161"/>
      <c r="C561" s="161"/>
      <c r="D561" s="161"/>
      <c r="E561" s="161"/>
      <c r="F561" s="161"/>
      <c r="G561" s="161"/>
      <c r="H561" s="161"/>
      <c r="I561" s="161"/>
      <c r="J561" s="161"/>
      <c r="K561" s="161"/>
      <c r="L561" s="161"/>
      <c r="M561" s="161"/>
      <c r="N561" s="161"/>
      <c r="O561" s="161"/>
      <c r="P561" s="161"/>
      <c r="Q561" s="161"/>
      <c r="R561" s="161"/>
      <c r="S561" s="161"/>
      <c r="T561" s="161"/>
    </row>
    <row r="562" spans="1:20" ht="13">
      <c r="A562" s="161"/>
      <c r="B562" s="161"/>
      <c r="C562" s="161"/>
      <c r="D562" s="161"/>
      <c r="E562" s="161"/>
      <c r="F562" s="161"/>
      <c r="G562" s="161"/>
      <c r="H562" s="161"/>
      <c r="I562" s="161"/>
      <c r="J562" s="161"/>
      <c r="K562" s="161"/>
      <c r="L562" s="161"/>
      <c r="M562" s="161"/>
      <c r="N562" s="161"/>
      <c r="O562" s="161"/>
      <c r="P562" s="161"/>
      <c r="Q562" s="161"/>
      <c r="R562" s="161"/>
      <c r="S562" s="161"/>
      <c r="T562" s="161"/>
    </row>
    <row r="563" spans="1:20" ht="13">
      <c r="A563" s="161"/>
      <c r="B563" s="161"/>
      <c r="C563" s="161"/>
      <c r="D563" s="161"/>
      <c r="E563" s="161"/>
      <c r="F563" s="161"/>
      <c r="G563" s="161"/>
      <c r="H563" s="161"/>
      <c r="I563" s="161"/>
      <c r="J563" s="161"/>
      <c r="K563" s="161"/>
      <c r="L563" s="161"/>
      <c r="M563" s="161"/>
      <c r="N563" s="161"/>
      <c r="O563" s="161"/>
      <c r="P563" s="161"/>
      <c r="Q563" s="161"/>
      <c r="R563" s="161"/>
      <c r="S563" s="161"/>
      <c r="T563" s="161"/>
    </row>
    <row r="564" spans="1:20" ht="13">
      <c r="A564" s="161"/>
      <c r="B564" s="161"/>
      <c r="C564" s="161"/>
      <c r="D564" s="161"/>
      <c r="E564" s="161"/>
      <c r="F564" s="161"/>
      <c r="G564" s="161"/>
      <c r="H564" s="161"/>
      <c r="I564" s="161"/>
      <c r="J564" s="161"/>
      <c r="K564" s="161"/>
      <c r="L564" s="161"/>
      <c r="M564" s="161"/>
      <c r="N564" s="161"/>
      <c r="O564" s="161"/>
      <c r="P564" s="161"/>
      <c r="Q564" s="161"/>
      <c r="R564" s="161"/>
      <c r="S564" s="161"/>
      <c r="T564" s="161"/>
    </row>
    <row r="565" spans="1:20" ht="13">
      <c r="A565" s="161"/>
      <c r="B565" s="161"/>
      <c r="C565" s="161"/>
      <c r="D565" s="161"/>
      <c r="E565" s="161"/>
      <c r="F565" s="161"/>
      <c r="G565" s="161"/>
      <c r="H565" s="161"/>
      <c r="I565" s="161"/>
      <c r="J565" s="161"/>
      <c r="K565" s="161"/>
      <c r="L565" s="161"/>
      <c r="M565" s="161"/>
      <c r="N565" s="161"/>
      <c r="O565" s="161"/>
      <c r="P565" s="161"/>
      <c r="Q565" s="161"/>
      <c r="R565" s="161"/>
      <c r="S565" s="161"/>
      <c r="T565" s="161"/>
    </row>
    <row r="566" spans="1:20" ht="13">
      <c r="A566" s="161"/>
      <c r="B566" s="161"/>
      <c r="C566" s="161"/>
      <c r="D566" s="161"/>
      <c r="E566" s="161"/>
      <c r="F566" s="161"/>
      <c r="G566" s="161"/>
      <c r="H566" s="161"/>
      <c r="I566" s="161"/>
      <c r="J566" s="161"/>
      <c r="K566" s="161"/>
      <c r="L566" s="161"/>
      <c r="M566" s="161"/>
      <c r="N566" s="161"/>
      <c r="O566" s="161"/>
      <c r="P566" s="161"/>
      <c r="Q566" s="161"/>
      <c r="R566" s="161"/>
      <c r="S566" s="161"/>
      <c r="T566" s="161"/>
    </row>
    <row r="567" spans="1:20" ht="13">
      <c r="A567" s="161"/>
      <c r="B567" s="161"/>
      <c r="C567" s="161"/>
      <c r="D567" s="161"/>
      <c r="E567" s="161"/>
      <c r="F567" s="161"/>
      <c r="G567" s="161"/>
      <c r="H567" s="161"/>
      <c r="I567" s="161"/>
      <c r="J567" s="161"/>
      <c r="K567" s="161"/>
      <c r="L567" s="161"/>
      <c r="M567" s="161"/>
      <c r="N567" s="161"/>
      <c r="O567" s="161"/>
      <c r="P567" s="161"/>
      <c r="Q567" s="161"/>
      <c r="R567" s="161"/>
      <c r="S567" s="161"/>
      <c r="T567" s="161"/>
    </row>
    <row r="568" spans="1:20" ht="13">
      <c r="A568" s="161"/>
      <c r="B568" s="161"/>
      <c r="C568" s="161"/>
      <c r="D568" s="161"/>
      <c r="E568" s="161"/>
      <c r="F568" s="161"/>
      <c r="G568" s="161"/>
      <c r="H568" s="161"/>
      <c r="I568" s="161"/>
      <c r="J568" s="161"/>
      <c r="K568" s="161"/>
      <c r="L568" s="161"/>
      <c r="M568" s="161"/>
      <c r="N568" s="161"/>
      <c r="O568" s="161"/>
      <c r="P568" s="161"/>
      <c r="Q568" s="161"/>
      <c r="R568" s="161"/>
      <c r="S568" s="161"/>
      <c r="T568" s="161"/>
    </row>
    <row r="569" spans="1:20" ht="13">
      <c r="A569" s="161"/>
      <c r="B569" s="161"/>
      <c r="C569" s="161"/>
      <c r="D569" s="161"/>
      <c r="E569" s="161"/>
      <c r="F569" s="161"/>
      <c r="G569" s="161"/>
      <c r="H569" s="161"/>
      <c r="I569" s="161"/>
      <c r="J569" s="161"/>
      <c r="K569" s="161"/>
      <c r="L569" s="161"/>
      <c r="M569" s="161"/>
      <c r="N569" s="161"/>
      <c r="O569" s="161"/>
      <c r="P569" s="161"/>
      <c r="Q569" s="161"/>
      <c r="R569" s="161"/>
      <c r="S569" s="161"/>
      <c r="T569" s="161"/>
    </row>
    <row r="570" spans="1:20" ht="13">
      <c r="A570" s="161"/>
      <c r="B570" s="161"/>
      <c r="C570" s="161"/>
      <c r="D570" s="161"/>
      <c r="E570" s="161"/>
      <c r="F570" s="161"/>
      <c r="G570" s="161"/>
      <c r="H570" s="161"/>
      <c r="I570" s="161"/>
      <c r="J570" s="161"/>
      <c r="K570" s="161"/>
      <c r="L570" s="161"/>
      <c r="M570" s="161"/>
      <c r="N570" s="161"/>
      <c r="O570" s="161"/>
      <c r="P570" s="161"/>
      <c r="Q570" s="161"/>
      <c r="R570" s="161"/>
      <c r="S570" s="161"/>
      <c r="T570" s="161"/>
    </row>
    <row r="571" spans="1:20" ht="13">
      <c r="A571" s="161"/>
      <c r="B571" s="161"/>
      <c r="C571" s="161"/>
      <c r="D571" s="161"/>
      <c r="E571" s="161"/>
      <c r="F571" s="161"/>
      <c r="G571" s="161"/>
      <c r="H571" s="161"/>
      <c r="I571" s="161"/>
      <c r="J571" s="161"/>
      <c r="K571" s="161"/>
      <c r="L571" s="161"/>
      <c r="M571" s="161"/>
      <c r="N571" s="161"/>
      <c r="O571" s="161"/>
      <c r="P571" s="161"/>
      <c r="Q571" s="161"/>
      <c r="R571" s="161"/>
      <c r="S571" s="161"/>
      <c r="T571" s="161"/>
    </row>
    <row r="572" spans="1:20" ht="13">
      <c r="A572" s="161"/>
      <c r="B572" s="161"/>
      <c r="C572" s="161"/>
      <c r="D572" s="161"/>
      <c r="E572" s="161"/>
      <c r="F572" s="161"/>
      <c r="G572" s="161"/>
      <c r="H572" s="161"/>
      <c r="I572" s="161"/>
      <c r="J572" s="161"/>
      <c r="K572" s="161"/>
      <c r="L572" s="161"/>
      <c r="M572" s="161"/>
      <c r="N572" s="161"/>
      <c r="O572" s="161"/>
      <c r="P572" s="161"/>
      <c r="Q572" s="161"/>
      <c r="R572" s="161"/>
      <c r="S572" s="161"/>
      <c r="T572" s="161"/>
    </row>
    <row r="573" spans="1:20" ht="13">
      <c r="A573" s="161"/>
      <c r="B573" s="161"/>
      <c r="C573" s="161"/>
      <c r="D573" s="161"/>
      <c r="E573" s="161"/>
      <c r="F573" s="161"/>
      <c r="G573" s="161"/>
      <c r="H573" s="161"/>
      <c r="I573" s="161"/>
      <c r="J573" s="161"/>
      <c r="K573" s="161"/>
      <c r="L573" s="161"/>
      <c r="M573" s="161"/>
      <c r="N573" s="161"/>
      <c r="O573" s="161"/>
      <c r="P573" s="161"/>
      <c r="Q573" s="161"/>
      <c r="R573" s="161"/>
      <c r="S573" s="161"/>
      <c r="T573" s="161"/>
    </row>
    <row r="574" spans="1:20" ht="13">
      <c r="A574" s="161"/>
      <c r="B574" s="161"/>
      <c r="C574" s="161"/>
      <c r="D574" s="161"/>
      <c r="E574" s="161"/>
      <c r="F574" s="161"/>
      <c r="G574" s="161"/>
      <c r="H574" s="161"/>
      <c r="I574" s="161"/>
      <c r="J574" s="161"/>
      <c r="K574" s="161"/>
      <c r="L574" s="161"/>
      <c r="M574" s="161"/>
      <c r="N574" s="161"/>
      <c r="O574" s="161"/>
      <c r="P574" s="161"/>
      <c r="Q574" s="161"/>
      <c r="R574" s="161"/>
      <c r="S574" s="161"/>
      <c r="T574" s="161"/>
    </row>
    <row r="575" spans="1:20" ht="13">
      <c r="A575" s="161"/>
      <c r="B575" s="161"/>
      <c r="C575" s="161"/>
      <c r="D575" s="161"/>
      <c r="E575" s="161"/>
      <c r="F575" s="161"/>
      <c r="G575" s="161"/>
      <c r="H575" s="161"/>
      <c r="I575" s="161"/>
      <c r="J575" s="161"/>
      <c r="K575" s="161"/>
      <c r="L575" s="161"/>
      <c r="M575" s="161"/>
      <c r="N575" s="161"/>
      <c r="O575" s="161"/>
      <c r="P575" s="161"/>
      <c r="Q575" s="161"/>
      <c r="R575" s="161"/>
      <c r="S575" s="161"/>
      <c r="T575" s="161"/>
    </row>
    <row r="576" spans="1:20" ht="13">
      <c r="A576" s="161"/>
      <c r="B576" s="161"/>
      <c r="C576" s="161"/>
      <c r="D576" s="161"/>
      <c r="E576" s="161"/>
      <c r="F576" s="161"/>
      <c r="G576" s="161"/>
      <c r="H576" s="161"/>
      <c r="I576" s="161"/>
      <c r="J576" s="161"/>
      <c r="K576" s="161"/>
      <c r="L576" s="161"/>
      <c r="M576" s="161"/>
      <c r="N576" s="161"/>
      <c r="O576" s="161"/>
      <c r="P576" s="161"/>
      <c r="Q576" s="161"/>
      <c r="R576" s="161"/>
      <c r="S576" s="161"/>
      <c r="T576" s="161"/>
    </row>
    <row r="577" spans="1:20" ht="13">
      <c r="A577" s="161"/>
      <c r="B577" s="161"/>
      <c r="C577" s="161"/>
      <c r="D577" s="161"/>
      <c r="E577" s="161"/>
      <c r="F577" s="161"/>
      <c r="G577" s="161"/>
      <c r="H577" s="161"/>
      <c r="I577" s="161"/>
      <c r="J577" s="161"/>
      <c r="K577" s="161"/>
      <c r="L577" s="161"/>
      <c r="M577" s="161"/>
      <c r="N577" s="161"/>
      <c r="O577" s="161"/>
      <c r="P577" s="161"/>
      <c r="Q577" s="161"/>
      <c r="R577" s="161"/>
      <c r="S577" s="161"/>
      <c r="T577" s="161"/>
    </row>
    <row r="578" spans="1:20" ht="13">
      <c r="A578" s="161"/>
      <c r="B578" s="161"/>
      <c r="C578" s="161"/>
      <c r="D578" s="161"/>
      <c r="E578" s="161"/>
      <c r="F578" s="161"/>
      <c r="G578" s="161"/>
      <c r="H578" s="161"/>
      <c r="I578" s="161"/>
      <c r="J578" s="161"/>
      <c r="K578" s="161"/>
      <c r="L578" s="161"/>
      <c r="M578" s="161"/>
      <c r="N578" s="161"/>
      <c r="O578" s="161"/>
      <c r="P578" s="161"/>
      <c r="Q578" s="161"/>
      <c r="R578" s="161"/>
      <c r="S578" s="161"/>
      <c r="T578" s="161"/>
    </row>
    <row r="579" spans="1:20" ht="13">
      <c r="A579" s="161"/>
      <c r="B579" s="161"/>
      <c r="C579" s="161"/>
      <c r="D579" s="161"/>
      <c r="E579" s="161"/>
      <c r="F579" s="161"/>
      <c r="G579" s="161"/>
      <c r="H579" s="161"/>
      <c r="I579" s="161"/>
      <c r="J579" s="161"/>
      <c r="K579" s="161"/>
      <c r="L579" s="161"/>
      <c r="M579" s="161"/>
      <c r="N579" s="161"/>
      <c r="O579" s="161"/>
      <c r="P579" s="161"/>
      <c r="Q579" s="161"/>
      <c r="R579" s="161"/>
      <c r="S579" s="161"/>
      <c r="T579" s="161"/>
    </row>
    <row r="580" spans="1:20" ht="13">
      <c r="A580" s="161"/>
      <c r="B580" s="161"/>
      <c r="C580" s="161"/>
      <c r="D580" s="161"/>
      <c r="E580" s="161"/>
      <c r="F580" s="161"/>
      <c r="G580" s="161"/>
      <c r="H580" s="161"/>
      <c r="I580" s="161"/>
      <c r="J580" s="161"/>
      <c r="K580" s="161"/>
      <c r="L580" s="161"/>
      <c r="M580" s="161"/>
      <c r="N580" s="161"/>
      <c r="O580" s="161"/>
      <c r="P580" s="161"/>
      <c r="Q580" s="161"/>
      <c r="R580" s="161"/>
      <c r="S580" s="161"/>
      <c r="T580" s="161"/>
    </row>
    <row r="581" spans="1:20" ht="13">
      <c r="A581" s="161"/>
      <c r="B581" s="161"/>
      <c r="C581" s="161"/>
      <c r="D581" s="161"/>
      <c r="E581" s="161"/>
      <c r="F581" s="161"/>
      <c r="G581" s="161"/>
      <c r="H581" s="161"/>
      <c r="I581" s="161"/>
      <c r="J581" s="161"/>
      <c r="K581" s="161"/>
      <c r="L581" s="161"/>
      <c r="M581" s="161"/>
      <c r="N581" s="161"/>
      <c r="O581" s="161"/>
      <c r="P581" s="161"/>
      <c r="Q581" s="161"/>
      <c r="R581" s="161"/>
      <c r="S581" s="161"/>
      <c r="T581" s="161"/>
    </row>
    <row r="582" spans="1:20" ht="13">
      <c r="A582" s="161"/>
      <c r="B582" s="161"/>
      <c r="C582" s="161"/>
      <c r="D582" s="161"/>
      <c r="E582" s="161"/>
      <c r="F582" s="161"/>
      <c r="G582" s="161"/>
      <c r="H582" s="161"/>
      <c r="I582" s="161"/>
      <c r="J582" s="161"/>
      <c r="K582" s="161"/>
      <c r="L582" s="161"/>
      <c r="M582" s="161"/>
      <c r="N582" s="161"/>
      <c r="O582" s="161"/>
      <c r="P582" s="161"/>
      <c r="Q582" s="161"/>
      <c r="R582" s="161"/>
      <c r="S582" s="161"/>
      <c r="T582" s="161"/>
    </row>
    <row r="583" spans="1:20" ht="13">
      <c r="A583" s="161"/>
      <c r="B583" s="161"/>
      <c r="C583" s="161"/>
      <c r="D583" s="161"/>
      <c r="E583" s="161"/>
      <c r="F583" s="161"/>
      <c r="G583" s="161"/>
      <c r="H583" s="161"/>
      <c r="I583" s="161"/>
      <c r="J583" s="161"/>
      <c r="K583" s="161"/>
      <c r="L583" s="161"/>
      <c r="M583" s="161"/>
      <c r="N583" s="161"/>
      <c r="O583" s="161"/>
      <c r="P583" s="161"/>
      <c r="Q583" s="161"/>
      <c r="R583" s="161"/>
      <c r="S583" s="161"/>
      <c r="T583" s="161"/>
    </row>
    <row r="584" spans="1:20" ht="13">
      <c r="A584" s="161"/>
      <c r="B584" s="161"/>
      <c r="C584" s="161"/>
      <c r="D584" s="161"/>
      <c r="E584" s="161"/>
      <c r="F584" s="161"/>
      <c r="G584" s="161"/>
      <c r="H584" s="161"/>
      <c r="I584" s="161"/>
      <c r="J584" s="161"/>
      <c r="K584" s="161"/>
      <c r="L584" s="161"/>
      <c r="M584" s="161"/>
      <c r="N584" s="161"/>
      <c r="O584" s="161"/>
      <c r="P584" s="161"/>
      <c r="Q584" s="161"/>
      <c r="R584" s="161"/>
      <c r="S584" s="161"/>
      <c r="T584" s="161"/>
    </row>
    <row r="585" spans="1:20" ht="13">
      <c r="A585" s="161"/>
      <c r="B585" s="161"/>
      <c r="C585" s="161"/>
      <c r="D585" s="161"/>
      <c r="E585" s="161"/>
      <c r="F585" s="161"/>
      <c r="G585" s="161"/>
      <c r="H585" s="161"/>
      <c r="I585" s="161"/>
      <c r="J585" s="161"/>
      <c r="K585" s="161"/>
      <c r="L585" s="161"/>
      <c r="M585" s="161"/>
      <c r="N585" s="161"/>
      <c r="O585" s="161"/>
      <c r="P585" s="161"/>
      <c r="Q585" s="161"/>
      <c r="R585" s="161"/>
      <c r="S585" s="161"/>
      <c r="T585" s="161"/>
    </row>
    <row r="586" spans="1:20" ht="13">
      <c r="A586" s="161"/>
      <c r="B586" s="161"/>
      <c r="C586" s="161"/>
      <c r="D586" s="161"/>
      <c r="E586" s="161"/>
      <c r="F586" s="161"/>
      <c r="G586" s="161"/>
      <c r="H586" s="161"/>
      <c r="I586" s="161"/>
      <c r="J586" s="161"/>
      <c r="K586" s="161"/>
      <c r="L586" s="161"/>
      <c r="M586" s="161"/>
      <c r="N586" s="161"/>
      <c r="O586" s="161"/>
      <c r="P586" s="161"/>
      <c r="Q586" s="161"/>
      <c r="R586" s="161"/>
      <c r="S586" s="161"/>
      <c r="T586" s="161"/>
    </row>
    <row r="587" spans="1:20" ht="13">
      <c r="A587" s="161"/>
      <c r="B587" s="161"/>
      <c r="C587" s="161"/>
      <c r="D587" s="161"/>
      <c r="E587" s="161"/>
      <c r="F587" s="161"/>
      <c r="G587" s="161"/>
      <c r="H587" s="161"/>
      <c r="I587" s="161"/>
      <c r="J587" s="161"/>
      <c r="K587" s="161"/>
      <c r="L587" s="161"/>
      <c r="M587" s="161"/>
      <c r="N587" s="161"/>
      <c r="O587" s="161"/>
      <c r="P587" s="161"/>
      <c r="Q587" s="161"/>
      <c r="R587" s="161"/>
      <c r="S587" s="161"/>
      <c r="T587" s="161"/>
    </row>
    <row r="588" spans="1:20" ht="13">
      <c r="A588" s="161"/>
      <c r="B588" s="161"/>
      <c r="C588" s="161"/>
      <c r="D588" s="161"/>
      <c r="E588" s="161"/>
      <c r="F588" s="161"/>
      <c r="G588" s="161"/>
      <c r="H588" s="161"/>
      <c r="I588" s="161"/>
      <c r="J588" s="161"/>
      <c r="K588" s="161"/>
      <c r="L588" s="161"/>
      <c r="M588" s="161"/>
      <c r="N588" s="161"/>
      <c r="O588" s="161"/>
      <c r="P588" s="161"/>
      <c r="Q588" s="161"/>
      <c r="R588" s="161"/>
      <c r="S588" s="161"/>
      <c r="T588" s="161"/>
    </row>
    <row r="589" spans="1:20" ht="13">
      <c r="A589" s="161"/>
      <c r="B589" s="161"/>
      <c r="C589" s="161"/>
      <c r="D589" s="161"/>
      <c r="E589" s="161"/>
      <c r="F589" s="161"/>
      <c r="G589" s="161"/>
      <c r="H589" s="161"/>
      <c r="I589" s="161"/>
      <c r="J589" s="161"/>
      <c r="K589" s="161"/>
      <c r="L589" s="161"/>
      <c r="M589" s="161"/>
      <c r="N589" s="161"/>
      <c r="O589" s="161"/>
      <c r="P589" s="161"/>
      <c r="Q589" s="161"/>
      <c r="R589" s="161"/>
      <c r="S589" s="161"/>
      <c r="T589" s="161"/>
    </row>
    <row r="590" spans="1:20" ht="13">
      <c r="A590" s="161"/>
      <c r="B590" s="161"/>
      <c r="C590" s="161"/>
      <c r="D590" s="161"/>
      <c r="E590" s="161"/>
      <c r="F590" s="161"/>
      <c r="G590" s="161"/>
      <c r="H590" s="161"/>
      <c r="I590" s="161"/>
      <c r="J590" s="161"/>
      <c r="K590" s="161"/>
      <c r="L590" s="161"/>
      <c r="M590" s="161"/>
      <c r="N590" s="161"/>
      <c r="O590" s="161"/>
      <c r="P590" s="161"/>
      <c r="Q590" s="161"/>
      <c r="R590" s="161"/>
      <c r="S590" s="161"/>
      <c r="T590" s="161"/>
    </row>
    <row r="591" spans="1:20" ht="13">
      <c r="A591" s="161"/>
      <c r="B591" s="161"/>
      <c r="C591" s="161"/>
      <c r="D591" s="161"/>
      <c r="E591" s="161"/>
      <c r="F591" s="161"/>
      <c r="G591" s="161"/>
      <c r="H591" s="161"/>
      <c r="I591" s="161"/>
      <c r="J591" s="161"/>
      <c r="K591" s="161"/>
      <c r="L591" s="161"/>
      <c r="M591" s="161"/>
      <c r="N591" s="161"/>
      <c r="O591" s="161"/>
      <c r="P591" s="161"/>
      <c r="Q591" s="161"/>
      <c r="R591" s="161"/>
      <c r="S591" s="161"/>
      <c r="T591" s="161"/>
    </row>
    <row r="592" spans="1:20" ht="13">
      <c r="A592" s="161"/>
      <c r="B592" s="161"/>
      <c r="C592" s="161"/>
      <c r="D592" s="161"/>
      <c r="E592" s="161"/>
      <c r="F592" s="161"/>
      <c r="G592" s="161"/>
      <c r="H592" s="161"/>
      <c r="I592" s="161"/>
      <c r="J592" s="161"/>
      <c r="K592" s="161"/>
      <c r="L592" s="161"/>
      <c r="M592" s="161"/>
      <c r="N592" s="161"/>
      <c r="O592" s="161"/>
      <c r="P592" s="161"/>
      <c r="Q592" s="161"/>
      <c r="R592" s="161"/>
      <c r="S592" s="161"/>
      <c r="T592" s="161"/>
    </row>
    <row r="593" spans="1:20" ht="13">
      <c r="A593" s="161"/>
      <c r="B593" s="161"/>
      <c r="C593" s="161"/>
      <c r="D593" s="161"/>
      <c r="E593" s="161"/>
      <c r="F593" s="161"/>
      <c r="G593" s="161"/>
      <c r="H593" s="161"/>
      <c r="I593" s="161"/>
      <c r="J593" s="161"/>
      <c r="K593" s="161"/>
      <c r="L593" s="161"/>
      <c r="M593" s="161"/>
      <c r="N593" s="161"/>
      <c r="O593" s="161"/>
      <c r="P593" s="161"/>
      <c r="Q593" s="161"/>
      <c r="R593" s="161"/>
      <c r="S593" s="161"/>
      <c r="T593" s="161"/>
    </row>
    <row r="594" spans="1:20" ht="13">
      <c r="A594" s="161"/>
      <c r="B594" s="161"/>
      <c r="C594" s="161"/>
      <c r="D594" s="161"/>
      <c r="E594" s="161"/>
      <c r="F594" s="161"/>
      <c r="G594" s="161"/>
      <c r="H594" s="161"/>
      <c r="I594" s="161"/>
      <c r="J594" s="161"/>
      <c r="K594" s="161"/>
      <c r="L594" s="161"/>
      <c r="M594" s="161"/>
      <c r="N594" s="161"/>
      <c r="O594" s="161"/>
      <c r="P594" s="161"/>
      <c r="Q594" s="161"/>
      <c r="R594" s="161"/>
      <c r="S594" s="161"/>
      <c r="T594" s="161"/>
    </row>
    <row r="595" spans="1:20" ht="13">
      <c r="A595" s="161"/>
      <c r="B595" s="161"/>
      <c r="C595" s="161"/>
      <c r="D595" s="161"/>
      <c r="E595" s="161"/>
      <c r="F595" s="161"/>
      <c r="G595" s="161"/>
      <c r="H595" s="161"/>
      <c r="I595" s="161"/>
      <c r="J595" s="161"/>
      <c r="K595" s="161"/>
      <c r="L595" s="161"/>
      <c r="M595" s="161"/>
      <c r="N595" s="161"/>
      <c r="O595" s="161"/>
      <c r="P595" s="161"/>
      <c r="Q595" s="161"/>
      <c r="R595" s="161"/>
      <c r="S595" s="161"/>
      <c r="T595" s="161"/>
    </row>
    <row r="596" spans="1:20" ht="13">
      <c r="A596" s="161"/>
      <c r="B596" s="161"/>
      <c r="C596" s="161"/>
      <c r="D596" s="161"/>
      <c r="E596" s="161"/>
      <c r="F596" s="161"/>
      <c r="G596" s="161"/>
      <c r="H596" s="161"/>
      <c r="I596" s="161"/>
      <c r="J596" s="161"/>
      <c r="K596" s="161"/>
      <c r="L596" s="161"/>
      <c r="M596" s="161"/>
      <c r="N596" s="161"/>
      <c r="O596" s="161"/>
      <c r="P596" s="161"/>
      <c r="Q596" s="161"/>
      <c r="R596" s="161"/>
      <c r="S596" s="161"/>
      <c r="T596" s="161"/>
    </row>
    <row r="597" spans="1:20" ht="13">
      <c r="A597" s="161"/>
      <c r="B597" s="161"/>
      <c r="C597" s="161"/>
      <c r="D597" s="161"/>
      <c r="E597" s="161"/>
      <c r="F597" s="161"/>
      <c r="G597" s="161"/>
      <c r="H597" s="161"/>
      <c r="I597" s="161"/>
      <c r="J597" s="161"/>
      <c r="K597" s="161"/>
      <c r="L597" s="161"/>
      <c r="M597" s="161"/>
      <c r="N597" s="161"/>
      <c r="O597" s="161"/>
      <c r="P597" s="161"/>
      <c r="Q597" s="161"/>
      <c r="R597" s="161"/>
      <c r="S597" s="161"/>
      <c r="T597" s="161"/>
    </row>
    <row r="598" spans="1:20" ht="13">
      <c r="A598" s="161"/>
      <c r="B598" s="161"/>
      <c r="C598" s="161"/>
      <c r="D598" s="161"/>
      <c r="E598" s="161"/>
      <c r="F598" s="161"/>
      <c r="G598" s="161"/>
      <c r="H598" s="161"/>
      <c r="I598" s="161"/>
      <c r="J598" s="161"/>
      <c r="K598" s="161"/>
      <c r="L598" s="161"/>
      <c r="M598" s="161"/>
      <c r="N598" s="161"/>
      <c r="O598" s="161"/>
      <c r="P598" s="161"/>
      <c r="Q598" s="161"/>
      <c r="R598" s="161"/>
      <c r="S598" s="161"/>
      <c r="T598" s="161"/>
    </row>
    <row r="599" spans="1:20" ht="13">
      <c r="A599" s="161"/>
      <c r="B599" s="161"/>
      <c r="C599" s="161"/>
      <c r="D599" s="161"/>
      <c r="E599" s="161"/>
      <c r="F599" s="161"/>
      <c r="G599" s="161"/>
      <c r="H599" s="161"/>
      <c r="I599" s="161"/>
      <c r="J599" s="161"/>
      <c r="K599" s="161"/>
      <c r="L599" s="161"/>
      <c r="M599" s="161"/>
      <c r="N599" s="161"/>
      <c r="O599" s="161"/>
      <c r="P599" s="161"/>
      <c r="Q599" s="161"/>
      <c r="R599" s="161"/>
      <c r="S599" s="161"/>
      <c r="T599" s="161"/>
    </row>
    <row r="600" spans="1:20" ht="13">
      <c r="A600" s="161"/>
      <c r="B600" s="161"/>
      <c r="C600" s="161"/>
      <c r="D600" s="161"/>
      <c r="E600" s="161"/>
      <c r="F600" s="161"/>
      <c r="G600" s="161"/>
      <c r="H600" s="161"/>
      <c r="I600" s="161"/>
      <c r="J600" s="161"/>
      <c r="K600" s="161"/>
      <c r="L600" s="161"/>
      <c r="M600" s="161"/>
      <c r="N600" s="161"/>
      <c r="O600" s="161"/>
      <c r="P600" s="161"/>
      <c r="Q600" s="161"/>
      <c r="R600" s="161"/>
      <c r="S600" s="161"/>
      <c r="T600" s="161"/>
    </row>
    <row r="601" spans="1:20" ht="13">
      <c r="A601" s="161"/>
      <c r="B601" s="161"/>
      <c r="C601" s="161"/>
      <c r="D601" s="161"/>
      <c r="E601" s="161"/>
      <c r="F601" s="161"/>
      <c r="G601" s="161"/>
      <c r="H601" s="161"/>
      <c r="I601" s="161"/>
      <c r="J601" s="161"/>
      <c r="K601" s="161"/>
      <c r="L601" s="161"/>
      <c r="M601" s="161"/>
      <c r="N601" s="161"/>
      <c r="O601" s="161"/>
      <c r="P601" s="161"/>
      <c r="Q601" s="161"/>
      <c r="R601" s="161"/>
      <c r="S601" s="161"/>
      <c r="T601" s="161"/>
    </row>
    <row r="602" spans="1:20" ht="13">
      <c r="A602" s="161"/>
      <c r="B602" s="161"/>
      <c r="C602" s="161"/>
      <c r="D602" s="161"/>
      <c r="E602" s="161"/>
      <c r="F602" s="161"/>
      <c r="G602" s="161"/>
      <c r="H602" s="161"/>
      <c r="I602" s="161"/>
      <c r="J602" s="161"/>
      <c r="K602" s="161"/>
      <c r="L602" s="161"/>
      <c r="M602" s="161"/>
      <c r="N602" s="161"/>
      <c r="O602" s="161"/>
      <c r="P602" s="161"/>
      <c r="Q602" s="161"/>
      <c r="R602" s="161"/>
      <c r="S602" s="161"/>
      <c r="T602" s="161"/>
    </row>
    <row r="603" spans="1:20" ht="13">
      <c r="A603" s="161"/>
      <c r="B603" s="161"/>
      <c r="C603" s="161"/>
      <c r="D603" s="161"/>
      <c r="E603" s="161"/>
      <c r="F603" s="161"/>
      <c r="G603" s="161"/>
      <c r="H603" s="161"/>
      <c r="I603" s="161"/>
      <c r="J603" s="161"/>
      <c r="K603" s="161"/>
      <c r="L603" s="161"/>
      <c r="M603" s="161"/>
      <c r="N603" s="161"/>
      <c r="O603" s="161"/>
      <c r="P603" s="161"/>
      <c r="Q603" s="161"/>
      <c r="R603" s="161"/>
      <c r="S603" s="161"/>
      <c r="T603" s="161"/>
    </row>
    <row r="604" spans="1:20" ht="13">
      <c r="A604" s="161"/>
      <c r="B604" s="161"/>
      <c r="C604" s="161"/>
      <c r="D604" s="161"/>
      <c r="E604" s="161"/>
      <c r="F604" s="161"/>
      <c r="G604" s="161"/>
      <c r="H604" s="161"/>
      <c r="I604" s="161"/>
      <c r="J604" s="161"/>
      <c r="K604" s="161"/>
      <c r="L604" s="161"/>
      <c r="M604" s="161"/>
      <c r="N604" s="161"/>
      <c r="O604" s="161"/>
      <c r="P604" s="161"/>
      <c r="Q604" s="161"/>
      <c r="R604" s="161"/>
      <c r="S604" s="161"/>
      <c r="T604" s="161"/>
    </row>
    <row r="605" spans="1:20" ht="13">
      <c r="A605" s="161"/>
      <c r="B605" s="161"/>
      <c r="C605" s="161"/>
      <c r="D605" s="161"/>
      <c r="E605" s="161"/>
      <c r="F605" s="161"/>
      <c r="G605" s="161"/>
      <c r="H605" s="161"/>
      <c r="I605" s="161"/>
      <c r="J605" s="161"/>
      <c r="K605" s="161"/>
      <c r="L605" s="161"/>
      <c r="M605" s="161"/>
      <c r="N605" s="161"/>
      <c r="O605" s="161"/>
      <c r="P605" s="161"/>
      <c r="Q605" s="161"/>
      <c r="R605" s="161"/>
      <c r="S605" s="161"/>
      <c r="T605" s="161"/>
    </row>
    <row r="606" spans="1:20" ht="13">
      <c r="A606" s="161"/>
      <c r="B606" s="161"/>
      <c r="C606" s="161"/>
      <c r="D606" s="161"/>
      <c r="E606" s="161"/>
      <c r="F606" s="161"/>
      <c r="G606" s="161"/>
      <c r="H606" s="161"/>
      <c r="I606" s="161"/>
      <c r="J606" s="161"/>
      <c r="K606" s="161"/>
      <c r="L606" s="161"/>
      <c r="M606" s="161"/>
      <c r="N606" s="161"/>
      <c r="O606" s="161"/>
      <c r="P606" s="161"/>
      <c r="Q606" s="161"/>
      <c r="R606" s="161"/>
      <c r="S606" s="161"/>
      <c r="T606" s="161"/>
    </row>
    <row r="607" spans="1:20" ht="13">
      <c r="A607" s="161"/>
      <c r="B607" s="161"/>
      <c r="C607" s="161"/>
      <c r="D607" s="161"/>
      <c r="E607" s="161"/>
      <c r="F607" s="161"/>
      <c r="G607" s="161"/>
      <c r="H607" s="161"/>
      <c r="I607" s="161"/>
      <c r="J607" s="161"/>
      <c r="K607" s="161"/>
      <c r="L607" s="161"/>
      <c r="M607" s="161"/>
      <c r="N607" s="161"/>
      <c r="O607" s="161"/>
      <c r="P607" s="161"/>
      <c r="Q607" s="161"/>
      <c r="R607" s="161"/>
      <c r="S607" s="161"/>
      <c r="T607" s="161"/>
    </row>
    <row r="608" spans="1:20" ht="13">
      <c r="A608" s="161"/>
      <c r="B608" s="161"/>
      <c r="C608" s="161"/>
      <c r="D608" s="161"/>
      <c r="E608" s="161"/>
      <c r="F608" s="161"/>
      <c r="G608" s="161"/>
      <c r="H608" s="161"/>
      <c r="I608" s="161"/>
      <c r="J608" s="161"/>
      <c r="K608" s="161"/>
      <c r="L608" s="161"/>
      <c r="M608" s="161"/>
      <c r="N608" s="161"/>
      <c r="O608" s="161"/>
      <c r="P608" s="161"/>
      <c r="Q608" s="161"/>
      <c r="R608" s="161"/>
      <c r="S608" s="161"/>
      <c r="T608" s="161"/>
    </row>
    <row r="609" spans="1:20" ht="13">
      <c r="A609" s="161"/>
      <c r="B609" s="161"/>
      <c r="C609" s="161"/>
      <c r="D609" s="161"/>
      <c r="E609" s="161"/>
      <c r="F609" s="161"/>
      <c r="G609" s="161"/>
      <c r="H609" s="161"/>
      <c r="I609" s="161"/>
      <c r="J609" s="161"/>
      <c r="K609" s="161"/>
      <c r="L609" s="161"/>
      <c r="M609" s="161"/>
      <c r="N609" s="161"/>
      <c r="O609" s="161"/>
      <c r="P609" s="161"/>
      <c r="Q609" s="161"/>
      <c r="R609" s="161"/>
      <c r="S609" s="161"/>
      <c r="T609" s="161"/>
    </row>
    <row r="610" spans="1:20" ht="13">
      <c r="A610" s="161"/>
      <c r="B610" s="161"/>
      <c r="C610" s="161"/>
      <c r="D610" s="161"/>
      <c r="E610" s="161"/>
      <c r="F610" s="161"/>
      <c r="G610" s="161"/>
      <c r="H610" s="161"/>
      <c r="I610" s="161"/>
      <c r="J610" s="161"/>
      <c r="K610" s="161"/>
      <c r="L610" s="161"/>
      <c r="M610" s="161"/>
      <c r="N610" s="161"/>
      <c r="O610" s="161"/>
      <c r="P610" s="161"/>
      <c r="Q610" s="161"/>
      <c r="R610" s="161"/>
      <c r="S610" s="161"/>
      <c r="T610" s="161"/>
    </row>
    <row r="611" spans="1:20" ht="13">
      <c r="A611" s="161"/>
      <c r="B611" s="161"/>
      <c r="C611" s="161"/>
      <c r="D611" s="161"/>
      <c r="E611" s="161"/>
      <c r="F611" s="161"/>
      <c r="G611" s="161"/>
      <c r="H611" s="161"/>
      <c r="I611" s="161"/>
      <c r="J611" s="161"/>
      <c r="K611" s="161"/>
      <c r="L611" s="161"/>
      <c r="M611" s="161"/>
      <c r="N611" s="161"/>
      <c r="O611" s="161"/>
      <c r="P611" s="161"/>
      <c r="Q611" s="161"/>
      <c r="R611" s="161"/>
      <c r="S611" s="161"/>
      <c r="T611" s="161"/>
    </row>
    <row r="612" spans="1:20" ht="13">
      <c r="A612" s="161"/>
      <c r="B612" s="161"/>
      <c r="C612" s="161"/>
      <c r="D612" s="161"/>
      <c r="E612" s="161"/>
      <c r="F612" s="161"/>
      <c r="G612" s="161"/>
      <c r="H612" s="161"/>
      <c r="I612" s="161"/>
      <c r="J612" s="161"/>
      <c r="K612" s="161"/>
      <c r="L612" s="161"/>
      <c r="M612" s="161"/>
      <c r="N612" s="161"/>
      <c r="O612" s="161"/>
      <c r="P612" s="161"/>
      <c r="Q612" s="161"/>
      <c r="R612" s="161"/>
      <c r="S612" s="161"/>
      <c r="T612" s="161"/>
    </row>
    <row r="613" spans="1:20" ht="13">
      <c r="A613" s="161"/>
      <c r="B613" s="161"/>
      <c r="C613" s="161"/>
      <c r="D613" s="161"/>
      <c r="E613" s="161"/>
      <c r="F613" s="161"/>
      <c r="G613" s="161"/>
      <c r="H613" s="161"/>
      <c r="I613" s="161"/>
      <c r="J613" s="161"/>
      <c r="K613" s="161"/>
      <c r="L613" s="161"/>
      <c r="M613" s="161"/>
      <c r="N613" s="161"/>
      <c r="O613" s="161"/>
      <c r="P613" s="161"/>
      <c r="Q613" s="161"/>
      <c r="R613" s="161"/>
      <c r="S613" s="161"/>
      <c r="T613" s="161"/>
    </row>
    <row r="614" spans="1:20" ht="13">
      <c r="A614" s="161"/>
      <c r="B614" s="161"/>
      <c r="C614" s="161"/>
      <c r="D614" s="161"/>
      <c r="E614" s="161"/>
      <c r="F614" s="161"/>
      <c r="G614" s="161"/>
      <c r="H614" s="161"/>
      <c r="I614" s="161"/>
      <c r="J614" s="161"/>
      <c r="K614" s="161"/>
      <c r="L614" s="161"/>
      <c r="M614" s="161"/>
      <c r="N614" s="161"/>
      <c r="O614" s="161"/>
      <c r="P614" s="161"/>
      <c r="Q614" s="161"/>
      <c r="R614" s="161"/>
      <c r="S614" s="161"/>
      <c r="T614" s="161"/>
    </row>
    <row r="615" spans="1:20" ht="13">
      <c r="A615" s="161"/>
      <c r="B615" s="161"/>
      <c r="C615" s="161"/>
      <c r="D615" s="161"/>
      <c r="E615" s="161"/>
      <c r="F615" s="161"/>
      <c r="G615" s="161"/>
      <c r="H615" s="161"/>
      <c r="I615" s="161"/>
      <c r="J615" s="161"/>
      <c r="K615" s="161"/>
      <c r="L615" s="161"/>
      <c r="M615" s="161"/>
      <c r="N615" s="161"/>
      <c r="O615" s="161"/>
      <c r="P615" s="161"/>
      <c r="Q615" s="161"/>
      <c r="R615" s="161"/>
      <c r="S615" s="161"/>
      <c r="T615" s="161"/>
    </row>
    <row r="616" spans="1:20" ht="13">
      <c r="A616" s="161"/>
      <c r="B616" s="161"/>
      <c r="C616" s="161"/>
      <c r="D616" s="161"/>
      <c r="E616" s="161"/>
      <c r="F616" s="161"/>
      <c r="G616" s="161"/>
      <c r="H616" s="161"/>
      <c r="I616" s="161"/>
      <c r="J616" s="161"/>
      <c r="K616" s="161"/>
      <c r="L616" s="161"/>
      <c r="M616" s="161"/>
      <c r="N616" s="161"/>
      <c r="O616" s="161"/>
      <c r="P616" s="161"/>
      <c r="Q616" s="161"/>
      <c r="R616" s="161"/>
      <c r="S616" s="161"/>
      <c r="T616" s="161"/>
    </row>
    <row r="617" spans="1:20" ht="13">
      <c r="A617" s="161"/>
      <c r="B617" s="161"/>
      <c r="C617" s="161"/>
      <c r="D617" s="161"/>
      <c r="E617" s="161"/>
      <c r="F617" s="161"/>
      <c r="G617" s="161"/>
      <c r="H617" s="161"/>
      <c r="I617" s="161"/>
      <c r="J617" s="161"/>
      <c r="K617" s="161"/>
      <c r="L617" s="161"/>
      <c r="M617" s="161"/>
      <c r="N617" s="161"/>
      <c r="O617" s="161"/>
      <c r="P617" s="161"/>
      <c r="Q617" s="161"/>
      <c r="R617" s="161"/>
      <c r="S617" s="161"/>
      <c r="T617" s="161"/>
    </row>
    <row r="618" spans="1:20" ht="13">
      <c r="A618" s="161"/>
      <c r="B618" s="161"/>
      <c r="C618" s="161"/>
      <c r="D618" s="161"/>
      <c r="E618" s="161"/>
      <c r="F618" s="161"/>
      <c r="G618" s="161"/>
      <c r="H618" s="161"/>
      <c r="I618" s="161"/>
      <c r="J618" s="161"/>
      <c r="K618" s="161"/>
      <c r="L618" s="161"/>
      <c r="M618" s="161"/>
      <c r="N618" s="161"/>
      <c r="O618" s="161"/>
      <c r="P618" s="161"/>
      <c r="Q618" s="161"/>
      <c r="R618" s="161"/>
      <c r="S618" s="161"/>
      <c r="T618" s="161"/>
    </row>
    <row r="619" spans="1:20" ht="13">
      <c r="A619" s="161"/>
      <c r="B619" s="161"/>
      <c r="C619" s="161"/>
      <c r="D619" s="161"/>
      <c r="E619" s="161"/>
      <c r="F619" s="161"/>
      <c r="G619" s="161"/>
      <c r="H619" s="161"/>
      <c r="I619" s="161"/>
      <c r="J619" s="161"/>
      <c r="K619" s="161"/>
      <c r="L619" s="161"/>
      <c r="M619" s="161"/>
      <c r="N619" s="161"/>
      <c r="O619" s="161"/>
      <c r="P619" s="161"/>
      <c r="Q619" s="161"/>
      <c r="R619" s="161"/>
      <c r="S619" s="161"/>
      <c r="T619" s="161"/>
    </row>
    <row r="620" spans="1:20" ht="13">
      <c r="A620" s="161"/>
      <c r="B620" s="161"/>
      <c r="C620" s="161"/>
      <c r="D620" s="161"/>
      <c r="E620" s="161"/>
      <c r="F620" s="161"/>
      <c r="G620" s="161"/>
      <c r="H620" s="161"/>
      <c r="I620" s="161"/>
      <c r="J620" s="161"/>
      <c r="K620" s="161"/>
      <c r="L620" s="161"/>
      <c r="M620" s="161"/>
      <c r="N620" s="161"/>
      <c r="O620" s="161"/>
      <c r="P620" s="161"/>
      <c r="Q620" s="161"/>
      <c r="R620" s="161"/>
      <c r="S620" s="161"/>
      <c r="T620" s="161"/>
    </row>
    <row r="621" spans="1:20" ht="13">
      <c r="A621" s="161"/>
      <c r="B621" s="161"/>
      <c r="C621" s="161"/>
      <c r="D621" s="161"/>
      <c r="E621" s="161"/>
      <c r="F621" s="161"/>
      <c r="G621" s="161"/>
      <c r="H621" s="161"/>
      <c r="I621" s="161"/>
      <c r="J621" s="161"/>
      <c r="K621" s="161"/>
      <c r="L621" s="161"/>
      <c r="M621" s="161"/>
      <c r="N621" s="161"/>
      <c r="O621" s="161"/>
      <c r="P621" s="161"/>
      <c r="Q621" s="161"/>
      <c r="R621" s="161"/>
      <c r="S621" s="161"/>
      <c r="T621" s="161"/>
    </row>
    <row r="622" spans="1:20" ht="13">
      <c r="A622" s="161"/>
      <c r="B622" s="161"/>
      <c r="C622" s="161"/>
      <c r="D622" s="161"/>
      <c r="E622" s="161"/>
      <c r="F622" s="161"/>
      <c r="G622" s="161"/>
      <c r="H622" s="161"/>
      <c r="I622" s="161"/>
      <c r="J622" s="161"/>
      <c r="K622" s="161"/>
      <c r="L622" s="161"/>
      <c r="M622" s="161"/>
      <c r="N622" s="161"/>
      <c r="O622" s="161"/>
      <c r="P622" s="161"/>
      <c r="Q622" s="161"/>
      <c r="R622" s="161"/>
      <c r="S622" s="161"/>
      <c r="T622" s="161"/>
    </row>
    <row r="623" spans="1:20" ht="13">
      <c r="A623" s="161"/>
      <c r="B623" s="161"/>
      <c r="C623" s="161"/>
      <c r="D623" s="161"/>
      <c r="E623" s="161"/>
      <c r="F623" s="161"/>
      <c r="G623" s="161"/>
      <c r="H623" s="161"/>
      <c r="I623" s="161"/>
      <c r="J623" s="161"/>
      <c r="K623" s="161"/>
      <c r="L623" s="161"/>
      <c r="M623" s="161"/>
      <c r="N623" s="161"/>
      <c r="O623" s="161"/>
      <c r="P623" s="161"/>
      <c r="Q623" s="161"/>
      <c r="R623" s="161"/>
      <c r="S623" s="161"/>
      <c r="T623" s="161"/>
    </row>
    <row r="624" spans="1:20" ht="13">
      <c r="A624" s="161"/>
      <c r="B624" s="161"/>
      <c r="C624" s="161"/>
      <c r="D624" s="161"/>
      <c r="E624" s="161"/>
      <c r="F624" s="161"/>
      <c r="G624" s="161"/>
      <c r="H624" s="161"/>
      <c r="I624" s="161"/>
      <c r="J624" s="161"/>
      <c r="K624" s="161"/>
      <c r="L624" s="161"/>
      <c r="M624" s="161"/>
      <c r="N624" s="161"/>
      <c r="O624" s="161"/>
      <c r="P624" s="161"/>
      <c r="Q624" s="161"/>
      <c r="R624" s="161"/>
      <c r="S624" s="161"/>
      <c r="T624" s="161"/>
    </row>
    <row r="625" spans="1:20" ht="13">
      <c r="A625" s="161"/>
      <c r="B625" s="161"/>
      <c r="C625" s="161"/>
      <c r="D625" s="161"/>
      <c r="E625" s="161"/>
      <c r="F625" s="161"/>
      <c r="G625" s="161"/>
      <c r="H625" s="161"/>
      <c r="I625" s="161"/>
      <c r="J625" s="161"/>
      <c r="K625" s="161"/>
      <c r="L625" s="161"/>
      <c r="M625" s="161"/>
      <c r="N625" s="161"/>
      <c r="O625" s="161"/>
      <c r="P625" s="161"/>
      <c r="Q625" s="161"/>
      <c r="R625" s="161"/>
      <c r="S625" s="161"/>
      <c r="T625" s="161"/>
    </row>
    <row r="626" spans="1:20" ht="13">
      <c r="A626" s="161"/>
      <c r="B626" s="161"/>
      <c r="C626" s="161"/>
      <c r="D626" s="161"/>
      <c r="E626" s="161"/>
      <c r="F626" s="161"/>
      <c r="G626" s="161"/>
      <c r="H626" s="161"/>
      <c r="I626" s="161"/>
      <c r="J626" s="161"/>
      <c r="K626" s="161"/>
      <c r="L626" s="161"/>
      <c r="M626" s="161"/>
      <c r="N626" s="161"/>
      <c r="O626" s="161"/>
      <c r="P626" s="161"/>
      <c r="Q626" s="161"/>
      <c r="R626" s="161"/>
      <c r="S626" s="161"/>
      <c r="T626" s="161"/>
    </row>
    <row r="627" spans="1:20" ht="13">
      <c r="A627" s="161"/>
      <c r="B627" s="161"/>
      <c r="C627" s="161"/>
      <c r="D627" s="161"/>
      <c r="E627" s="161"/>
      <c r="F627" s="161"/>
      <c r="G627" s="161"/>
      <c r="H627" s="161"/>
      <c r="I627" s="161"/>
      <c r="J627" s="161"/>
      <c r="K627" s="161"/>
      <c r="L627" s="161"/>
      <c r="M627" s="161"/>
      <c r="N627" s="161"/>
      <c r="O627" s="161"/>
      <c r="P627" s="161"/>
      <c r="Q627" s="161"/>
      <c r="R627" s="161"/>
      <c r="S627" s="161"/>
      <c r="T627" s="161"/>
    </row>
    <row r="628" spans="1:20" ht="13">
      <c r="A628" s="161"/>
      <c r="B628" s="161"/>
      <c r="C628" s="161"/>
      <c r="D628" s="161"/>
      <c r="E628" s="161"/>
      <c r="F628" s="161"/>
      <c r="G628" s="161"/>
      <c r="H628" s="161"/>
      <c r="I628" s="161"/>
      <c r="J628" s="161"/>
      <c r="K628" s="161"/>
      <c r="L628" s="161"/>
      <c r="M628" s="161"/>
      <c r="N628" s="161"/>
      <c r="O628" s="161"/>
      <c r="P628" s="161"/>
      <c r="Q628" s="161"/>
      <c r="R628" s="161"/>
      <c r="S628" s="161"/>
      <c r="T628" s="161"/>
    </row>
    <row r="629" spans="1:20" ht="13">
      <c r="A629" s="161"/>
      <c r="B629" s="161"/>
      <c r="C629" s="161"/>
      <c r="D629" s="161"/>
      <c r="E629" s="161"/>
      <c r="F629" s="161"/>
      <c r="G629" s="161"/>
      <c r="H629" s="161"/>
      <c r="I629" s="161"/>
      <c r="J629" s="161"/>
      <c r="K629" s="161"/>
      <c r="L629" s="161"/>
      <c r="M629" s="161"/>
      <c r="N629" s="161"/>
      <c r="O629" s="161"/>
      <c r="P629" s="161"/>
      <c r="Q629" s="161"/>
      <c r="R629" s="161"/>
      <c r="S629" s="161"/>
      <c r="T629" s="161"/>
    </row>
    <row r="630" spans="1:20" ht="13">
      <c r="A630" s="161"/>
      <c r="B630" s="161"/>
      <c r="C630" s="161"/>
      <c r="D630" s="161"/>
      <c r="E630" s="161"/>
      <c r="F630" s="161"/>
      <c r="G630" s="161"/>
      <c r="H630" s="161"/>
      <c r="I630" s="161"/>
      <c r="J630" s="161"/>
      <c r="K630" s="161"/>
      <c r="L630" s="161"/>
      <c r="M630" s="161"/>
      <c r="N630" s="161"/>
      <c r="O630" s="161"/>
      <c r="P630" s="161"/>
      <c r="Q630" s="161"/>
      <c r="R630" s="161"/>
      <c r="S630" s="161"/>
      <c r="T630" s="161"/>
    </row>
    <row r="631" spans="1:20" ht="13">
      <c r="A631" s="161"/>
      <c r="B631" s="161"/>
      <c r="C631" s="161"/>
      <c r="D631" s="161"/>
      <c r="E631" s="161"/>
      <c r="F631" s="161"/>
      <c r="G631" s="161"/>
      <c r="H631" s="161"/>
      <c r="I631" s="161"/>
      <c r="J631" s="161"/>
      <c r="K631" s="161"/>
      <c r="L631" s="161"/>
      <c r="M631" s="161"/>
      <c r="N631" s="161"/>
      <c r="O631" s="161"/>
      <c r="P631" s="161"/>
      <c r="Q631" s="161"/>
      <c r="R631" s="161"/>
      <c r="S631" s="161"/>
      <c r="T631" s="161"/>
    </row>
    <row r="632" spans="1:20" ht="13">
      <c r="A632" s="161"/>
      <c r="B632" s="161"/>
      <c r="C632" s="161"/>
      <c r="D632" s="161"/>
      <c r="E632" s="161"/>
      <c r="F632" s="161"/>
      <c r="G632" s="161"/>
      <c r="H632" s="161"/>
      <c r="I632" s="161"/>
      <c r="J632" s="161"/>
      <c r="K632" s="161"/>
      <c r="L632" s="161"/>
      <c r="M632" s="161"/>
      <c r="N632" s="161"/>
      <c r="O632" s="161"/>
      <c r="P632" s="161"/>
      <c r="Q632" s="161"/>
      <c r="R632" s="161"/>
      <c r="S632" s="161"/>
      <c r="T632" s="161"/>
    </row>
    <row r="633" spans="1:20" ht="13">
      <c r="A633" s="161"/>
      <c r="B633" s="161"/>
      <c r="C633" s="161"/>
      <c r="D633" s="161"/>
      <c r="E633" s="161"/>
      <c r="F633" s="161"/>
      <c r="G633" s="161"/>
      <c r="H633" s="161"/>
      <c r="I633" s="161"/>
      <c r="J633" s="161"/>
      <c r="K633" s="161"/>
      <c r="L633" s="161"/>
      <c r="M633" s="161"/>
      <c r="N633" s="161"/>
      <c r="O633" s="161"/>
      <c r="P633" s="161"/>
      <c r="Q633" s="161"/>
      <c r="R633" s="161"/>
      <c r="S633" s="161"/>
      <c r="T633" s="161"/>
    </row>
    <row r="634" spans="1:20" ht="13">
      <c r="A634" s="161"/>
      <c r="B634" s="161"/>
      <c r="C634" s="161"/>
      <c r="D634" s="161"/>
      <c r="E634" s="161"/>
      <c r="F634" s="161"/>
      <c r="G634" s="161"/>
      <c r="H634" s="161"/>
      <c r="I634" s="161"/>
      <c r="J634" s="161"/>
      <c r="K634" s="161"/>
      <c r="L634" s="161"/>
      <c r="M634" s="161"/>
      <c r="N634" s="161"/>
      <c r="O634" s="161"/>
      <c r="P634" s="161"/>
      <c r="Q634" s="161"/>
      <c r="R634" s="161"/>
      <c r="S634" s="161"/>
      <c r="T634" s="161"/>
    </row>
    <row r="635" spans="1:20" ht="13">
      <c r="A635" s="161"/>
      <c r="B635" s="161"/>
      <c r="C635" s="161"/>
      <c r="D635" s="161"/>
      <c r="E635" s="161"/>
      <c r="F635" s="161"/>
      <c r="G635" s="161"/>
      <c r="H635" s="161"/>
      <c r="I635" s="161"/>
      <c r="J635" s="161"/>
      <c r="K635" s="161"/>
      <c r="L635" s="161"/>
      <c r="M635" s="161"/>
      <c r="N635" s="161"/>
      <c r="O635" s="161"/>
      <c r="P635" s="161"/>
      <c r="Q635" s="161"/>
      <c r="R635" s="161"/>
      <c r="S635" s="161"/>
      <c r="T635" s="161"/>
    </row>
    <row r="636" spans="1:20" ht="13">
      <c r="A636" s="161"/>
      <c r="B636" s="161"/>
      <c r="C636" s="161"/>
      <c r="D636" s="161"/>
      <c r="E636" s="161"/>
      <c r="F636" s="161"/>
      <c r="G636" s="161"/>
      <c r="H636" s="161"/>
      <c r="I636" s="161"/>
      <c r="J636" s="161"/>
      <c r="K636" s="161"/>
      <c r="L636" s="161"/>
      <c r="M636" s="161"/>
      <c r="N636" s="161"/>
      <c r="O636" s="161"/>
      <c r="P636" s="161"/>
      <c r="Q636" s="161"/>
      <c r="R636" s="161"/>
      <c r="S636" s="161"/>
      <c r="T636" s="161"/>
    </row>
    <row r="637" spans="1:20" ht="13">
      <c r="A637" s="161"/>
      <c r="B637" s="161"/>
      <c r="C637" s="161"/>
      <c r="D637" s="161"/>
      <c r="E637" s="161"/>
      <c r="F637" s="161"/>
      <c r="G637" s="161"/>
      <c r="H637" s="161"/>
      <c r="I637" s="161"/>
      <c r="J637" s="161"/>
      <c r="K637" s="161"/>
      <c r="L637" s="161"/>
      <c r="M637" s="161"/>
      <c r="N637" s="161"/>
      <c r="O637" s="161"/>
      <c r="P637" s="161"/>
      <c r="Q637" s="161"/>
      <c r="R637" s="161"/>
      <c r="S637" s="161"/>
      <c r="T637" s="161"/>
    </row>
    <row r="638" spans="1:20" ht="13">
      <c r="A638" s="161"/>
      <c r="B638" s="161"/>
      <c r="C638" s="161"/>
      <c r="D638" s="161"/>
      <c r="E638" s="161"/>
      <c r="F638" s="161"/>
      <c r="G638" s="161"/>
      <c r="H638" s="161"/>
      <c r="I638" s="161"/>
      <c r="J638" s="161"/>
      <c r="K638" s="161"/>
      <c r="L638" s="161"/>
      <c r="M638" s="161"/>
      <c r="N638" s="161"/>
      <c r="O638" s="161"/>
      <c r="P638" s="161"/>
      <c r="Q638" s="161"/>
      <c r="R638" s="161"/>
      <c r="S638" s="161"/>
      <c r="T638" s="161"/>
    </row>
    <row r="639" spans="1:20" ht="13">
      <c r="A639" s="161"/>
      <c r="B639" s="161"/>
      <c r="C639" s="161"/>
      <c r="D639" s="161"/>
      <c r="E639" s="161"/>
      <c r="F639" s="161"/>
      <c r="G639" s="161"/>
      <c r="H639" s="161"/>
      <c r="I639" s="161"/>
      <c r="J639" s="161"/>
      <c r="K639" s="161"/>
      <c r="L639" s="161"/>
      <c r="M639" s="161"/>
      <c r="N639" s="161"/>
      <c r="O639" s="161"/>
      <c r="P639" s="161"/>
      <c r="Q639" s="161"/>
      <c r="R639" s="161"/>
      <c r="S639" s="161"/>
      <c r="T639" s="161"/>
    </row>
    <row r="640" spans="1:20" ht="13">
      <c r="A640" s="161"/>
      <c r="B640" s="161"/>
      <c r="C640" s="161"/>
      <c r="D640" s="161"/>
      <c r="E640" s="161"/>
      <c r="F640" s="161"/>
      <c r="G640" s="161"/>
      <c r="H640" s="161"/>
      <c r="I640" s="161"/>
      <c r="J640" s="161"/>
      <c r="K640" s="161"/>
      <c r="L640" s="161"/>
      <c r="M640" s="161"/>
      <c r="N640" s="161"/>
      <c r="O640" s="161"/>
      <c r="P640" s="161"/>
      <c r="Q640" s="161"/>
      <c r="R640" s="161"/>
      <c r="S640" s="161"/>
      <c r="T640" s="161"/>
    </row>
    <row r="641" spans="1:20" ht="13">
      <c r="A641" s="161"/>
      <c r="B641" s="161"/>
      <c r="C641" s="161"/>
      <c r="D641" s="161"/>
      <c r="E641" s="161"/>
      <c r="F641" s="161"/>
      <c r="G641" s="161"/>
      <c r="H641" s="161"/>
      <c r="I641" s="161"/>
      <c r="J641" s="161"/>
      <c r="K641" s="161"/>
      <c r="L641" s="161"/>
      <c r="M641" s="161"/>
      <c r="N641" s="161"/>
      <c r="O641" s="161"/>
      <c r="P641" s="161"/>
      <c r="Q641" s="161"/>
      <c r="R641" s="161"/>
      <c r="S641" s="161"/>
      <c r="T641" s="161"/>
    </row>
    <row r="642" spans="1:20" ht="13">
      <c r="A642" s="161"/>
      <c r="B642" s="161"/>
      <c r="C642" s="161"/>
      <c r="D642" s="161"/>
      <c r="E642" s="161"/>
      <c r="F642" s="161"/>
      <c r="G642" s="161"/>
      <c r="H642" s="161"/>
      <c r="I642" s="161"/>
      <c r="J642" s="161"/>
      <c r="K642" s="161"/>
      <c r="L642" s="161"/>
      <c r="M642" s="161"/>
      <c r="N642" s="161"/>
      <c r="O642" s="161"/>
      <c r="P642" s="161"/>
      <c r="Q642" s="161"/>
      <c r="R642" s="161"/>
      <c r="S642" s="161"/>
      <c r="T642" s="161"/>
    </row>
    <row r="643" spans="1:20" ht="13">
      <c r="A643" s="161"/>
      <c r="B643" s="161"/>
      <c r="C643" s="161"/>
      <c r="D643" s="161"/>
      <c r="E643" s="161"/>
      <c r="F643" s="161"/>
      <c r="G643" s="161"/>
      <c r="H643" s="161"/>
      <c r="I643" s="161"/>
      <c r="J643" s="161"/>
      <c r="K643" s="161"/>
      <c r="L643" s="161"/>
      <c r="M643" s="161"/>
      <c r="N643" s="161"/>
      <c r="O643" s="161"/>
      <c r="P643" s="161"/>
      <c r="Q643" s="161"/>
      <c r="R643" s="161"/>
      <c r="S643" s="161"/>
      <c r="T643" s="161"/>
    </row>
    <row r="644" spans="1:20" ht="13">
      <c r="A644" s="161"/>
      <c r="B644" s="161"/>
      <c r="C644" s="161"/>
      <c r="D644" s="161"/>
      <c r="E644" s="161"/>
      <c r="F644" s="161"/>
      <c r="G644" s="161"/>
      <c r="H644" s="161"/>
      <c r="I644" s="161"/>
      <c r="J644" s="161"/>
      <c r="K644" s="161"/>
      <c r="L644" s="161"/>
      <c r="M644" s="161"/>
      <c r="N644" s="161"/>
      <c r="O644" s="161"/>
      <c r="P644" s="161"/>
      <c r="Q644" s="161"/>
      <c r="R644" s="161"/>
      <c r="S644" s="161"/>
      <c r="T644" s="161"/>
    </row>
    <row r="645" spans="1:20" ht="13">
      <c r="A645" s="161"/>
      <c r="B645" s="161"/>
      <c r="C645" s="161"/>
      <c r="D645" s="161"/>
      <c r="E645" s="161"/>
      <c r="F645" s="161"/>
      <c r="G645" s="161"/>
      <c r="H645" s="161"/>
      <c r="I645" s="161"/>
      <c r="J645" s="161"/>
      <c r="K645" s="161"/>
      <c r="L645" s="161"/>
      <c r="M645" s="161"/>
      <c r="N645" s="161"/>
      <c r="O645" s="161"/>
      <c r="P645" s="161"/>
      <c r="Q645" s="161"/>
      <c r="R645" s="161"/>
      <c r="S645" s="161"/>
      <c r="T645" s="161"/>
    </row>
    <row r="646" spans="1:20" ht="13">
      <c r="A646" s="161"/>
      <c r="B646" s="161"/>
      <c r="C646" s="161"/>
      <c r="D646" s="161"/>
      <c r="E646" s="161"/>
      <c r="F646" s="161"/>
      <c r="G646" s="161"/>
      <c r="H646" s="161"/>
      <c r="I646" s="161"/>
      <c r="J646" s="161"/>
      <c r="K646" s="161"/>
      <c r="L646" s="161"/>
      <c r="M646" s="161"/>
      <c r="N646" s="161"/>
      <c r="O646" s="161"/>
      <c r="P646" s="161"/>
      <c r="Q646" s="161"/>
      <c r="R646" s="161"/>
      <c r="S646" s="161"/>
      <c r="T646" s="161"/>
    </row>
    <row r="647" spans="1:20" ht="13">
      <c r="A647" s="161"/>
      <c r="B647" s="161"/>
      <c r="C647" s="161"/>
      <c r="D647" s="161"/>
      <c r="E647" s="161"/>
      <c r="F647" s="161"/>
      <c r="G647" s="161"/>
      <c r="H647" s="161"/>
      <c r="I647" s="161"/>
      <c r="J647" s="161"/>
      <c r="K647" s="161"/>
      <c r="L647" s="161"/>
      <c r="M647" s="161"/>
      <c r="N647" s="161"/>
      <c r="O647" s="161"/>
      <c r="P647" s="161"/>
      <c r="Q647" s="161"/>
      <c r="R647" s="161"/>
      <c r="S647" s="161"/>
      <c r="T647" s="161"/>
    </row>
    <row r="648" spans="1:20" ht="13">
      <c r="A648" s="161"/>
      <c r="B648" s="161"/>
      <c r="C648" s="161"/>
      <c r="D648" s="161"/>
      <c r="E648" s="161"/>
      <c r="F648" s="161"/>
      <c r="G648" s="161"/>
      <c r="H648" s="161"/>
      <c r="I648" s="161"/>
      <c r="J648" s="161"/>
      <c r="K648" s="161"/>
      <c r="L648" s="161"/>
      <c r="M648" s="161"/>
      <c r="N648" s="161"/>
      <c r="O648" s="161"/>
      <c r="P648" s="161"/>
      <c r="Q648" s="161"/>
      <c r="R648" s="161"/>
      <c r="S648" s="161"/>
      <c r="T648" s="161"/>
    </row>
    <row r="649" spans="1:20" ht="13">
      <c r="A649" s="161"/>
      <c r="B649" s="161"/>
      <c r="C649" s="161"/>
      <c r="D649" s="161"/>
      <c r="E649" s="161"/>
      <c r="F649" s="161"/>
      <c r="G649" s="161"/>
      <c r="H649" s="161"/>
      <c r="I649" s="161"/>
      <c r="J649" s="161"/>
      <c r="K649" s="161"/>
      <c r="L649" s="161"/>
      <c r="M649" s="161"/>
      <c r="N649" s="161"/>
      <c r="O649" s="161"/>
      <c r="P649" s="161"/>
      <c r="Q649" s="161"/>
      <c r="R649" s="161"/>
      <c r="S649" s="161"/>
      <c r="T649" s="161"/>
    </row>
    <row r="650" spans="1:20" ht="13">
      <c r="A650" s="161"/>
      <c r="B650" s="161"/>
      <c r="C650" s="161"/>
      <c r="D650" s="161"/>
      <c r="E650" s="161"/>
      <c r="F650" s="161"/>
      <c r="G650" s="161"/>
      <c r="H650" s="161"/>
      <c r="I650" s="161"/>
      <c r="J650" s="161"/>
      <c r="K650" s="161"/>
      <c r="L650" s="161"/>
      <c r="M650" s="161"/>
      <c r="N650" s="161"/>
      <c r="O650" s="161"/>
      <c r="P650" s="161"/>
      <c r="Q650" s="161"/>
      <c r="R650" s="161"/>
      <c r="S650" s="161"/>
      <c r="T650" s="161"/>
    </row>
    <row r="651" spans="1:20" ht="13">
      <c r="A651" s="161"/>
      <c r="B651" s="161"/>
      <c r="C651" s="161"/>
      <c r="D651" s="161"/>
      <c r="E651" s="161"/>
      <c r="F651" s="161"/>
      <c r="G651" s="161"/>
      <c r="H651" s="161"/>
      <c r="I651" s="161"/>
      <c r="J651" s="161"/>
      <c r="K651" s="161"/>
      <c r="L651" s="161"/>
      <c r="M651" s="161"/>
      <c r="N651" s="161"/>
      <c r="O651" s="161"/>
      <c r="P651" s="161"/>
      <c r="Q651" s="161"/>
      <c r="R651" s="161"/>
      <c r="S651" s="161"/>
      <c r="T651" s="161"/>
    </row>
    <row r="652" spans="1:20" ht="13">
      <c r="A652" s="161"/>
      <c r="B652" s="161"/>
      <c r="C652" s="161"/>
      <c r="D652" s="161"/>
      <c r="E652" s="161"/>
      <c r="F652" s="161"/>
      <c r="G652" s="161"/>
      <c r="H652" s="161"/>
      <c r="I652" s="161"/>
      <c r="J652" s="161"/>
      <c r="K652" s="161"/>
      <c r="L652" s="161"/>
      <c r="M652" s="161"/>
      <c r="N652" s="161"/>
      <c r="O652" s="161"/>
      <c r="P652" s="161"/>
      <c r="Q652" s="161"/>
      <c r="R652" s="161"/>
      <c r="S652" s="161"/>
      <c r="T652" s="161"/>
    </row>
    <row r="653" spans="1:20" ht="13">
      <c r="A653" s="161"/>
      <c r="B653" s="161"/>
      <c r="C653" s="161"/>
      <c r="D653" s="161"/>
      <c r="E653" s="161"/>
      <c r="F653" s="161"/>
      <c r="G653" s="161"/>
      <c r="H653" s="161"/>
      <c r="I653" s="161"/>
      <c r="J653" s="161"/>
      <c r="K653" s="161"/>
      <c r="L653" s="161"/>
      <c r="M653" s="161"/>
      <c r="N653" s="161"/>
      <c r="O653" s="161"/>
      <c r="P653" s="161"/>
      <c r="Q653" s="161"/>
      <c r="R653" s="161"/>
      <c r="S653" s="161"/>
      <c r="T653" s="161"/>
    </row>
    <row r="654" spans="1:20" ht="13">
      <c r="A654" s="161"/>
      <c r="B654" s="161"/>
      <c r="C654" s="161"/>
      <c r="D654" s="161"/>
      <c r="E654" s="161"/>
      <c r="F654" s="161"/>
      <c r="G654" s="161"/>
      <c r="H654" s="161"/>
      <c r="I654" s="161"/>
      <c r="J654" s="161"/>
      <c r="K654" s="161"/>
      <c r="L654" s="161"/>
      <c r="M654" s="161"/>
      <c r="N654" s="161"/>
      <c r="O654" s="161"/>
      <c r="P654" s="161"/>
      <c r="Q654" s="161"/>
      <c r="R654" s="161"/>
      <c r="S654" s="161"/>
      <c r="T654" s="161"/>
    </row>
    <row r="655" spans="1:20" ht="13">
      <c r="A655" s="161"/>
      <c r="B655" s="161"/>
      <c r="C655" s="161"/>
      <c r="D655" s="161"/>
      <c r="E655" s="161"/>
      <c r="F655" s="161"/>
      <c r="G655" s="161"/>
      <c r="H655" s="161"/>
      <c r="I655" s="161"/>
      <c r="J655" s="161"/>
      <c r="K655" s="161"/>
      <c r="L655" s="161"/>
      <c r="M655" s="161"/>
      <c r="N655" s="161"/>
      <c r="O655" s="161"/>
      <c r="P655" s="161"/>
      <c r="Q655" s="161"/>
      <c r="R655" s="161"/>
      <c r="S655" s="161"/>
      <c r="T655" s="161"/>
    </row>
    <row r="656" spans="1:20" ht="13">
      <c r="A656" s="161"/>
      <c r="B656" s="161"/>
      <c r="C656" s="161"/>
      <c r="D656" s="161"/>
      <c r="E656" s="161"/>
      <c r="F656" s="161"/>
      <c r="G656" s="161"/>
      <c r="H656" s="161"/>
      <c r="I656" s="161"/>
      <c r="J656" s="161"/>
      <c r="K656" s="161"/>
      <c r="L656" s="161"/>
      <c r="M656" s="161"/>
      <c r="N656" s="161"/>
      <c r="O656" s="161"/>
      <c r="P656" s="161"/>
      <c r="Q656" s="161"/>
      <c r="R656" s="161"/>
      <c r="S656" s="161"/>
      <c r="T656" s="161"/>
    </row>
    <row r="657" spans="1:20" ht="13">
      <c r="A657" s="161"/>
      <c r="B657" s="161"/>
      <c r="C657" s="161"/>
      <c r="D657" s="161"/>
      <c r="E657" s="161"/>
      <c r="F657" s="161"/>
      <c r="G657" s="161"/>
      <c r="H657" s="161"/>
      <c r="I657" s="161"/>
      <c r="J657" s="161"/>
      <c r="K657" s="161"/>
      <c r="L657" s="161"/>
      <c r="M657" s="161"/>
      <c r="N657" s="161"/>
      <c r="O657" s="161"/>
      <c r="P657" s="161"/>
      <c r="Q657" s="161"/>
      <c r="R657" s="161"/>
      <c r="S657" s="161"/>
      <c r="T657" s="161"/>
    </row>
    <row r="658" spans="1:20" ht="13">
      <c r="A658" s="161"/>
      <c r="B658" s="161"/>
      <c r="C658" s="161"/>
      <c r="D658" s="161"/>
      <c r="E658" s="161"/>
      <c r="F658" s="161"/>
      <c r="G658" s="161"/>
      <c r="H658" s="161"/>
      <c r="I658" s="161"/>
      <c r="J658" s="161"/>
      <c r="K658" s="161"/>
      <c r="L658" s="161"/>
      <c r="M658" s="161"/>
      <c r="N658" s="161"/>
      <c r="O658" s="161"/>
      <c r="P658" s="161"/>
      <c r="Q658" s="161"/>
      <c r="R658" s="161"/>
      <c r="S658" s="161"/>
      <c r="T658" s="161"/>
    </row>
    <row r="659" spans="1:20" ht="13">
      <c r="A659" s="161"/>
      <c r="B659" s="161"/>
      <c r="C659" s="161"/>
      <c r="D659" s="161"/>
      <c r="E659" s="161"/>
      <c r="F659" s="161"/>
      <c r="G659" s="161"/>
      <c r="H659" s="161"/>
      <c r="I659" s="161"/>
      <c r="J659" s="161"/>
      <c r="K659" s="161"/>
      <c r="L659" s="161"/>
      <c r="M659" s="161"/>
      <c r="N659" s="161"/>
      <c r="O659" s="161"/>
      <c r="P659" s="161"/>
      <c r="Q659" s="161"/>
      <c r="R659" s="161"/>
      <c r="S659" s="161"/>
      <c r="T659" s="161"/>
    </row>
    <row r="660" spans="1:20" ht="13">
      <c r="A660" s="161"/>
      <c r="B660" s="161"/>
      <c r="C660" s="161"/>
      <c r="D660" s="161"/>
      <c r="E660" s="161"/>
      <c r="F660" s="161"/>
      <c r="G660" s="161"/>
      <c r="H660" s="161"/>
      <c r="I660" s="161"/>
      <c r="J660" s="161"/>
      <c r="K660" s="161"/>
      <c r="L660" s="161"/>
      <c r="M660" s="161"/>
      <c r="N660" s="161"/>
      <c r="O660" s="161"/>
      <c r="P660" s="161"/>
      <c r="Q660" s="161"/>
      <c r="R660" s="161"/>
      <c r="S660" s="161"/>
      <c r="T660" s="161"/>
    </row>
    <row r="661" spans="1:20" ht="13">
      <c r="A661" s="161"/>
      <c r="B661" s="161"/>
      <c r="C661" s="161"/>
      <c r="D661" s="161"/>
      <c r="E661" s="161"/>
      <c r="F661" s="161"/>
      <c r="G661" s="161"/>
      <c r="H661" s="161"/>
      <c r="I661" s="161"/>
      <c r="J661" s="161"/>
      <c r="K661" s="161"/>
      <c r="L661" s="161"/>
      <c r="M661" s="161"/>
      <c r="N661" s="161"/>
      <c r="O661" s="161"/>
      <c r="P661" s="161"/>
      <c r="Q661" s="161"/>
      <c r="R661" s="161"/>
      <c r="S661" s="161"/>
      <c r="T661" s="161"/>
    </row>
    <row r="662" spans="1:20" ht="13">
      <c r="A662" s="161"/>
      <c r="B662" s="161"/>
      <c r="C662" s="161"/>
      <c r="D662" s="161"/>
      <c r="E662" s="161"/>
      <c r="F662" s="161"/>
      <c r="G662" s="161"/>
      <c r="H662" s="161"/>
      <c r="I662" s="161"/>
      <c r="J662" s="161"/>
      <c r="K662" s="161"/>
      <c r="L662" s="161"/>
      <c r="M662" s="161"/>
      <c r="N662" s="161"/>
      <c r="O662" s="161"/>
      <c r="P662" s="161"/>
      <c r="Q662" s="161"/>
      <c r="R662" s="161"/>
      <c r="S662" s="161"/>
      <c r="T662" s="161"/>
    </row>
    <row r="663" spans="1:20" ht="13">
      <c r="A663" s="161"/>
      <c r="B663" s="161"/>
      <c r="C663" s="161"/>
      <c r="D663" s="161"/>
      <c r="E663" s="161"/>
      <c r="F663" s="161"/>
      <c r="G663" s="161"/>
      <c r="H663" s="161"/>
      <c r="I663" s="161"/>
      <c r="J663" s="161"/>
      <c r="K663" s="161"/>
      <c r="L663" s="161"/>
      <c r="M663" s="161"/>
      <c r="N663" s="161"/>
      <c r="O663" s="161"/>
      <c r="P663" s="161"/>
      <c r="Q663" s="161"/>
      <c r="R663" s="161"/>
      <c r="S663" s="161"/>
      <c r="T663" s="161"/>
    </row>
    <row r="664" spans="1:20" ht="13">
      <c r="A664" s="161"/>
      <c r="B664" s="161"/>
      <c r="C664" s="161"/>
      <c r="D664" s="161"/>
      <c r="E664" s="161"/>
      <c r="F664" s="161"/>
      <c r="G664" s="161"/>
      <c r="H664" s="161"/>
      <c r="I664" s="161"/>
      <c r="J664" s="161"/>
      <c r="K664" s="161"/>
      <c r="L664" s="161"/>
      <c r="M664" s="161"/>
      <c r="N664" s="161"/>
      <c r="O664" s="161"/>
      <c r="P664" s="161"/>
      <c r="Q664" s="161"/>
      <c r="R664" s="161"/>
      <c r="S664" s="161"/>
      <c r="T664" s="161"/>
    </row>
    <row r="665" spans="1:20" ht="13">
      <c r="A665" s="161"/>
      <c r="B665" s="161"/>
      <c r="C665" s="161"/>
      <c r="D665" s="161"/>
      <c r="E665" s="161"/>
      <c r="F665" s="161"/>
      <c r="G665" s="161"/>
      <c r="H665" s="161"/>
      <c r="I665" s="161"/>
      <c r="J665" s="161"/>
      <c r="K665" s="161"/>
      <c r="L665" s="161"/>
      <c r="M665" s="161"/>
      <c r="N665" s="161"/>
      <c r="O665" s="161"/>
      <c r="P665" s="161"/>
      <c r="Q665" s="161"/>
      <c r="R665" s="161"/>
      <c r="S665" s="161"/>
      <c r="T665" s="161"/>
    </row>
    <row r="666" spans="1:20" ht="13">
      <c r="A666" s="161"/>
      <c r="B666" s="161"/>
      <c r="C666" s="161"/>
      <c r="D666" s="161"/>
      <c r="E666" s="161"/>
      <c r="F666" s="161"/>
      <c r="G666" s="161"/>
      <c r="H666" s="161"/>
      <c r="I666" s="161"/>
      <c r="J666" s="161"/>
      <c r="K666" s="161"/>
      <c r="L666" s="161"/>
      <c r="M666" s="161"/>
      <c r="N666" s="161"/>
      <c r="O666" s="161"/>
      <c r="P666" s="161"/>
      <c r="Q666" s="161"/>
      <c r="R666" s="161"/>
      <c r="S666" s="161"/>
      <c r="T666" s="161"/>
    </row>
    <row r="667" spans="1:20" ht="13">
      <c r="A667" s="161"/>
      <c r="B667" s="161"/>
      <c r="C667" s="161"/>
      <c r="D667" s="161"/>
      <c r="E667" s="161"/>
      <c r="F667" s="161"/>
      <c r="G667" s="161"/>
      <c r="H667" s="161"/>
      <c r="I667" s="161"/>
      <c r="J667" s="161"/>
      <c r="K667" s="161"/>
      <c r="L667" s="161"/>
      <c r="M667" s="161"/>
      <c r="N667" s="161"/>
      <c r="O667" s="161"/>
      <c r="P667" s="161"/>
      <c r="Q667" s="161"/>
      <c r="R667" s="161"/>
      <c r="S667" s="161"/>
      <c r="T667" s="161"/>
    </row>
    <row r="668" spans="1:20" ht="13">
      <c r="A668" s="161"/>
      <c r="B668" s="161"/>
      <c r="C668" s="161"/>
      <c r="D668" s="161"/>
      <c r="E668" s="161"/>
      <c r="F668" s="161"/>
      <c r="G668" s="161"/>
      <c r="H668" s="161"/>
      <c r="I668" s="161"/>
      <c r="J668" s="161"/>
      <c r="K668" s="161"/>
      <c r="L668" s="161"/>
      <c r="M668" s="161"/>
      <c r="N668" s="161"/>
      <c r="O668" s="161"/>
      <c r="P668" s="161"/>
      <c r="Q668" s="161"/>
      <c r="R668" s="161"/>
      <c r="S668" s="161"/>
      <c r="T668" s="161"/>
    </row>
    <row r="669" spans="1:20" ht="13">
      <c r="A669" s="161"/>
      <c r="B669" s="161"/>
      <c r="C669" s="161"/>
      <c r="D669" s="161"/>
      <c r="E669" s="161"/>
      <c r="F669" s="161"/>
      <c r="G669" s="161"/>
      <c r="H669" s="161"/>
      <c r="I669" s="161"/>
      <c r="J669" s="161"/>
      <c r="K669" s="161"/>
      <c r="L669" s="161"/>
      <c r="M669" s="161"/>
      <c r="N669" s="161"/>
      <c r="O669" s="161"/>
      <c r="P669" s="161"/>
      <c r="Q669" s="161"/>
      <c r="R669" s="161"/>
      <c r="S669" s="161"/>
      <c r="T669" s="161"/>
    </row>
    <row r="670" spans="1:20" ht="13">
      <c r="A670" s="161"/>
      <c r="B670" s="161"/>
      <c r="C670" s="161"/>
      <c r="D670" s="161"/>
      <c r="E670" s="161"/>
      <c r="F670" s="161"/>
      <c r="G670" s="161"/>
      <c r="H670" s="161"/>
      <c r="I670" s="161"/>
      <c r="J670" s="161"/>
      <c r="K670" s="161"/>
      <c r="L670" s="161"/>
      <c r="M670" s="161"/>
      <c r="N670" s="161"/>
      <c r="O670" s="161"/>
      <c r="P670" s="161"/>
      <c r="Q670" s="161"/>
      <c r="R670" s="161"/>
      <c r="S670" s="161"/>
      <c r="T670" s="161"/>
    </row>
    <row r="671" spans="1:20" ht="13">
      <c r="A671" s="161"/>
      <c r="B671" s="161"/>
      <c r="C671" s="161"/>
      <c r="D671" s="161"/>
      <c r="E671" s="161"/>
      <c r="F671" s="161"/>
      <c r="G671" s="161"/>
      <c r="H671" s="161"/>
      <c r="I671" s="161"/>
      <c r="J671" s="161"/>
      <c r="K671" s="161"/>
      <c r="L671" s="161"/>
      <c r="M671" s="161"/>
      <c r="N671" s="161"/>
      <c r="O671" s="161"/>
      <c r="P671" s="161"/>
      <c r="Q671" s="161"/>
      <c r="R671" s="161"/>
      <c r="S671" s="161"/>
      <c r="T671" s="161"/>
    </row>
    <row r="672" spans="1:20" ht="13">
      <c r="A672" s="161"/>
      <c r="B672" s="161"/>
      <c r="C672" s="161"/>
      <c r="D672" s="161"/>
      <c r="E672" s="161"/>
      <c r="F672" s="161"/>
      <c r="G672" s="161"/>
      <c r="H672" s="161"/>
      <c r="I672" s="161"/>
      <c r="J672" s="161"/>
      <c r="K672" s="161"/>
      <c r="L672" s="161"/>
      <c r="M672" s="161"/>
      <c r="N672" s="161"/>
      <c r="O672" s="161"/>
      <c r="P672" s="161"/>
      <c r="Q672" s="161"/>
      <c r="R672" s="161"/>
      <c r="S672" s="161"/>
      <c r="T672" s="161"/>
    </row>
    <row r="673" spans="1:20" ht="13">
      <c r="A673" s="161"/>
      <c r="B673" s="161"/>
      <c r="C673" s="161"/>
      <c r="D673" s="161"/>
      <c r="E673" s="161"/>
      <c r="F673" s="161"/>
      <c r="G673" s="161"/>
      <c r="H673" s="161"/>
      <c r="I673" s="161"/>
      <c r="J673" s="161"/>
      <c r="K673" s="161"/>
      <c r="L673" s="161"/>
      <c r="M673" s="161"/>
      <c r="N673" s="161"/>
      <c r="O673" s="161"/>
      <c r="P673" s="161"/>
      <c r="Q673" s="161"/>
      <c r="R673" s="161"/>
      <c r="S673" s="161"/>
      <c r="T673" s="161"/>
    </row>
    <row r="674" spans="1:20" ht="13">
      <c r="A674" s="161"/>
      <c r="B674" s="161"/>
      <c r="C674" s="161"/>
      <c r="D674" s="161"/>
      <c r="E674" s="161"/>
      <c r="F674" s="161"/>
      <c r="G674" s="161"/>
      <c r="H674" s="161"/>
      <c r="I674" s="161"/>
      <c r="J674" s="161"/>
      <c r="K674" s="161"/>
      <c r="L674" s="161"/>
      <c r="M674" s="161"/>
      <c r="N674" s="161"/>
      <c r="O674" s="161"/>
      <c r="P674" s="161"/>
      <c r="Q674" s="161"/>
      <c r="R674" s="161"/>
      <c r="S674" s="161"/>
      <c r="T674" s="161"/>
    </row>
    <row r="675" spans="1:20" ht="13">
      <c r="A675" s="161"/>
      <c r="B675" s="161"/>
      <c r="C675" s="161"/>
      <c r="D675" s="161"/>
      <c r="E675" s="161"/>
      <c r="F675" s="161"/>
      <c r="G675" s="161"/>
      <c r="H675" s="161"/>
      <c r="I675" s="161"/>
      <c r="J675" s="161"/>
      <c r="K675" s="161"/>
      <c r="L675" s="161"/>
      <c r="M675" s="161"/>
      <c r="N675" s="161"/>
      <c r="O675" s="161"/>
      <c r="P675" s="161"/>
      <c r="Q675" s="161"/>
      <c r="R675" s="161"/>
      <c r="S675" s="161"/>
      <c r="T675" s="161"/>
    </row>
    <row r="676" spans="1:20" ht="13">
      <c r="A676" s="161"/>
      <c r="B676" s="161"/>
      <c r="C676" s="161"/>
      <c r="D676" s="161"/>
      <c r="E676" s="161"/>
      <c r="F676" s="161"/>
      <c r="G676" s="161"/>
      <c r="H676" s="161"/>
      <c r="I676" s="161"/>
      <c r="J676" s="161"/>
      <c r="K676" s="161"/>
      <c r="L676" s="161"/>
      <c r="M676" s="161"/>
      <c r="N676" s="161"/>
      <c r="O676" s="161"/>
      <c r="P676" s="161"/>
      <c r="Q676" s="161"/>
      <c r="R676" s="161"/>
      <c r="S676" s="161"/>
      <c r="T676" s="161"/>
    </row>
    <row r="677" spans="1:20" ht="13">
      <c r="A677" s="161"/>
      <c r="B677" s="161"/>
      <c r="C677" s="161"/>
      <c r="D677" s="161"/>
      <c r="E677" s="161"/>
      <c r="F677" s="161"/>
      <c r="G677" s="161"/>
      <c r="H677" s="161"/>
      <c r="I677" s="161"/>
      <c r="J677" s="161"/>
      <c r="K677" s="161"/>
      <c r="L677" s="161"/>
      <c r="M677" s="161"/>
      <c r="N677" s="161"/>
      <c r="O677" s="161"/>
      <c r="P677" s="161"/>
      <c r="Q677" s="161"/>
      <c r="R677" s="161"/>
      <c r="S677" s="161"/>
      <c r="T677" s="161"/>
    </row>
    <row r="678" spans="1:20" ht="13">
      <c r="A678" s="161"/>
      <c r="B678" s="161"/>
      <c r="C678" s="161"/>
      <c r="D678" s="161"/>
      <c r="E678" s="161"/>
      <c r="F678" s="161"/>
      <c r="G678" s="161"/>
      <c r="H678" s="161"/>
      <c r="I678" s="161"/>
      <c r="J678" s="161"/>
      <c r="K678" s="161"/>
      <c r="L678" s="161"/>
      <c r="M678" s="161"/>
      <c r="N678" s="161"/>
      <c r="O678" s="161"/>
      <c r="P678" s="161"/>
      <c r="Q678" s="161"/>
      <c r="R678" s="161"/>
      <c r="S678" s="161"/>
      <c r="T678" s="161"/>
    </row>
    <row r="679" spans="1:20" ht="13">
      <c r="A679" s="161"/>
      <c r="B679" s="161"/>
      <c r="C679" s="161"/>
      <c r="D679" s="161"/>
      <c r="E679" s="161"/>
      <c r="F679" s="161"/>
      <c r="G679" s="161"/>
      <c r="H679" s="161"/>
      <c r="I679" s="161"/>
      <c r="J679" s="161"/>
      <c r="K679" s="161"/>
      <c r="L679" s="161"/>
      <c r="M679" s="161"/>
      <c r="N679" s="161"/>
      <c r="O679" s="161"/>
      <c r="P679" s="161"/>
      <c r="Q679" s="161"/>
      <c r="R679" s="161"/>
      <c r="S679" s="161"/>
      <c r="T679" s="161"/>
    </row>
    <row r="680" spans="1:20" ht="13">
      <c r="A680" s="161"/>
      <c r="B680" s="161"/>
      <c r="C680" s="161"/>
      <c r="D680" s="161"/>
      <c r="E680" s="161"/>
      <c r="F680" s="161"/>
      <c r="G680" s="161"/>
      <c r="H680" s="161"/>
      <c r="I680" s="161"/>
      <c r="J680" s="161"/>
      <c r="K680" s="161"/>
      <c r="L680" s="161"/>
      <c r="M680" s="161"/>
      <c r="N680" s="161"/>
      <c r="O680" s="161"/>
      <c r="P680" s="161"/>
      <c r="Q680" s="161"/>
      <c r="R680" s="161"/>
      <c r="S680" s="161"/>
      <c r="T680" s="161"/>
    </row>
    <row r="681" spans="1:20" ht="13">
      <c r="A681" s="161"/>
      <c r="B681" s="161"/>
      <c r="C681" s="161"/>
      <c r="D681" s="161"/>
      <c r="E681" s="161"/>
      <c r="F681" s="161"/>
      <c r="G681" s="161"/>
      <c r="H681" s="161"/>
      <c r="I681" s="161"/>
      <c r="J681" s="161"/>
      <c r="K681" s="161"/>
      <c r="L681" s="161"/>
      <c r="M681" s="161"/>
      <c r="N681" s="161"/>
      <c r="O681" s="161"/>
      <c r="P681" s="161"/>
      <c r="Q681" s="161"/>
      <c r="R681" s="161"/>
      <c r="S681" s="161"/>
      <c r="T681" s="161"/>
    </row>
    <row r="682" spans="1:20" ht="13">
      <c r="A682" s="161"/>
      <c r="B682" s="161"/>
      <c r="C682" s="161"/>
      <c r="D682" s="161"/>
      <c r="E682" s="161"/>
      <c r="F682" s="161"/>
      <c r="G682" s="161"/>
      <c r="H682" s="161"/>
      <c r="I682" s="161"/>
      <c r="J682" s="161"/>
      <c r="K682" s="161"/>
      <c r="L682" s="161"/>
      <c r="M682" s="161"/>
      <c r="N682" s="161"/>
      <c r="O682" s="161"/>
      <c r="P682" s="161"/>
      <c r="Q682" s="161"/>
      <c r="R682" s="161"/>
      <c r="S682" s="161"/>
      <c r="T682" s="161"/>
    </row>
    <row r="683" spans="1:20" ht="13">
      <c r="A683" s="161"/>
      <c r="B683" s="161"/>
      <c r="C683" s="161"/>
      <c r="D683" s="161"/>
      <c r="E683" s="161"/>
      <c r="F683" s="161"/>
      <c r="G683" s="161"/>
      <c r="H683" s="161"/>
      <c r="I683" s="161"/>
      <c r="J683" s="161"/>
      <c r="K683" s="161"/>
      <c r="L683" s="161"/>
      <c r="M683" s="161"/>
      <c r="N683" s="161"/>
      <c r="O683" s="161"/>
      <c r="P683" s="161"/>
      <c r="Q683" s="161"/>
      <c r="R683" s="161"/>
      <c r="S683" s="161"/>
      <c r="T683" s="161"/>
    </row>
    <row r="684" spans="1:20" ht="13">
      <c r="A684" s="161"/>
      <c r="B684" s="161"/>
      <c r="C684" s="161"/>
      <c r="D684" s="161"/>
      <c r="E684" s="161"/>
      <c r="F684" s="161"/>
      <c r="G684" s="161"/>
      <c r="H684" s="161"/>
      <c r="I684" s="161"/>
      <c r="J684" s="161"/>
      <c r="K684" s="161"/>
      <c r="L684" s="161"/>
      <c r="M684" s="161"/>
      <c r="N684" s="161"/>
      <c r="O684" s="161"/>
      <c r="P684" s="161"/>
      <c r="Q684" s="161"/>
      <c r="R684" s="161"/>
      <c r="S684" s="161"/>
      <c r="T684" s="161"/>
    </row>
    <row r="685" spans="1:20" ht="13">
      <c r="A685" s="161"/>
      <c r="B685" s="161"/>
      <c r="C685" s="161"/>
      <c r="D685" s="161"/>
      <c r="E685" s="161"/>
      <c r="F685" s="161"/>
      <c r="G685" s="161"/>
      <c r="H685" s="161"/>
      <c r="I685" s="161"/>
      <c r="J685" s="161"/>
      <c r="K685" s="161"/>
      <c r="L685" s="161"/>
      <c r="M685" s="161"/>
      <c r="N685" s="161"/>
      <c r="O685" s="161"/>
      <c r="P685" s="161"/>
      <c r="Q685" s="161"/>
      <c r="R685" s="161"/>
      <c r="S685" s="161"/>
      <c r="T685" s="161"/>
    </row>
    <row r="686" spans="1:20" ht="13">
      <c r="A686" s="161"/>
      <c r="B686" s="161"/>
      <c r="C686" s="161"/>
      <c r="D686" s="161"/>
      <c r="E686" s="161"/>
      <c r="F686" s="161"/>
      <c r="G686" s="161"/>
      <c r="H686" s="161"/>
      <c r="I686" s="161"/>
      <c r="J686" s="161"/>
      <c r="K686" s="161"/>
      <c r="L686" s="161"/>
      <c r="M686" s="161"/>
      <c r="N686" s="161"/>
      <c r="O686" s="161"/>
      <c r="P686" s="161"/>
      <c r="Q686" s="161"/>
      <c r="R686" s="161"/>
      <c r="S686" s="161"/>
      <c r="T686" s="161"/>
    </row>
    <row r="687" spans="1:20" ht="13">
      <c r="A687" s="161"/>
      <c r="B687" s="161"/>
      <c r="C687" s="161"/>
      <c r="D687" s="161"/>
      <c r="E687" s="161"/>
      <c r="F687" s="161"/>
      <c r="G687" s="161"/>
      <c r="H687" s="161"/>
      <c r="I687" s="161"/>
      <c r="J687" s="161"/>
      <c r="K687" s="161"/>
      <c r="L687" s="161"/>
      <c r="M687" s="161"/>
      <c r="N687" s="161"/>
      <c r="O687" s="161"/>
      <c r="P687" s="161"/>
      <c r="Q687" s="161"/>
      <c r="R687" s="161"/>
      <c r="S687" s="161"/>
      <c r="T687" s="161"/>
    </row>
    <row r="688" spans="1:20" ht="13">
      <c r="A688" s="161"/>
      <c r="B688" s="161"/>
      <c r="C688" s="161"/>
      <c r="D688" s="161"/>
      <c r="E688" s="161"/>
      <c r="F688" s="161"/>
      <c r="G688" s="161"/>
      <c r="H688" s="161"/>
      <c r="I688" s="161"/>
      <c r="J688" s="161"/>
      <c r="K688" s="161"/>
      <c r="L688" s="161"/>
      <c r="M688" s="161"/>
      <c r="N688" s="161"/>
      <c r="O688" s="161"/>
      <c r="P688" s="161"/>
      <c r="Q688" s="161"/>
      <c r="R688" s="161"/>
      <c r="S688" s="161"/>
      <c r="T688" s="161"/>
    </row>
    <row r="689" spans="1:20" ht="13">
      <c r="A689" s="161"/>
      <c r="B689" s="161"/>
      <c r="C689" s="161"/>
      <c r="D689" s="161"/>
      <c r="E689" s="161"/>
      <c r="F689" s="161"/>
      <c r="G689" s="161"/>
      <c r="H689" s="161"/>
      <c r="I689" s="161"/>
      <c r="J689" s="161"/>
      <c r="K689" s="161"/>
      <c r="L689" s="161"/>
      <c r="M689" s="161"/>
      <c r="N689" s="161"/>
      <c r="O689" s="161"/>
      <c r="P689" s="161"/>
      <c r="Q689" s="161"/>
      <c r="R689" s="161"/>
      <c r="S689" s="161"/>
      <c r="T689" s="161"/>
    </row>
    <row r="690" spans="1:20" ht="13">
      <c r="A690" s="161"/>
      <c r="B690" s="161"/>
      <c r="C690" s="161"/>
      <c r="D690" s="161"/>
      <c r="E690" s="161"/>
      <c r="F690" s="161"/>
      <c r="G690" s="161"/>
      <c r="H690" s="161"/>
      <c r="I690" s="161"/>
      <c r="J690" s="161"/>
      <c r="K690" s="161"/>
      <c r="L690" s="161"/>
      <c r="M690" s="161"/>
      <c r="N690" s="161"/>
      <c r="O690" s="161"/>
      <c r="P690" s="161"/>
      <c r="Q690" s="161"/>
      <c r="R690" s="161"/>
      <c r="S690" s="161"/>
      <c r="T690" s="161"/>
    </row>
    <row r="691" spans="1:20" ht="13">
      <c r="A691" s="161"/>
      <c r="B691" s="161"/>
      <c r="C691" s="161"/>
      <c r="D691" s="161"/>
      <c r="E691" s="161"/>
      <c r="F691" s="161"/>
      <c r="G691" s="161"/>
      <c r="H691" s="161"/>
      <c r="I691" s="161"/>
      <c r="J691" s="161"/>
      <c r="K691" s="161"/>
      <c r="L691" s="161"/>
      <c r="M691" s="161"/>
      <c r="N691" s="161"/>
      <c r="O691" s="161"/>
      <c r="P691" s="161"/>
      <c r="Q691" s="161"/>
      <c r="R691" s="161"/>
      <c r="S691" s="161"/>
      <c r="T691" s="161"/>
    </row>
    <row r="692" spans="1:20" ht="13">
      <c r="A692" s="161"/>
      <c r="B692" s="161"/>
      <c r="C692" s="161"/>
      <c r="D692" s="161"/>
      <c r="E692" s="161"/>
      <c r="F692" s="161"/>
      <c r="G692" s="161"/>
      <c r="H692" s="161"/>
      <c r="I692" s="161"/>
      <c r="J692" s="161"/>
      <c r="K692" s="161"/>
      <c r="L692" s="161"/>
      <c r="M692" s="161"/>
      <c r="N692" s="161"/>
      <c r="O692" s="161"/>
      <c r="P692" s="161"/>
      <c r="Q692" s="161"/>
      <c r="R692" s="161"/>
      <c r="S692" s="161"/>
      <c r="T692" s="161"/>
    </row>
    <row r="693" spans="1:20" ht="13">
      <c r="A693" s="161"/>
      <c r="B693" s="161"/>
      <c r="C693" s="161"/>
      <c r="D693" s="161"/>
      <c r="E693" s="161"/>
      <c r="F693" s="161"/>
      <c r="G693" s="161"/>
      <c r="H693" s="161"/>
      <c r="I693" s="161"/>
      <c r="J693" s="161"/>
      <c r="K693" s="161"/>
      <c r="L693" s="161"/>
      <c r="M693" s="161"/>
      <c r="N693" s="161"/>
      <c r="O693" s="161"/>
      <c r="P693" s="161"/>
      <c r="Q693" s="161"/>
      <c r="R693" s="161"/>
      <c r="S693" s="161"/>
      <c r="T693" s="161"/>
    </row>
    <row r="694" spans="1:20" ht="13">
      <c r="A694" s="161"/>
      <c r="B694" s="161"/>
      <c r="C694" s="161"/>
      <c r="D694" s="161"/>
      <c r="E694" s="161"/>
      <c r="F694" s="161"/>
      <c r="G694" s="161"/>
      <c r="H694" s="161"/>
      <c r="I694" s="161"/>
      <c r="J694" s="161"/>
      <c r="K694" s="161"/>
      <c r="L694" s="161"/>
      <c r="M694" s="161"/>
      <c r="N694" s="161"/>
      <c r="O694" s="161"/>
      <c r="P694" s="161"/>
      <c r="Q694" s="161"/>
      <c r="R694" s="161"/>
      <c r="S694" s="161"/>
      <c r="T694" s="161"/>
    </row>
    <row r="695" spans="1:20" ht="13">
      <c r="A695" s="161"/>
      <c r="B695" s="161"/>
      <c r="C695" s="161"/>
      <c r="D695" s="161"/>
      <c r="E695" s="161"/>
      <c r="F695" s="161"/>
      <c r="G695" s="161"/>
      <c r="H695" s="161"/>
      <c r="I695" s="161"/>
      <c r="J695" s="161"/>
      <c r="K695" s="161"/>
      <c r="L695" s="161"/>
      <c r="M695" s="161"/>
      <c r="N695" s="161"/>
      <c r="O695" s="161"/>
      <c r="P695" s="161"/>
      <c r="Q695" s="161"/>
      <c r="R695" s="161"/>
      <c r="S695" s="161"/>
      <c r="T695" s="161"/>
    </row>
    <row r="696" spans="1:20" ht="13">
      <c r="A696" s="161"/>
      <c r="B696" s="161"/>
      <c r="C696" s="161"/>
      <c r="D696" s="161"/>
      <c r="E696" s="161"/>
      <c r="F696" s="161"/>
      <c r="G696" s="161"/>
      <c r="H696" s="161"/>
      <c r="I696" s="161"/>
      <c r="J696" s="161"/>
      <c r="K696" s="161"/>
      <c r="L696" s="161"/>
      <c r="M696" s="161"/>
      <c r="N696" s="161"/>
      <c r="O696" s="161"/>
      <c r="P696" s="161"/>
      <c r="Q696" s="161"/>
      <c r="R696" s="161"/>
      <c r="S696" s="161"/>
      <c r="T696" s="161"/>
    </row>
    <row r="697" spans="1:20" ht="13">
      <c r="A697" s="161"/>
      <c r="B697" s="161"/>
      <c r="C697" s="161"/>
      <c r="D697" s="161"/>
      <c r="E697" s="161"/>
      <c r="F697" s="161"/>
      <c r="G697" s="161"/>
      <c r="H697" s="161"/>
      <c r="I697" s="161"/>
      <c r="J697" s="161"/>
      <c r="K697" s="161"/>
      <c r="L697" s="161"/>
      <c r="M697" s="161"/>
      <c r="N697" s="161"/>
      <c r="O697" s="161"/>
      <c r="P697" s="161"/>
      <c r="Q697" s="161"/>
      <c r="R697" s="161"/>
      <c r="S697" s="161"/>
      <c r="T697" s="161"/>
    </row>
    <row r="698" spans="1:20" ht="13">
      <c r="A698" s="161"/>
      <c r="B698" s="161"/>
      <c r="C698" s="161"/>
      <c r="D698" s="161"/>
      <c r="E698" s="161"/>
      <c r="F698" s="161"/>
      <c r="G698" s="161"/>
      <c r="H698" s="161"/>
      <c r="I698" s="161"/>
      <c r="J698" s="161"/>
      <c r="K698" s="161"/>
      <c r="L698" s="161"/>
      <c r="M698" s="161"/>
      <c r="N698" s="161"/>
      <c r="O698" s="161"/>
      <c r="P698" s="161"/>
      <c r="Q698" s="161"/>
      <c r="R698" s="161"/>
      <c r="S698" s="161"/>
      <c r="T698" s="161"/>
    </row>
    <row r="699" spans="1:20" ht="13">
      <c r="A699" s="161"/>
      <c r="B699" s="161"/>
      <c r="C699" s="161"/>
      <c r="D699" s="161"/>
      <c r="E699" s="161"/>
      <c r="F699" s="161"/>
      <c r="G699" s="161"/>
      <c r="H699" s="161"/>
      <c r="I699" s="161"/>
      <c r="J699" s="161"/>
      <c r="K699" s="161"/>
      <c r="L699" s="161"/>
      <c r="M699" s="161"/>
      <c r="N699" s="161"/>
      <c r="O699" s="161"/>
      <c r="P699" s="161"/>
      <c r="Q699" s="161"/>
      <c r="R699" s="161"/>
      <c r="S699" s="161"/>
      <c r="T699" s="161"/>
    </row>
    <row r="700" spans="1:20" ht="13">
      <c r="A700" s="161"/>
      <c r="B700" s="161"/>
      <c r="C700" s="161"/>
      <c r="D700" s="161"/>
      <c r="E700" s="161"/>
      <c r="F700" s="161"/>
      <c r="G700" s="161"/>
      <c r="H700" s="161"/>
      <c r="I700" s="161"/>
      <c r="J700" s="161"/>
      <c r="K700" s="161"/>
      <c r="L700" s="161"/>
      <c r="M700" s="161"/>
      <c r="N700" s="161"/>
      <c r="O700" s="161"/>
      <c r="P700" s="161"/>
      <c r="Q700" s="161"/>
      <c r="R700" s="161"/>
      <c r="S700" s="161"/>
      <c r="T700" s="161"/>
    </row>
    <row r="701" spans="1:20" ht="13">
      <c r="A701" s="161"/>
      <c r="B701" s="161"/>
      <c r="C701" s="161"/>
      <c r="D701" s="161"/>
      <c r="E701" s="161"/>
      <c r="F701" s="161"/>
      <c r="G701" s="161"/>
      <c r="H701" s="161"/>
      <c r="I701" s="161"/>
      <c r="J701" s="161"/>
      <c r="K701" s="161"/>
      <c r="L701" s="161"/>
      <c r="M701" s="161"/>
      <c r="N701" s="161"/>
      <c r="O701" s="161"/>
      <c r="P701" s="161"/>
      <c r="Q701" s="161"/>
      <c r="R701" s="161"/>
      <c r="S701" s="161"/>
      <c r="T701" s="161"/>
    </row>
    <row r="702" spans="1:20" ht="13">
      <c r="A702" s="161"/>
      <c r="B702" s="161"/>
      <c r="C702" s="161"/>
      <c r="D702" s="161"/>
      <c r="E702" s="161"/>
      <c r="F702" s="161"/>
      <c r="G702" s="161"/>
      <c r="H702" s="161"/>
      <c r="I702" s="161"/>
      <c r="J702" s="161"/>
      <c r="K702" s="161"/>
      <c r="L702" s="161"/>
      <c r="M702" s="161"/>
      <c r="N702" s="161"/>
      <c r="O702" s="161"/>
      <c r="P702" s="161"/>
      <c r="Q702" s="161"/>
      <c r="R702" s="161"/>
      <c r="S702" s="161"/>
      <c r="T702" s="161"/>
    </row>
    <row r="703" spans="1:20" ht="13">
      <c r="A703" s="161"/>
      <c r="B703" s="161"/>
      <c r="C703" s="161"/>
      <c r="D703" s="161"/>
      <c r="E703" s="161"/>
      <c r="F703" s="161"/>
      <c r="G703" s="161"/>
      <c r="H703" s="161"/>
      <c r="I703" s="161"/>
      <c r="J703" s="161"/>
      <c r="K703" s="161"/>
      <c r="L703" s="161"/>
      <c r="M703" s="161"/>
      <c r="N703" s="161"/>
      <c r="O703" s="161"/>
      <c r="P703" s="161"/>
      <c r="Q703" s="161"/>
      <c r="R703" s="161"/>
      <c r="S703" s="161"/>
      <c r="T703" s="161"/>
    </row>
    <row r="704" spans="1:20" ht="13">
      <c r="A704" s="161"/>
      <c r="B704" s="161"/>
      <c r="C704" s="161"/>
      <c r="D704" s="161"/>
      <c r="E704" s="161"/>
      <c r="F704" s="161"/>
      <c r="G704" s="161"/>
      <c r="H704" s="161"/>
      <c r="I704" s="161"/>
      <c r="J704" s="161"/>
      <c r="K704" s="161"/>
      <c r="L704" s="161"/>
      <c r="M704" s="161"/>
      <c r="N704" s="161"/>
      <c r="O704" s="161"/>
      <c r="P704" s="161"/>
      <c r="Q704" s="161"/>
      <c r="R704" s="161"/>
      <c r="S704" s="161"/>
      <c r="T704" s="161"/>
    </row>
    <row r="705" spans="1:20" ht="13">
      <c r="A705" s="161"/>
      <c r="B705" s="161"/>
      <c r="C705" s="161"/>
      <c r="D705" s="161"/>
      <c r="E705" s="161"/>
      <c r="F705" s="161"/>
      <c r="G705" s="161"/>
      <c r="H705" s="161"/>
      <c r="I705" s="161"/>
      <c r="J705" s="161"/>
      <c r="K705" s="161"/>
      <c r="L705" s="161"/>
      <c r="M705" s="161"/>
      <c r="N705" s="161"/>
      <c r="O705" s="161"/>
      <c r="P705" s="161"/>
      <c r="Q705" s="161"/>
      <c r="R705" s="161"/>
      <c r="S705" s="161"/>
      <c r="T705" s="161"/>
    </row>
    <row r="706" spans="1:20" ht="13">
      <c r="A706" s="161"/>
      <c r="B706" s="161"/>
      <c r="C706" s="161"/>
      <c r="D706" s="161"/>
      <c r="E706" s="161"/>
      <c r="F706" s="161"/>
      <c r="G706" s="161"/>
      <c r="H706" s="161"/>
      <c r="I706" s="161"/>
      <c r="J706" s="161"/>
      <c r="K706" s="161"/>
      <c r="L706" s="161"/>
      <c r="M706" s="161"/>
      <c r="N706" s="161"/>
      <c r="O706" s="161"/>
      <c r="P706" s="161"/>
      <c r="Q706" s="161"/>
      <c r="R706" s="161"/>
      <c r="S706" s="161"/>
      <c r="T706" s="161"/>
    </row>
    <row r="707" spans="1:20" ht="13">
      <c r="A707" s="161"/>
      <c r="B707" s="161"/>
      <c r="C707" s="161"/>
      <c r="D707" s="161"/>
      <c r="E707" s="161"/>
      <c r="F707" s="161"/>
      <c r="G707" s="161"/>
      <c r="H707" s="161"/>
      <c r="I707" s="161"/>
      <c r="J707" s="161"/>
      <c r="K707" s="161"/>
      <c r="L707" s="161"/>
      <c r="M707" s="161"/>
      <c r="N707" s="161"/>
      <c r="O707" s="161"/>
      <c r="P707" s="161"/>
      <c r="Q707" s="161"/>
      <c r="R707" s="161"/>
      <c r="S707" s="161"/>
      <c r="T707" s="161"/>
    </row>
    <row r="708" spans="1:20" ht="13">
      <c r="A708" s="161"/>
      <c r="B708" s="161"/>
      <c r="C708" s="161"/>
      <c r="D708" s="161"/>
      <c r="E708" s="161"/>
      <c r="F708" s="161"/>
      <c r="G708" s="161"/>
      <c r="H708" s="161"/>
      <c r="I708" s="161"/>
      <c r="J708" s="161"/>
      <c r="K708" s="161"/>
      <c r="L708" s="161"/>
      <c r="M708" s="161"/>
      <c r="N708" s="161"/>
      <c r="O708" s="161"/>
      <c r="P708" s="161"/>
      <c r="Q708" s="161"/>
      <c r="R708" s="161"/>
      <c r="S708" s="161"/>
      <c r="T708" s="161"/>
    </row>
    <row r="709" spans="1:20" ht="13">
      <c r="A709" s="161"/>
      <c r="B709" s="161"/>
      <c r="C709" s="161"/>
      <c r="D709" s="161"/>
      <c r="E709" s="161"/>
      <c r="F709" s="161"/>
      <c r="G709" s="161"/>
      <c r="H709" s="161"/>
      <c r="I709" s="161"/>
      <c r="J709" s="161"/>
      <c r="K709" s="161"/>
      <c r="L709" s="161"/>
      <c r="M709" s="161"/>
      <c r="N709" s="161"/>
      <c r="O709" s="161"/>
      <c r="P709" s="161"/>
      <c r="Q709" s="161"/>
      <c r="R709" s="161"/>
      <c r="S709" s="161"/>
      <c r="T709" s="161"/>
    </row>
    <row r="710" spans="1:20" ht="13">
      <c r="A710" s="161"/>
      <c r="B710" s="161"/>
      <c r="C710" s="161"/>
      <c r="D710" s="161"/>
      <c r="E710" s="161"/>
      <c r="F710" s="161"/>
      <c r="G710" s="161"/>
      <c r="H710" s="161"/>
      <c r="I710" s="161"/>
      <c r="J710" s="161"/>
      <c r="K710" s="161"/>
      <c r="L710" s="161"/>
      <c r="M710" s="161"/>
      <c r="N710" s="161"/>
      <c r="O710" s="161"/>
      <c r="P710" s="161"/>
      <c r="Q710" s="161"/>
      <c r="R710" s="161"/>
      <c r="S710" s="161"/>
      <c r="T710" s="161"/>
    </row>
    <row r="711" spans="1:20" ht="13">
      <c r="A711" s="161"/>
      <c r="B711" s="161"/>
      <c r="C711" s="161"/>
      <c r="D711" s="161"/>
      <c r="E711" s="161"/>
      <c r="F711" s="161"/>
      <c r="G711" s="161"/>
      <c r="H711" s="161"/>
      <c r="I711" s="161"/>
      <c r="J711" s="161"/>
      <c r="K711" s="161"/>
      <c r="L711" s="161"/>
      <c r="M711" s="161"/>
      <c r="N711" s="161"/>
      <c r="O711" s="161"/>
      <c r="P711" s="161"/>
      <c r="Q711" s="161"/>
      <c r="R711" s="161"/>
      <c r="S711" s="161"/>
      <c r="T711" s="161"/>
    </row>
    <row r="712" spans="1:20" ht="13">
      <c r="A712" s="161"/>
      <c r="B712" s="161"/>
      <c r="C712" s="161"/>
      <c r="D712" s="161"/>
      <c r="E712" s="161"/>
      <c r="F712" s="161"/>
      <c r="G712" s="161"/>
      <c r="H712" s="161"/>
      <c r="I712" s="161"/>
      <c r="J712" s="161"/>
      <c r="K712" s="161"/>
      <c r="L712" s="161"/>
      <c r="M712" s="161"/>
      <c r="N712" s="161"/>
      <c r="O712" s="161"/>
      <c r="P712" s="161"/>
      <c r="Q712" s="161"/>
      <c r="R712" s="161"/>
      <c r="S712" s="161"/>
      <c r="T712" s="161"/>
    </row>
    <row r="713" spans="1:20" ht="13">
      <c r="A713" s="161"/>
      <c r="B713" s="161"/>
      <c r="C713" s="161"/>
      <c r="D713" s="161"/>
      <c r="E713" s="161"/>
      <c r="F713" s="161"/>
      <c r="G713" s="161"/>
      <c r="H713" s="161"/>
      <c r="I713" s="161"/>
      <c r="J713" s="161"/>
      <c r="K713" s="161"/>
      <c r="L713" s="161"/>
      <c r="M713" s="161"/>
      <c r="N713" s="161"/>
      <c r="O713" s="161"/>
      <c r="P713" s="161"/>
      <c r="Q713" s="161"/>
      <c r="R713" s="161"/>
      <c r="S713" s="161"/>
      <c r="T713" s="161"/>
    </row>
    <row r="714" spans="1:20" ht="13">
      <c r="A714" s="161"/>
      <c r="B714" s="161"/>
      <c r="C714" s="161"/>
      <c r="D714" s="161"/>
      <c r="E714" s="161"/>
      <c r="F714" s="161"/>
      <c r="G714" s="161"/>
      <c r="H714" s="161"/>
      <c r="I714" s="161"/>
      <c r="J714" s="161"/>
      <c r="K714" s="161"/>
      <c r="L714" s="161"/>
      <c r="M714" s="161"/>
      <c r="N714" s="161"/>
      <c r="O714" s="161"/>
      <c r="P714" s="161"/>
      <c r="Q714" s="161"/>
      <c r="R714" s="161"/>
      <c r="S714" s="161"/>
      <c r="T714" s="161"/>
    </row>
    <row r="715" spans="1:20" ht="13">
      <c r="A715" s="161"/>
      <c r="B715" s="161"/>
      <c r="C715" s="161"/>
      <c r="D715" s="161"/>
      <c r="E715" s="161"/>
      <c r="F715" s="161"/>
      <c r="G715" s="161"/>
      <c r="H715" s="161"/>
      <c r="I715" s="161"/>
      <c r="J715" s="161"/>
      <c r="K715" s="161"/>
      <c r="L715" s="161"/>
      <c r="M715" s="161"/>
      <c r="N715" s="161"/>
      <c r="O715" s="161"/>
      <c r="P715" s="161"/>
      <c r="Q715" s="161"/>
      <c r="R715" s="161"/>
      <c r="S715" s="161"/>
      <c r="T715" s="161"/>
    </row>
    <row r="716" spans="1:20" ht="13">
      <c r="A716" s="161"/>
      <c r="B716" s="161"/>
      <c r="C716" s="161"/>
      <c r="D716" s="161"/>
      <c r="E716" s="161"/>
      <c r="F716" s="161"/>
      <c r="G716" s="161"/>
      <c r="H716" s="161"/>
      <c r="I716" s="161"/>
      <c r="J716" s="161"/>
      <c r="K716" s="161"/>
      <c r="L716" s="161"/>
      <c r="M716" s="161"/>
      <c r="N716" s="161"/>
      <c r="O716" s="161"/>
      <c r="P716" s="161"/>
      <c r="Q716" s="161"/>
      <c r="R716" s="161"/>
      <c r="S716" s="161"/>
      <c r="T716" s="161"/>
    </row>
    <row r="717" spans="1:20" ht="13">
      <c r="A717" s="161"/>
      <c r="B717" s="161"/>
      <c r="C717" s="161"/>
      <c r="D717" s="161"/>
      <c r="E717" s="161"/>
      <c r="F717" s="161"/>
      <c r="G717" s="161"/>
      <c r="H717" s="161"/>
      <c r="I717" s="161"/>
      <c r="J717" s="161"/>
      <c r="K717" s="161"/>
      <c r="L717" s="161"/>
      <c r="M717" s="161"/>
      <c r="N717" s="161"/>
      <c r="O717" s="161"/>
      <c r="P717" s="161"/>
      <c r="Q717" s="161"/>
      <c r="R717" s="161"/>
      <c r="S717" s="161"/>
      <c r="T717" s="161"/>
    </row>
    <row r="718" spans="1:20" ht="13">
      <c r="A718" s="161"/>
      <c r="B718" s="161"/>
      <c r="C718" s="161"/>
      <c r="D718" s="161"/>
      <c r="E718" s="161"/>
      <c r="F718" s="161"/>
      <c r="G718" s="161"/>
      <c r="H718" s="161"/>
      <c r="I718" s="161"/>
      <c r="J718" s="161"/>
      <c r="K718" s="161"/>
      <c r="L718" s="161"/>
      <c r="M718" s="161"/>
      <c r="N718" s="161"/>
      <c r="O718" s="161"/>
      <c r="P718" s="161"/>
      <c r="Q718" s="161"/>
      <c r="R718" s="161"/>
      <c r="S718" s="161"/>
      <c r="T718" s="161"/>
    </row>
    <row r="719" spans="1:20" ht="13">
      <c r="A719" s="161"/>
      <c r="B719" s="161"/>
      <c r="C719" s="161"/>
      <c r="D719" s="161"/>
      <c r="E719" s="161"/>
      <c r="F719" s="161"/>
      <c r="G719" s="161"/>
      <c r="H719" s="161"/>
      <c r="I719" s="161"/>
      <c r="J719" s="161"/>
      <c r="K719" s="161"/>
      <c r="L719" s="161"/>
      <c r="M719" s="161"/>
      <c r="N719" s="161"/>
      <c r="O719" s="161"/>
      <c r="P719" s="161"/>
      <c r="Q719" s="161"/>
      <c r="R719" s="161"/>
      <c r="S719" s="161"/>
      <c r="T719" s="161"/>
    </row>
    <row r="720" spans="1:20" ht="13">
      <c r="A720" s="161"/>
      <c r="B720" s="161"/>
      <c r="C720" s="161"/>
      <c r="D720" s="161"/>
      <c r="E720" s="161"/>
      <c r="F720" s="161"/>
      <c r="G720" s="161"/>
      <c r="H720" s="161"/>
      <c r="I720" s="161"/>
      <c r="J720" s="161"/>
      <c r="K720" s="161"/>
      <c r="L720" s="161"/>
      <c r="M720" s="161"/>
      <c r="N720" s="161"/>
      <c r="O720" s="161"/>
      <c r="P720" s="161"/>
      <c r="Q720" s="161"/>
      <c r="R720" s="161"/>
      <c r="S720" s="161"/>
      <c r="T720" s="161"/>
    </row>
    <row r="721" spans="1:20" ht="13">
      <c r="A721" s="161"/>
      <c r="B721" s="161"/>
      <c r="C721" s="161"/>
      <c r="D721" s="161"/>
      <c r="E721" s="161"/>
      <c r="F721" s="161"/>
      <c r="G721" s="161"/>
      <c r="H721" s="161"/>
      <c r="I721" s="161"/>
      <c r="J721" s="161"/>
      <c r="K721" s="161"/>
      <c r="L721" s="161"/>
      <c r="M721" s="161"/>
      <c r="N721" s="161"/>
      <c r="O721" s="161"/>
      <c r="P721" s="161"/>
      <c r="Q721" s="161"/>
      <c r="R721" s="161"/>
      <c r="S721" s="161"/>
      <c r="T721" s="161"/>
    </row>
    <row r="722" spans="1:20" ht="13">
      <c r="A722" s="161"/>
      <c r="B722" s="161"/>
      <c r="C722" s="161"/>
      <c r="D722" s="161"/>
      <c r="E722" s="161"/>
      <c r="F722" s="161"/>
      <c r="G722" s="161"/>
      <c r="H722" s="161"/>
      <c r="I722" s="161"/>
      <c r="J722" s="161"/>
      <c r="K722" s="161"/>
      <c r="L722" s="161"/>
      <c r="M722" s="161"/>
      <c r="N722" s="161"/>
      <c r="O722" s="161"/>
      <c r="P722" s="161"/>
      <c r="Q722" s="161"/>
      <c r="R722" s="161"/>
      <c r="S722" s="161"/>
      <c r="T722" s="161"/>
    </row>
    <row r="723" spans="1:20" ht="13">
      <c r="A723" s="161"/>
      <c r="B723" s="161"/>
      <c r="C723" s="161"/>
      <c r="D723" s="161"/>
      <c r="E723" s="161"/>
      <c r="F723" s="161"/>
      <c r="G723" s="161"/>
      <c r="H723" s="161"/>
      <c r="I723" s="161"/>
      <c r="J723" s="161"/>
      <c r="K723" s="161"/>
      <c r="L723" s="161"/>
      <c r="M723" s="161"/>
      <c r="N723" s="161"/>
      <c r="O723" s="161"/>
      <c r="P723" s="161"/>
      <c r="Q723" s="161"/>
      <c r="R723" s="161"/>
      <c r="S723" s="161"/>
      <c r="T723" s="161"/>
    </row>
    <row r="724" spans="1:20" ht="13">
      <c r="A724" s="161"/>
      <c r="B724" s="161"/>
      <c r="C724" s="161"/>
      <c r="D724" s="161"/>
      <c r="E724" s="161"/>
      <c r="F724" s="161"/>
      <c r="G724" s="161"/>
      <c r="H724" s="161"/>
      <c r="I724" s="161"/>
      <c r="J724" s="161"/>
      <c r="K724" s="161"/>
      <c r="L724" s="161"/>
      <c r="M724" s="161"/>
      <c r="N724" s="161"/>
      <c r="O724" s="161"/>
      <c r="P724" s="161"/>
      <c r="Q724" s="161"/>
      <c r="R724" s="161"/>
      <c r="S724" s="161"/>
      <c r="T724" s="161"/>
    </row>
    <row r="725" spans="1:20" ht="13">
      <c r="A725" s="161"/>
      <c r="B725" s="161"/>
      <c r="C725" s="161"/>
      <c r="D725" s="161"/>
      <c r="E725" s="161"/>
      <c r="F725" s="161"/>
      <c r="G725" s="161"/>
      <c r="H725" s="161"/>
      <c r="I725" s="161"/>
      <c r="J725" s="161"/>
      <c r="K725" s="161"/>
      <c r="L725" s="161"/>
      <c r="M725" s="161"/>
      <c r="N725" s="161"/>
      <c r="O725" s="161"/>
      <c r="P725" s="161"/>
      <c r="Q725" s="161"/>
      <c r="R725" s="161"/>
      <c r="S725" s="161"/>
      <c r="T725" s="161"/>
    </row>
    <row r="726" spans="1:20" ht="13">
      <c r="A726" s="161"/>
      <c r="B726" s="161"/>
      <c r="C726" s="161"/>
      <c r="D726" s="161"/>
      <c r="E726" s="161"/>
      <c r="F726" s="161"/>
      <c r="G726" s="161"/>
      <c r="H726" s="161"/>
      <c r="I726" s="161"/>
      <c r="J726" s="161"/>
      <c r="K726" s="161"/>
      <c r="L726" s="161"/>
      <c r="M726" s="161"/>
      <c r="N726" s="161"/>
      <c r="O726" s="161"/>
      <c r="P726" s="161"/>
      <c r="Q726" s="161"/>
      <c r="R726" s="161"/>
      <c r="S726" s="161"/>
      <c r="T726" s="161"/>
    </row>
    <row r="727" spans="1:20" ht="13">
      <c r="A727" s="161"/>
      <c r="B727" s="161"/>
      <c r="C727" s="161"/>
      <c r="D727" s="161"/>
      <c r="E727" s="161"/>
      <c r="F727" s="161"/>
      <c r="G727" s="161"/>
      <c r="H727" s="161"/>
      <c r="I727" s="161"/>
      <c r="J727" s="161"/>
      <c r="K727" s="161"/>
      <c r="L727" s="161"/>
      <c r="M727" s="161"/>
      <c r="N727" s="161"/>
      <c r="O727" s="161"/>
      <c r="P727" s="161"/>
      <c r="Q727" s="161"/>
      <c r="R727" s="161"/>
      <c r="S727" s="161"/>
      <c r="T727" s="161"/>
    </row>
    <row r="728" spans="1:20" ht="13">
      <c r="A728" s="161"/>
      <c r="B728" s="161"/>
      <c r="C728" s="161"/>
      <c r="D728" s="161"/>
      <c r="E728" s="161"/>
      <c r="F728" s="161"/>
      <c r="G728" s="161"/>
      <c r="H728" s="161"/>
      <c r="I728" s="161"/>
      <c r="J728" s="161"/>
      <c r="K728" s="161"/>
      <c r="L728" s="161"/>
      <c r="M728" s="161"/>
      <c r="N728" s="161"/>
      <c r="O728" s="161"/>
      <c r="P728" s="161"/>
      <c r="Q728" s="161"/>
      <c r="R728" s="161"/>
      <c r="S728" s="161"/>
      <c r="T728" s="161"/>
    </row>
    <row r="729" spans="1:20" ht="13">
      <c r="A729" s="161"/>
      <c r="B729" s="161"/>
      <c r="C729" s="161"/>
      <c r="D729" s="161"/>
      <c r="E729" s="161"/>
      <c r="F729" s="161"/>
      <c r="G729" s="161"/>
      <c r="H729" s="161"/>
      <c r="I729" s="161"/>
      <c r="J729" s="161"/>
      <c r="K729" s="161"/>
      <c r="L729" s="161"/>
      <c r="M729" s="161"/>
      <c r="N729" s="161"/>
      <c r="O729" s="161"/>
      <c r="P729" s="161"/>
      <c r="Q729" s="161"/>
      <c r="R729" s="161"/>
      <c r="S729" s="161"/>
      <c r="T729" s="161"/>
    </row>
    <row r="730" spans="1:20" ht="13">
      <c r="A730" s="161"/>
      <c r="B730" s="161"/>
      <c r="C730" s="161"/>
      <c r="D730" s="161"/>
      <c r="E730" s="161"/>
      <c r="F730" s="161"/>
      <c r="G730" s="161"/>
      <c r="H730" s="161"/>
      <c r="I730" s="161"/>
      <c r="J730" s="161"/>
      <c r="K730" s="161"/>
      <c r="L730" s="161"/>
      <c r="M730" s="161"/>
      <c r="N730" s="161"/>
      <c r="O730" s="161"/>
      <c r="P730" s="161"/>
      <c r="Q730" s="161"/>
      <c r="R730" s="161"/>
      <c r="S730" s="161"/>
      <c r="T730" s="161"/>
    </row>
    <row r="731" spans="1:20" ht="13">
      <c r="A731" s="161"/>
      <c r="B731" s="161"/>
      <c r="C731" s="161"/>
      <c r="D731" s="161"/>
      <c r="E731" s="161"/>
      <c r="F731" s="161"/>
      <c r="G731" s="161"/>
      <c r="H731" s="161"/>
      <c r="I731" s="161"/>
      <c r="J731" s="161"/>
      <c r="K731" s="161"/>
      <c r="L731" s="161"/>
      <c r="M731" s="161"/>
      <c r="N731" s="161"/>
      <c r="O731" s="161"/>
      <c r="P731" s="161"/>
      <c r="Q731" s="161"/>
      <c r="R731" s="161"/>
      <c r="S731" s="161"/>
      <c r="T731" s="161"/>
    </row>
    <row r="732" spans="1:20" ht="13">
      <c r="A732" s="161"/>
      <c r="B732" s="161"/>
      <c r="C732" s="161"/>
      <c r="D732" s="161"/>
      <c r="E732" s="161"/>
      <c r="F732" s="161"/>
      <c r="G732" s="161"/>
      <c r="H732" s="161"/>
      <c r="I732" s="161"/>
      <c r="J732" s="161"/>
      <c r="K732" s="161"/>
      <c r="L732" s="161"/>
      <c r="M732" s="161"/>
      <c r="N732" s="161"/>
      <c r="O732" s="161"/>
      <c r="P732" s="161"/>
      <c r="Q732" s="161"/>
      <c r="R732" s="161"/>
      <c r="S732" s="161"/>
      <c r="T732" s="161"/>
    </row>
    <row r="733" spans="1:20" ht="13">
      <c r="A733" s="161"/>
      <c r="B733" s="161"/>
      <c r="C733" s="161"/>
      <c r="D733" s="161"/>
      <c r="E733" s="161"/>
      <c r="F733" s="161"/>
      <c r="G733" s="161"/>
      <c r="H733" s="161"/>
      <c r="I733" s="161"/>
      <c r="J733" s="161"/>
      <c r="K733" s="161"/>
      <c r="L733" s="161"/>
      <c r="M733" s="161"/>
      <c r="N733" s="161"/>
      <c r="O733" s="161"/>
      <c r="P733" s="161"/>
      <c r="Q733" s="161"/>
      <c r="R733" s="161"/>
      <c r="S733" s="161"/>
      <c r="T733" s="161"/>
    </row>
    <row r="734" spans="1:20" ht="13">
      <c r="A734" s="161"/>
      <c r="B734" s="161"/>
      <c r="C734" s="161"/>
      <c r="D734" s="161"/>
      <c r="E734" s="161"/>
      <c r="F734" s="161"/>
      <c r="G734" s="161"/>
      <c r="H734" s="161"/>
      <c r="I734" s="161"/>
      <c r="J734" s="161"/>
      <c r="K734" s="161"/>
      <c r="L734" s="161"/>
      <c r="M734" s="161"/>
      <c r="N734" s="161"/>
      <c r="O734" s="161"/>
      <c r="P734" s="161"/>
      <c r="Q734" s="161"/>
      <c r="R734" s="161"/>
      <c r="S734" s="161"/>
      <c r="T734" s="161"/>
    </row>
    <row r="735" spans="1:20" ht="13">
      <c r="A735" s="161"/>
      <c r="B735" s="161"/>
      <c r="C735" s="161"/>
      <c r="D735" s="161"/>
      <c r="E735" s="161"/>
      <c r="F735" s="161"/>
      <c r="G735" s="161"/>
      <c r="H735" s="161"/>
      <c r="I735" s="161"/>
      <c r="J735" s="161"/>
      <c r="K735" s="161"/>
      <c r="L735" s="161"/>
      <c r="M735" s="161"/>
      <c r="N735" s="161"/>
      <c r="O735" s="161"/>
      <c r="P735" s="161"/>
      <c r="Q735" s="161"/>
      <c r="R735" s="161"/>
      <c r="S735" s="161"/>
      <c r="T735" s="161"/>
    </row>
    <row r="736" spans="1:20" ht="13">
      <c r="A736" s="161"/>
      <c r="B736" s="161"/>
      <c r="C736" s="161"/>
      <c r="D736" s="161"/>
      <c r="E736" s="161"/>
      <c r="F736" s="161"/>
      <c r="G736" s="161"/>
      <c r="H736" s="161"/>
      <c r="I736" s="161"/>
      <c r="J736" s="161"/>
      <c r="K736" s="161"/>
      <c r="L736" s="161"/>
      <c r="M736" s="161"/>
      <c r="N736" s="161"/>
      <c r="O736" s="161"/>
      <c r="P736" s="161"/>
      <c r="Q736" s="161"/>
      <c r="R736" s="161"/>
      <c r="S736" s="161"/>
      <c r="T736" s="161"/>
    </row>
    <row r="737" spans="1:20" ht="13">
      <c r="A737" s="161"/>
      <c r="B737" s="161"/>
      <c r="C737" s="161"/>
      <c r="D737" s="161"/>
      <c r="E737" s="161"/>
      <c r="F737" s="161"/>
      <c r="G737" s="161"/>
      <c r="H737" s="161"/>
      <c r="I737" s="161"/>
      <c r="J737" s="161"/>
      <c r="K737" s="161"/>
      <c r="L737" s="161"/>
      <c r="M737" s="161"/>
      <c r="N737" s="161"/>
      <c r="O737" s="161"/>
      <c r="P737" s="161"/>
      <c r="Q737" s="161"/>
      <c r="R737" s="161"/>
      <c r="S737" s="161"/>
      <c r="T737" s="161"/>
    </row>
    <row r="738" spans="1:20" ht="13">
      <c r="A738" s="161"/>
      <c r="B738" s="161"/>
      <c r="C738" s="161"/>
      <c r="D738" s="161"/>
      <c r="E738" s="161"/>
      <c r="F738" s="161"/>
      <c r="G738" s="161"/>
      <c r="H738" s="161"/>
      <c r="I738" s="161"/>
      <c r="J738" s="161"/>
      <c r="K738" s="161"/>
      <c r="L738" s="161"/>
      <c r="M738" s="161"/>
      <c r="N738" s="161"/>
      <c r="O738" s="161"/>
      <c r="P738" s="161"/>
      <c r="Q738" s="161"/>
      <c r="R738" s="161"/>
      <c r="S738" s="161"/>
      <c r="T738" s="161"/>
    </row>
    <row r="739" spans="1:20" ht="13">
      <c r="A739" s="161"/>
      <c r="B739" s="161"/>
      <c r="C739" s="161"/>
      <c r="D739" s="161"/>
      <c r="E739" s="161"/>
      <c r="F739" s="161"/>
      <c r="G739" s="161"/>
      <c r="H739" s="161"/>
      <c r="I739" s="161"/>
      <c r="J739" s="161"/>
      <c r="K739" s="161"/>
      <c r="L739" s="161"/>
      <c r="M739" s="161"/>
      <c r="N739" s="161"/>
      <c r="O739" s="161"/>
      <c r="P739" s="161"/>
      <c r="Q739" s="161"/>
      <c r="R739" s="161"/>
      <c r="S739" s="161"/>
      <c r="T739" s="161"/>
    </row>
    <row r="740" spans="1:20" ht="13">
      <c r="A740" s="161"/>
      <c r="B740" s="161"/>
      <c r="C740" s="161"/>
      <c r="D740" s="161"/>
      <c r="E740" s="161"/>
      <c r="F740" s="161"/>
      <c r="G740" s="161"/>
      <c r="H740" s="161"/>
      <c r="I740" s="161"/>
      <c r="J740" s="161"/>
      <c r="K740" s="161"/>
      <c r="L740" s="161"/>
      <c r="M740" s="161"/>
      <c r="N740" s="161"/>
      <c r="O740" s="161"/>
      <c r="P740" s="161"/>
      <c r="Q740" s="161"/>
      <c r="R740" s="161"/>
      <c r="S740" s="161"/>
      <c r="T740" s="161"/>
    </row>
    <row r="741" spans="1:20" ht="13">
      <c r="A741" s="161"/>
      <c r="B741" s="161"/>
      <c r="C741" s="161"/>
      <c r="D741" s="161"/>
      <c r="E741" s="161"/>
      <c r="F741" s="161"/>
      <c r="G741" s="161"/>
      <c r="H741" s="161"/>
      <c r="I741" s="161"/>
      <c r="J741" s="161"/>
      <c r="K741" s="161"/>
      <c r="L741" s="161"/>
      <c r="M741" s="161"/>
      <c r="N741" s="161"/>
      <c r="O741" s="161"/>
      <c r="P741" s="161"/>
      <c r="Q741" s="161"/>
      <c r="R741" s="161"/>
      <c r="S741" s="161"/>
      <c r="T741" s="161"/>
    </row>
    <row r="742" spans="1:20" ht="13">
      <c r="A742" s="161"/>
      <c r="B742" s="161"/>
      <c r="C742" s="161"/>
      <c r="D742" s="161"/>
      <c r="E742" s="161"/>
      <c r="F742" s="161"/>
      <c r="G742" s="161"/>
      <c r="H742" s="161"/>
      <c r="I742" s="161"/>
      <c r="J742" s="161"/>
      <c r="K742" s="161"/>
      <c r="L742" s="161"/>
      <c r="M742" s="161"/>
      <c r="N742" s="161"/>
      <c r="O742" s="161"/>
      <c r="P742" s="161"/>
      <c r="Q742" s="161"/>
      <c r="R742" s="161"/>
      <c r="S742" s="161"/>
      <c r="T742" s="161"/>
    </row>
    <row r="743" spans="1:20" ht="13">
      <c r="A743" s="161"/>
      <c r="B743" s="161"/>
      <c r="C743" s="161"/>
      <c r="D743" s="161"/>
      <c r="E743" s="161"/>
      <c r="F743" s="161"/>
      <c r="G743" s="161"/>
      <c r="H743" s="161"/>
      <c r="I743" s="161"/>
      <c r="J743" s="161"/>
      <c r="K743" s="161"/>
      <c r="L743" s="161"/>
      <c r="M743" s="161"/>
      <c r="N743" s="161"/>
      <c r="O743" s="161"/>
      <c r="P743" s="161"/>
      <c r="Q743" s="161"/>
      <c r="R743" s="161"/>
      <c r="S743" s="161"/>
      <c r="T743" s="161"/>
    </row>
    <row r="744" spans="1:20" ht="13">
      <c r="A744" s="161"/>
      <c r="B744" s="161"/>
      <c r="C744" s="161"/>
      <c r="D744" s="161"/>
      <c r="E744" s="161"/>
      <c r="F744" s="161"/>
      <c r="G744" s="161"/>
      <c r="H744" s="161"/>
      <c r="I744" s="161"/>
      <c r="J744" s="161"/>
      <c r="K744" s="161"/>
      <c r="L744" s="161"/>
      <c r="M744" s="161"/>
      <c r="N744" s="161"/>
      <c r="O744" s="161"/>
      <c r="P744" s="161"/>
      <c r="Q744" s="161"/>
      <c r="R744" s="161"/>
      <c r="S744" s="161"/>
      <c r="T744" s="161"/>
    </row>
    <row r="745" spans="1:20" ht="13">
      <c r="A745" s="161"/>
      <c r="B745" s="161"/>
      <c r="C745" s="161"/>
      <c r="D745" s="161"/>
      <c r="E745" s="161"/>
      <c r="F745" s="161"/>
      <c r="G745" s="161"/>
      <c r="H745" s="161"/>
      <c r="I745" s="161"/>
      <c r="J745" s="161"/>
      <c r="K745" s="161"/>
      <c r="L745" s="161"/>
      <c r="M745" s="161"/>
      <c r="N745" s="161"/>
      <c r="O745" s="161"/>
      <c r="P745" s="161"/>
      <c r="Q745" s="161"/>
      <c r="R745" s="161"/>
      <c r="S745" s="161"/>
      <c r="T745" s="161"/>
    </row>
    <row r="746" spans="1:20" ht="13">
      <c r="A746" s="161"/>
      <c r="B746" s="161"/>
      <c r="C746" s="161"/>
      <c r="D746" s="161"/>
      <c r="E746" s="161"/>
      <c r="F746" s="161"/>
      <c r="G746" s="161"/>
      <c r="H746" s="161"/>
      <c r="I746" s="161"/>
      <c r="J746" s="161"/>
      <c r="K746" s="161"/>
      <c r="L746" s="161"/>
      <c r="M746" s="161"/>
      <c r="N746" s="161"/>
      <c r="O746" s="161"/>
      <c r="P746" s="161"/>
      <c r="Q746" s="161"/>
      <c r="R746" s="161"/>
      <c r="S746" s="161"/>
      <c r="T746" s="161"/>
    </row>
    <row r="747" spans="1:20" ht="13">
      <c r="A747" s="161"/>
      <c r="B747" s="161"/>
      <c r="C747" s="161"/>
      <c r="D747" s="161"/>
      <c r="E747" s="161"/>
      <c r="F747" s="161"/>
      <c r="G747" s="161"/>
      <c r="H747" s="161"/>
      <c r="I747" s="161"/>
      <c r="J747" s="161"/>
      <c r="K747" s="161"/>
      <c r="L747" s="161"/>
      <c r="M747" s="161"/>
      <c r="N747" s="161"/>
      <c r="O747" s="161"/>
      <c r="P747" s="161"/>
      <c r="Q747" s="161"/>
      <c r="R747" s="161"/>
      <c r="S747" s="161"/>
      <c r="T747" s="161"/>
    </row>
    <row r="748" spans="1:20" ht="13">
      <c r="A748" s="161"/>
      <c r="B748" s="161"/>
      <c r="C748" s="161"/>
      <c r="D748" s="161"/>
      <c r="E748" s="161"/>
      <c r="F748" s="161"/>
      <c r="G748" s="161"/>
      <c r="H748" s="161"/>
      <c r="I748" s="161"/>
      <c r="J748" s="161"/>
      <c r="K748" s="161"/>
      <c r="L748" s="161"/>
      <c r="M748" s="161"/>
      <c r="N748" s="161"/>
      <c r="O748" s="161"/>
      <c r="P748" s="161"/>
      <c r="Q748" s="161"/>
      <c r="R748" s="161"/>
      <c r="S748" s="161"/>
      <c r="T748" s="161"/>
    </row>
    <row r="749" spans="1:20" ht="13">
      <c r="A749" s="161"/>
      <c r="B749" s="161"/>
      <c r="C749" s="161"/>
      <c r="D749" s="161"/>
      <c r="E749" s="161"/>
      <c r="F749" s="161"/>
      <c r="G749" s="161"/>
      <c r="H749" s="161"/>
      <c r="I749" s="161"/>
      <c r="J749" s="161"/>
      <c r="K749" s="161"/>
      <c r="L749" s="161"/>
      <c r="M749" s="161"/>
      <c r="N749" s="161"/>
      <c r="O749" s="161"/>
      <c r="P749" s="161"/>
      <c r="Q749" s="161"/>
      <c r="R749" s="161"/>
      <c r="S749" s="161"/>
      <c r="T749" s="161"/>
    </row>
    <row r="750" spans="1:20" ht="13">
      <c r="A750" s="161"/>
      <c r="B750" s="161"/>
      <c r="C750" s="161"/>
      <c r="D750" s="161"/>
      <c r="E750" s="161"/>
      <c r="F750" s="161"/>
      <c r="G750" s="161"/>
      <c r="H750" s="161"/>
      <c r="I750" s="161"/>
      <c r="J750" s="161"/>
      <c r="K750" s="161"/>
      <c r="L750" s="161"/>
      <c r="M750" s="161"/>
      <c r="N750" s="161"/>
      <c r="O750" s="161"/>
      <c r="P750" s="161"/>
      <c r="Q750" s="161"/>
      <c r="R750" s="161"/>
      <c r="S750" s="161"/>
      <c r="T750" s="161"/>
    </row>
    <row r="751" spans="1:20" ht="13">
      <c r="A751" s="161"/>
      <c r="B751" s="161"/>
      <c r="C751" s="161"/>
      <c r="D751" s="161"/>
      <c r="E751" s="161"/>
      <c r="F751" s="161"/>
      <c r="G751" s="161"/>
      <c r="H751" s="161"/>
      <c r="I751" s="161"/>
      <c r="J751" s="161"/>
      <c r="K751" s="161"/>
      <c r="L751" s="161"/>
      <c r="M751" s="161"/>
      <c r="N751" s="161"/>
      <c r="O751" s="161"/>
      <c r="P751" s="161"/>
      <c r="Q751" s="161"/>
      <c r="R751" s="161"/>
      <c r="S751" s="161"/>
      <c r="T751" s="161"/>
    </row>
    <row r="752" spans="1:20" ht="13">
      <c r="A752" s="161"/>
      <c r="B752" s="161"/>
      <c r="C752" s="161"/>
      <c r="D752" s="161"/>
      <c r="E752" s="161"/>
      <c r="F752" s="161"/>
      <c r="G752" s="161"/>
      <c r="H752" s="161"/>
      <c r="I752" s="161"/>
      <c r="J752" s="161"/>
      <c r="K752" s="161"/>
      <c r="L752" s="161"/>
      <c r="M752" s="161"/>
      <c r="N752" s="161"/>
      <c r="O752" s="161"/>
      <c r="P752" s="161"/>
      <c r="Q752" s="161"/>
      <c r="R752" s="161"/>
      <c r="S752" s="161"/>
      <c r="T752" s="161"/>
    </row>
    <row r="753" spans="1:20" ht="13">
      <c r="A753" s="161"/>
      <c r="B753" s="161"/>
      <c r="C753" s="161"/>
      <c r="D753" s="161"/>
      <c r="E753" s="161"/>
      <c r="F753" s="161"/>
      <c r="G753" s="161"/>
      <c r="H753" s="161"/>
      <c r="I753" s="161"/>
      <c r="J753" s="161"/>
      <c r="K753" s="161"/>
      <c r="L753" s="161"/>
      <c r="M753" s="161"/>
      <c r="N753" s="161"/>
      <c r="O753" s="161"/>
      <c r="P753" s="161"/>
      <c r="Q753" s="161"/>
      <c r="R753" s="161"/>
      <c r="S753" s="161"/>
      <c r="T753" s="161"/>
    </row>
    <row r="754" spans="1:20" ht="13">
      <c r="A754" s="161"/>
      <c r="B754" s="161"/>
      <c r="C754" s="161"/>
      <c r="D754" s="161"/>
      <c r="E754" s="161"/>
      <c r="F754" s="161"/>
      <c r="G754" s="161"/>
      <c r="H754" s="161"/>
      <c r="I754" s="161"/>
      <c r="J754" s="161"/>
      <c r="K754" s="161"/>
      <c r="L754" s="161"/>
      <c r="M754" s="161"/>
      <c r="N754" s="161"/>
      <c r="O754" s="161"/>
      <c r="P754" s="161"/>
      <c r="Q754" s="161"/>
      <c r="R754" s="161"/>
      <c r="S754" s="161"/>
      <c r="T754" s="161"/>
    </row>
    <row r="755" spans="1:20" ht="13">
      <c r="A755" s="161"/>
      <c r="B755" s="161"/>
      <c r="C755" s="161"/>
      <c r="D755" s="161"/>
      <c r="E755" s="161"/>
      <c r="F755" s="161"/>
      <c r="G755" s="161"/>
      <c r="H755" s="161"/>
      <c r="I755" s="161"/>
      <c r="J755" s="161"/>
      <c r="K755" s="161"/>
      <c r="L755" s="161"/>
      <c r="M755" s="161"/>
      <c r="N755" s="161"/>
      <c r="O755" s="161"/>
      <c r="P755" s="161"/>
      <c r="Q755" s="161"/>
      <c r="R755" s="161"/>
      <c r="S755" s="161"/>
      <c r="T755" s="161"/>
    </row>
    <row r="756" spans="1:20" ht="13">
      <c r="A756" s="161"/>
      <c r="B756" s="161"/>
      <c r="C756" s="161"/>
      <c r="D756" s="161"/>
      <c r="E756" s="161"/>
      <c r="F756" s="161"/>
      <c r="G756" s="161"/>
      <c r="H756" s="161"/>
      <c r="I756" s="161"/>
      <c r="J756" s="161"/>
      <c r="K756" s="161"/>
      <c r="L756" s="161"/>
      <c r="M756" s="161"/>
      <c r="N756" s="161"/>
      <c r="O756" s="161"/>
      <c r="P756" s="161"/>
      <c r="Q756" s="161"/>
      <c r="R756" s="161"/>
      <c r="S756" s="161"/>
      <c r="T756" s="161"/>
    </row>
    <row r="757" spans="1:20" ht="13">
      <c r="A757" s="161"/>
      <c r="B757" s="161"/>
      <c r="C757" s="161"/>
      <c r="D757" s="161"/>
      <c r="E757" s="161"/>
      <c r="F757" s="161"/>
      <c r="G757" s="161"/>
      <c r="H757" s="161"/>
      <c r="I757" s="161"/>
      <c r="J757" s="161"/>
      <c r="K757" s="161"/>
      <c r="L757" s="161"/>
      <c r="M757" s="161"/>
      <c r="N757" s="161"/>
      <c r="O757" s="161"/>
      <c r="P757" s="161"/>
      <c r="Q757" s="161"/>
      <c r="R757" s="161"/>
      <c r="S757" s="161"/>
      <c r="T757" s="161"/>
    </row>
    <row r="758" spans="1:20" ht="13">
      <c r="A758" s="161"/>
      <c r="B758" s="161"/>
      <c r="C758" s="161"/>
      <c r="D758" s="161"/>
      <c r="E758" s="161"/>
      <c r="F758" s="161"/>
      <c r="G758" s="161"/>
      <c r="H758" s="161"/>
      <c r="I758" s="161"/>
      <c r="J758" s="161"/>
      <c r="K758" s="161"/>
      <c r="L758" s="161"/>
      <c r="M758" s="161"/>
      <c r="N758" s="161"/>
      <c r="O758" s="161"/>
      <c r="P758" s="161"/>
      <c r="Q758" s="161"/>
      <c r="R758" s="161"/>
      <c r="S758" s="161"/>
      <c r="T758" s="161"/>
    </row>
    <row r="759" spans="1:20" ht="13">
      <c r="A759" s="161"/>
      <c r="B759" s="161"/>
      <c r="C759" s="161"/>
      <c r="D759" s="161"/>
      <c r="E759" s="161"/>
      <c r="F759" s="161"/>
      <c r="G759" s="161"/>
      <c r="H759" s="161"/>
      <c r="I759" s="161"/>
      <c r="J759" s="161"/>
      <c r="K759" s="161"/>
      <c r="L759" s="161"/>
      <c r="M759" s="161"/>
      <c r="N759" s="161"/>
      <c r="O759" s="161"/>
      <c r="P759" s="161"/>
      <c r="Q759" s="161"/>
      <c r="R759" s="161"/>
      <c r="S759" s="161"/>
      <c r="T759" s="161"/>
    </row>
    <row r="760" spans="1:20" ht="13">
      <c r="A760" s="161"/>
      <c r="B760" s="161"/>
      <c r="C760" s="161"/>
      <c r="D760" s="161"/>
      <c r="E760" s="161"/>
      <c r="F760" s="161"/>
      <c r="G760" s="161"/>
      <c r="H760" s="161"/>
      <c r="I760" s="161"/>
      <c r="J760" s="161"/>
      <c r="K760" s="161"/>
      <c r="L760" s="161"/>
      <c r="M760" s="161"/>
      <c r="N760" s="161"/>
      <c r="O760" s="161"/>
      <c r="P760" s="161"/>
      <c r="Q760" s="161"/>
      <c r="R760" s="161"/>
      <c r="S760" s="161"/>
      <c r="T760" s="161"/>
    </row>
    <row r="761" spans="1:20" ht="13">
      <c r="A761" s="161"/>
      <c r="B761" s="161"/>
      <c r="C761" s="161"/>
      <c r="D761" s="161"/>
      <c r="E761" s="161"/>
      <c r="F761" s="161"/>
      <c r="G761" s="161"/>
      <c r="H761" s="161"/>
      <c r="I761" s="161"/>
      <c r="J761" s="161"/>
      <c r="K761" s="161"/>
      <c r="L761" s="161"/>
      <c r="M761" s="161"/>
      <c r="N761" s="161"/>
      <c r="O761" s="161"/>
      <c r="P761" s="161"/>
      <c r="Q761" s="161"/>
      <c r="R761" s="161"/>
      <c r="S761" s="161"/>
      <c r="T761" s="161"/>
    </row>
    <row r="762" spans="1:20" ht="13">
      <c r="A762" s="161"/>
      <c r="B762" s="161"/>
      <c r="C762" s="161"/>
      <c r="D762" s="161"/>
      <c r="E762" s="161"/>
      <c r="F762" s="161"/>
      <c r="G762" s="161"/>
      <c r="H762" s="161"/>
      <c r="I762" s="161"/>
      <c r="J762" s="161"/>
      <c r="K762" s="161"/>
      <c r="L762" s="161"/>
      <c r="M762" s="161"/>
      <c r="N762" s="161"/>
      <c r="O762" s="161"/>
      <c r="P762" s="161"/>
      <c r="Q762" s="161"/>
      <c r="R762" s="161"/>
      <c r="S762" s="161"/>
      <c r="T762" s="161"/>
    </row>
    <row r="763" spans="1:20" ht="13">
      <c r="A763" s="161"/>
      <c r="B763" s="161"/>
      <c r="C763" s="161"/>
      <c r="D763" s="161"/>
      <c r="E763" s="161"/>
      <c r="F763" s="161"/>
      <c r="G763" s="161"/>
      <c r="H763" s="161"/>
      <c r="I763" s="161"/>
      <c r="J763" s="161"/>
      <c r="K763" s="161"/>
      <c r="L763" s="161"/>
      <c r="M763" s="161"/>
      <c r="N763" s="161"/>
      <c r="O763" s="161"/>
      <c r="P763" s="161"/>
      <c r="Q763" s="161"/>
      <c r="R763" s="161"/>
      <c r="S763" s="161"/>
      <c r="T763" s="161"/>
    </row>
    <row r="764" spans="1:20" ht="13">
      <c r="A764" s="161"/>
      <c r="B764" s="161"/>
      <c r="C764" s="161"/>
      <c r="D764" s="161"/>
      <c r="E764" s="161"/>
      <c r="F764" s="161"/>
      <c r="G764" s="161"/>
      <c r="H764" s="161"/>
      <c r="I764" s="161"/>
      <c r="J764" s="161"/>
      <c r="K764" s="161"/>
      <c r="L764" s="161"/>
      <c r="M764" s="161"/>
      <c r="N764" s="161"/>
      <c r="O764" s="161"/>
      <c r="P764" s="161"/>
      <c r="Q764" s="161"/>
      <c r="R764" s="161"/>
      <c r="S764" s="161"/>
      <c r="T764" s="161"/>
    </row>
    <row r="765" spans="1:20" ht="13">
      <c r="A765" s="161"/>
      <c r="B765" s="161"/>
      <c r="C765" s="161"/>
      <c r="D765" s="161"/>
      <c r="E765" s="161"/>
      <c r="F765" s="161"/>
      <c r="G765" s="161"/>
      <c r="H765" s="161"/>
      <c r="I765" s="161"/>
      <c r="J765" s="161"/>
      <c r="K765" s="161"/>
      <c r="L765" s="161"/>
      <c r="M765" s="161"/>
      <c r="N765" s="161"/>
      <c r="O765" s="161"/>
      <c r="P765" s="161"/>
      <c r="Q765" s="161"/>
      <c r="R765" s="161"/>
      <c r="S765" s="161"/>
      <c r="T765" s="161"/>
    </row>
    <row r="766" spans="1:20" ht="13">
      <c r="A766" s="161"/>
      <c r="B766" s="161"/>
      <c r="C766" s="161"/>
      <c r="D766" s="161"/>
      <c r="E766" s="161"/>
      <c r="F766" s="161"/>
      <c r="G766" s="161"/>
      <c r="H766" s="161"/>
      <c r="I766" s="161"/>
      <c r="J766" s="161"/>
      <c r="K766" s="161"/>
      <c r="L766" s="161"/>
      <c r="M766" s="161"/>
      <c r="N766" s="161"/>
      <c r="O766" s="161"/>
      <c r="P766" s="161"/>
      <c r="Q766" s="161"/>
      <c r="R766" s="161"/>
      <c r="S766" s="161"/>
      <c r="T766" s="161"/>
    </row>
    <row r="767" spans="1:20" ht="13">
      <c r="A767" s="161"/>
      <c r="B767" s="161"/>
      <c r="C767" s="161"/>
      <c r="D767" s="161"/>
      <c r="E767" s="161"/>
      <c r="F767" s="161"/>
      <c r="G767" s="161"/>
      <c r="H767" s="161"/>
      <c r="I767" s="161"/>
      <c r="J767" s="161"/>
      <c r="K767" s="161"/>
      <c r="L767" s="161"/>
      <c r="M767" s="161"/>
      <c r="N767" s="161"/>
      <c r="O767" s="161"/>
      <c r="P767" s="161"/>
      <c r="Q767" s="161"/>
      <c r="R767" s="161"/>
      <c r="S767" s="161"/>
      <c r="T767" s="161"/>
    </row>
    <row r="768" spans="1:20" ht="13">
      <c r="A768" s="161"/>
      <c r="B768" s="161"/>
      <c r="C768" s="161"/>
      <c r="D768" s="161"/>
      <c r="E768" s="161"/>
      <c r="F768" s="161"/>
      <c r="G768" s="161"/>
      <c r="H768" s="161"/>
      <c r="I768" s="161"/>
      <c r="J768" s="161"/>
      <c r="K768" s="161"/>
      <c r="L768" s="161"/>
      <c r="M768" s="161"/>
      <c r="N768" s="161"/>
      <c r="O768" s="161"/>
      <c r="P768" s="161"/>
      <c r="Q768" s="161"/>
      <c r="R768" s="161"/>
      <c r="S768" s="161"/>
      <c r="T768" s="161"/>
    </row>
    <row r="769" spans="1:20" ht="13">
      <c r="A769" s="161"/>
      <c r="B769" s="161"/>
      <c r="C769" s="161"/>
      <c r="D769" s="161"/>
      <c r="E769" s="161"/>
      <c r="F769" s="161"/>
      <c r="G769" s="161"/>
      <c r="H769" s="161"/>
      <c r="I769" s="161"/>
      <c r="J769" s="161"/>
      <c r="K769" s="161"/>
      <c r="L769" s="161"/>
      <c r="M769" s="161"/>
      <c r="N769" s="161"/>
      <c r="O769" s="161"/>
      <c r="P769" s="161"/>
      <c r="Q769" s="161"/>
      <c r="R769" s="161"/>
      <c r="S769" s="161"/>
      <c r="T769" s="161"/>
    </row>
    <row r="770" spans="1:20" ht="13">
      <c r="A770" s="161"/>
      <c r="B770" s="161"/>
      <c r="C770" s="161"/>
      <c r="D770" s="161"/>
      <c r="E770" s="161"/>
      <c r="F770" s="161"/>
      <c r="G770" s="161"/>
      <c r="H770" s="161"/>
      <c r="I770" s="161"/>
      <c r="J770" s="161"/>
      <c r="K770" s="161"/>
      <c r="L770" s="161"/>
      <c r="M770" s="161"/>
      <c r="N770" s="161"/>
      <c r="O770" s="161"/>
      <c r="P770" s="161"/>
      <c r="Q770" s="161"/>
      <c r="R770" s="161"/>
      <c r="S770" s="161"/>
      <c r="T770" s="161"/>
    </row>
    <row r="771" spans="1:20" ht="13">
      <c r="A771" s="161"/>
      <c r="B771" s="161"/>
      <c r="C771" s="161"/>
      <c r="D771" s="161"/>
      <c r="E771" s="161"/>
      <c r="F771" s="161"/>
      <c r="G771" s="161"/>
      <c r="H771" s="161"/>
      <c r="I771" s="161"/>
      <c r="J771" s="161"/>
      <c r="K771" s="161"/>
      <c r="L771" s="161"/>
      <c r="M771" s="161"/>
      <c r="N771" s="161"/>
      <c r="O771" s="161"/>
      <c r="P771" s="161"/>
      <c r="Q771" s="161"/>
      <c r="R771" s="161"/>
      <c r="S771" s="161"/>
      <c r="T771" s="161"/>
    </row>
    <row r="772" spans="1:20" ht="13">
      <c r="A772" s="161"/>
      <c r="B772" s="161"/>
      <c r="C772" s="161"/>
      <c r="D772" s="161"/>
      <c r="E772" s="161"/>
      <c r="F772" s="161"/>
      <c r="G772" s="161"/>
      <c r="H772" s="161"/>
      <c r="I772" s="161"/>
      <c r="J772" s="161"/>
      <c r="K772" s="161"/>
      <c r="L772" s="161"/>
      <c r="M772" s="161"/>
      <c r="N772" s="161"/>
      <c r="O772" s="161"/>
      <c r="P772" s="161"/>
      <c r="Q772" s="161"/>
      <c r="R772" s="161"/>
      <c r="S772" s="161"/>
      <c r="T772" s="161"/>
    </row>
    <row r="773" spans="1:20" ht="13">
      <c r="A773" s="161"/>
      <c r="B773" s="161"/>
      <c r="C773" s="161"/>
      <c r="D773" s="161"/>
      <c r="E773" s="161"/>
      <c r="F773" s="161"/>
      <c r="G773" s="161"/>
      <c r="H773" s="161"/>
      <c r="I773" s="161"/>
      <c r="J773" s="161"/>
      <c r="K773" s="161"/>
      <c r="L773" s="161"/>
      <c r="M773" s="161"/>
      <c r="N773" s="161"/>
      <c r="O773" s="161"/>
      <c r="P773" s="161"/>
      <c r="Q773" s="161"/>
      <c r="R773" s="161"/>
      <c r="S773" s="161"/>
      <c r="T773" s="161"/>
    </row>
    <row r="774" spans="1:20" ht="13">
      <c r="A774" s="161"/>
      <c r="B774" s="161"/>
      <c r="C774" s="161"/>
      <c r="D774" s="161"/>
      <c r="E774" s="161"/>
      <c r="F774" s="161"/>
      <c r="G774" s="161"/>
      <c r="H774" s="161"/>
      <c r="I774" s="161"/>
      <c r="J774" s="161"/>
      <c r="K774" s="161"/>
      <c r="L774" s="161"/>
      <c r="M774" s="161"/>
      <c r="N774" s="161"/>
      <c r="O774" s="161"/>
      <c r="P774" s="161"/>
      <c r="Q774" s="161"/>
      <c r="R774" s="161"/>
      <c r="S774" s="161"/>
      <c r="T774" s="161"/>
    </row>
    <row r="775" spans="1:20" ht="13">
      <c r="A775" s="161"/>
      <c r="B775" s="161"/>
      <c r="C775" s="161"/>
      <c r="D775" s="161"/>
      <c r="E775" s="161"/>
      <c r="F775" s="161"/>
      <c r="G775" s="161"/>
      <c r="H775" s="161"/>
      <c r="I775" s="161"/>
      <c r="J775" s="161"/>
      <c r="K775" s="161"/>
      <c r="L775" s="161"/>
      <c r="M775" s="161"/>
      <c r="N775" s="161"/>
      <c r="O775" s="161"/>
      <c r="P775" s="161"/>
      <c r="Q775" s="161"/>
      <c r="R775" s="161"/>
      <c r="S775" s="161"/>
      <c r="T775" s="161"/>
    </row>
    <row r="776" spans="1:20" ht="13">
      <c r="A776" s="161"/>
      <c r="B776" s="161"/>
      <c r="C776" s="161"/>
      <c r="D776" s="161"/>
      <c r="E776" s="161"/>
      <c r="F776" s="161"/>
      <c r="G776" s="161"/>
      <c r="H776" s="161"/>
      <c r="I776" s="161"/>
      <c r="J776" s="161"/>
      <c r="K776" s="161"/>
      <c r="L776" s="161"/>
      <c r="M776" s="161"/>
      <c r="N776" s="161"/>
      <c r="O776" s="161"/>
      <c r="P776" s="161"/>
      <c r="Q776" s="161"/>
      <c r="R776" s="161"/>
      <c r="S776" s="161"/>
      <c r="T776" s="161"/>
    </row>
    <row r="777" spans="1:20" ht="13">
      <c r="A777" s="161"/>
      <c r="B777" s="161"/>
      <c r="C777" s="161"/>
      <c r="D777" s="161"/>
      <c r="E777" s="161"/>
      <c r="F777" s="161"/>
      <c r="G777" s="161"/>
      <c r="H777" s="161"/>
      <c r="I777" s="161"/>
      <c r="J777" s="161"/>
      <c r="K777" s="161"/>
      <c r="L777" s="161"/>
      <c r="M777" s="161"/>
      <c r="N777" s="161"/>
      <c r="O777" s="161"/>
      <c r="P777" s="161"/>
      <c r="Q777" s="161"/>
      <c r="R777" s="161"/>
      <c r="S777" s="161"/>
      <c r="T777" s="161"/>
    </row>
    <row r="778" spans="1:20" ht="13">
      <c r="A778" s="161"/>
      <c r="B778" s="161"/>
      <c r="C778" s="161"/>
      <c r="D778" s="161"/>
      <c r="E778" s="161"/>
      <c r="F778" s="161"/>
      <c r="G778" s="161"/>
      <c r="H778" s="161"/>
      <c r="I778" s="161"/>
      <c r="J778" s="161"/>
      <c r="K778" s="161"/>
      <c r="L778" s="161"/>
      <c r="M778" s="161"/>
      <c r="N778" s="161"/>
      <c r="O778" s="161"/>
      <c r="P778" s="161"/>
      <c r="Q778" s="161"/>
      <c r="R778" s="161"/>
      <c r="S778" s="161"/>
      <c r="T778" s="161"/>
    </row>
    <row r="779" spans="1:20" ht="13">
      <c r="A779" s="161"/>
      <c r="B779" s="161"/>
      <c r="C779" s="161"/>
      <c r="D779" s="161"/>
      <c r="E779" s="161"/>
      <c r="F779" s="161"/>
      <c r="G779" s="161"/>
      <c r="H779" s="161"/>
      <c r="I779" s="161"/>
      <c r="J779" s="161"/>
      <c r="K779" s="161"/>
      <c r="L779" s="161"/>
      <c r="M779" s="161"/>
      <c r="N779" s="161"/>
      <c r="O779" s="161"/>
      <c r="P779" s="161"/>
      <c r="Q779" s="161"/>
      <c r="R779" s="161"/>
      <c r="S779" s="161"/>
      <c r="T779" s="161"/>
    </row>
    <row r="780" spans="1:20" ht="13">
      <c r="A780" s="161"/>
      <c r="B780" s="161"/>
      <c r="C780" s="161"/>
      <c r="D780" s="161"/>
      <c r="E780" s="161"/>
      <c r="F780" s="161"/>
      <c r="G780" s="161"/>
      <c r="H780" s="161"/>
      <c r="I780" s="161"/>
      <c r="J780" s="161"/>
      <c r="K780" s="161"/>
      <c r="L780" s="161"/>
      <c r="M780" s="161"/>
      <c r="N780" s="161"/>
      <c r="O780" s="161"/>
      <c r="P780" s="161"/>
      <c r="Q780" s="161"/>
      <c r="R780" s="161"/>
      <c r="S780" s="161"/>
      <c r="T780" s="161"/>
    </row>
    <row r="781" spans="1:20" ht="13">
      <c r="A781" s="161"/>
      <c r="B781" s="161"/>
      <c r="C781" s="161"/>
      <c r="D781" s="161"/>
      <c r="E781" s="161"/>
      <c r="F781" s="161"/>
      <c r="G781" s="161"/>
      <c r="H781" s="161"/>
      <c r="I781" s="161"/>
      <c r="J781" s="161"/>
      <c r="K781" s="161"/>
      <c r="L781" s="161"/>
      <c r="M781" s="161"/>
      <c r="N781" s="161"/>
      <c r="O781" s="161"/>
      <c r="P781" s="161"/>
      <c r="Q781" s="161"/>
      <c r="R781" s="161"/>
      <c r="S781" s="161"/>
      <c r="T781" s="161"/>
    </row>
    <row r="782" spans="1:20" ht="13">
      <c r="A782" s="161"/>
      <c r="B782" s="161"/>
      <c r="C782" s="161"/>
      <c r="D782" s="161"/>
      <c r="E782" s="161"/>
      <c r="F782" s="161"/>
      <c r="G782" s="161"/>
      <c r="H782" s="161"/>
      <c r="I782" s="161"/>
      <c r="J782" s="161"/>
      <c r="K782" s="161"/>
      <c r="L782" s="161"/>
      <c r="M782" s="161"/>
      <c r="N782" s="161"/>
      <c r="O782" s="161"/>
      <c r="P782" s="161"/>
      <c r="Q782" s="161"/>
      <c r="R782" s="161"/>
      <c r="S782" s="161"/>
      <c r="T782" s="161"/>
    </row>
    <row r="783" spans="1:20" ht="13">
      <c r="A783" s="161"/>
      <c r="B783" s="161"/>
      <c r="C783" s="161"/>
      <c r="D783" s="161"/>
      <c r="E783" s="161"/>
      <c r="F783" s="161"/>
      <c r="G783" s="161"/>
      <c r="H783" s="161"/>
      <c r="I783" s="161"/>
      <c r="J783" s="161"/>
      <c r="K783" s="161"/>
      <c r="L783" s="161"/>
      <c r="M783" s="161"/>
      <c r="N783" s="161"/>
      <c r="O783" s="161"/>
      <c r="P783" s="161"/>
      <c r="Q783" s="161"/>
      <c r="R783" s="161"/>
      <c r="S783" s="161"/>
      <c r="T783" s="161"/>
    </row>
    <row r="784" spans="1:20" ht="13">
      <c r="A784" s="161"/>
      <c r="B784" s="161"/>
      <c r="C784" s="161"/>
      <c r="D784" s="161"/>
      <c r="E784" s="161"/>
      <c r="F784" s="161"/>
      <c r="G784" s="161"/>
      <c r="H784" s="161"/>
      <c r="I784" s="161"/>
      <c r="J784" s="161"/>
      <c r="K784" s="161"/>
      <c r="L784" s="161"/>
      <c r="M784" s="161"/>
      <c r="N784" s="161"/>
      <c r="O784" s="161"/>
      <c r="P784" s="161"/>
      <c r="Q784" s="161"/>
      <c r="R784" s="161"/>
      <c r="S784" s="161"/>
      <c r="T784" s="161"/>
    </row>
    <row r="785" spans="1:20" ht="13">
      <c r="A785" s="161"/>
      <c r="B785" s="161"/>
      <c r="C785" s="161"/>
      <c r="D785" s="161"/>
      <c r="E785" s="161"/>
      <c r="F785" s="161"/>
      <c r="G785" s="161"/>
      <c r="H785" s="161"/>
      <c r="I785" s="161"/>
      <c r="J785" s="161"/>
      <c r="K785" s="161"/>
      <c r="L785" s="161"/>
      <c r="M785" s="161"/>
      <c r="N785" s="161"/>
      <c r="O785" s="161"/>
      <c r="P785" s="161"/>
      <c r="Q785" s="161"/>
      <c r="R785" s="161"/>
      <c r="S785" s="161"/>
      <c r="T785" s="161"/>
    </row>
    <row r="786" spans="1:20" ht="13">
      <c r="A786" s="161"/>
      <c r="B786" s="161"/>
      <c r="C786" s="161"/>
      <c r="D786" s="161"/>
      <c r="E786" s="161"/>
      <c r="F786" s="161"/>
      <c r="G786" s="161"/>
      <c r="H786" s="161"/>
      <c r="I786" s="161"/>
      <c r="J786" s="161"/>
      <c r="K786" s="161"/>
      <c r="L786" s="161"/>
      <c r="M786" s="161"/>
      <c r="N786" s="161"/>
      <c r="O786" s="161"/>
      <c r="P786" s="161"/>
      <c r="Q786" s="161"/>
      <c r="R786" s="161"/>
      <c r="S786" s="161"/>
      <c r="T786" s="161"/>
    </row>
    <row r="787" spans="1:20" ht="13">
      <c r="A787" s="161"/>
      <c r="B787" s="161"/>
      <c r="C787" s="161"/>
      <c r="D787" s="161"/>
      <c r="E787" s="161"/>
      <c r="F787" s="161"/>
      <c r="G787" s="161"/>
      <c r="H787" s="161"/>
      <c r="I787" s="161"/>
      <c r="J787" s="161"/>
      <c r="K787" s="161"/>
      <c r="L787" s="161"/>
      <c r="M787" s="161"/>
      <c r="N787" s="161"/>
      <c r="O787" s="161"/>
      <c r="P787" s="161"/>
      <c r="Q787" s="161"/>
      <c r="R787" s="161"/>
      <c r="S787" s="161"/>
      <c r="T787" s="161"/>
    </row>
    <row r="788" spans="1:20" ht="13">
      <c r="A788" s="161"/>
      <c r="B788" s="161"/>
      <c r="C788" s="161"/>
      <c r="D788" s="161"/>
      <c r="E788" s="161"/>
      <c r="F788" s="161"/>
      <c r="G788" s="161"/>
      <c r="H788" s="161"/>
      <c r="I788" s="161"/>
      <c r="J788" s="161"/>
      <c r="K788" s="161"/>
      <c r="L788" s="161"/>
      <c r="M788" s="161"/>
      <c r="N788" s="161"/>
      <c r="O788" s="161"/>
      <c r="P788" s="161"/>
      <c r="Q788" s="161"/>
      <c r="R788" s="161"/>
      <c r="S788" s="161"/>
      <c r="T788" s="161"/>
    </row>
    <row r="789" spans="1:20" ht="13">
      <c r="A789" s="161"/>
      <c r="B789" s="161"/>
      <c r="C789" s="161"/>
      <c r="D789" s="161"/>
      <c r="E789" s="161"/>
      <c r="F789" s="161"/>
      <c r="G789" s="161"/>
      <c r="H789" s="161"/>
      <c r="I789" s="161"/>
      <c r="J789" s="161"/>
      <c r="K789" s="161"/>
      <c r="L789" s="161"/>
      <c r="M789" s="161"/>
      <c r="N789" s="161"/>
      <c r="O789" s="161"/>
      <c r="P789" s="161"/>
      <c r="Q789" s="161"/>
      <c r="R789" s="161"/>
      <c r="S789" s="161"/>
      <c r="T789" s="161"/>
    </row>
    <row r="790" spans="1:20" ht="13">
      <c r="A790" s="161"/>
      <c r="B790" s="161"/>
      <c r="C790" s="161"/>
      <c r="D790" s="161"/>
      <c r="E790" s="161"/>
      <c r="F790" s="161"/>
      <c r="G790" s="161"/>
      <c r="H790" s="161"/>
      <c r="I790" s="161"/>
      <c r="J790" s="161"/>
      <c r="K790" s="161"/>
      <c r="L790" s="161"/>
      <c r="M790" s="161"/>
      <c r="N790" s="161"/>
      <c r="O790" s="161"/>
      <c r="P790" s="161"/>
      <c r="Q790" s="161"/>
      <c r="R790" s="161"/>
      <c r="S790" s="161"/>
      <c r="T790" s="161"/>
    </row>
    <row r="791" spans="1:20" ht="13">
      <c r="A791" s="161"/>
      <c r="B791" s="161"/>
      <c r="C791" s="161"/>
      <c r="D791" s="161"/>
      <c r="E791" s="161"/>
      <c r="F791" s="161"/>
      <c r="G791" s="161"/>
      <c r="H791" s="161"/>
      <c r="I791" s="161"/>
      <c r="J791" s="161"/>
      <c r="K791" s="161"/>
      <c r="L791" s="161"/>
      <c r="M791" s="161"/>
      <c r="N791" s="161"/>
      <c r="O791" s="161"/>
      <c r="P791" s="161"/>
      <c r="Q791" s="161"/>
      <c r="R791" s="161"/>
      <c r="S791" s="161"/>
      <c r="T791" s="161"/>
    </row>
    <row r="792" spans="1:20" ht="13">
      <c r="A792" s="161"/>
      <c r="B792" s="161"/>
      <c r="C792" s="161"/>
      <c r="D792" s="161"/>
      <c r="E792" s="161"/>
      <c r="F792" s="161"/>
      <c r="G792" s="161"/>
      <c r="H792" s="161"/>
      <c r="I792" s="161"/>
      <c r="J792" s="161"/>
      <c r="K792" s="161"/>
      <c r="L792" s="161"/>
      <c r="M792" s="161"/>
      <c r="N792" s="161"/>
      <c r="O792" s="161"/>
      <c r="P792" s="161"/>
      <c r="Q792" s="161"/>
      <c r="R792" s="161"/>
      <c r="S792" s="161"/>
      <c r="T792" s="161"/>
    </row>
    <row r="793" spans="1:20" ht="13">
      <c r="A793" s="161"/>
      <c r="B793" s="161"/>
      <c r="C793" s="161"/>
      <c r="D793" s="161"/>
      <c r="E793" s="161"/>
      <c r="F793" s="161"/>
      <c r="G793" s="161"/>
      <c r="H793" s="161"/>
      <c r="I793" s="161"/>
      <c r="J793" s="161"/>
      <c r="K793" s="161"/>
      <c r="L793" s="161"/>
      <c r="M793" s="161"/>
      <c r="N793" s="161"/>
      <c r="O793" s="161"/>
      <c r="P793" s="161"/>
      <c r="Q793" s="161"/>
      <c r="R793" s="161"/>
      <c r="S793" s="161"/>
      <c r="T793" s="161"/>
    </row>
    <row r="794" spans="1:20" ht="13">
      <c r="A794" s="161"/>
      <c r="B794" s="161"/>
      <c r="C794" s="161"/>
      <c r="D794" s="161"/>
      <c r="E794" s="161"/>
      <c r="F794" s="161"/>
      <c r="G794" s="161"/>
      <c r="H794" s="161"/>
      <c r="I794" s="161"/>
      <c r="J794" s="161"/>
      <c r="K794" s="161"/>
      <c r="L794" s="161"/>
      <c r="M794" s="161"/>
      <c r="N794" s="161"/>
      <c r="O794" s="161"/>
      <c r="P794" s="161"/>
      <c r="Q794" s="161"/>
      <c r="R794" s="161"/>
      <c r="S794" s="161"/>
      <c r="T794" s="161"/>
    </row>
    <row r="795" spans="1:20" ht="13">
      <c r="A795" s="161"/>
      <c r="B795" s="161"/>
      <c r="C795" s="161"/>
      <c r="D795" s="161"/>
      <c r="E795" s="161"/>
      <c r="F795" s="161"/>
      <c r="G795" s="161"/>
      <c r="H795" s="161"/>
      <c r="I795" s="161"/>
      <c r="J795" s="161"/>
      <c r="K795" s="161"/>
      <c r="L795" s="161"/>
      <c r="M795" s="161"/>
      <c r="N795" s="161"/>
      <c r="O795" s="161"/>
      <c r="P795" s="161"/>
      <c r="Q795" s="161"/>
      <c r="R795" s="161"/>
      <c r="S795" s="161"/>
      <c r="T795" s="161"/>
    </row>
    <row r="796" spans="1:20" ht="13">
      <c r="A796" s="161"/>
      <c r="B796" s="161"/>
      <c r="C796" s="161"/>
      <c r="D796" s="161"/>
      <c r="E796" s="161"/>
      <c r="F796" s="161"/>
      <c r="G796" s="161"/>
      <c r="H796" s="161"/>
      <c r="I796" s="161"/>
      <c r="J796" s="161"/>
      <c r="K796" s="161"/>
      <c r="L796" s="161"/>
      <c r="M796" s="161"/>
      <c r="N796" s="161"/>
      <c r="O796" s="161"/>
      <c r="P796" s="161"/>
      <c r="Q796" s="161"/>
      <c r="R796" s="161"/>
      <c r="S796" s="161"/>
      <c r="T796" s="161"/>
    </row>
    <row r="797" spans="1:20" ht="13">
      <c r="A797" s="161"/>
      <c r="B797" s="161"/>
      <c r="C797" s="161"/>
      <c r="D797" s="161"/>
      <c r="E797" s="161"/>
      <c r="F797" s="161"/>
      <c r="G797" s="161"/>
      <c r="H797" s="161"/>
      <c r="I797" s="161"/>
      <c r="J797" s="161"/>
      <c r="K797" s="161"/>
      <c r="L797" s="161"/>
      <c r="M797" s="161"/>
      <c r="N797" s="161"/>
      <c r="O797" s="161"/>
      <c r="P797" s="161"/>
      <c r="Q797" s="161"/>
      <c r="R797" s="161"/>
      <c r="S797" s="161"/>
      <c r="T797" s="161"/>
    </row>
    <row r="798" spans="1:20" ht="13">
      <c r="A798" s="161"/>
      <c r="B798" s="161"/>
      <c r="C798" s="161"/>
      <c r="D798" s="161"/>
      <c r="E798" s="161"/>
      <c r="F798" s="161"/>
      <c r="G798" s="161"/>
      <c r="H798" s="161"/>
      <c r="I798" s="161"/>
      <c r="J798" s="161"/>
      <c r="K798" s="161"/>
      <c r="L798" s="161"/>
      <c r="M798" s="161"/>
      <c r="N798" s="161"/>
      <c r="O798" s="161"/>
      <c r="P798" s="161"/>
      <c r="Q798" s="161"/>
      <c r="R798" s="161"/>
      <c r="S798" s="161"/>
      <c r="T798" s="161"/>
    </row>
    <row r="799" spans="1:20" ht="13">
      <c r="A799" s="161"/>
      <c r="B799" s="161"/>
      <c r="C799" s="161"/>
      <c r="D799" s="161"/>
      <c r="E799" s="161"/>
      <c r="F799" s="161"/>
      <c r="G799" s="161"/>
      <c r="H799" s="161"/>
      <c r="I799" s="161"/>
      <c r="J799" s="161"/>
      <c r="K799" s="161"/>
      <c r="L799" s="161"/>
      <c r="M799" s="161"/>
      <c r="N799" s="161"/>
      <c r="O799" s="161"/>
      <c r="P799" s="161"/>
      <c r="Q799" s="161"/>
      <c r="R799" s="161"/>
      <c r="S799" s="161"/>
      <c r="T799" s="161"/>
    </row>
    <row r="800" spans="1:20" ht="13">
      <c r="A800" s="161"/>
      <c r="B800" s="161"/>
      <c r="C800" s="161"/>
      <c r="D800" s="161"/>
      <c r="E800" s="161"/>
      <c r="F800" s="161"/>
      <c r="G800" s="161"/>
      <c r="H800" s="161"/>
      <c r="I800" s="161"/>
      <c r="J800" s="161"/>
      <c r="K800" s="161"/>
      <c r="L800" s="161"/>
      <c r="M800" s="161"/>
      <c r="N800" s="161"/>
      <c r="O800" s="161"/>
      <c r="P800" s="161"/>
      <c r="Q800" s="161"/>
      <c r="R800" s="161"/>
      <c r="S800" s="161"/>
      <c r="T800" s="161"/>
    </row>
    <row r="801" spans="1:20" ht="13">
      <c r="A801" s="161"/>
      <c r="B801" s="161"/>
      <c r="C801" s="161"/>
      <c r="D801" s="161"/>
      <c r="E801" s="161"/>
      <c r="F801" s="161"/>
      <c r="G801" s="161"/>
      <c r="H801" s="161"/>
      <c r="I801" s="161"/>
      <c r="J801" s="161"/>
      <c r="K801" s="161"/>
      <c r="L801" s="161"/>
      <c r="M801" s="161"/>
      <c r="N801" s="161"/>
      <c r="O801" s="161"/>
      <c r="P801" s="161"/>
      <c r="Q801" s="161"/>
      <c r="R801" s="161"/>
      <c r="S801" s="161"/>
      <c r="T801" s="161"/>
    </row>
    <row r="802" spans="1:20" ht="13">
      <c r="A802" s="161"/>
      <c r="B802" s="161"/>
      <c r="C802" s="161"/>
      <c r="D802" s="161"/>
      <c r="E802" s="161"/>
      <c r="F802" s="161"/>
      <c r="G802" s="161"/>
      <c r="H802" s="161"/>
      <c r="I802" s="161"/>
      <c r="J802" s="161"/>
      <c r="K802" s="161"/>
      <c r="L802" s="161"/>
      <c r="M802" s="161"/>
      <c r="N802" s="161"/>
      <c r="O802" s="161"/>
      <c r="P802" s="161"/>
      <c r="Q802" s="161"/>
      <c r="R802" s="161"/>
      <c r="S802" s="161"/>
      <c r="T802" s="161"/>
    </row>
    <row r="803" spans="1:20" ht="13">
      <c r="A803" s="161"/>
      <c r="B803" s="161"/>
      <c r="C803" s="161"/>
      <c r="D803" s="161"/>
      <c r="E803" s="161"/>
      <c r="F803" s="161"/>
      <c r="G803" s="161"/>
      <c r="H803" s="161"/>
      <c r="I803" s="161"/>
      <c r="J803" s="161"/>
      <c r="K803" s="161"/>
      <c r="L803" s="161"/>
      <c r="M803" s="161"/>
      <c r="N803" s="161"/>
      <c r="O803" s="161"/>
      <c r="P803" s="161"/>
      <c r="Q803" s="161"/>
      <c r="R803" s="161"/>
      <c r="S803" s="161"/>
      <c r="T803" s="161"/>
    </row>
    <row r="804" spans="1:20" ht="13">
      <c r="A804" s="161"/>
      <c r="B804" s="161"/>
      <c r="C804" s="161"/>
      <c r="D804" s="161"/>
      <c r="E804" s="161"/>
      <c r="F804" s="161"/>
      <c r="G804" s="161"/>
      <c r="H804" s="161"/>
      <c r="I804" s="161"/>
      <c r="J804" s="161"/>
      <c r="K804" s="161"/>
      <c r="L804" s="161"/>
      <c r="M804" s="161"/>
      <c r="N804" s="161"/>
      <c r="O804" s="161"/>
      <c r="P804" s="161"/>
      <c r="Q804" s="161"/>
      <c r="R804" s="161"/>
      <c r="S804" s="161"/>
      <c r="T804" s="161"/>
    </row>
    <row r="805" spans="1:20" ht="13">
      <c r="A805" s="161"/>
      <c r="B805" s="161"/>
      <c r="C805" s="161"/>
      <c r="D805" s="161"/>
      <c r="E805" s="161"/>
      <c r="F805" s="161"/>
      <c r="G805" s="161"/>
      <c r="H805" s="161"/>
      <c r="I805" s="161"/>
      <c r="J805" s="161"/>
      <c r="K805" s="161"/>
      <c r="L805" s="161"/>
      <c r="M805" s="161"/>
      <c r="N805" s="161"/>
      <c r="O805" s="161"/>
      <c r="P805" s="161"/>
      <c r="Q805" s="161"/>
      <c r="R805" s="161"/>
      <c r="S805" s="161"/>
      <c r="T805" s="161"/>
    </row>
    <row r="806" spans="1:20" ht="13">
      <c r="A806" s="161"/>
      <c r="B806" s="161"/>
      <c r="C806" s="161"/>
      <c r="D806" s="161"/>
      <c r="E806" s="161"/>
      <c r="F806" s="161"/>
      <c r="G806" s="161"/>
      <c r="H806" s="161"/>
      <c r="I806" s="161"/>
      <c r="J806" s="161"/>
      <c r="K806" s="161"/>
      <c r="L806" s="161"/>
      <c r="M806" s="161"/>
      <c r="N806" s="161"/>
      <c r="O806" s="161"/>
      <c r="P806" s="161"/>
      <c r="Q806" s="161"/>
      <c r="R806" s="161"/>
      <c r="S806" s="161"/>
      <c r="T806" s="161"/>
    </row>
    <row r="807" spans="1:20" ht="13">
      <c r="A807" s="161"/>
      <c r="B807" s="161"/>
      <c r="C807" s="161"/>
      <c r="D807" s="161"/>
      <c r="E807" s="161"/>
      <c r="F807" s="161"/>
      <c r="G807" s="161"/>
      <c r="H807" s="161"/>
      <c r="I807" s="161"/>
      <c r="J807" s="161"/>
      <c r="K807" s="161"/>
      <c r="L807" s="161"/>
      <c r="M807" s="161"/>
      <c r="N807" s="161"/>
      <c r="O807" s="161"/>
      <c r="P807" s="161"/>
      <c r="Q807" s="161"/>
      <c r="R807" s="161"/>
      <c r="S807" s="161"/>
      <c r="T807" s="161"/>
    </row>
    <row r="808" spans="1:20" ht="13">
      <c r="A808" s="161"/>
      <c r="B808" s="161"/>
      <c r="C808" s="161"/>
      <c r="D808" s="161"/>
      <c r="E808" s="161"/>
      <c r="F808" s="161"/>
      <c r="G808" s="161"/>
      <c r="H808" s="161"/>
      <c r="I808" s="161"/>
      <c r="J808" s="161"/>
      <c r="K808" s="161"/>
      <c r="L808" s="161"/>
      <c r="M808" s="161"/>
      <c r="N808" s="161"/>
      <c r="O808" s="161"/>
      <c r="P808" s="161"/>
      <c r="Q808" s="161"/>
      <c r="R808" s="161"/>
      <c r="S808" s="161"/>
      <c r="T808" s="161"/>
    </row>
    <row r="809" spans="1:20" ht="13">
      <c r="A809" s="161"/>
      <c r="B809" s="161"/>
      <c r="C809" s="161"/>
      <c r="D809" s="161"/>
      <c r="E809" s="161"/>
      <c r="F809" s="161"/>
      <c r="G809" s="161"/>
      <c r="H809" s="161"/>
      <c r="I809" s="161"/>
      <c r="J809" s="161"/>
      <c r="K809" s="161"/>
      <c r="L809" s="161"/>
      <c r="M809" s="161"/>
      <c r="N809" s="161"/>
      <c r="O809" s="161"/>
      <c r="P809" s="161"/>
      <c r="Q809" s="161"/>
      <c r="R809" s="161"/>
      <c r="S809" s="161"/>
      <c r="T809" s="161"/>
    </row>
    <row r="810" spans="1:20" ht="13">
      <c r="A810" s="161"/>
      <c r="B810" s="161"/>
      <c r="C810" s="161"/>
      <c r="D810" s="161"/>
      <c r="E810" s="161"/>
      <c r="F810" s="161"/>
      <c r="G810" s="161"/>
      <c r="H810" s="161"/>
      <c r="I810" s="161"/>
      <c r="J810" s="161"/>
      <c r="K810" s="161"/>
      <c r="L810" s="161"/>
      <c r="M810" s="161"/>
      <c r="N810" s="161"/>
      <c r="O810" s="161"/>
      <c r="P810" s="161"/>
      <c r="Q810" s="161"/>
      <c r="R810" s="161"/>
      <c r="S810" s="161"/>
      <c r="T810" s="161"/>
    </row>
    <row r="811" spans="1:20" ht="13">
      <c r="A811" s="161"/>
      <c r="B811" s="161"/>
      <c r="C811" s="161"/>
      <c r="D811" s="161"/>
      <c r="E811" s="161"/>
      <c r="F811" s="161"/>
      <c r="G811" s="161"/>
      <c r="H811" s="161"/>
      <c r="I811" s="161"/>
      <c r="J811" s="161"/>
      <c r="K811" s="161"/>
      <c r="L811" s="161"/>
      <c r="M811" s="161"/>
      <c r="N811" s="161"/>
      <c r="O811" s="161"/>
      <c r="P811" s="161"/>
      <c r="Q811" s="161"/>
      <c r="R811" s="161"/>
      <c r="S811" s="161"/>
      <c r="T811" s="161"/>
    </row>
    <row r="812" spans="1:20" ht="13">
      <c r="A812" s="161"/>
      <c r="B812" s="161"/>
      <c r="C812" s="161"/>
      <c r="D812" s="161"/>
      <c r="E812" s="161"/>
      <c r="F812" s="161"/>
      <c r="G812" s="161"/>
      <c r="H812" s="161"/>
      <c r="I812" s="161"/>
      <c r="J812" s="161"/>
      <c r="K812" s="161"/>
      <c r="L812" s="161"/>
      <c r="M812" s="161"/>
      <c r="N812" s="161"/>
      <c r="O812" s="161"/>
      <c r="P812" s="161"/>
      <c r="Q812" s="161"/>
      <c r="R812" s="161"/>
      <c r="S812" s="161"/>
      <c r="T812" s="161"/>
    </row>
    <row r="813" spans="1:20" ht="13">
      <c r="A813" s="161"/>
      <c r="B813" s="161"/>
      <c r="C813" s="161"/>
      <c r="D813" s="161"/>
      <c r="E813" s="161"/>
      <c r="F813" s="161"/>
      <c r="G813" s="161"/>
      <c r="H813" s="161"/>
      <c r="I813" s="161"/>
      <c r="J813" s="161"/>
      <c r="K813" s="161"/>
      <c r="L813" s="161"/>
      <c r="M813" s="161"/>
      <c r="N813" s="161"/>
      <c r="O813" s="161"/>
      <c r="P813" s="161"/>
      <c r="Q813" s="161"/>
      <c r="R813" s="161"/>
      <c r="S813" s="161"/>
      <c r="T813" s="161"/>
    </row>
    <row r="814" spans="1:20" ht="13">
      <c r="A814" s="161"/>
      <c r="B814" s="161"/>
      <c r="C814" s="161"/>
      <c r="D814" s="161"/>
      <c r="E814" s="161"/>
      <c r="F814" s="161"/>
      <c r="G814" s="161"/>
      <c r="H814" s="161"/>
      <c r="I814" s="161"/>
      <c r="J814" s="161"/>
      <c r="K814" s="161"/>
      <c r="L814" s="161"/>
      <c r="M814" s="161"/>
      <c r="N814" s="161"/>
      <c r="O814" s="161"/>
      <c r="P814" s="161"/>
      <c r="Q814" s="161"/>
      <c r="R814" s="161"/>
      <c r="S814" s="161"/>
      <c r="T814" s="161"/>
    </row>
    <row r="815" spans="1:20" ht="13">
      <c r="A815" s="161"/>
      <c r="B815" s="161"/>
      <c r="C815" s="161"/>
      <c r="D815" s="161"/>
      <c r="E815" s="161"/>
      <c r="F815" s="161"/>
      <c r="G815" s="161"/>
      <c r="H815" s="161"/>
      <c r="I815" s="161"/>
      <c r="J815" s="161"/>
      <c r="K815" s="161"/>
      <c r="L815" s="161"/>
      <c r="M815" s="161"/>
      <c r="N815" s="161"/>
      <c r="O815" s="161"/>
      <c r="P815" s="161"/>
      <c r="Q815" s="161"/>
      <c r="R815" s="161"/>
      <c r="S815" s="161"/>
      <c r="T815" s="161"/>
    </row>
    <row r="816" spans="1:20" ht="13">
      <c r="A816" s="161"/>
      <c r="B816" s="161"/>
      <c r="C816" s="161"/>
      <c r="D816" s="161"/>
      <c r="E816" s="161"/>
      <c r="F816" s="161"/>
      <c r="G816" s="161"/>
      <c r="H816" s="161"/>
      <c r="I816" s="161"/>
      <c r="J816" s="161"/>
      <c r="K816" s="161"/>
      <c r="L816" s="161"/>
      <c r="M816" s="161"/>
      <c r="N816" s="161"/>
      <c r="O816" s="161"/>
      <c r="P816" s="161"/>
      <c r="Q816" s="161"/>
      <c r="R816" s="161"/>
      <c r="S816" s="161"/>
      <c r="T816" s="161"/>
    </row>
    <row r="817" spans="1:20" ht="13">
      <c r="A817" s="161"/>
      <c r="B817" s="161"/>
      <c r="C817" s="161"/>
      <c r="D817" s="161"/>
      <c r="E817" s="161"/>
      <c r="F817" s="161"/>
      <c r="G817" s="161"/>
      <c r="H817" s="161"/>
      <c r="I817" s="161"/>
      <c r="J817" s="161"/>
      <c r="K817" s="161"/>
      <c r="L817" s="161"/>
      <c r="M817" s="161"/>
      <c r="N817" s="161"/>
      <c r="O817" s="161"/>
      <c r="P817" s="161"/>
      <c r="Q817" s="161"/>
      <c r="R817" s="161"/>
      <c r="S817" s="161"/>
      <c r="T817" s="161"/>
    </row>
    <row r="818" spans="1:20" ht="13">
      <c r="A818" s="161"/>
      <c r="B818" s="161"/>
      <c r="C818" s="161"/>
      <c r="D818" s="161"/>
      <c r="E818" s="161"/>
      <c r="F818" s="161"/>
      <c r="G818" s="161"/>
      <c r="H818" s="161"/>
      <c r="I818" s="161"/>
      <c r="J818" s="161"/>
      <c r="K818" s="161"/>
      <c r="L818" s="161"/>
      <c r="M818" s="161"/>
      <c r="N818" s="161"/>
      <c r="O818" s="161"/>
      <c r="P818" s="161"/>
      <c r="Q818" s="161"/>
      <c r="R818" s="161"/>
      <c r="S818" s="161"/>
      <c r="T818" s="161"/>
    </row>
    <row r="819" spans="1:20" ht="13">
      <c r="A819" s="161"/>
      <c r="B819" s="161"/>
      <c r="C819" s="161"/>
      <c r="D819" s="161"/>
      <c r="E819" s="161"/>
      <c r="F819" s="161"/>
      <c r="G819" s="161"/>
      <c r="H819" s="161"/>
      <c r="I819" s="161"/>
      <c r="J819" s="161"/>
      <c r="K819" s="161"/>
      <c r="L819" s="161"/>
      <c r="M819" s="161"/>
      <c r="N819" s="161"/>
      <c r="O819" s="161"/>
      <c r="P819" s="161"/>
      <c r="Q819" s="161"/>
      <c r="R819" s="161"/>
      <c r="S819" s="161"/>
      <c r="T819" s="161"/>
    </row>
    <row r="820" spans="1:20" ht="13">
      <c r="A820" s="161"/>
      <c r="B820" s="161"/>
      <c r="C820" s="161"/>
      <c r="D820" s="161"/>
      <c r="E820" s="161"/>
      <c r="F820" s="161"/>
      <c r="G820" s="161"/>
      <c r="H820" s="161"/>
      <c r="I820" s="161"/>
      <c r="J820" s="161"/>
      <c r="K820" s="161"/>
      <c r="L820" s="161"/>
      <c r="M820" s="161"/>
      <c r="N820" s="161"/>
      <c r="O820" s="161"/>
      <c r="P820" s="161"/>
      <c r="Q820" s="161"/>
      <c r="R820" s="161"/>
      <c r="S820" s="161"/>
      <c r="T820" s="161"/>
    </row>
    <row r="821" spans="1:20" ht="13">
      <c r="A821" s="161"/>
      <c r="B821" s="161"/>
      <c r="C821" s="161"/>
      <c r="D821" s="161"/>
      <c r="E821" s="161"/>
      <c r="F821" s="161"/>
      <c r="G821" s="161"/>
      <c r="H821" s="161"/>
      <c r="I821" s="161"/>
      <c r="J821" s="161"/>
      <c r="K821" s="161"/>
      <c r="L821" s="161"/>
      <c r="M821" s="161"/>
      <c r="N821" s="161"/>
      <c r="O821" s="161"/>
      <c r="P821" s="161"/>
      <c r="Q821" s="161"/>
      <c r="R821" s="161"/>
      <c r="S821" s="161"/>
      <c r="T821" s="161"/>
    </row>
    <row r="822" spans="1:20" ht="13">
      <c r="A822" s="161"/>
      <c r="B822" s="161"/>
      <c r="C822" s="161"/>
      <c r="D822" s="161"/>
      <c r="E822" s="161"/>
      <c r="F822" s="161"/>
      <c r="G822" s="161"/>
      <c r="H822" s="161"/>
      <c r="I822" s="161"/>
      <c r="J822" s="161"/>
      <c r="K822" s="161"/>
      <c r="L822" s="161"/>
      <c r="M822" s="161"/>
      <c r="N822" s="161"/>
      <c r="O822" s="161"/>
      <c r="P822" s="161"/>
      <c r="Q822" s="161"/>
      <c r="R822" s="161"/>
      <c r="S822" s="161"/>
      <c r="T822" s="161"/>
    </row>
    <row r="823" spans="1:20" ht="13">
      <c r="A823" s="161"/>
      <c r="B823" s="161"/>
      <c r="C823" s="161"/>
      <c r="D823" s="161"/>
      <c r="E823" s="161"/>
      <c r="F823" s="161"/>
      <c r="G823" s="161"/>
      <c r="H823" s="161"/>
      <c r="I823" s="161"/>
      <c r="J823" s="161"/>
      <c r="K823" s="161"/>
      <c r="L823" s="161"/>
      <c r="M823" s="161"/>
      <c r="N823" s="161"/>
      <c r="O823" s="161"/>
      <c r="P823" s="161"/>
      <c r="Q823" s="161"/>
      <c r="R823" s="161"/>
      <c r="S823" s="161"/>
      <c r="T823" s="161"/>
    </row>
    <row r="824" spans="1:20" ht="13">
      <c r="A824" s="161"/>
      <c r="B824" s="161"/>
      <c r="C824" s="161"/>
      <c r="D824" s="161"/>
      <c r="E824" s="161"/>
      <c r="F824" s="161"/>
      <c r="G824" s="161"/>
      <c r="H824" s="161"/>
      <c r="I824" s="161"/>
      <c r="J824" s="161"/>
      <c r="K824" s="161"/>
      <c r="L824" s="161"/>
      <c r="M824" s="161"/>
      <c r="N824" s="161"/>
      <c r="O824" s="161"/>
      <c r="P824" s="161"/>
      <c r="Q824" s="161"/>
      <c r="R824" s="161"/>
      <c r="S824" s="161"/>
      <c r="T824" s="161"/>
    </row>
    <row r="825" spans="1:20" ht="13">
      <c r="A825" s="161"/>
      <c r="B825" s="161"/>
      <c r="C825" s="161"/>
      <c r="D825" s="161"/>
      <c r="E825" s="161"/>
      <c r="F825" s="161"/>
      <c r="G825" s="161"/>
      <c r="H825" s="161"/>
      <c r="I825" s="161"/>
      <c r="J825" s="161"/>
      <c r="K825" s="161"/>
      <c r="L825" s="161"/>
      <c r="M825" s="161"/>
      <c r="N825" s="161"/>
      <c r="O825" s="161"/>
      <c r="P825" s="161"/>
      <c r="Q825" s="161"/>
      <c r="R825" s="161"/>
      <c r="S825" s="161"/>
      <c r="T825" s="161"/>
    </row>
    <row r="826" spans="1:20" ht="13">
      <c r="A826" s="161"/>
      <c r="B826" s="161"/>
      <c r="C826" s="161"/>
      <c r="D826" s="161"/>
      <c r="E826" s="161"/>
      <c r="F826" s="161"/>
      <c r="G826" s="161"/>
      <c r="H826" s="161"/>
      <c r="I826" s="161"/>
      <c r="J826" s="161"/>
      <c r="K826" s="161"/>
      <c r="L826" s="161"/>
      <c r="M826" s="161"/>
      <c r="N826" s="161"/>
      <c r="O826" s="161"/>
      <c r="P826" s="161"/>
      <c r="Q826" s="161"/>
      <c r="R826" s="161"/>
      <c r="S826" s="161"/>
      <c r="T826" s="161"/>
    </row>
    <row r="827" spans="1:20" ht="13">
      <c r="A827" s="161"/>
      <c r="B827" s="161"/>
      <c r="C827" s="161"/>
      <c r="D827" s="161"/>
      <c r="E827" s="161"/>
      <c r="F827" s="161"/>
      <c r="G827" s="161"/>
      <c r="H827" s="161"/>
      <c r="I827" s="161"/>
      <c r="J827" s="161"/>
      <c r="K827" s="161"/>
      <c r="L827" s="161"/>
      <c r="M827" s="161"/>
      <c r="N827" s="161"/>
      <c r="O827" s="161"/>
      <c r="P827" s="161"/>
      <c r="Q827" s="161"/>
      <c r="R827" s="161"/>
      <c r="S827" s="161"/>
      <c r="T827" s="161"/>
    </row>
    <row r="828" spans="1:20" ht="13">
      <c r="A828" s="161"/>
      <c r="B828" s="161"/>
      <c r="C828" s="161"/>
      <c r="D828" s="161"/>
      <c r="E828" s="161"/>
      <c r="F828" s="161"/>
      <c r="G828" s="161"/>
      <c r="H828" s="161"/>
      <c r="I828" s="161"/>
      <c r="J828" s="161"/>
      <c r="K828" s="161"/>
      <c r="L828" s="161"/>
      <c r="M828" s="161"/>
      <c r="N828" s="161"/>
      <c r="O828" s="161"/>
      <c r="P828" s="161"/>
      <c r="Q828" s="161"/>
      <c r="R828" s="161"/>
      <c r="S828" s="161"/>
      <c r="T828" s="161"/>
    </row>
    <row r="829" spans="1:20" ht="13">
      <c r="A829" s="161"/>
      <c r="B829" s="161"/>
      <c r="C829" s="161"/>
      <c r="D829" s="161"/>
      <c r="E829" s="161"/>
      <c r="F829" s="161"/>
      <c r="G829" s="161"/>
      <c r="H829" s="161"/>
      <c r="I829" s="161"/>
      <c r="J829" s="161"/>
      <c r="K829" s="161"/>
      <c r="L829" s="161"/>
      <c r="M829" s="161"/>
      <c r="N829" s="161"/>
      <c r="O829" s="161"/>
      <c r="P829" s="161"/>
      <c r="Q829" s="161"/>
      <c r="R829" s="161"/>
      <c r="S829" s="161"/>
      <c r="T829" s="161"/>
    </row>
    <row r="830" spans="1:20" ht="13">
      <c r="A830" s="161"/>
      <c r="B830" s="161"/>
      <c r="C830" s="161"/>
      <c r="D830" s="161"/>
      <c r="E830" s="161"/>
      <c r="F830" s="161"/>
      <c r="G830" s="161"/>
      <c r="H830" s="161"/>
      <c r="I830" s="161"/>
      <c r="J830" s="161"/>
      <c r="K830" s="161"/>
      <c r="L830" s="161"/>
      <c r="M830" s="161"/>
      <c r="N830" s="161"/>
      <c r="O830" s="161"/>
      <c r="P830" s="161"/>
      <c r="Q830" s="161"/>
      <c r="R830" s="161"/>
      <c r="S830" s="161"/>
      <c r="T830" s="161"/>
    </row>
    <row r="831" spans="1:20" ht="13">
      <c r="A831" s="161"/>
      <c r="B831" s="161"/>
      <c r="C831" s="161"/>
      <c r="D831" s="161"/>
      <c r="E831" s="161"/>
      <c r="F831" s="161"/>
      <c r="G831" s="161"/>
      <c r="H831" s="161"/>
      <c r="I831" s="161"/>
      <c r="J831" s="161"/>
      <c r="K831" s="161"/>
      <c r="L831" s="161"/>
      <c r="M831" s="161"/>
      <c r="N831" s="161"/>
      <c r="O831" s="161"/>
      <c r="P831" s="161"/>
      <c r="Q831" s="161"/>
      <c r="R831" s="161"/>
      <c r="S831" s="161"/>
      <c r="T831" s="161"/>
    </row>
    <row r="832" spans="1:20" ht="13">
      <c r="A832" s="161"/>
      <c r="B832" s="161"/>
      <c r="C832" s="161"/>
      <c r="D832" s="161"/>
      <c r="E832" s="161"/>
      <c r="F832" s="161"/>
      <c r="G832" s="161"/>
      <c r="H832" s="161"/>
      <c r="I832" s="161"/>
      <c r="J832" s="161"/>
      <c r="K832" s="161"/>
      <c r="L832" s="161"/>
      <c r="M832" s="161"/>
      <c r="N832" s="161"/>
      <c r="O832" s="161"/>
      <c r="P832" s="161"/>
      <c r="Q832" s="161"/>
      <c r="R832" s="161"/>
      <c r="S832" s="161"/>
      <c r="T832" s="161"/>
    </row>
    <row r="833" spans="1:20" ht="13">
      <c r="A833" s="161"/>
      <c r="B833" s="161"/>
      <c r="C833" s="161"/>
      <c r="D833" s="161"/>
      <c r="E833" s="161"/>
      <c r="F833" s="161"/>
      <c r="G833" s="161"/>
      <c r="H833" s="161"/>
      <c r="I833" s="161"/>
      <c r="J833" s="161"/>
      <c r="K833" s="161"/>
      <c r="L833" s="161"/>
      <c r="M833" s="161"/>
      <c r="N833" s="161"/>
      <c r="O833" s="161"/>
      <c r="P833" s="161"/>
      <c r="Q833" s="161"/>
      <c r="R833" s="161"/>
      <c r="S833" s="161"/>
      <c r="T833" s="161"/>
    </row>
    <row r="834" spans="1:20" ht="13">
      <c r="A834" s="161"/>
      <c r="B834" s="161"/>
      <c r="C834" s="161"/>
      <c r="D834" s="161"/>
      <c r="E834" s="161"/>
      <c r="F834" s="161"/>
      <c r="G834" s="161"/>
      <c r="H834" s="161"/>
      <c r="I834" s="161"/>
      <c r="J834" s="161"/>
      <c r="K834" s="161"/>
      <c r="L834" s="161"/>
      <c r="M834" s="161"/>
      <c r="N834" s="161"/>
      <c r="O834" s="161"/>
      <c r="P834" s="161"/>
      <c r="Q834" s="161"/>
      <c r="R834" s="161"/>
      <c r="S834" s="161"/>
      <c r="T834" s="161"/>
    </row>
    <row r="835" spans="1:20" ht="13">
      <c r="A835" s="161"/>
      <c r="B835" s="161"/>
      <c r="C835" s="161"/>
      <c r="D835" s="161"/>
      <c r="E835" s="161"/>
      <c r="F835" s="161"/>
      <c r="G835" s="161"/>
      <c r="H835" s="161"/>
      <c r="I835" s="161"/>
      <c r="J835" s="161"/>
      <c r="K835" s="161"/>
      <c r="L835" s="161"/>
      <c r="M835" s="161"/>
      <c r="N835" s="161"/>
      <c r="O835" s="161"/>
      <c r="P835" s="161"/>
      <c r="Q835" s="161"/>
      <c r="R835" s="161"/>
      <c r="S835" s="161"/>
      <c r="T835" s="161"/>
    </row>
    <row r="836" spans="1:20" ht="13">
      <c r="A836" s="161"/>
      <c r="B836" s="161"/>
      <c r="C836" s="161"/>
      <c r="D836" s="161"/>
      <c r="E836" s="161"/>
      <c r="F836" s="161"/>
      <c r="G836" s="161"/>
      <c r="H836" s="161"/>
      <c r="I836" s="161"/>
      <c r="J836" s="161"/>
      <c r="K836" s="161"/>
      <c r="L836" s="161"/>
      <c r="M836" s="161"/>
      <c r="N836" s="161"/>
      <c r="O836" s="161"/>
      <c r="P836" s="161"/>
      <c r="Q836" s="161"/>
      <c r="R836" s="161"/>
      <c r="S836" s="161"/>
      <c r="T836" s="161"/>
    </row>
    <row r="837" spans="1:20" ht="13">
      <c r="A837" s="161"/>
      <c r="B837" s="161"/>
      <c r="C837" s="161"/>
      <c r="D837" s="161"/>
      <c r="E837" s="161"/>
      <c r="F837" s="161"/>
      <c r="G837" s="161"/>
      <c r="H837" s="161"/>
      <c r="I837" s="161"/>
      <c r="J837" s="161"/>
      <c r="K837" s="161"/>
      <c r="L837" s="161"/>
      <c r="M837" s="161"/>
      <c r="N837" s="161"/>
      <c r="O837" s="161"/>
      <c r="P837" s="161"/>
      <c r="Q837" s="161"/>
      <c r="R837" s="161"/>
      <c r="S837" s="161"/>
      <c r="T837" s="161"/>
    </row>
    <row r="838" spans="1:20" ht="13">
      <c r="A838" s="161"/>
      <c r="B838" s="161"/>
      <c r="C838" s="161"/>
      <c r="D838" s="161"/>
      <c r="E838" s="161"/>
      <c r="F838" s="161"/>
      <c r="G838" s="161"/>
      <c r="H838" s="161"/>
      <c r="I838" s="161"/>
      <c r="J838" s="161"/>
      <c r="K838" s="161"/>
      <c r="L838" s="161"/>
      <c r="M838" s="161"/>
      <c r="N838" s="161"/>
      <c r="O838" s="161"/>
      <c r="P838" s="161"/>
      <c r="Q838" s="161"/>
      <c r="R838" s="161"/>
      <c r="S838" s="161"/>
      <c r="T838" s="161"/>
    </row>
    <row r="839" spans="1:20" ht="13">
      <c r="A839" s="161"/>
      <c r="B839" s="161"/>
      <c r="C839" s="161"/>
      <c r="D839" s="161"/>
      <c r="E839" s="161"/>
      <c r="F839" s="161"/>
      <c r="G839" s="161"/>
      <c r="H839" s="161"/>
      <c r="I839" s="161"/>
      <c r="J839" s="161"/>
      <c r="K839" s="161"/>
      <c r="L839" s="161"/>
      <c r="M839" s="161"/>
      <c r="N839" s="161"/>
      <c r="O839" s="161"/>
      <c r="P839" s="161"/>
      <c r="Q839" s="161"/>
      <c r="R839" s="161"/>
      <c r="S839" s="161"/>
      <c r="T839" s="161"/>
    </row>
    <row r="840" spans="1:20" ht="13">
      <c r="A840" s="161"/>
      <c r="B840" s="161"/>
      <c r="C840" s="161"/>
      <c r="D840" s="161"/>
      <c r="E840" s="161"/>
      <c r="F840" s="161"/>
      <c r="G840" s="161"/>
      <c r="H840" s="161"/>
      <c r="I840" s="161"/>
      <c r="J840" s="161"/>
      <c r="K840" s="161"/>
      <c r="L840" s="161"/>
      <c r="M840" s="161"/>
      <c r="N840" s="161"/>
      <c r="O840" s="161"/>
      <c r="P840" s="161"/>
      <c r="Q840" s="161"/>
      <c r="R840" s="161"/>
      <c r="S840" s="161"/>
      <c r="T840" s="161"/>
    </row>
    <row r="841" spans="1:20" ht="13">
      <c r="A841" s="161"/>
      <c r="B841" s="161"/>
      <c r="C841" s="161"/>
      <c r="D841" s="161"/>
      <c r="E841" s="161"/>
      <c r="F841" s="161"/>
      <c r="G841" s="161"/>
      <c r="H841" s="161"/>
      <c r="I841" s="161"/>
      <c r="J841" s="161"/>
      <c r="K841" s="161"/>
      <c r="L841" s="161"/>
      <c r="M841" s="161"/>
      <c r="N841" s="161"/>
      <c r="O841" s="161"/>
      <c r="P841" s="161"/>
      <c r="Q841" s="161"/>
      <c r="R841" s="161"/>
      <c r="S841" s="161"/>
      <c r="T841" s="161"/>
    </row>
    <row r="842" spans="1:20" ht="13">
      <c r="A842" s="161"/>
      <c r="B842" s="161"/>
      <c r="C842" s="161"/>
      <c r="D842" s="161"/>
      <c r="E842" s="161"/>
      <c r="F842" s="161"/>
      <c r="G842" s="161"/>
      <c r="H842" s="161"/>
      <c r="I842" s="161"/>
      <c r="J842" s="161"/>
      <c r="K842" s="161"/>
      <c r="L842" s="161"/>
      <c r="M842" s="161"/>
      <c r="N842" s="161"/>
      <c r="O842" s="161"/>
      <c r="P842" s="161"/>
      <c r="Q842" s="161"/>
      <c r="R842" s="161"/>
      <c r="S842" s="161"/>
      <c r="T842" s="161"/>
    </row>
    <row r="843" spans="1:20" ht="13">
      <c r="A843" s="161"/>
      <c r="B843" s="161"/>
      <c r="C843" s="161"/>
      <c r="D843" s="161"/>
      <c r="E843" s="161"/>
      <c r="F843" s="161"/>
      <c r="G843" s="161"/>
      <c r="H843" s="161"/>
      <c r="I843" s="161"/>
      <c r="J843" s="161"/>
      <c r="K843" s="161"/>
      <c r="L843" s="161"/>
      <c r="M843" s="161"/>
      <c r="N843" s="161"/>
      <c r="O843" s="161"/>
      <c r="P843" s="161"/>
      <c r="Q843" s="161"/>
      <c r="R843" s="161"/>
      <c r="S843" s="161"/>
      <c r="T843" s="161"/>
    </row>
    <row r="844" spans="1:20" ht="13">
      <c r="A844" s="161"/>
      <c r="B844" s="161"/>
      <c r="C844" s="161"/>
      <c r="D844" s="161"/>
      <c r="E844" s="161"/>
      <c r="F844" s="161"/>
      <c r="G844" s="161"/>
      <c r="H844" s="161"/>
      <c r="I844" s="161"/>
      <c r="J844" s="161"/>
      <c r="K844" s="161"/>
      <c r="L844" s="161"/>
      <c r="M844" s="161"/>
      <c r="N844" s="161"/>
      <c r="O844" s="161"/>
      <c r="P844" s="161"/>
      <c r="Q844" s="161"/>
      <c r="R844" s="161"/>
      <c r="S844" s="161"/>
      <c r="T844" s="161"/>
    </row>
    <row r="845" spans="1:20" ht="13">
      <c r="A845" s="161"/>
      <c r="B845" s="161"/>
      <c r="C845" s="161"/>
      <c r="D845" s="161"/>
      <c r="E845" s="161"/>
      <c r="F845" s="161"/>
      <c r="G845" s="161"/>
      <c r="H845" s="161"/>
      <c r="I845" s="161"/>
      <c r="J845" s="161"/>
      <c r="K845" s="161"/>
      <c r="L845" s="161"/>
      <c r="M845" s="161"/>
      <c r="N845" s="161"/>
      <c r="O845" s="161"/>
      <c r="P845" s="161"/>
      <c r="Q845" s="161"/>
      <c r="R845" s="161"/>
      <c r="S845" s="161"/>
      <c r="T845" s="161"/>
    </row>
    <row r="846" spans="1:20" ht="13">
      <c r="A846" s="161"/>
      <c r="B846" s="161"/>
      <c r="C846" s="161"/>
      <c r="D846" s="161"/>
      <c r="E846" s="161"/>
      <c r="F846" s="161"/>
      <c r="G846" s="161"/>
      <c r="H846" s="161"/>
      <c r="I846" s="161"/>
      <c r="J846" s="161"/>
      <c r="K846" s="161"/>
      <c r="L846" s="161"/>
      <c r="M846" s="161"/>
      <c r="N846" s="161"/>
      <c r="O846" s="161"/>
      <c r="P846" s="161"/>
      <c r="Q846" s="161"/>
      <c r="R846" s="161"/>
      <c r="S846" s="161"/>
      <c r="T846" s="161"/>
    </row>
    <row r="847" spans="1:20" ht="13">
      <c r="A847" s="161"/>
      <c r="B847" s="161"/>
      <c r="C847" s="161"/>
      <c r="D847" s="161"/>
      <c r="E847" s="161"/>
      <c r="F847" s="161"/>
      <c r="G847" s="161"/>
      <c r="H847" s="161"/>
      <c r="I847" s="161"/>
      <c r="J847" s="161"/>
      <c r="K847" s="161"/>
      <c r="L847" s="161"/>
      <c r="M847" s="161"/>
      <c r="N847" s="161"/>
      <c r="O847" s="161"/>
      <c r="P847" s="161"/>
      <c r="Q847" s="161"/>
      <c r="R847" s="161"/>
      <c r="S847" s="161"/>
      <c r="T847" s="161"/>
    </row>
    <row r="848" spans="1:20" ht="13">
      <c r="A848" s="161"/>
      <c r="B848" s="161"/>
      <c r="C848" s="161"/>
      <c r="D848" s="161"/>
      <c r="E848" s="161"/>
      <c r="F848" s="161"/>
      <c r="G848" s="161"/>
      <c r="H848" s="161"/>
      <c r="I848" s="161"/>
      <c r="J848" s="161"/>
      <c r="K848" s="161"/>
      <c r="L848" s="161"/>
      <c r="M848" s="161"/>
      <c r="N848" s="161"/>
      <c r="O848" s="161"/>
      <c r="P848" s="161"/>
      <c r="Q848" s="161"/>
      <c r="R848" s="161"/>
      <c r="S848" s="161"/>
      <c r="T848" s="161"/>
    </row>
    <row r="849" spans="1:20" ht="13">
      <c r="A849" s="161"/>
      <c r="B849" s="161"/>
      <c r="C849" s="161"/>
      <c r="D849" s="161"/>
      <c r="E849" s="161"/>
      <c r="F849" s="161"/>
      <c r="G849" s="161"/>
      <c r="H849" s="161"/>
      <c r="I849" s="161"/>
      <c r="J849" s="161"/>
      <c r="K849" s="161"/>
      <c r="L849" s="161"/>
      <c r="M849" s="161"/>
      <c r="N849" s="161"/>
      <c r="O849" s="161"/>
      <c r="P849" s="161"/>
      <c r="Q849" s="161"/>
      <c r="R849" s="161"/>
      <c r="S849" s="161"/>
      <c r="T849" s="161"/>
    </row>
    <row r="850" spans="1:20" ht="13">
      <c r="A850" s="161"/>
      <c r="B850" s="161"/>
      <c r="C850" s="161"/>
      <c r="D850" s="161"/>
      <c r="E850" s="161"/>
      <c r="F850" s="161"/>
      <c r="G850" s="161"/>
      <c r="H850" s="161"/>
      <c r="I850" s="161"/>
      <c r="J850" s="161"/>
      <c r="K850" s="161"/>
      <c r="L850" s="161"/>
      <c r="M850" s="161"/>
      <c r="N850" s="161"/>
      <c r="O850" s="161"/>
      <c r="P850" s="161"/>
      <c r="Q850" s="161"/>
      <c r="R850" s="161"/>
      <c r="S850" s="161"/>
      <c r="T850" s="161"/>
    </row>
    <row r="851" spans="1:20" ht="13">
      <c r="A851" s="161"/>
      <c r="B851" s="161"/>
      <c r="C851" s="161"/>
      <c r="D851" s="161"/>
      <c r="E851" s="161"/>
      <c r="F851" s="161"/>
      <c r="G851" s="161"/>
      <c r="H851" s="161"/>
      <c r="I851" s="161"/>
      <c r="J851" s="161"/>
      <c r="K851" s="161"/>
      <c r="L851" s="161"/>
      <c r="M851" s="161"/>
      <c r="N851" s="161"/>
      <c r="O851" s="161"/>
      <c r="P851" s="161"/>
      <c r="Q851" s="161"/>
      <c r="R851" s="161"/>
      <c r="S851" s="161"/>
      <c r="T851" s="161"/>
    </row>
    <row r="852" spans="1:20" ht="13">
      <c r="A852" s="161"/>
      <c r="B852" s="161"/>
      <c r="C852" s="161"/>
      <c r="D852" s="161"/>
      <c r="E852" s="161"/>
      <c r="F852" s="161"/>
      <c r="G852" s="161"/>
      <c r="H852" s="161"/>
      <c r="I852" s="161"/>
      <c r="J852" s="161"/>
      <c r="K852" s="161"/>
      <c r="L852" s="161"/>
      <c r="M852" s="161"/>
      <c r="N852" s="161"/>
      <c r="O852" s="161"/>
      <c r="P852" s="161"/>
      <c r="Q852" s="161"/>
      <c r="R852" s="161"/>
      <c r="S852" s="161"/>
      <c r="T852" s="161"/>
    </row>
    <row r="853" spans="1:20" ht="13">
      <c r="A853" s="161"/>
      <c r="B853" s="161"/>
      <c r="C853" s="161"/>
      <c r="D853" s="161"/>
      <c r="E853" s="161"/>
      <c r="F853" s="161"/>
      <c r="G853" s="161"/>
      <c r="H853" s="161"/>
      <c r="I853" s="161"/>
      <c r="J853" s="161"/>
      <c r="K853" s="161"/>
      <c r="L853" s="161"/>
      <c r="M853" s="161"/>
      <c r="N853" s="161"/>
      <c r="O853" s="161"/>
      <c r="P853" s="161"/>
      <c r="Q853" s="161"/>
      <c r="R853" s="161"/>
      <c r="S853" s="161"/>
      <c r="T853" s="161"/>
    </row>
    <row r="854" spans="1:20" ht="13">
      <c r="A854" s="161"/>
      <c r="B854" s="161"/>
      <c r="C854" s="161"/>
      <c r="D854" s="161"/>
      <c r="E854" s="161"/>
      <c r="F854" s="161"/>
      <c r="G854" s="161"/>
      <c r="H854" s="161"/>
      <c r="I854" s="161"/>
      <c r="J854" s="161"/>
      <c r="K854" s="161"/>
      <c r="L854" s="161"/>
      <c r="M854" s="161"/>
      <c r="N854" s="161"/>
      <c r="O854" s="161"/>
      <c r="P854" s="161"/>
      <c r="Q854" s="161"/>
      <c r="R854" s="161"/>
      <c r="S854" s="161"/>
      <c r="T854" s="161"/>
    </row>
    <row r="855" spans="1:20" ht="13">
      <c r="A855" s="161"/>
      <c r="B855" s="161"/>
      <c r="C855" s="161"/>
      <c r="D855" s="161"/>
      <c r="E855" s="161"/>
      <c r="F855" s="161"/>
      <c r="G855" s="161"/>
      <c r="H855" s="161"/>
      <c r="I855" s="161"/>
      <c r="J855" s="161"/>
      <c r="K855" s="161"/>
      <c r="L855" s="161"/>
      <c r="M855" s="161"/>
      <c r="N855" s="161"/>
      <c r="O855" s="161"/>
      <c r="P855" s="161"/>
      <c r="Q855" s="161"/>
      <c r="R855" s="161"/>
      <c r="S855" s="161"/>
      <c r="T855" s="161"/>
    </row>
    <row r="856" spans="1:20" ht="13">
      <c r="A856" s="161"/>
      <c r="B856" s="161"/>
      <c r="C856" s="161"/>
      <c r="D856" s="161"/>
      <c r="E856" s="161"/>
      <c r="F856" s="161"/>
      <c r="G856" s="161"/>
      <c r="H856" s="161"/>
      <c r="I856" s="161"/>
      <c r="J856" s="161"/>
      <c r="K856" s="161"/>
      <c r="L856" s="161"/>
      <c r="M856" s="161"/>
      <c r="N856" s="161"/>
      <c r="O856" s="161"/>
      <c r="P856" s="161"/>
      <c r="Q856" s="161"/>
      <c r="R856" s="161"/>
      <c r="S856" s="161"/>
      <c r="T856" s="161"/>
    </row>
    <row r="857" spans="1:20" ht="13">
      <c r="A857" s="161"/>
      <c r="B857" s="161"/>
      <c r="C857" s="161"/>
      <c r="D857" s="161"/>
      <c r="E857" s="161"/>
      <c r="F857" s="161"/>
      <c r="G857" s="161"/>
      <c r="H857" s="161"/>
      <c r="I857" s="161"/>
      <c r="J857" s="161"/>
      <c r="K857" s="161"/>
      <c r="L857" s="161"/>
      <c r="M857" s="161"/>
      <c r="N857" s="161"/>
      <c r="O857" s="161"/>
      <c r="P857" s="161"/>
      <c r="Q857" s="161"/>
      <c r="R857" s="161"/>
      <c r="S857" s="161"/>
      <c r="T857" s="161"/>
    </row>
    <row r="858" spans="1:20" ht="13">
      <c r="A858" s="161"/>
      <c r="B858" s="161"/>
      <c r="C858" s="161"/>
      <c r="D858" s="161"/>
      <c r="E858" s="161"/>
      <c r="F858" s="161"/>
      <c r="G858" s="161"/>
      <c r="H858" s="161"/>
      <c r="I858" s="161"/>
      <c r="J858" s="161"/>
      <c r="K858" s="161"/>
      <c r="L858" s="161"/>
      <c r="M858" s="161"/>
      <c r="N858" s="161"/>
      <c r="O858" s="161"/>
      <c r="P858" s="161"/>
      <c r="Q858" s="161"/>
      <c r="R858" s="161"/>
      <c r="S858" s="161"/>
      <c r="T858" s="161"/>
    </row>
    <row r="859" spans="1:20" ht="13">
      <c r="A859" s="161"/>
      <c r="B859" s="161"/>
      <c r="C859" s="161"/>
      <c r="D859" s="161"/>
      <c r="E859" s="161"/>
      <c r="F859" s="161"/>
      <c r="G859" s="161"/>
      <c r="H859" s="161"/>
      <c r="I859" s="161"/>
      <c r="J859" s="161"/>
      <c r="K859" s="161"/>
      <c r="L859" s="161"/>
      <c r="M859" s="161"/>
      <c r="N859" s="161"/>
      <c r="O859" s="161"/>
      <c r="P859" s="161"/>
      <c r="Q859" s="161"/>
      <c r="R859" s="161"/>
      <c r="S859" s="161"/>
      <c r="T859" s="161"/>
    </row>
    <row r="860" spans="1:20" ht="13">
      <c r="A860" s="161"/>
      <c r="B860" s="161"/>
      <c r="C860" s="161"/>
      <c r="D860" s="161"/>
      <c r="E860" s="161"/>
      <c r="F860" s="161"/>
      <c r="G860" s="161"/>
      <c r="H860" s="161"/>
      <c r="I860" s="161"/>
      <c r="J860" s="161"/>
      <c r="K860" s="161"/>
      <c r="L860" s="161"/>
      <c r="M860" s="161"/>
      <c r="N860" s="161"/>
      <c r="O860" s="161"/>
      <c r="P860" s="161"/>
      <c r="Q860" s="161"/>
      <c r="R860" s="161"/>
      <c r="S860" s="161"/>
      <c r="T860" s="161"/>
    </row>
    <row r="861" spans="1:20" ht="13">
      <c r="A861" s="161"/>
      <c r="B861" s="161"/>
      <c r="C861" s="161"/>
      <c r="D861" s="161"/>
      <c r="E861" s="161"/>
      <c r="F861" s="161"/>
      <c r="G861" s="161"/>
      <c r="H861" s="161"/>
      <c r="I861" s="161"/>
      <c r="J861" s="161"/>
      <c r="K861" s="161"/>
      <c r="L861" s="161"/>
      <c r="M861" s="161"/>
      <c r="N861" s="161"/>
      <c r="O861" s="161"/>
      <c r="P861" s="161"/>
      <c r="Q861" s="161"/>
      <c r="R861" s="161"/>
      <c r="S861" s="161"/>
      <c r="T861" s="161"/>
    </row>
    <row r="862" spans="1:20" ht="13">
      <c r="A862" s="161"/>
      <c r="B862" s="161"/>
      <c r="C862" s="161"/>
      <c r="D862" s="161"/>
      <c r="E862" s="161"/>
      <c r="F862" s="161"/>
      <c r="G862" s="161"/>
      <c r="H862" s="161"/>
      <c r="I862" s="161"/>
      <c r="J862" s="161"/>
      <c r="K862" s="161"/>
      <c r="L862" s="161"/>
      <c r="M862" s="161"/>
      <c r="N862" s="161"/>
      <c r="O862" s="161"/>
      <c r="P862" s="161"/>
      <c r="Q862" s="161"/>
      <c r="R862" s="161"/>
      <c r="S862" s="161"/>
      <c r="T862" s="161"/>
    </row>
    <row r="863" spans="1:20" ht="13">
      <c r="A863" s="161"/>
      <c r="B863" s="161"/>
      <c r="C863" s="161"/>
      <c r="D863" s="161"/>
      <c r="E863" s="161"/>
      <c r="F863" s="161"/>
      <c r="G863" s="161"/>
      <c r="H863" s="161"/>
      <c r="I863" s="161"/>
      <c r="J863" s="161"/>
      <c r="K863" s="161"/>
      <c r="L863" s="161"/>
      <c r="M863" s="161"/>
      <c r="N863" s="161"/>
      <c r="O863" s="161"/>
      <c r="P863" s="161"/>
      <c r="Q863" s="161"/>
      <c r="R863" s="161"/>
      <c r="S863" s="161"/>
      <c r="T863" s="161"/>
    </row>
    <row r="864" spans="1:20" ht="13">
      <c r="A864" s="161"/>
      <c r="B864" s="161"/>
      <c r="C864" s="161"/>
      <c r="D864" s="161"/>
      <c r="E864" s="161"/>
      <c r="F864" s="161"/>
      <c r="G864" s="161"/>
      <c r="H864" s="161"/>
      <c r="I864" s="161"/>
      <c r="J864" s="161"/>
      <c r="K864" s="161"/>
      <c r="L864" s="161"/>
      <c r="M864" s="161"/>
      <c r="N864" s="161"/>
      <c r="O864" s="161"/>
      <c r="P864" s="161"/>
      <c r="Q864" s="161"/>
      <c r="R864" s="161"/>
      <c r="S864" s="161"/>
      <c r="T864" s="161"/>
    </row>
    <row r="865" spans="1:20" ht="13">
      <c r="A865" s="161"/>
      <c r="B865" s="161"/>
      <c r="C865" s="161"/>
      <c r="D865" s="161"/>
      <c r="E865" s="161"/>
      <c r="F865" s="161"/>
      <c r="G865" s="161"/>
      <c r="H865" s="161"/>
      <c r="I865" s="161"/>
      <c r="J865" s="161"/>
      <c r="K865" s="161"/>
      <c r="L865" s="161"/>
      <c r="M865" s="161"/>
      <c r="N865" s="161"/>
      <c r="O865" s="161"/>
      <c r="P865" s="161"/>
      <c r="Q865" s="161"/>
      <c r="R865" s="161"/>
      <c r="S865" s="161"/>
      <c r="T865" s="161"/>
    </row>
    <row r="866" spans="1:20" ht="13">
      <c r="A866" s="161"/>
      <c r="B866" s="161"/>
      <c r="C866" s="161"/>
      <c r="D866" s="161"/>
      <c r="E866" s="161"/>
      <c r="F866" s="161"/>
      <c r="G866" s="161"/>
      <c r="H866" s="161"/>
      <c r="I866" s="161"/>
      <c r="J866" s="161"/>
      <c r="K866" s="161"/>
      <c r="L866" s="161"/>
      <c r="M866" s="161"/>
      <c r="N866" s="161"/>
      <c r="O866" s="161"/>
      <c r="P866" s="161"/>
      <c r="Q866" s="161"/>
      <c r="R866" s="161"/>
      <c r="S866" s="161"/>
      <c r="T866" s="161"/>
    </row>
    <row r="867" spans="1:20" ht="13">
      <c r="A867" s="161"/>
      <c r="B867" s="161"/>
      <c r="C867" s="161"/>
      <c r="D867" s="161"/>
      <c r="E867" s="161"/>
      <c r="F867" s="161"/>
      <c r="G867" s="161"/>
      <c r="H867" s="161"/>
      <c r="I867" s="161"/>
      <c r="J867" s="161"/>
      <c r="K867" s="161"/>
      <c r="L867" s="161"/>
      <c r="M867" s="161"/>
      <c r="N867" s="161"/>
      <c r="O867" s="161"/>
      <c r="P867" s="161"/>
      <c r="Q867" s="161"/>
      <c r="R867" s="161"/>
      <c r="S867" s="161"/>
      <c r="T867" s="161"/>
    </row>
    <row r="868" spans="1:20" ht="13">
      <c r="A868" s="161"/>
      <c r="B868" s="161"/>
      <c r="C868" s="161"/>
      <c r="D868" s="161"/>
      <c r="E868" s="161"/>
      <c r="F868" s="161"/>
      <c r="G868" s="161"/>
      <c r="H868" s="161"/>
      <c r="I868" s="161"/>
      <c r="J868" s="161"/>
      <c r="K868" s="161"/>
      <c r="L868" s="161"/>
      <c r="M868" s="161"/>
      <c r="N868" s="161"/>
      <c r="O868" s="161"/>
      <c r="P868" s="161"/>
      <c r="Q868" s="161"/>
      <c r="R868" s="161"/>
      <c r="S868" s="161"/>
      <c r="T868" s="161"/>
    </row>
    <row r="869" spans="1:20" ht="13">
      <c r="A869" s="161"/>
      <c r="B869" s="161"/>
      <c r="C869" s="161"/>
      <c r="D869" s="161"/>
      <c r="E869" s="161"/>
      <c r="F869" s="161"/>
      <c r="G869" s="161"/>
      <c r="H869" s="161"/>
      <c r="I869" s="161"/>
      <c r="J869" s="161"/>
      <c r="K869" s="161"/>
      <c r="L869" s="161"/>
      <c r="M869" s="161"/>
      <c r="N869" s="161"/>
      <c r="O869" s="161"/>
      <c r="P869" s="161"/>
      <c r="Q869" s="161"/>
      <c r="R869" s="161"/>
      <c r="S869" s="161"/>
      <c r="T869" s="161"/>
    </row>
    <row r="870" spans="1:20" ht="13">
      <c r="A870" s="161"/>
      <c r="B870" s="161"/>
      <c r="C870" s="161"/>
      <c r="D870" s="161"/>
      <c r="E870" s="161"/>
      <c r="F870" s="161"/>
      <c r="G870" s="161"/>
      <c r="H870" s="161"/>
      <c r="I870" s="161"/>
      <c r="J870" s="161"/>
      <c r="K870" s="161"/>
      <c r="L870" s="161"/>
      <c r="M870" s="161"/>
      <c r="N870" s="161"/>
      <c r="O870" s="161"/>
      <c r="P870" s="161"/>
      <c r="Q870" s="161"/>
      <c r="R870" s="161"/>
      <c r="S870" s="161"/>
      <c r="T870" s="161"/>
    </row>
    <row r="871" spans="1:20" ht="13">
      <c r="A871" s="161"/>
      <c r="B871" s="161"/>
      <c r="C871" s="161"/>
      <c r="D871" s="161"/>
      <c r="E871" s="161"/>
      <c r="F871" s="161"/>
      <c r="G871" s="161"/>
      <c r="H871" s="161"/>
      <c r="I871" s="161"/>
      <c r="J871" s="161"/>
      <c r="K871" s="161"/>
      <c r="L871" s="161"/>
      <c r="M871" s="161"/>
      <c r="N871" s="161"/>
      <c r="O871" s="161"/>
      <c r="P871" s="161"/>
      <c r="Q871" s="161"/>
      <c r="R871" s="161"/>
      <c r="S871" s="161"/>
      <c r="T871" s="161"/>
    </row>
    <row r="872" spans="1:20" ht="13">
      <c r="A872" s="161"/>
      <c r="B872" s="161"/>
      <c r="C872" s="161"/>
      <c r="D872" s="161"/>
      <c r="E872" s="161"/>
      <c r="F872" s="161"/>
      <c r="G872" s="161"/>
      <c r="H872" s="161"/>
      <c r="I872" s="161"/>
      <c r="J872" s="161"/>
      <c r="K872" s="161"/>
      <c r="L872" s="161"/>
      <c r="M872" s="161"/>
      <c r="N872" s="161"/>
      <c r="O872" s="161"/>
      <c r="P872" s="161"/>
      <c r="Q872" s="161"/>
      <c r="R872" s="161"/>
      <c r="S872" s="161"/>
      <c r="T872" s="161"/>
    </row>
    <row r="873" spans="1:20" ht="13">
      <c r="A873" s="161"/>
      <c r="B873" s="161"/>
      <c r="C873" s="161"/>
      <c r="D873" s="161"/>
      <c r="E873" s="161"/>
      <c r="F873" s="161"/>
      <c r="G873" s="161"/>
      <c r="H873" s="161"/>
      <c r="I873" s="161"/>
      <c r="J873" s="161"/>
      <c r="K873" s="161"/>
      <c r="L873" s="161"/>
      <c r="M873" s="161"/>
      <c r="N873" s="161"/>
      <c r="O873" s="161"/>
      <c r="P873" s="161"/>
      <c r="Q873" s="161"/>
      <c r="R873" s="161"/>
      <c r="S873" s="161"/>
      <c r="T873" s="161"/>
    </row>
    <row r="874" spans="1:20" ht="13">
      <c r="A874" s="161"/>
      <c r="B874" s="161"/>
      <c r="C874" s="161"/>
      <c r="D874" s="161"/>
      <c r="E874" s="161"/>
      <c r="F874" s="161"/>
      <c r="G874" s="161"/>
      <c r="H874" s="161"/>
      <c r="I874" s="161"/>
      <c r="J874" s="161"/>
      <c r="K874" s="161"/>
      <c r="L874" s="161"/>
      <c r="M874" s="161"/>
      <c r="N874" s="161"/>
      <c r="O874" s="161"/>
      <c r="P874" s="161"/>
      <c r="Q874" s="161"/>
      <c r="R874" s="161"/>
      <c r="S874" s="161"/>
      <c r="T874" s="161"/>
    </row>
    <row r="875" spans="1:20" ht="13">
      <c r="A875" s="161"/>
      <c r="B875" s="161"/>
      <c r="C875" s="161"/>
      <c r="D875" s="161"/>
      <c r="E875" s="161"/>
      <c r="F875" s="161"/>
      <c r="G875" s="161"/>
      <c r="H875" s="161"/>
      <c r="I875" s="161"/>
      <c r="J875" s="161"/>
      <c r="K875" s="161"/>
      <c r="L875" s="161"/>
      <c r="M875" s="161"/>
      <c r="N875" s="161"/>
      <c r="O875" s="161"/>
      <c r="P875" s="161"/>
      <c r="Q875" s="161"/>
      <c r="R875" s="161"/>
      <c r="S875" s="161"/>
      <c r="T875" s="161"/>
    </row>
    <row r="876" spans="1:20" ht="13">
      <c r="A876" s="161"/>
      <c r="B876" s="161"/>
      <c r="C876" s="161"/>
      <c r="D876" s="161"/>
      <c r="E876" s="161"/>
      <c r="F876" s="161"/>
      <c r="G876" s="161"/>
      <c r="H876" s="161"/>
      <c r="I876" s="161"/>
      <c r="J876" s="161"/>
      <c r="K876" s="161"/>
      <c r="L876" s="161"/>
      <c r="M876" s="161"/>
      <c r="N876" s="161"/>
      <c r="O876" s="161"/>
      <c r="P876" s="161"/>
      <c r="Q876" s="161"/>
      <c r="R876" s="161"/>
      <c r="S876" s="161"/>
      <c r="T876" s="161"/>
    </row>
    <row r="877" spans="1:20" ht="13">
      <c r="A877" s="161"/>
      <c r="B877" s="161"/>
      <c r="C877" s="161"/>
      <c r="D877" s="161"/>
      <c r="E877" s="161"/>
      <c r="F877" s="161"/>
      <c r="G877" s="161"/>
      <c r="H877" s="161"/>
      <c r="I877" s="161"/>
      <c r="J877" s="161"/>
      <c r="K877" s="161"/>
      <c r="L877" s="161"/>
      <c r="M877" s="161"/>
      <c r="N877" s="161"/>
      <c r="O877" s="161"/>
      <c r="P877" s="161"/>
      <c r="Q877" s="161"/>
      <c r="R877" s="161"/>
      <c r="S877" s="161"/>
      <c r="T877" s="161"/>
    </row>
    <row r="878" spans="1:20" ht="13">
      <c r="A878" s="161"/>
      <c r="B878" s="161"/>
      <c r="C878" s="161"/>
      <c r="D878" s="161"/>
      <c r="E878" s="161"/>
      <c r="F878" s="161"/>
      <c r="G878" s="161"/>
      <c r="H878" s="161"/>
      <c r="I878" s="161"/>
      <c r="J878" s="161"/>
      <c r="K878" s="161"/>
      <c r="L878" s="161"/>
      <c r="M878" s="161"/>
      <c r="N878" s="161"/>
      <c r="O878" s="161"/>
      <c r="P878" s="161"/>
      <c r="Q878" s="161"/>
      <c r="R878" s="161"/>
      <c r="S878" s="161"/>
      <c r="T878" s="161"/>
    </row>
    <row r="879" spans="1:20" ht="13">
      <c r="A879" s="161"/>
      <c r="B879" s="161"/>
      <c r="C879" s="161"/>
      <c r="D879" s="161"/>
      <c r="E879" s="161"/>
      <c r="F879" s="161"/>
      <c r="G879" s="161"/>
      <c r="H879" s="161"/>
      <c r="I879" s="161"/>
      <c r="J879" s="161"/>
      <c r="K879" s="161"/>
      <c r="L879" s="161"/>
      <c r="M879" s="161"/>
      <c r="N879" s="161"/>
      <c r="O879" s="161"/>
      <c r="P879" s="161"/>
      <c r="Q879" s="161"/>
      <c r="R879" s="161"/>
      <c r="S879" s="161"/>
      <c r="T879" s="161"/>
    </row>
    <row r="880" spans="1:20" ht="13">
      <c r="A880" s="161"/>
      <c r="B880" s="161"/>
      <c r="C880" s="161"/>
      <c r="D880" s="161"/>
      <c r="E880" s="161"/>
      <c r="F880" s="161"/>
      <c r="G880" s="161"/>
      <c r="H880" s="161"/>
      <c r="I880" s="161"/>
      <c r="J880" s="161"/>
      <c r="K880" s="161"/>
      <c r="L880" s="161"/>
      <c r="M880" s="161"/>
      <c r="N880" s="161"/>
      <c r="O880" s="161"/>
      <c r="P880" s="161"/>
      <c r="Q880" s="161"/>
      <c r="R880" s="161"/>
      <c r="S880" s="161"/>
      <c r="T880" s="161"/>
    </row>
    <row r="881" spans="1:20" ht="13">
      <c r="A881" s="161"/>
      <c r="B881" s="161"/>
      <c r="C881" s="161"/>
      <c r="D881" s="161"/>
      <c r="E881" s="161"/>
      <c r="F881" s="161"/>
      <c r="G881" s="161"/>
      <c r="H881" s="161"/>
      <c r="I881" s="161"/>
      <c r="J881" s="161"/>
      <c r="K881" s="161"/>
      <c r="L881" s="161"/>
      <c r="M881" s="161"/>
      <c r="N881" s="161"/>
      <c r="O881" s="161"/>
      <c r="P881" s="161"/>
      <c r="Q881" s="161"/>
      <c r="R881" s="161"/>
      <c r="S881" s="161"/>
      <c r="T881" s="161"/>
    </row>
    <row r="882" spans="1:20" ht="13">
      <c r="A882" s="161"/>
      <c r="B882" s="161"/>
      <c r="C882" s="161"/>
      <c r="D882" s="161"/>
      <c r="E882" s="161"/>
      <c r="F882" s="161"/>
      <c r="G882" s="161"/>
      <c r="H882" s="161"/>
      <c r="I882" s="161"/>
      <c r="J882" s="161"/>
      <c r="K882" s="161"/>
      <c r="L882" s="161"/>
      <c r="M882" s="161"/>
      <c r="N882" s="161"/>
      <c r="O882" s="161"/>
      <c r="P882" s="161"/>
      <c r="Q882" s="161"/>
      <c r="R882" s="161"/>
      <c r="S882" s="161"/>
      <c r="T882" s="161"/>
    </row>
    <row r="883" spans="1:20" ht="13">
      <c r="A883" s="161"/>
      <c r="B883" s="161"/>
      <c r="C883" s="161"/>
      <c r="D883" s="161"/>
      <c r="E883" s="161"/>
      <c r="F883" s="161"/>
      <c r="G883" s="161"/>
      <c r="H883" s="161"/>
      <c r="I883" s="161"/>
      <c r="J883" s="161"/>
      <c r="K883" s="161"/>
      <c r="L883" s="161"/>
      <c r="M883" s="161"/>
      <c r="N883" s="161"/>
      <c r="O883" s="161"/>
      <c r="P883" s="161"/>
      <c r="Q883" s="161"/>
      <c r="R883" s="161"/>
      <c r="S883" s="161"/>
      <c r="T883" s="161"/>
    </row>
    <row r="884" spans="1:20" ht="13">
      <c r="A884" s="161"/>
      <c r="B884" s="161"/>
      <c r="C884" s="161"/>
      <c r="D884" s="161"/>
      <c r="E884" s="161"/>
      <c r="F884" s="161"/>
      <c r="G884" s="161"/>
      <c r="H884" s="161"/>
      <c r="I884" s="161"/>
      <c r="J884" s="161"/>
      <c r="K884" s="161"/>
      <c r="L884" s="161"/>
      <c r="M884" s="161"/>
      <c r="N884" s="161"/>
      <c r="O884" s="161"/>
      <c r="P884" s="161"/>
      <c r="Q884" s="161"/>
      <c r="R884" s="161"/>
      <c r="S884" s="161"/>
      <c r="T884" s="161"/>
    </row>
    <row r="885" spans="1:20" ht="13">
      <c r="A885" s="161"/>
      <c r="B885" s="161"/>
      <c r="C885" s="161"/>
      <c r="D885" s="161"/>
      <c r="E885" s="161"/>
      <c r="F885" s="161"/>
      <c r="G885" s="161"/>
      <c r="H885" s="161"/>
      <c r="I885" s="161"/>
      <c r="J885" s="161"/>
      <c r="K885" s="161"/>
      <c r="L885" s="161"/>
      <c r="M885" s="161"/>
      <c r="N885" s="161"/>
      <c r="O885" s="161"/>
      <c r="P885" s="161"/>
      <c r="Q885" s="161"/>
      <c r="R885" s="161"/>
      <c r="S885" s="161"/>
      <c r="T885" s="161"/>
    </row>
    <row r="886" spans="1:20" ht="13">
      <c r="A886" s="161"/>
      <c r="B886" s="161"/>
      <c r="C886" s="161"/>
      <c r="D886" s="161"/>
      <c r="E886" s="161"/>
      <c r="F886" s="161"/>
      <c r="G886" s="161"/>
      <c r="H886" s="161"/>
      <c r="I886" s="161"/>
      <c r="J886" s="161"/>
      <c r="K886" s="161"/>
      <c r="L886" s="161"/>
      <c r="M886" s="161"/>
      <c r="N886" s="161"/>
      <c r="O886" s="161"/>
      <c r="P886" s="161"/>
      <c r="Q886" s="161"/>
      <c r="R886" s="161"/>
      <c r="S886" s="161"/>
      <c r="T886" s="161"/>
    </row>
    <row r="887" spans="1:20" ht="13">
      <c r="A887" s="161"/>
      <c r="B887" s="161"/>
      <c r="C887" s="161"/>
      <c r="D887" s="161"/>
      <c r="E887" s="161"/>
      <c r="F887" s="161"/>
      <c r="G887" s="161"/>
      <c r="H887" s="161"/>
      <c r="I887" s="161"/>
      <c r="J887" s="161"/>
      <c r="K887" s="161"/>
      <c r="L887" s="161"/>
      <c r="M887" s="161"/>
      <c r="N887" s="161"/>
      <c r="O887" s="161"/>
      <c r="P887" s="161"/>
      <c r="Q887" s="161"/>
      <c r="R887" s="161"/>
      <c r="S887" s="161"/>
      <c r="T887" s="161"/>
    </row>
    <row r="888" spans="1:20" ht="13">
      <c r="A888" s="161"/>
      <c r="B888" s="161"/>
      <c r="C888" s="161"/>
      <c r="D888" s="161"/>
      <c r="E888" s="161"/>
      <c r="F888" s="161"/>
      <c r="G888" s="161"/>
      <c r="H888" s="161"/>
      <c r="I888" s="161"/>
      <c r="J888" s="161"/>
      <c r="K888" s="161"/>
      <c r="L888" s="161"/>
      <c r="M888" s="161"/>
      <c r="N888" s="161"/>
      <c r="O888" s="161"/>
      <c r="P888" s="161"/>
      <c r="Q888" s="161"/>
      <c r="R888" s="161"/>
      <c r="S888" s="161"/>
      <c r="T888" s="161"/>
    </row>
    <row r="889" spans="1:20" ht="13">
      <c r="A889" s="161"/>
      <c r="B889" s="161"/>
      <c r="C889" s="161"/>
      <c r="D889" s="161"/>
      <c r="E889" s="161"/>
      <c r="F889" s="161"/>
      <c r="G889" s="161"/>
      <c r="H889" s="161"/>
      <c r="I889" s="161"/>
      <c r="J889" s="161"/>
      <c r="K889" s="161"/>
      <c r="L889" s="161"/>
      <c r="M889" s="161"/>
      <c r="N889" s="161"/>
      <c r="O889" s="161"/>
      <c r="P889" s="161"/>
      <c r="Q889" s="161"/>
      <c r="R889" s="161"/>
      <c r="S889" s="161"/>
      <c r="T889" s="161"/>
    </row>
    <row r="890" spans="1:20" ht="13">
      <c r="A890" s="161"/>
      <c r="B890" s="161"/>
      <c r="C890" s="161"/>
      <c r="D890" s="161"/>
      <c r="E890" s="161"/>
      <c r="F890" s="161"/>
      <c r="G890" s="161"/>
      <c r="H890" s="161"/>
      <c r="I890" s="161"/>
      <c r="J890" s="161"/>
      <c r="K890" s="161"/>
      <c r="L890" s="161"/>
      <c r="M890" s="161"/>
      <c r="N890" s="161"/>
      <c r="O890" s="161"/>
      <c r="P890" s="161"/>
      <c r="Q890" s="161"/>
      <c r="R890" s="161"/>
      <c r="S890" s="161"/>
      <c r="T890" s="161"/>
    </row>
    <row r="891" spans="1:20" ht="13">
      <c r="A891" s="161"/>
      <c r="B891" s="161"/>
      <c r="C891" s="161"/>
      <c r="D891" s="161"/>
      <c r="E891" s="161"/>
      <c r="F891" s="161"/>
      <c r="G891" s="161"/>
      <c r="H891" s="161"/>
      <c r="I891" s="161"/>
      <c r="J891" s="161"/>
      <c r="K891" s="161"/>
      <c r="L891" s="161"/>
      <c r="M891" s="161"/>
      <c r="N891" s="161"/>
      <c r="O891" s="161"/>
      <c r="P891" s="161"/>
      <c r="Q891" s="161"/>
      <c r="R891" s="161"/>
      <c r="S891" s="161"/>
      <c r="T891" s="161"/>
    </row>
    <row r="892" spans="1:20" ht="13">
      <c r="A892" s="161"/>
      <c r="B892" s="161"/>
      <c r="C892" s="161"/>
      <c r="D892" s="161"/>
      <c r="E892" s="161"/>
      <c r="F892" s="161"/>
      <c r="G892" s="161"/>
      <c r="H892" s="161"/>
      <c r="I892" s="161"/>
      <c r="J892" s="161"/>
      <c r="K892" s="161"/>
      <c r="L892" s="161"/>
      <c r="M892" s="161"/>
      <c r="N892" s="161"/>
      <c r="O892" s="161"/>
      <c r="P892" s="161"/>
      <c r="Q892" s="161"/>
      <c r="R892" s="161"/>
      <c r="S892" s="161"/>
      <c r="T892" s="161"/>
    </row>
    <row r="893" spans="1:20" ht="13">
      <c r="A893" s="161"/>
      <c r="B893" s="161"/>
      <c r="C893" s="161"/>
      <c r="D893" s="161"/>
      <c r="E893" s="161"/>
      <c r="F893" s="161"/>
      <c r="G893" s="161"/>
      <c r="H893" s="161"/>
      <c r="I893" s="161"/>
      <c r="J893" s="161"/>
      <c r="K893" s="161"/>
      <c r="L893" s="161"/>
      <c r="M893" s="161"/>
      <c r="N893" s="161"/>
      <c r="O893" s="161"/>
      <c r="P893" s="161"/>
      <c r="Q893" s="161"/>
      <c r="R893" s="161"/>
      <c r="S893" s="161"/>
      <c r="T893" s="161"/>
    </row>
    <row r="894" spans="1:20" ht="13">
      <c r="A894" s="161"/>
      <c r="B894" s="161"/>
      <c r="C894" s="161"/>
      <c r="D894" s="161"/>
      <c r="E894" s="161"/>
      <c r="F894" s="161"/>
      <c r="G894" s="161"/>
      <c r="H894" s="161"/>
      <c r="I894" s="161"/>
      <c r="J894" s="161"/>
      <c r="K894" s="161"/>
      <c r="L894" s="161"/>
      <c r="M894" s="161"/>
      <c r="N894" s="161"/>
      <c r="O894" s="161"/>
      <c r="P894" s="161"/>
      <c r="Q894" s="161"/>
      <c r="R894" s="161"/>
      <c r="S894" s="161"/>
      <c r="T894" s="161"/>
    </row>
    <row r="895" spans="1:20" ht="13">
      <c r="A895" s="161"/>
      <c r="B895" s="161"/>
      <c r="C895" s="161"/>
      <c r="D895" s="161"/>
      <c r="E895" s="161"/>
      <c r="F895" s="161"/>
      <c r="G895" s="161"/>
      <c r="H895" s="161"/>
      <c r="I895" s="161"/>
      <c r="J895" s="161"/>
      <c r="K895" s="161"/>
      <c r="L895" s="161"/>
      <c r="M895" s="161"/>
      <c r="N895" s="161"/>
      <c r="O895" s="161"/>
      <c r="P895" s="161"/>
      <c r="Q895" s="161"/>
      <c r="R895" s="161"/>
      <c r="S895" s="161"/>
      <c r="T895" s="161"/>
    </row>
    <row r="896" spans="1:20" ht="13">
      <c r="A896" s="161"/>
      <c r="B896" s="161"/>
      <c r="C896" s="161"/>
      <c r="D896" s="161"/>
      <c r="E896" s="161"/>
      <c r="F896" s="161"/>
      <c r="G896" s="161"/>
      <c r="H896" s="161"/>
      <c r="I896" s="161"/>
      <c r="J896" s="161"/>
      <c r="K896" s="161"/>
      <c r="L896" s="161"/>
      <c r="M896" s="161"/>
      <c r="N896" s="161"/>
      <c r="O896" s="161"/>
      <c r="P896" s="161"/>
      <c r="Q896" s="161"/>
      <c r="R896" s="161"/>
      <c r="S896" s="161"/>
      <c r="T896" s="161"/>
    </row>
    <row r="897" spans="1:20" ht="13">
      <c r="A897" s="161"/>
      <c r="B897" s="161"/>
      <c r="C897" s="161"/>
      <c r="D897" s="161"/>
      <c r="E897" s="161"/>
      <c r="F897" s="161"/>
      <c r="G897" s="161"/>
      <c r="H897" s="161"/>
      <c r="I897" s="161"/>
      <c r="J897" s="161"/>
      <c r="K897" s="161"/>
      <c r="L897" s="161"/>
      <c r="M897" s="161"/>
      <c r="N897" s="161"/>
      <c r="O897" s="161"/>
      <c r="P897" s="161"/>
      <c r="Q897" s="161"/>
      <c r="R897" s="161"/>
      <c r="S897" s="161"/>
      <c r="T897" s="161"/>
    </row>
    <row r="898" spans="1:20" ht="13">
      <c r="A898" s="161"/>
      <c r="B898" s="161"/>
      <c r="C898" s="161"/>
      <c r="D898" s="161"/>
      <c r="E898" s="161"/>
      <c r="F898" s="161"/>
      <c r="G898" s="161"/>
      <c r="H898" s="161"/>
      <c r="I898" s="161"/>
      <c r="J898" s="161"/>
      <c r="K898" s="161"/>
      <c r="L898" s="161"/>
      <c r="M898" s="161"/>
      <c r="N898" s="161"/>
      <c r="O898" s="161"/>
      <c r="P898" s="161"/>
      <c r="Q898" s="161"/>
      <c r="R898" s="161"/>
      <c r="S898" s="161"/>
      <c r="T898" s="161"/>
    </row>
    <row r="899" spans="1:20" ht="13">
      <c r="A899" s="161"/>
      <c r="B899" s="161"/>
      <c r="C899" s="161"/>
      <c r="D899" s="161"/>
      <c r="E899" s="161"/>
      <c r="F899" s="161"/>
      <c r="G899" s="161"/>
      <c r="H899" s="161"/>
      <c r="I899" s="161"/>
      <c r="J899" s="161"/>
      <c r="K899" s="161"/>
      <c r="L899" s="161"/>
      <c r="M899" s="161"/>
      <c r="N899" s="161"/>
      <c r="O899" s="161"/>
      <c r="P899" s="161"/>
      <c r="Q899" s="161"/>
      <c r="R899" s="161"/>
      <c r="S899" s="161"/>
      <c r="T899" s="161"/>
    </row>
    <row r="900" spans="1:20" ht="13">
      <c r="A900" s="161"/>
      <c r="B900" s="161"/>
      <c r="C900" s="161"/>
      <c r="D900" s="161"/>
      <c r="E900" s="161"/>
      <c r="F900" s="161"/>
      <c r="G900" s="161"/>
      <c r="H900" s="161"/>
      <c r="I900" s="161"/>
      <c r="J900" s="161"/>
      <c r="K900" s="161"/>
      <c r="L900" s="161"/>
      <c r="M900" s="161"/>
      <c r="N900" s="161"/>
      <c r="O900" s="161"/>
      <c r="P900" s="161"/>
      <c r="Q900" s="161"/>
      <c r="R900" s="161"/>
      <c r="S900" s="161"/>
      <c r="T900" s="161"/>
    </row>
    <row r="901" spans="1:20" ht="13">
      <c r="A901" s="161"/>
      <c r="B901" s="161"/>
      <c r="C901" s="161"/>
      <c r="D901" s="161"/>
      <c r="E901" s="161"/>
      <c r="F901" s="161"/>
      <c r="G901" s="161"/>
      <c r="H901" s="161"/>
      <c r="I901" s="161"/>
      <c r="J901" s="161"/>
      <c r="K901" s="161"/>
      <c r="L901" s="161"/>
      <c r="M901" s="161"/>
      <c r="N901" s="161"/>
      <c r="O901" s="161"/>
      <c r="P901" s="161"/>
      <c r="Q901" s="161"/>
      <c r="R901" s="161"/>
      <c r="S901" s="161"/>
      <c r="T901" s="161"/>
    </row>
    <row r="902" spans="1:20" ht="13">
      <c r="A902" s="161"/>
      <c r="B902" s="161"/>
      <c r="C902" s="161"/>
      <c r="D902" s="161"/>
      <c r="E902" s="161"/>
      <c r="F902" s="161"/>
      <c r="G902" s="161"/>
      <c r="H902" s="161"/>
      <c r="I902" s="161"/>
      <c r="J902" s="161"/>
      <c r="K902" s="161"/>
      <c r="L902" s="161"/>
      <c r="M902" s="161"/>
      <c r="N902" s="161"/>
      <c r="O902" s="161"/>
      <c r="P902" s="161"/>
      <c r="Q902" s="161"/>
      <c r="R902" s="161"/>
      <c r="S902" s="161"/>
      <c r="T902" s="161"/>
    </row>
    <row r="903" spans="1:20" ht="13">
      <c r="A903" s="161"/>
      <c r="B903" s="161"/>
      <c r="C903" s="161"/>
      <c r="D903" s="161"/>
      <c r="E903" s="161"/>
      <c r="F903" s="161"/>
      <c r="G903" s="161"/>
      <c r="H903" s="161"/>
      <c r="I903" s="161"/>
      <c r="J903" s="161"/>
      <c r="K903" s="161"/>
      <c r="L903" s="161"/>
      <c r="M903" s="161"/>
      <c r="N903" s="161"/>
      <c r="O903" s="161"/>
      <c r="P903" s="161"/>
      <c r="Q903" s="161"/>
      <c r="R903" s="161"/>
      <c r="S903" s="161"/>
      <c r="T903" s="161"/>
    </row>
    <row r="904" spans="1:20" ht="13">
      <c r="A904" s="161"/>
      <c r="B904" s="161"/>
      <c r="C904" s="161"/>
      <c r="D904" s="161"/>
      <c r="E904" s="161"/>
      <c r="F904" s="161"/>
      <c r="G904" s="161"/>
      <c r="H904" s="161"/>
      <c r="I904" s="161"/>
      <c r="J904" s="161"/>
      <c r="K904" s="161"/>
      <c r="L904" s="161"/>
      <c r="M904" s="161"/>
      <c r="N904" s="161"/>
      <c r="O904" s="161"/>
      <c r="P904" s="161"/>
      <c r="Q904" s="161"/>
      <c r="R904" s="161"/>
      <c r="S904" s="161"/>
      <c r="T904" s="161"/>
    </row>
    <row r="905" spans="1:20" ht="13">
      <c r="A905" s="161"/>
      <c r="B905" s="161"/>
      <c r="C905" s="161"/>
      <c r="D905" s="161"/>
      <c r="E905" s="161"/>
      <c r="F905" s="161"/>
      <c r="G905" s="161"/>
      <c r="H905" s="161"/>
      <c r="I905" s="161"/>
      <c r="J905" s="161"/>
      <c r="K905" s="161"/>
      <c r="L905" s="161"/>
      <c r="M905" s="161"/>
      <c r="N905" s="161"/>
      <c r="O905" s="161"/>
      <c r="P905" s="161"/>
      <c r="Q905" s="161"/>
      <c r="R905" s="161"/>
      <c r="S905" s="161"/>
      <c r="T905" s="161"/>
    </row>
    <row r="906" spans="1:20" ht="13">
      <c r="A906" s="161"/>
      <c r="B906" s="161"/>
      <c r="C906" s="161"/>
      <c r="D906" s="161"/>
      <c r="E906" s="161"/>
      <c r="F906" s="161"/>
      <c r="G906" s="161"/>
      <c r="H906" s="161"/>
      <c r="I906" s="161"/>
      <c r="J906" s="161"/>
      <c r="K906" s="161"/>
      <c r="L906" s="161"/>
      <c r="M906" s="161"/>
      <c r="N906" s="161"/>
      <c r="O906" s="161"/>
      <c r="P906" s="161"/>
      <c r="Q906" s="161"/>
      <c r="R906" s="161"/>
      <c r="S906" s="161"/>
      <c r="T906" s="161"/>
    </row>
    <row r="907" spans="1:20" ht="13">
      <c r="A907" s="161"/>
      <c r="B907" s="161"/>
      <c r="C907" s="161"/>
      <c r="D907" s="161"/>
      <c r="E907" s="161"/>
      <c r="F907" s="161"/>
      <c r="G907" s="161"/>
      <c r="H907" s="161"/>
      <c r="I907" s="161"/>
      <c r="J907" s="161"/>
      <c r="K907" s="161"/>
      <c r="L907" s="161"/>
      <c r="M907" s="161"/>
      <c r="N907" s="161"/>
      <c r="O907" s="161"/>
      <c r="P907" s="161"/>
      <c r="Q907" s="161"/>
      <c r="R907" s="161"/>
      <c r="S907" s="161"/>
      <c r="T907" s="161"/>
    </row>
    <row r="908" spans="1:20" ht="13">
      <c r="A908" s="161"/>
      <c r="B908" s="161"/>
      <c r="C908" s="161"/>
      <c r="D908" s="161"/>
      <c r="E908" s="161"/>
      <c r="F908" s="161"/>
      <c r="G908" s="161"/>
      <c r="H908" s="161"/>
      <c r="I908" s="161"/>
      <c r="J908" s="161"/>
      <c r="K908" s="161"/>
      <c r="L908" s="161"/>
      <c r="M908" s="161"/>
      <c r="N908" s="161"/>
      <c r="O908" s="161"/>
      <c r="P908" s="161"/>
      <c r="Q908" s="161"/>
      <c r="R908" s="161"/>
      <c r="S908" s="161"/>
      <c r="T908" s="161"/>
    </row>
    <row r="909" spans="1:20" ht="13">
      <c r="A909" s="161"/>
      <c r="B909" s="161"/>
      <c r="C909" s="161"/>
      <c r="D909" s="161"/>
      <c r="E909" s="161"/>
      <c r="F909" s="161"/>
      <c r="G909" s="161"/>
      <c r="H909" s="161"/>
      <c r="I909" s="161"/>
      <c r="J909" s="161"/>
      <c r="K909" s="161"/>
      <c r="L909" s="161"/>
      <c r="M909" s="161"/>
      <c r="N909" s="161"/>
      <c r="O909" s="161"/>
      <c r="P909" s="161"/>
      <c r="Q909" s="161"/>
      <c r="R909" s="161"/>
      <c r="S909" s="161"/>
      <c r="T909" s="161"/>
    </row>
    <row r="910" spans="1:20" ht="13">
      <c r="A910" s="161"/>
      <c r="B910" s="161"/>
      <c r="C910" s="161"/>
      <c r="D910" s="161"/>
      <c r="E910" s="161"/>
      <c r="F910" s="161"/>
      <c r="G910" s="161"/>
      <c r="H910" s="161"/>
      <c r="I910" s="161"/>
      <c r="J910" s="161"/>
      <c r="K910" s="161"/>
      <c r="L910" s="161"/>
      <c r="M910" s="161"/>
      <c r="N910" s="161"/>
      <c r="O910" s="161"/>
      <c r="P910" s="161"/>
      <c r="Q910" s="161"/>
      <c r="R910" s="161"/>
      <c r="S910" s="161"/>
      <c r="T910" s="161"/>
    </row>
    <row r="911" spans="1:20" ht="13">
      <c r="A911" s="161"/>
      <c r="B911" s="161"/>
      <c r="C911" s="161"/>
      <c r="D911" s="161"/>
      <c r="E911" s="161"/>
      <c r="F911" s="161"/>
      <c r="G911" s="161"/>
      <c r="H911" s="161"/>
      <c r="I911" s="161"/>
      <c r="J911" s="161"/>
      <c r="K911" s="161"/>
      <c r="L911" s="161"/>
      <c r="M911" s="161"/>
      <c r="N911" s="161"/>
      <c r="O911" s="161"/>
      <c r="P911" s="161"/>
      <c r="Q911" s="161"/>
      <c r="R911" s="161"/>
      <c r="S911" s="161"/>
      <c r="T911" s="161"/>
    </row>
    <row r="912" spans="1:20" ht="13">
      <c r="A912" s="161"/>
      <c r="B912" s="161"/>
      <c r="C912" s="161"/>
      <c r="D912" s="161"/>
      <c r="E912" s="161"/>
      <c r="F912" s="161"/>
      <c r="G912" s="161"/>
      <c r="H912" s="161"/>
      <c r="I912" s="161"/>
      <c r="J912" s="161"/>
      <c r="K912" s="161"/>
      <c r="L912" s="161"/>
      <c r="M912" s="161"/>
      <c r="N912" s="161"/>
      <c r="O912" s="161"/>
      <c r="P912" s="161"/>
      <c r="Q912" s="161"/>
      <c r="R912" s="161"/>
      <c r="S912" s="161"/>
      <c r="T912" s="161"/>
    </row>
    <row r="913" spans="1:20" ht="13">
      <c r="A913" s="161"/>
      <c r="B913" s="161"/>
      <c r="C913" s="161"/>
      <c r="D913" s="161"/>
      <c r="E913" s="161"/>
      <c r="F913" s="161"/>
      <c r="G913" s="161"/>
      <c r="H913" s="161"/>
      <c r="I913" s="161"/>
      <c r="J913" s="161"/>
      <c r="K913" s="161"/>
      <c r="L913" s="161"/>
      <c r="M913" s="161"/>
      <c r="N913" s="161"/>
      <c r="O913" s="161"/>
      <c r="P913" s="161"/>
      <c r="Q913" s="161"/>
      <c r="R913" s="161"/>
      <c r="S913" s="161"/>
      <c r="T913" s="161"/>
    </row>
    <row r="914" spans="1:20" ht="13">
      <c r="A914" s="161"/>
      <c r="B914" s="161"/>
      <c r="C914" s="161"/>
      <c r="D914" s="161"/>
      <c r="E914" s="161"/>
      <c r="F914" s="161"/>
      <c r="G914" s="161"/>
      <c r="H914" s="161"/>
      <c r="I914" s="161"/>
      <c r="J914" s="161"/>
      <c r="K914" s="161"/>
      <c r="L914" s="161"/>
      <c r="M914" s="161"/>
      <c r="N914" s="161"/>
      <c r="O914" s="161"/>
      <c r="P914" s="161"/>
      <c r="Q914" s="161"/>
      <c r="R914" s="161"/>
      <c r="S914" s="161"/>
      <c r="T914" s="161"/>
    </row>
    <row r="915" spans="1:20" ht="13">
      <c r="A915" s="161"/>
      <c r="B915" s="161"/>
      <c r="C915" s="161"/>
      <c r="D915" s="161"/>
      <c r="E915" s="161"/>
      <c r="F915" s="161"/>
      <c r="G915" s="161"/>
      <c r="H915" s="161"/>
      <c r="I915" s="161"/>
      <c r="J915" s="161"/>
      <c r="K915" s="161"/>
      <c r="L915" s="161"/>
      <c r="M915" s="161"/>
      <c r="N915" s="161"/>
      <c r="O915" s="161"/>
      <c r="P915" s="161"/>
      <c r="Q915" s="161"/>
      <c r="R915" s="161"/>
      <c r="S915" s="161"/>
      <c r="T915" s="161"/>
    </row>
    <row r="916" spans="1:20" ht="13">
      <c r="A916" s="161"/>
      <c r="B916" s="161"/>
      <c r="C916" s="161"/>
      <c r="D916" s="161"/>
      <c r="E916" s="161"/>
      <c r="F916" s="161"/>
      <c r="G916" s="161"/>
      <c r="H916" s="161"/>
      <c r="I916" s="161"/>
      <c r="J916" s="161"/>
      <c r="K916" s="161"/>
      <c r="L916" s="161"/>
      <c r="M916" s="161"/>
      <c r="N916" s="161"/>
      <c r="O916" s="161"/>
      <c r="P916" s="161"/>
      <c r="Q916" s="161"/>
      <c r="R916" s="161"/>
      <c r="S916" s="161"/>
      <c r="T916" s="161"/>
    </row>
    <row r="917" spans="1:20" ht="13">
      <c r="A917" s="161"/>
      <c r="B917" s="161"/>
      <c r="C917" s="161"/>
      <c r="D917" s="161"/>
      <c r="E917" s="161"/>
      <c r="F917" s="161"/>
      <c r="G917" s="161"/>
      <c r="H917" s="161"/>
      <c r="I917" s="161"/>
      <c r="J917" s="161"/>
      <c r="K917" s="161"/>
      <c r="L917" s="161"/>
      <c r="M917" s="161"/>
      <c r="N917" s="161"/>
      <c r="O917" s="161"/>
      <c r="P917" s="161"/>
      <c r="Q917" s="161"/>
      <c r="R917" s="161"/>
      <c r="S917" s="161"/>
      <c r="T917" s="161"/>
    </row>
    <row r="918" spans="1:20" ht="13">
      <c r="A918" s="161"/>
      <c r="B918" s="161"/>
      <c r="C918" s="161"/>
      <c r="D918" s="161"/>
      <c r="E918" s="161"/>
      <c r="F918" s="161"/>
      <c r="G918" s="161"/>
      <c r="H918" s="161"/>
      <c r="I918" s="161"/>
      <c r="J918" s="161"/>
      <c r="K918" s="161"/>
      <c r="L918" s="161"/>
      <c r="M918" s="161"/>
      <c r="N918" s="161"/>
      <c r="O918" s="161"/>
      <c r="P918" s="161"/>
      <c r="Q918" s="161"/>
      <c r="R918" s="161"/>
      <c r="S918" s="161"/>
      <c r="T918" s="161"/>
    </row>
    <row r="919" spans="1:20" ht="13">
      <c r="A919" s="161"/>
      <c r="B919" s="161"/>
      <c r="C919" s="161"/>
      <c r="D919" s="161"/>
      <c r="E919" s="161"/>
      <c r="F919" s="161"/>
      <c r="G919" s="161"/>
      <c r="H919" s="161"/>
      <c r="I919" s="161"/>
      <c r="J919" s="161"/>
      <c r="K919" s="161"/>
      <c r="L919" s="161"/>
      <c r="M919" s="161"/>
      <c r="N919" s="161"/>
      <c r="O919" s="161"/>
      <c r="P919" s="161"/>
      <c r="Q919" s="161"/>
      <c r="R919" s="161"/>
      <c r="S919" s="161"/>
      <c r="T919" s="161"/>
    </row>
    <row r="920" spans="1:20" ht="13">
      <c r="A920" s="161"/>
      <c r="B920" s="161"/>
      <c r="C920" s="161"/>
      <c r="D920" s="161"/>
      <c r="E920" s="161"/>
      <c r="F920" s="161"/>
      <c r="G920" s="161"/>
      <c r="H920" s="161"/>
      <c r="I920" s="161"/>
      <c r="J920" s="161"/>
      <c r="K920" s="161"/>
      <c r="L920" s="161"/>
      <c r="M920" s="161"/>
      <c r="N920" s="161"/>
      <c r="O920" s="161"/>
      <c r="P920" s="161"/>
      <c r="Q920" s="161"/>
      <c r="R920" s="161"/>
      <c r="S920" s="161"/>
      <c r="T920" s="161"/>
    </row>
    <row r="921" spans="1:20" ht="13">
      <c r="A921" s="161"/>
      <c r="B921" s="161"/>
      <c r="C921" s="161"/>
      <c r="D921" s="161"/>
      <c r="E921" s="161"/>
      <c r="F921" s="161"/>
      <c r="G921" s="161"/>
      <c r="H921" s="161"/>
      <c r="I921" s="161"/>
      <c r="J921" s="161"/>
      <c r="K921" s="161"/>
      <c r="L921" s="161"/>
      <c r="M921" s="161"/>
      <c r="N921" s="161"/>
      <c r="O921" s="161"/>
      <c r="P921" s="161"/>
      <c r="Q921" s="161"/>
      <c r="R921" s="161"/>
      <c r="S921" s="161"/>
      <c r="T921" s="161"/>
    </row>
    <row r="922" spans="1:20" ht="13">
      <c r="A922" s="161"/>
      <c r="B922" s="161"/>
      <c r="C922" s="161"/>
      <c r="D922" s="161"/>
      <c r="E922" s="161"/>
      <c r="F922" s="161"/>
      <c r="G922" s="161"/>
      <c r="H922" s="161"/>
      <c r="I922" s="161"/>
      <c r="J922" s="161"/>
      <c r="K922" s="161"/>
      <c r="L922" s="161"/>
      <c r="M922" s="161"/>
      <c r="N922" s="161"/>
      <c r="O922" s="161"/>
      <c r="P922" s="161"/>
      <c r="Q922" s="161"/>
      <c r="R922" s="161"/>
      <c r="S922" s="161"/>
      <c r="T922" s="161"/>
    </row>
    <row r="923" spans="1:20" ht="13">
      <c r="A923" s="161"/>
      <c r="B923" s="161"/>
      <c r="C923" s="161"/>
      <c r="D923" s="161"/>
      <c r="E923" s="161"/>
      <c r="F923" s="161"/>
      <c r="G923" s="161"/>
      <c r="H923" s="161"/>
      <c r="I923" s="161"/>
      <c r="J923" s="161"/>
      <c r="K923" s="161"/>
      <c r="L923" s="161"/>
      <c r="M923" s="161"/>
      <c r="N923" s="161"/>
      <c r="O923" s="161"/>
      <c r="P923" s="161"/>
      <c r="Q923" s="161"/>
      <c r="R923" s="161"/>
      <c r="S923" s="161"/>
      <c r="T923" s="161"/>
    </row>
    <row r="924" spans="1:20" ht="13">
      <c r="A924" s="161"/>
      <c r="B924" s="161"/>
      <c r="C924" s="161"/>
      <c r="D924" s="161"/>
      <c r="E924" s="161"/>
      <c r="F924" s="161"/>
      <c r="G924" s="161"/>
      <c r="H924" s="161"/>
      <c r="I924" s="161"/>
      <c r="J924" s="161"/>
      <c r="K924" s="161"/>
      <c r="L924" s="161"/>
      <c r="M924" s="161"/>
      <c r="N924" s="161"/>
      <c r="O924" s="161"/>
      <c r="P924" s="161"/>
      <c r="Q924" s="161"/>
      <c r="R924" s="161"/>
      <c r="S924" s="161"/>
      <c r="T924" s="161"/>
    </row>
    <row r="925" spans="1:20" ht="13">
      <c r="A925" s="161"/>
      <c r="B925" s="161"/>
      <c r="C925" s="161"/>
      <c r="D925" s="161"/>
      <c r="E925" s="161"/>
      <c r="F925" s="161"/>
      <c r="G925" s="161"/>
      <c r="H925" s="161"/>
      <c r="I925" s="161"/>
      <c r="J925" s="161"/>
      <c r="K925" s="161"/>
      <c r="L925" s="161"/>
      <c r="M925" s="161"/>
      <c r="N925" s="161"/>
      <c r="O925" s="161"/>
      <c r="P925" s="161"/>
      <c r="Q925" s="161"/>
      <c r="R925" s="161"/>
      <c r="S925" s="161"/>
      <c r="T925" s="161"/>
    </row>
    <row r="926" spans="1:20" ht="13">
      <c r="A926" s="161"/>
      <c r="B926" s="161"/>
      <c r="C926" s="161"/>
      <c r="D926" s="161"/>
      <c r="E926" s="161"/>
      <c r="F926" s="161"/>
      <c r="G926" s="161"/>
      <c r="H926" s="161"/>
      <c r="I926" s="161"/>
      <c r="J926" s="161"/>
      <c r="K926" s="161"/>
      <c r="L926" s="161"/>
      <c r="M926" s="161"/>
      <c r="N926" s="161"/>
      <c r="O926" s="161"/>
      <c r="P926" s="161"/>
      <c r="Q926" s="161"/>
      <c r="R926" s="161"/>
      <c r="S926" s="161"/>
      <c r="T926" s="161"/>
    </row>
    <row r="927" spans="1:20" ht="13">
      <c r="A927" s="161"/>
      <c r="B927" s="161"/>
      <c r="C927" s="161"/>
      <c r="D927" s="161"/>
      <c r="E927" s="161"/>
      <c r="F927" s="161"/>
      <c r="G927" s="161"/>
      <c r="H927" s="161"/>
      <c r="I927" s="161"/>
      <c r="J927" s="161"/>
      <c r="K927" s="161"/>
      <c r="L927" s="161"/>
      <c r="M927" s="161"/>
      <c r="N927" s="161"/>
      <c r="O927" s="161"/>
      <c r="P927" s="161"/>
      <c r="Q927" s="161"/>
      <c r="R927" s="161"/>
      <c r="S927" s="161"/>
      <c r="T927" s="161"/>
    </row>
    <row r="928" spans="1:20" ht="13">
      <c r="A928" s="161"/>
      <c r="B928" s="161"/>
      <c r="C928" s="161"/>
      <c r="D928" s="161"/>
      <c r="E928" s="161"/>
      <c r="F928" s="161"/>
      <c r="G928" s="161"/>
      <c r="H928" s="161"/>
      <c r="I928" s="161"/>
      <c r="J928" s="161"/>
      <c r="K928" s="161"/>
      <c r="L928" s="161"/>
      <c r="M928" s="161"/>
      <c r="N928" s="161"/>
      <c r="O928" s="161"/>
      <c r="P928" s="161"/>
      <c r="Q928" s="161"/>
      <c r="R928" s="161"/>
      <c r="S928" s="161"/>
      <c r="T928" s="161"/>
    </row>
    <row r="929" spans="1:20" ht="13">
      <c r="A929" s="161"/>
      <c r="B929" s="161"/>
      <c r="C929" s="161"/>
      <c r="D929" s="161"/>
      <c r="E929" s="161"/>
      <c r="F929" s="161"/>
      <c r="G929" s="161"/>
      <c r="H929" s="161"/>
      <c r="I929" s="161"/>
      <c r="J929" s="161"/>
      <c r="K929" s="161"/>
      <c r="L929" s="161"/>
      <c r="M929" s="161"/>
      <c r="N929" s="161"/>
      <c r="O929" s="161"/>
      <c r="P929" s="161"/>
      <c r="Q929" s="161"/>
      <c r="R929" s="161"/>
      <c r="S929" s="161"/>
      <c r="T929" s="161"/>
    </row>
    <row r="930" spans="1:20" ht="13">
      <c r="A930" s="161"/>
      <c r="B930" s="161"/>
      <c r="C930" s="161"/>
      <c r="D930" s="161"/>
      <c r="E930" s="161"/>
      <c r="F930" s="161"/>
      <c r="G930" s="161"/>
      <c r="H930" s="161"/>
      <c r="I930" s="161"/>
      <c r="J930" s="161"/>
      <c r="K930" s="161"/>
      <c r="L930" s="161"/>
      <c r="M930" s="161"/>
      <c r="N930" s="161"/>
      <c r="O930" s="161"/>
      <c r="P930" s="161"/>
      <c r="Q930" s="161"/>
      <c r="R930" s="161"/>
      <c r="S930" s="161"/>
      <c r="T930" s="161"/>
    </row>
    <row r="931" spans="1:20" ht="13">
      <c r="A931" s="161"/>
      <c r="B931" s="161"/>
      <c r="C931" s="161"/>
      <c r="D931" s="161"/>
      <c r="E931" s="161"/>
      <c r="F931" s="161"/>
      <c r="G931" s="161"/>
      <c r="H931" s="161"/>
      <c r="I931" s="161"/>
      <c r="J931" s="161"/>
      <c r="K931" s="161"/>
      <c r="L931" s="161"/>
      <c r="M931" s="161"/>
      <c r="N931" s="161"/>
      <c r="O931" s="161"/>
      <c r="P931" s="161"/>
      <c r="Q931" s="161"/>
      <c r="R931" s="161"/>
      <c r="S931" s="161"/>
      <c r="T931" s="161"/>
    </row>
    <row r="932" spans="1:20" ht="13">
      <c r="A932" s="161"/>
      <c r="B932" s="161"/>
      <c r="C932" s="161"/>
      <c r="D932" s="161"/>
      <c r="E932" s="161"/>
      <c r="F932" s="161"/>
      <c r="G932" s="161"/>
      <c r="H932" s="161"/>
      <c r="I932" s="161"/>
      <c r="J932" s="161"/>
      <c r="K932" s="161"/>
      <c r="L932" s="161"/>
      <c r="M932" s="161"/>
      <c r="N932" s="161"/>
      <c r="O932" s="161"/>
      <c r="P932" s="161"/>
      <c r="Q932" s="161"/>
      <c r="R932" s="161"/>
      <c r="S932" s="161"/>
      <c r="T932" s="161"/>
    </row>
    <row r="933" spans="1:20" ht="13">
      <c r="A933" s="161"/>
      <c r="B933" s="161"/>
      <c r="C933" s="161"/>
      <c r="D933" s="161"/>
      <c r="E933" s="161"/>
      <c r="F933" s="161"/>
      <c r="G933" s="161"/>
      <c r="H933" s="161"/>
      <c r="I933" s="161"/>
      <c r="J933" s="161"/>
      <c r="K933" s="161"/>
      <c r="L933" s="161"/>
      <c r="M933" s="161"/>
      <c r="N933" s="161"/>
      <c r="O933" s="161"/>
      <c r="P933" s="161"/>
      <c r="Q933" s="161"/>
      <c r="R933" s="161"/>
      <c r="S933" s="161"/>
      <c r="T933" s="161"/>
    </row>
    <row r="934" spans="1:20" ht="13">
      <c r="A934" s="161"/>
      <c r="B934" s="161"/>
      <c r="C934" s="161"/>
      <c r="D934" s="161"/>
      <c r="E934" s="161"/>
      <c r="F934" s="161"/>
      <c r="G934" s="161"/>
      <c r="H934" s="161"/>
      <c r="I934" s="161"/>
      <c r="J934" s="161"/>
      <c r="K934" s="161"/>
      <c r="L934" s="161"/>
      <c r="M934" s="161"/>
      <c r="N934" s="161"/>
      <c r="O934" s="161"/>
      <c r="P934" s="161"/>
      <c r="Q934" s="161"/>
      <c r="R934" s="161"/>
      <c r="S934" s="161"/>
      <c r="T934" s="161"/>
    </row>
    <row r="935" spans="1:20" ht="13">
      <c r="A935" s="161"/>
      <c r="B935" s="161"/>
      <c r="C935" s="161"/>
      <c r="D935" s="161"/>
      <c r="E935" s="161"/>
      <c r="F935" s="161"/>
      <c r="G935" s="161"/>
      <c r="H935" s="161"/>
      <c r="I935" s="161"/>
      <c r="J935" s="161"/>
      <c r="K935" s="161"/>
      <c r="L935" s="161"/>
      <c r="M935" s="161"/>
      <c r="N935" s="161"/>
      <c r="O935" s="161"/>
      <c r="P935" s="161"/>
      <c r="Q935" s="161"/>
      <c r="R935" s="161"/>
      <c r="S935" s="161"/>
      <c r="T935" s="161"/>
    </row>
    <row r="936" spans="1:20" ht="13">
      <c r="A936" s="161"/>
      <c r="B936" s="161"/>
      <c r="C936" s="161"/>
      <c r="D936" s="161"/>
      <c r="E936" s="161"/>
      <c r="F936" s="161"/>
      <c r="G936" s="161"/>
      <c r="H936" s="161"/>
      <c r="I936" s="161"/>
      <c r="J936" s="161"/>
      <c r="K936" s="161"/>
      <c r="L936" s="161"/>
      <c r="M936" s="161"/>
      <c r="N936" s="161"/>
      <c r="O936" s="161"/>
      <c r="P936" s="161"/>
      <c r="Q936" s="161"/>
      <c r="R936" s="161"/>
      <c r="S936" s="161"/>
      <c r="T936" s="161"/>
    </row>
    <row r="937" spans="1:20" ht="13">
      <c r="A937" s="161"/>
      <c r="B937" s="161"/>
      <c r="C937" s="161"/>
      <c r="D937" s="161"/>
      <c r="E937" s="161"/>
      <c r="F937" s="161"/>
      <c r="G937" s="161"/>
      <c r="H937" s="161"/>
      <c r="I937" s="161"/>
      <c r="J937" s="161"/>
      <c r="K937" s="161"/>
      <c r="L937" s="161"/>
      <c r="M937" s="161"/>
      <c r="N937" s="161"/>
      <c r="O937" s="161"/>
      <c r="P937" s="161"/>
      <c r="Q937" s="161"/>
      <c r="R937" s="161"/>
      <c r="S937" s="161"/>
      <c r="T937" s="161"/>
    </row>
    <row r="938" spans="1:20" ht="13">
      <c r="A938" s="161"/>
      <c r="B938" s="161"/>
      <c r="C938" s="161"/>
      <c r="D938" s="161"/>
      <c r="E938" s="161"/>
      <c r="F938" s="161"/>
      <c r="G938" s="161"/>
      <c r="H938" s="161"/>
      <c r="I938" s="161"/>
      <c r="J938" s="161"/>
      <c r="K938" s="161"/>
      <c r="L938" s="161"/>
      <c r="M938" s="161"/>
      <c r="N938" s="161"/>
      <c r="O938" s="161"/>
      <c r="P938" s="161"/>
      <c r="Q938" s="161"/>
      <c r="R938" s="161"/>
      <c r="S938" s="161"/>
      <c r="T938" s="161"/>
    </row>
    <row r="939" spans="1:20" ht="13">
      <c r="A939" s="161"/>
      <c r="B939" s="161"/>
      <c r="C939" s="161"/>
      <c r="D939" s="161"/>
      <c r="E939" s="161"/>
      <c r="F939" s="161"/>
      <c r="G939" s="161"/>
      <c r="H939" s="161"/>
      <c r="I939" s="161"/>
      <c r="J939" s="161"/>
      <c r="K939" s="161"/>
      <c r="L939" s="161"/>
      <c r="M939" s="161"/>
      <c r="N939" s="161"/>
      <c r="O939" s="161"/>
      <c r="P939" s="161"/>
      <c r="Q939" s="161"/>
      <c r="R939" s="161"/>
      <c r="S939" s="161"/>
      <c r="T939" s="161"/>
    </row>
    <row r="940" spans="1:20" ht="13">
      <c r="A940" s="161"/>
      <c r="B940" s="161"/>
      <c r="C940" s="161"/>
      <c r="D940" s="161"/>
      <c r="E940" s="161"/>
      <c r="F940" s="161"/>
      <c r="G940" s="161"/>
      <c r="H940" s="161"/>
      <c r="I940" s="161"/>
      <c r="J940" s="161"/>
      <c r="K940" s="161"/>
      <c r="L940" s="161"/>
      <c r="M940" s="161"/>
      <c r="N940" s="161"/>
      <c r="O940" s="161"/>
      <c r="P940" s="161"/>
      <c r="Q940" s="161"/>
      <c r="R940" s="161"/>
      <c r="S940" s="161"/>
      <c r="T940" s="161"/>
    </row>
    <row r="941" spans="1:20" ht="13">
      <c r="A941" s="161"/>
      <c r="B941" s="161"/>
      <c r="C941" s="161"/>
      <c r="D941" s="161"/>
      <c r="E941" s="161"/>
      <c r="F941" s="161"/>
      <c r="G941" s="161"/>
      <c r="H941" s="161"/>
      <c r="I941" s="161"/>
      <c r="J941" s="161"/>
      <c r="K941" s="161"/>
      <c r="L941" s="161"/>
      <c r="M941" s="161"/>
      <c r="N941" s="161"/>
      <c r="O941" s="161"/>
      <c r="P941" s="161"/>
      <c r="Q941" s="161"/>
      <c r="R941" s="161"/>
      <c r="S941" s="161"/>
      <c r="T941" s="161"/>
    </row>
    <row r="942" spans="1:20" ht="13">
      <c r="A942" s="161"/>
      <c r="B942" s="161"/>
      <c r="C942" s="161"/>
      <c r="D942" s="161"/>
      <c r="E942" s="161"/>
      <c r="F942" s="161"/>
      <c r="G942" s="161"/>
      <c r="H942" s="161"/>
      <c r="I942" s="161"/>
      <c r="J942" s="161"/>
      <c r="K942" s="161"/>
      <c r="L942" s="161"/>
      <c r="M942" s="161"/>
      <c r="N942" s="161"/>
      <c r="O942" s="161"/>
      <c r="P942" s="161"/>
      <c r="Q942" s="161"/>
      <c r="R942" s="161"/>
      <c r="S942" s="161"/>
      <c r="T942" s="161"/>
    </row>
    <row r="943" spans="1:20" ht="13">
      <c r="A943" s="161"/>
      <c r="B943" s="161"/>
      <c r="C943" s="161"/>
      <c r="D943" s="161"/>
      <c r="E943" s="161"/>
      <c r="F943" s="161"/>
      <c r="G943" s="161"/>
      <c r="H943" s="161"/>
      <c r="I943" s="161"/>
      <c r="J943" s="161"/>
      <c r="K943" s="161"/>
      <c r="L943" s="161"/>
      <c r="M943" s="161"/>
      <c r="N943" s="161"/>
      <c r="O943" s="161"/>
      <c r="P943" s="161"/>
      <c r="Q943" s="161"/>
      <c r="R943" s="161"/>
      <c r="S943" s="161"/>
      <c r="T943" s="161"/>
    </row>
    <row r="944" spans="1:20" ht="13">
      <c r="A944" s="161"/>
      <c r="B944" s="161"/>
      <c r="C944" s="161"/>
      <c r="D944" s="161"/>
      <c r="E944" s="161"/>
      <c r="F944" s="161"/>
      <c r="G944" s="161"/>
      <c r="H944" s="161"/>
      <c r="I944" s="161"/>
      <c r="J944" s="161"/>
      <c r="K944" s="161"/>
      <c r="L944" s="161"/>
      <c r="M944" s="161"/>
      <c r="N944" s="161"/>
      <c r="O944" s="161"/>
      <c r="P944" s="161"/>
      <c r="Q944" s="161"/>
      <c r="R944" s="161"/>
      <c r="S944" s="161"/>
      <c r="T944" s="161"/>
    </row>
    <row r="945" spans="1:20" ht="13">
      <c r="A945" s="161"/>
      <c r="B945" s="161"/>
      <c r="C945" s="161"/>
      <c r="D945" s="161"/>
      <c r="E945" s="161"/>
      <c r="F945" s="161"/>
      <c r="G945" s="161"/>
      <c r="H945" s="161"/>
      <c r="I945" s="161"/>
      <c r="J945" s="161"/>
      <c r="K945" s="161"/>
      <c r="L945" s="161"/>
      <c r="M945" s="161"/>
      <c r="N945" s="161"/>
      <c r="O945" s="161"/>
      <c r="P945" s="161"/>
      <c r="Q945" s="161"/>
      <c r="R945" s="161"/>
      <c r="S945" s="161"/>
      <c r="T945" s="161"/>
    </row>
    <row r="946" spans="1:20" ht="13">
      <c r="A946" s="161"/>
      <c r="B946" s="161"/>
      <c r="C946" s="161"/>
      <c r="D946" s="161"/>
      <c r="E946" s="161"/>
      <c r="F946" s="161"/>
      <c r="G946" s="161"/>
      <c r="H946" s="161"/>
      <c r="I946" s="161"/>
      <c r="J946" s="161"/>
      <c r="K946" s="161"/>
      <c r="L946" s="161"/>
      <c r="M946" s="161"/>
      <c r="N946" s="161"/>
      <c r="O946" s="161"/>
      <c r="P946" s="161"/>
      <c r="Q946" s="161"/>
      <c r="R946" s="161"/>
      <c r="S946" s="161"/>
      <c r="T946" s="161"/>
    </row>
    <row r="947" spans="1:20" ht="13">
      <c r="A947" s="161"/>
      <c r="B947" s="161"/>
      <c r="C947" s="161"/>
      <c r="D947" s="161"/>
      <c r="E947" s="161"/>
      <c r="F947" s="161"/>
      <c r="G947" s="161"/>
      <c r="H947" s="161"/>
      <c r="I947" s="161"/>
      <c r="J947" s="161"/>
      <c r="K947" s="161"/>
      <c r="L947" s="161"/>
      <c r="M947" s="161"/>
      <c r="N947" s="161"/>
      <c r="O947" s="161"/>
      <c r="P947" s="161"/>
      <c r="Q947" s="161"/>
      <c r="R947" s="161"/>
      <c r="S947" s="161"/>
      <c r="T947" s="161"/>
    </row>
    <row r="948" spans="1:20" ht="13">
      <c r="A948" s="161"/>
      <c r="B948" s="161"/>
      <c r="C948" s="161"/>
      <c r="D948" s="161"/>
      <c r="E948" s="161"/>
      <c r="F948" s="161"/>
      <c r="G948" s="161"/>
      <c r="H948" s="161"/>
      <c r="I948" s="161"/>
      <c r="J948" s="161"/>
      <c r="K948" s="161"/>
      <c r="L948" s="161"/>
      <c r="M948" s="161"/>
      <c r="N948" s="161"/>
      <c r="O948" s="161"/>
      <c r="P948" s="161"/>
      <c r="Q948" s="161"/>
      <c r="R948" s="161"/>
      <c r="S948" s="161"/>
      <c r="T948" s="161"/>
    </row>
    <row r="949" spans="1:20" ht="13">
      <c r="A949" s="161"/>
      <c r="B949" s="161"/>
      <c r="C949" s="161"/>
      <c r="D949" s="161"/>
      <c r="E949" s="161"/>
      <c r="F949" s="161"/>
      <c r="G949" s="161"/>
      <c r="H949" s="161"/>
      <c r="I949" s="161"/>
      <c r="J949" s="161"/>
      <c r="K949" s="161"/>
      <c r="L949" s="161"/>
      <c r="M949" s="161"/>
      <c r="N949" s="161"/>
      <c r="O949" s="161"/>
      <c r="P949" s="161"/>
      <c r="Q949" s="161"/>
      <c r="R949" s="161"/>
      <c r="S949" s="161"/>
      <c r="T949" s="161"/>
    </row>
    <row r="950" spans="1:20" ht="13">
      <c r="A950" s="161"/>
      <c r="B950" s="161"/>
      <c r="C950" s="161"/>
      <c r="D950" s="161"/>
      <c r="E950" s="161"/>
      <c r="F950" s="161"/>
      <c r="G950" s="161"/>
      <c r="H950" s="161"/>
      <c r="I950" s="161"/>
      <c r="J950" s="161"/>
      <c r="K950" s="161"/>
      <c r="L950" s="161"/>
      <c r="M950" s="161"/>
      <c r="N950" s="161"/>
      <c r="O950" s="161"/>
      <c r="P950" s="161"/>
      <c r="Q950" s="161"/>
      <c r="R950" s="161"/>
      <c r="S950" s="161"/>
      <c r="T950" s="161"/>
    </row>
    <row r="951" spans="1:20" ht="13">
      <c r="A951" s="161"/>
      <c r="B951" s="161"/>
      <c r="C951" s="161"/>
      <c r="D951" s="161"/>
      <c r="E951" s="161"/>
      <c r="F951" s="161"/>
      <c r="G951" s="161"/>
      <c r="H951" s="161"/>
      <c r="I951" s="161"/>
      <c r="J951" s="161"/>
      <c r="K951" s="161"/>
      <c r="L951" s="161"/>
      <c r="M951" s="161"/>
      <c r="N951" s="161"/>
      <c r="O951" s="161"/>
      <c r="P951" s="161"/>
      <c r="Q951" s="161"/>
      <c r="R951" s="161"/>
      <c r="S951" s="161"/>
      <c r="T951" s="161"/>
    </row>
    <row r="952" spans="1:20" ht="13">
      <c r="A952" s="161"/>
      <c r="B952" s="161"/>
      <c r="C952" s="161"/>
      <c r="D952" s="161"/>
      <c r="E952" s="161"/>
      <c r="F952" s="161"/>
      <c r="G952" s="161"/>
      <c r="H952" s="161"/>
      <c r="I952" s="161"/>
      <c r="J952" s="161"/>
      <c r="K952" s="161"/>
      <c r="L952" s="161"/>
      <c r="M952" s="161"/>
      <c r="N952" s="161"/>
      <c r="O952" s="161"/>
      <c r="P952" s="161"/>
      <c r="Q952" s="161"/>
      <c r="R952" s="161"/>
      <c r="S952" s="161"/>
      <c r="T952" s="161"/>
    </row>
    <row r="953" spans="1:20" ht="13">
      <c r="A953" s="161"/>
      <c r="B953" s="161"/>
      <c r="C953" s="161"/>
      <c r="D953" s="161"/>
      <c r="E953" s="161"/>
      <c r="F953" s="161"/>
      <c r="G953" s="161"/>
      <c r="H953" s="161"/>
      <c r="I953" s="161"/>
      <c r="J953" s="161"/>
      <c r="K953" s="161"/>
      <c r="L953" s="161"/>
      <c r="M953" s="161"/>
      <c r="N953" s="161"/>
      <c r="O953" s="161"/>
      <c r="P953" s="161"/>
      <c r="Q953" s="161"/>
      <c r="R953" s="161"/>
      <c r="S953" s="161"/>
      <c r="T953" s="161"/>
    </row>
    <row r="954" spans="1:20" ht="13">
      <c r="A954" s="161"/>
      <c r="B954" s="161"/>
      <c r="C954" s="161"/>
      <c r="D954" s="161"/>
      <c r="E954" s="161"/>
      <c r="F954" s="161"/>
      <c r="G954" s="161"/>
      <c r="H954" s="161"/>
      <c r="I954" s="161"/>
      <c r="J954" s="161"/>
      <c r="K954" s="161"/>
      <c r="L954" s="161"/>
      <c r="M954" s="161"/>
      <c r="N954" s="161"/>
      <c r="O954" s="161"/>
      <c r="P954" s="161"/>
      <c r="Q954" s="161"/>
      <c r="R954" s="161"/>
      <c r="S954" s="161"/>
      <c r="T954" s="161"/>
    </row>
    <row r="955" spans="1:20" ht="13">
      <c r="A955" s="161"/>
      <c r="B955" s="161"/>
      <c r="C955" s="161"/>
      <c r="D955" s="161"/>
      <c r="E955" s="161"/>
      <c r="F955" s="161"/>
      <c r="G955" s="161"/>
      <c r="H955" s="161"/>
      <c r="I955" s="161"/>
      <c r="J955" s="161"/>
      <c r="K955" s="161"/>
      <c r="L955" s="161"/>
      <c r="M955" s="161"/>
      <c r="N955" s="161"/>
      <c r="O955" s="161"/>
      <c r="P955" s="161"/>
      <c r="Q955" s="161"/>
      <c r="R955" s="161"/>
      <c r="S955" s="161"/>
      <c r="T955" s="161"/>
    </row>
    <row r="956" spans="1:20" ht="13">
      <c r="A956" s="161"/>
      <c r="B956" s="161"/>
      <c r="C956" s="161"/>
      <c r="D956" s="161"/>
      <c r="E956" s="161"/>
      <c r="F956" s="161"/>
      <c r="G956" s="161"/>
      <c r="H956" s="161"/>
      <c r="I956" s="161"/>
      <c r="J956" s="161"/>
      <c r="K956" s="161"/>
      <c r="L956" s="161"/>
      <c r="M956" s="161"/>
      <c r="N956" s="161"/>
      <c r="O956" s="161"/>
      <c r="P956" s="161"/>
      <c r="Q956" s="161"/>
      <c r="R956" s="161"/>
      <c r="S956" s="161"/>
      <c r="T956" s="161"/>
    </row>
    <row r="957" spans="1:20" ht="13">
      <c r="A957" s="161"/>
      <c r="B957" s="161"/>
      <c r="C957" s="161"/>
      <c r="D957" s="161"/>
      <c r="E957" s="161"/>
      <c r="F957" s="161"/>
      <c r="G957" s="161"/>
      <c r="H957" s="161"/>
      <c r="I957" s="161"/>
      <c r="J957" s="161"/>
      <c r="K957" s="161"/>
      <c r="L957" s="161"/>
      <c r="M957" s="161"/>
      <c r="N957" s="161"/>
      <c r="O957" s="161"/>
      <c r="P957" s="161"/>
      <c r="Q957" s="161"/>
      <c r="R957" s="161"/>
      <c r="S957" s="161"/>
      <c r="T957" s="161"/>
    </row>
    <row r="958" spans="1:20" ht="13">
      <c r="A958" s="161"/>
      <c r="B958" s="161"/>
      <c r="C958" s="161"/>
      <c r="D958" s="161"/>
      <c r="E958" s="161"/>
      <c r="F958" s="161"/>
      <c r="G958" s="161"/>
      <c r="H958" s="161"/>
      <c r="I958" s="161"/>
      <c r="J958" s="161"/>
      <c r="K958" s="161"/>
      <c r="L958" s="161"/>
      <c r="M958" s="161"/>
      <c r="N958" s="161"/>
      <c r="O958" s="161"/>
      <c r="P958" s="161"/>
      <c r="Q958" s="161"/>
      <c r="R958" s="161"/>
      <c r="S958" s="161"/>
      <c r="T958" s="161"/>
    </row>
    <row r="959" spans="1:20" ht="13">
      <c r="A959" s="161"/>
      <c r="B959" s="161"/>
      <c r="C959" s="161"/>
      <c r="D959" s="161"/>
      <c r="E959" s="161"/>
      <c r="F959" s="161"/>
      <c r="G959" s="161"/>
      <c r="H959" s="161"/>
      <c r="I959" s="161"/>
      <c r="J959" s="161"/>
      <c r="K959" s="161"/>
      <c r="L959" s="161"/>
      <c r="M959" s="161"/>
      <c r="N959" s="161"/>
      <c r="O959" s="161"/>
      <c r="P959" s="161"/>
      <c r="Q959" s="161"/>
      <c r="R959" s="161"/>
      <c r="S959" s="161"/>
      <c r="T959" s="161"/>
    </row>
    <row r="960" spans="1:20" ht="13">
      <c r="A960" s="161"/>
      <c r="B960" s="161"/>
      <c r="C960" s="161"/>
      <c r="D960" s="161"/>
      <c r="E960" s="161"/>
      <c r="F960" s="161"/>
      <c r="G960" s="161"/>
      <c r="H960" s="161"/>
      <c r="I960" s="161"/>
      <c r="J960" s="161"/>
      <c r="K960" s="161"/>
      <c r="L960" s="161"/>
      <c r="M960" s="161"/>
      <c r="N960" s="161"/>
      <c r="O960" s="161"/>
      <c r="P960" s="161"/>
      <c r="Q960" s="161"/>
      <c r="R960" s="161"/>
      <c r="S960" s="161"/>
      <c r="T960" s="161"/>
    </row>
    <row r="961" spans="1:20" ht="13">
      <c r="A961" s="161"/>
      <c r="B961" s="161"/>
      <c r="C961" s="161"/>
      <c r="D961" s="161"/>
      <c r="E961" s="161"/>
      <c r="F961" s="161"/>
      <c r="G961" s="161"/>
      <c r="H961" s="161"/>
      <c r="I961" s="161"/>
      <c r="J961" s="161"/>
      <c r="K961" s="161"/>
      <c r="L961" s="161"/>
      <c r="M961" s="161"/>
      <c r="N961" s="161"/>
      <c r="O961" s="161"/>
      <c r="P961" s="161"/>
      <c r="Q961" s="161"/>
      <c r="R961" s="161"/>
      <c r="S961" s="161"/>
      <c r="T961" s="161"/>
    </row>
    <row r="962" spans="1:20" ht="13">
      <c r="A962" s="161"/>
      <c r="B962" s="161"/>
      <c r="C962" s="161"/>
      <c r="D962" s="161"/>
      <c r="E962" s="161"/>
      <c r="F962" s="161"/>
      <c r="G962" s="161"/>
      <c r="H962" s="161"/>
      <c r="I962" s="161"/>
      <c r="J962" s="161"/>
      <c r="K962" s="161"/>
      <c r="L962" s="161"/>
      <c r="M962" s="161"/>
      <c r="N962" s="161"/>
      <c r="O962" s="161"/>
      <c r="P962" s="161"/>
      <c r="Q962" s="161"/>
      <c r="R962" s="161"/>
      <c r="S962" s="161"/>
      <c r="T962" s="161"/>
    </row>
    <row r="963" spans="1:20" ht="13">
      <c r="A963" s="161"/>
      <c r="B963" s="161"/>
      <c r="C963" s="161"/>
      <c r="D963" s="161"/>
      <c r="E963" s="161"/>
      <c r="F963" s="161"/>
      <c r="G963" s="161"/>
      <c r="H963" s="161"/>
      <c r="I963" s="161"/>
      <c r="J963" s="161"/>
      <c r="K963" s="161"/>
      <c r="L963" s="161"/>
      <c r="M963" s="161"/>
      <c r="N963" s="161"/>
      <c r="O963" s="161"/>
      <c r="P963" s="161"/>
      <c r="Q963" s="161"/>
      <c r="R963" s="161"/>
      <c r="S963" s="161"/>
      <c r="T963" s="161"/>
    </row>
    <row r="964" spans="1:20" ht="13">
      <c r="A964" s="161"/>
      <c r="B964" s="161"/>
      <c r="C964" s="161"/>
      <c r="D964" s="161"/>
      <c r="E964" s="161"/>
      <c r="F964" s="161"/>
      <c r="G964" s="161"/>
      <c r="H964" s="161"/>
      <c r="I964" s="161"/>
      <c r="J964" s="161"/>
      <c r="K964" s="161"/>
      <c r="L964" s="161"/>
      <c r="M964" s="161"/>
      <c r="N964" s="161"/>
      <c r="O964" s="161"/>
      <c r="P964" s="161"/>
      <c r="Q964" s="161"/>
      <c r="R964" s="161"/>
      <c r="S964" s="161"/>
      <c r="T964" s="161"/>
    </row>
    <row r="965" spans="1:20" ht="13">
      <c r="A965" s="161"/>
      <c r="B965" s="161"/>
      <c r="C965" s="161"/>
      <c r="D965" s="161"/>
      <c r="E965" s="161"/>
      <c r="F965" s="161"/>
      <c r="G965" s="161"/>
      <c r="H965" s="161"/>
      <c r="I965" s="161"/>
      <c r="J965" s="161"/>
      <c r="K965" s="161"/>
      <c r="L965" s="161"/>
      <c r="M965" s="161"/>
      <c r="N965" s="161"/>
      <c r="O965" s="161"/>
      <c r="P965" s="161"/>
      <c r="Q965" s="161"/>
      <c r="R965" s="161"/>
      <c r="S965" s="161"/>
      <c r="T965" s="161"/>
    </row>
    <row r="966" spans="1:20" ht="13">
      <c r="A966" s="161"/>
      <c r="B966" s="161"/>
      <c r="C966" s="161"/>
      <c r="D966" s="161"/>
      <c r="E966" s="161"/>
      <c r="F966" s="161"/>
      <c r="G966" s="161"/>
      <c r="H966" s="161"/>
      <c r="I966" s="161"/>
      <c r="J966" s="161"/>
      <c r="K966" s="161"/>
      <c r="L966" s="161"/>
      <c r="M966" s="161"/>
      <c r="N966" s="161"/>
      <c r="O966" s="161"/>
      <c r="P966" s="161"/>
      <c r="Q966" s="161"/>
      <c r="R966" s="161"/>
      <c r="S966" s="161"/>
      <c r="T966" s="161"/>
    </row>
    <row r="967" spans="1:20" ht="13">
      <c r="A967" s="161"/>
      <c r="B967" s="161"/>
      <c r="C967" s="161"/>
      <c r="D967" s="161"/>
      <c r="E967" s="161"/>
      <c r="F967" s="161"/>
      <c r="G967" s="161"/>
      <c r="H967" s="161"/>
      <c r="I967" s="161"/>
      <c r="J967" s="161"/>
      <c r="K967" s="161"/>
      <c r="L967" s="161"/>
      <c r="M967" s="161"/>
      <c r="N967" s="161"/>
      <c r="O967" s="161"/>
      <c r="P967" s="161"/>
      <c r="Q967" s="161"/>
      <c r="R967" s="161"/>
      <c r="S967" s="161"/>
      <c r="T967" s="161"/>
    </row>
    <row r="968" spans="1:20" ht="13">
      <c r="A968" s="161"/>
      <c r="B968" s="161"/>
      <c r="C968" s="161"/>
      <c r="D968" s="161"/>
      <c r="E968" s="161"/>
      <c r="F968" s="161"/>
      <c r="G968" s="161"/>
      <c r="H968" s="161"/>
      <c r="I968" s="161"/>
      <c r="J968" s="161"/>
      <c r="K968" s="161"/>
      <c r="L968" s="161"/>
      <c r="M968" s="161"/>
      <c r="N968" s="161"/>
      <c r="O968" s="161"/>
      <c r="P968" s="161"/>
      <c r="Q968" s="161"/>
      <c r="R968" s="161"/>
      <c r="S968" s="161"/>
      <c r="T968" s="161"/>
    </row>
    <row r="969" spans="1:20" ht="13">
      <c r="A969" s="161"/>
      <c r="B969" s="161"/>
      <c r="C969" s="161"/>
      <c r="D969" s="161"/>
      <c r="E969" s="161"/>
      <c r="F969" s="161"/>
      <c r="G969" s="161"/>
      <c r="H969" s="161"/>
      <c r="I969" s="161"/>
      <c r="J969" s="161"/>
      <c r="K969" s="161"/>
      <c r="L969" s="161"/>
      <c r="M969" s="161"/>
      <c r="N969" s="161"/>
      <c r="O969" s="161"/>
      <c r="P969" s="161"/>
      <c r="Q969" s="161"/>
      <c r="R969" s="161"/>
      <c r="S969" s="161"/>
      <c r="T969" s="161"/>
    </row>
    <row r="970" spans="1:20" ht="13">
      <c r="A970" s="161"/>
      <c r="B970" s="161"/>
      <c r="C970" s="161"/>
      <c r="D970" s="161"/>
      <c r="E970" s="161"/>
      <c r="F970" s="161"/>
      <c r="G970" s="161"/>
      <c r="H970" s="161"/>
      <c r="I970" s="161"/>
      <c r="J970" s="161"/>
      <c r="K970" s="161"/>
      <c r="L970" s="161"/>
      <c r="M970" s="161"/>
      <c r="N970" s="161"/>
      <c r="O970" s="161"/>
      <c r="P970" s="161"/>
      <c r="Q970" s="161"/>
      <c r="R970" s="161"/>
      <c r="S970" s="161"/>
      <c r="T970" s="161"/>
    </row>
    <row r="971" spans="1:20" ht="13">
      <c r="A971" s="161"/>
      <c r="B971" s="161"/>
      <c r="C971" s="161"/>
      <c r="D971" s="161"/>
      <c r="E971" s="161"/>
      <c r="F971" s="161"/>
      <c r="G971" s="161"/>
      <c r="H971" s="161"/>
      <c r="I971" s="161"/>
      <c r="J971" s="161"/>
      <c r="K971" s="161"/>
      <c r="L971" s="161"/>
      <c r="M971" s="161"/>
      <c r="N971" s="161"/>
      <c r="O971" s="161"/>
      <c r="P971" s="161"/>
      <c r="Q971" s="161"/>
      <c r="R971" s="161"/>
      <c r="S971" s="161"/>
      <c r="T971" s="161"/>
    </row>
    <row r="972" spans="1:20" ht="13">
      <c r="A972" s="161"/>
      <c r="B972" s="161"/>
      <c r="C972" s="161"/>
      <c r="D972" s="161"/>
      <c r="E972" s="161"/>
      <c r="F972" s="161"/>
      <c r="G972" s="161"/>
      <c r="H972" s="161"/>
      <c r="I972" s="161"/>
      <c r="J972" s="161"/>
      <c r="K972" s="161"/>
      <c r="L972" s="161"/>
      <c r="M972" s="161"/>
      <c r="N972" s="161"/>
      <c r="O972" s="161"/>
      <c r="P972" s="161"/>
      <c r="Q972" s="161"/>
      <c r="R972" s="161"/>
      <c r="S972" s="161"/>
      <c r="T972" s="161"/>
    </row>
    <row r="973" spans="1:20" ht="13">
      <c r="A973" s="161"/>
      <c r="B973" s="161"/>
      <c r="C973" s="161"/>
      <c r="D973" s="161"/>
      <c r="E973" s="161"/>
      <c r="F973" s="161"/>
      <c r="G973" s="161"/>
      <c r="H973" s="161"/>
      <c r="I973" s="161"/>
      <c r="J973" s="161"/>
      <c r="K973" s="161"/>
      <c r="L973" s="161"/>
      <c r="M973" s="161"/>
      <c r="N973" s="161"/>
      <c r="O973" s="161"/>
      <c r="P973" s="161"/>
      <c r="Q973" s="161"/>
      <c r="R973" s="161"/>
      <c r="S973" s="161"/>
      <c r="T973" s="161"/>
    </row>
    <row r="974" spans="1:20" ht="13">
      <c r="A974" s="161"/>
      <c r="B974" s="161"/>
      <c r="C974" s="161"/>
      <c r="D974" s="161"/>
      <c r="E974" s="161"/>
      <c r="F974" s="161"/>
      <c r="G974" s="161"/>
      <c r="H974" s="161"/>
      <c r="I974" s="161"/>
      <c r="J974" s="161"/>
      <c r="K974" s="161"/>
      <c r="L974" s="161"/>
      <c r="M974" s="161"/>
      <c r="N974" s="161"/>
      <c r="O974" s="161"/>
      <c r="P974" s="161"/>
      <c r="Q974" s="161"/>
      <c r="R974" s="161"/>
      <c r="S974" s="161"/>
      <c r="T974" s="161"/>
    </row>
    <row r="975" spans="1:20" ht="13">
      <c r="A975" s="161"/>
      <c r="B975" s="161"/>
      <c r="C975" s="161"/>
      <c r="D975" s="161"/>
      <c r="E975" s="161"/>
      <c r="F975" s="161"/>
      <c r="G975" s="161"/>
      <c r="H975" s="161"/>
      <c r="I975" s="161"/>
      <c r="J975" s="161"/>
      <c r="K975" s="161"/>
      <c r="L975" s="161"/>
      <c r="M975" s="161"/>
      <c r="N975" s="161"/>
      <c r="O975" s="161"/>
      <c r="P975" s="161"/>
      <c r="Q975" s="161"/>
      <c r="R975" s="161"/>
      <c r="S975" s="161"/>
      <c r="T975" s="161"/>
    </row>
    <row r="976" spans="1:20" ht="13">
      <c r="A976" s="161"/>
      <c r="B976" s="161"/>
      <c r="C976" s="161"/>
      <c r="D976" s="161"/>
      <c r="E976" s="161"/>
      <c r="F976" s="161"/>
      <c r="G976" s="161"/>
      <c r="H976" s="161"/>
      <c r="I976" s="161"/>
      <c r="J976" s="161"/>
      <c r="K976" s="161"/>
      <c r="L976" s="161"/>
      <c r="M976" s="161"/>
      <c r="N976" s="161"/>
      <c r="O976" s="161"/>
      <c r="P976" s="161"/>
      <c r="Q976" s="161"/>
      <c r="R976" s="161"/>
      <c r="S976" s="161"/>
      <c r="T976" s="161"/>
    </row>
    <row r="977" spans="1:20" ht="13">
      <c r="A977" s="161"/>
      <c r="B977" s="161"/>
      <c r="C977" s="161"/>
      <c r="D977" s="161"/>
      <c r="E977" s="161"/>
      <c r="F977" s="161"/>
      <c r="G977" s="161"/>
      <c r="H977" s="161"/>
      <c r="I977" s="161"/>
      <c r="J977" s="161"/>
      <c r="K977" s="161"/>
      <c r="L977" s="161"/>
      <c r="M977" s="161"/>
      <c r="N977" s="161"/>
      <c r="O977" s="161"/>
      <c r="P977" s="161"/>
      <c r="Q977" s="161"/>
      <c r="R977" s="161"/>
      <c r="S977" s="161"/>
      <c r="T977" s="161"/>
    </row>
    <row r="978" spans="1:20" ht="13">
      <c r="A978" s="161"/>
      <c r="B978" s="161"/>
      <c r="C978" s="161"/>
      <c r="D978" s="161"/>
      <c r="E978" s="161"/>
      <c r="F978" s="161"/>
      <c r="G978" s="161"/>
      <c r="H978" s="161"/>
      <c r="I978" s="161"/>
      <c r="J978" s="161"/>
      <c r="K978" s="161"/>
      <c r="L978" s="161"/>
      <c r="M978" s="161"/>
      <c r="N978" s="161"/>
      <c r="O978" s="161"/>
      <c r="P978" s="161"/>
      <c r="Q978" s="161"/>
      <c r="R978" s="161"/>
      <c r="S978" s="161"/>
      <c r="T978" s="161"/>
    </row>
    <row r="979" spans="1:20" ht="13">
      <c r="A979" s="161"/>
      <c r="B979" s="161"/>
      <c r="C979" s="161"/>
      <c r="D979" s="161"/>
      <c r="E979" s="161"/>
      <c r="F979" s="161"/>
      <c r="G979" s="161"/>
      <c r="H979" s="161"/>
      <c r="I979" s="161"/>
      <c r="J979" s="161"/>
      <c r="K979" s="161"/>
      <c r="L979" s="161"/>
      <c r="M979" s="161"/>
      <c r="N979" s="161"/>
      <c r="O979" s="161"/>
      <c r="P979" s="161"/>
      <c r="Q979" s="161"/>
      <c r="R979" s="161"/>
      <c r="S979" s="161"/>
      <c r="T979" s="161"/>
    </row>
    <row r="980" spans="1:20" ht="13">
      <c r="A980" s="161"/>
      <c r="B980" s="161"/>
      <c r="C980" s="161"/>
      <c r="D980" s="161"/>
      <c r="E980" s="161"/>
      <c r="F980" s="161"/>
      <c r="G980" s="161"/>
      <c r="H980" s="161"/>
      <c r="I980" s="161"/>
      <c r="J980" s="161"/>
      <c r="K980" s="161"/>
      <c r="L980" s="161"/>
      <c r="M980" s="161"/>
      <c r="N980" s="161"/>
      <c r="O980" s="161"/>
      <c r="P980" s="161"/>
      <c r="Q980" s="161"/>
      <c r="R980" s="161"/>
      <c r="S980" s="161"/>
      <c r="T980" s="161"/>
    </row>
    <row r="981" spans="1:20" ht="13">
      <c r="A981" s="161"/>
      <c r="B981" s="161"/>
      <c r="C981" s="161"/>
      <c r="D981" s="161"/>
      <c r="E981" s="161"/>
      <c r="F981" s="161"/>
      <c r="G981" s="161"/>
      <c r="H981" s="161"/>
      <c r="I981" s="161"/>
      <c r="J981" s="161"/>
      <c r="K981" s="161"/>
      <c r="L981" s="161"/>
      <c r="M981" s="161"/>
      <c r="N981" s="161"/>
      <c r="O981" s="161"/>
      <c r="P981" s="161"/>
      <c r="Q981" s="161"/>
      <c r="R981" s="161"/>
      <c r="S981" s="161"/>
      <c r="T981" s="161"/>
    </row>
    <row r="982" spans="1:20" ht="13">
      <c r="A982" s="161"/>
      <c r="B982" s="161"/>
      <c r="C982" s="161"/>
      <c r="D982" s="161"/>
      <c r="E982" s="161"/>
      <c r="F982" s="161"/>
      <c r="G982" s="161"/>
      <c r="H982" s="161"/>
      <c r="I982" s="161"/>
      <c r="J982" s="161"/>
      <c r="K982" s="161"/>
      <c r="L982" s="161"/>
      <c r="M982" s="161"/>
      <c r="N982" s="161"/>
      <c r="O982" s="161"/>
      <c r="P982" s="161"/>
      <c r="Q982" s="161"/>
      <c r="R982" s="161"/>
      <c r="S982" s="161"/>
      <c r="T982" s="161"/>
    </row>
    <row r="983" spans="1:20" ht="13">
      <c r="A983" s="161"/>
      <c r="B983" s="161"/>
      <c r="C983" s="161"/>
      <c r="D983" s="161"/>
      <c r="E983" s="161"/>
      <c r="F983" s="161"/>
      <c r="G983" s="161"/>
      <c r="H983" s="161"/>
      <c r="I983" s="161"/>
      <c r="J983" s="161"/>
      <c r="K983" s="161"/>
      <c r="L983" s="161"/>
      <c r="M983" s="161"/>
      <c r="N983" s="161"/>
      <c r="O983" s="161"/>
      <c r="P983" s="161"/>
      <c r="Q983" s="161"/>
      <c r="R983" s="161"/>
      <c r="S983" s="161"/>
      <c r="T983" s="161"/>
    </row>
    <row r="984" spans="1:20" ht="13">
      <c r="A984" s="161"/>
      <c r="B984" s="161"/>
      <c r="C984" s="161"/>
      <c r="D984" s="161"/>
      <c r="E984" s="161"/>
      <c r="F984" s="161"/>
      <c r="G984" s="161"/>
      <c r="H984" s="161"/>
      <c r="I984" s="161"/>
      <c r="J984" s="161"/>
      <c r="K984" s="161"/>
      <c r="L984" s="161"/>
      <c r="M984" s="161"/>
      <c r="N984" s="161"/>
      <c r="O984" s="161"/>
      <c r="P984" s="161"/>
      <c r="Q984" s="161"/>
      <c r="R984" s="161"/>
      <c r="S984" s="161"/>
      <c r="T984" s="161"/>
    </row>
    <row r="985" spans="1:20" ht="13">
      <c r="A985" s="161"/>
      <c r="B985" s="161"/>
      <c r="C985" s="161"/>
      <c r="D985" s="161"/>
      <c r="E985" s="161"/>
      <c r="F985" s="161"/>
      <c r="G985" s="161"/>
      <c r="H985" s="161"/>
      <c r="I985" s="161"/>
      <c r="J985" s="161"/>
      <c r="K985" s="161"/>
      <c r="L985" s="161"/>
      <c r="M985" s="161"/>
      <c r="N985" s="161"/>
      <c r="O985" s="161"/>
      <c r="P985" s="161"/>
      <c r="Q985" s="161"/>
      <c r="R985" s="161"/>
      <c r="S985" s="161"/>
      <c r="T985" s="161"/>
    </row>
    <row r="986" spans="1:20" ht="13">
      <c r="A986" s="161"/>
      <c r="B986" s="161"/>
      <c r="C986" s="161"/>
      <c r="D986" s="161"/>
      <c r="E986" s="161"/>
      <c r="F986" s="161"/>
      <c r="G986" s="161"/>
      <c r="H986" s="161"/>
      <c r="I986" s="161"/>
      <c r="J986" s="161"/>
      <c r="K986" s="161"/>
      <c r="L986" s="161"/>
      <c r="M986" s="161"/>
      <c r="N986" s="161"/>
      <c r="O986" s="161"/>
      <c r="P986" s="161"/>
      <c r="Q986" s="161"/>
      <c r="R986" s="161"/>
      <c r="S986" s="161"/>
      <c r="T986" s="161"/>
    </row>
    <row r="987" spans="1:20" ht="13">
      <c r="A987" s="161"/>
      <c r="B987" s="161"/>
      <c r="C987" s="161"/>
      <c r="D987" s="161"/>
      <c r="E987" s="161"/>
      <c r="F987" s="161"/>
      <c r="G987" s="161"/>
      <c r="H987" s="161"/>
      <c r="I987" s="161"/>
      <c r="J987" s="161"/>
      <c r="K987" s="161"/>
      <c r="L987" s="161"/>
      <c r="M987" s="161"/>
      <c r="N987" s="161"/>
      <c r="O987" s="161"/>
      <c r="P987" s="161"/>
      <c r="Q987" s="161"/>
      <c r="R987" s="161"/>
      <c r="S987" s="161"/>
      <c r="T987" s="161"/>
    </row>
    <row r="988" spans="1:20" ht="13">
      <c r="A988" s="161"/>
      <c r="B988" s="161"/>
      <c r="C988" s="161"/>
      <c r="D988" s="161"/>
      <c r="E988" s="161"/>
      <c r="F988" s="161"/>
      <c r="G988" s="161"/>
      <c r="H988" s="161"/>
      <c r="I988" s="161"/>
      <c r="J988" s="161"/>
      <c r="K988" s="161"/>
      <c r="L988" s="161"/>
      <c r="M988" s="161"/>
      <c r="N988" s="161"/>
      <c r="O988" s="161"/>
      <c r="P988" s="161"/>
      <c r="Q988" s="161"/>
      <c r="R988" s="161"/>
      <c r="S988" s="161"/>
      <c r="T988" s="161"/>
    </row>
    <row r="989" spans="1:20" ht="13">
      <c r="A989" s="161"/>
      <c r="B989" s="161"/>
      <c r="C989" s="161"/>
      <c r="D989" s="161"/>
      <c r="E989" s="161"/>
      <c r="F989" s="161"/>
      <c r="G989" s="161"/>
      <c r="H989" s="161"/>
      <c r="I989" s="161"/>
      <c r="J989" s="161"/>
      <c r="K989" s="161"/>
      <c r="L989" s="161"/>
      <c r="M989" s="161"/>
      <c r="N989" s="161"/>
      <c r="O989" s="161"/>
      <c r="P989" s="161"/>
      <c r="Q989" s="161"/>
      <c r="R989" s="161"/>
      <c r="S989" s="161"/>
      <c r="T989" s="161"/>
    </row>
    <row r="990" spans="1:20" ht="13">
      <c r="A990" s="161"/>
      <c r="B990" s="161"/>
      <c r="C990" s="161"/>
      <c r="D990" s="161"/>
      <c r="E990" s="161"/>
      <c r="F990" s="161"/>
      <c r="G990" s="161"/>
      <c r="H990" s="161"/>
      <c r="I990" s="161"/>
      <c r="J990" s="161"/>
      <c r="K990" s="161"/>
      <c r="L990" s="161"/>
      <c r="M990" s="161"/>
      <c r="N990" s="161"/>
      <c r="O990" s="161"/>
      <c r="P990" s="161"/>
      <c r="Q990" s="161"/>
      <c r="R990" s="161"/>
      <c r="S990" s="161"/>
      <c r="T990" s="161"/>
    </row>
    <row r="991" spans="1:20" ht="13">
      <c r="A991" s="161"/>
      <c r="B991" s="161"/>
      <c r="C991" s="161"/>
      <c r="D991" s="161"/>
      <c r="E991" s="161"/>
      <c r="F991" s="161"/>
      <c r="G991" s="161"/>
      <c r="H991" s="161"/>
      <c r="I991" s="161"/>
      <c r="J991" s="161"/>
      <c r="K991" s="161"/>
      <c r="L991" s="161"/>
      <c r="M991" s="161"/>
      <c r="N991" s="161"/>
      <c r="O991" s="161"/>
      <c r="P991" s="161"/>
      <c r="Q991" s="161"/>
      <c r="R991" s="161"/>
      <c r="S991" s="161"/>
      <c r="T991" s="161"/>
    </row>
    <row r="992" spans="1:20" ht="13">
      <c r="A992" s="161"/>
      <c r="B992" s="161"/>
      <c r="C992" s="161"/>
      <c r="D992" s="161"/>
      <c r="E992" s="161"/>
      <c r="F992" s="161"/>
      <c r="G992" s="161"/>
      <c r="H992" s="161"/>
      <c r="I992" s="161"/>
      <c r="J992" s="161"/>
      <c r="K992" s="161"/>
      <c r="L992" s="161"/>
      <c r="M992" s="161"/>
      <c r="N992" s="161"/>
      <c r="O992" s="161"/>
      <c r="P992" s="161"/>
      <c r="Q992" s="161"/>
      <c r="R992" s="161"/>
      <c r="S992" s="161"/>
      <c r="T992" s="161"/>
    </row>
    <row r="993" spans="1:20" ht="13">
      <c r="A993" s="161"/>
      <c r="B993" s="161"/>
      <c r="C993" s="161"/>
      <c r="D993" s="161"/>
      <c r="E993" s="161"/>
      <c r="F993" s="161"/>
      <c r="G993" s="161"/>
      <c r="H993" s="161"/>
      <c r="I993" s="161"/>
      <c r="J993" s="161"/>
      <c r="K993" s="161"/>
      <c r="L993" s="161"/>
      <c r="M993" s="161"/>
      <c r="N993" s="161"/>
      <c r="O993" s="161"/>
      <c r="P993" s="161"/>
      <c r="Q993" s="161"/>
      <c r="R993" s="161"/>
      <c r="S993" s="161"/>
      <c r="T993" s="161"/>
    </row>
    <row r="994" spans="1:20" ht="13">
      <c r="A994" s="161"/>
      <c r="B994" s="161"/>
      <c r="C994" s="161"/>
      <c r="D994" s="161"/>
      <c r="E994" s="161"/>
      <c r="F994" s="161"/>
      <c r="G994" s="161"/>
      <c r="H994" s="161"/>
      <c r="I994" s="161"/>
      <c r="J994" s="161"/>
      <c r="K994" s="161"/>
      <c r="L994" s="161"/>
      <c r="M994" s="161"/>
      <c r="N994" s="161"/>
      <c r="O994" s="161"/>
      <c r="P994" s="161"/>
      <c r="Q994" s="161"/>
      <c r="R994" s="161"/>
      <c r="S994" s="161"/>
      <c r="T994" s="161"/>
    </row>
    <row r="995" spans="1:20" ht="13">
      <c r="A995" s="161"/>
      <c r="B995" s="161"/>
      <c r="C995" s="161"/>
      <c r="D995" s="161"/>
      <c r="E995" s="161"/>
      <c r="F995" s="161"/>
      <c r="G995" s="161"/>
      <c r="H995" s="161"/>
      <c r="I995" s="161"/>
      <c r="J995" s="161"/>
      <c r="K995" s="161"/>
      <c r="L995" s="161"/>
      <c r="M995" s="161"/>
      <c r="N995" s="161"/>
      <c r="O995" s="161"/>
      <c r="P995" s="161"/>
      <c r="Q995" s="161"/>
      <c r="R995" s="161"/>
      <c r="S995" s="161"/>
      <c r="T995" s="161"/>
    </row>
    <row r="996" spans="1:20" ht="13">
      <c r="A996" s="161"/>
      <c r="B996" s="161"/>
      <c r="C996" s="161"/>
      <c r="D996" s="161"/>
      <c r="E996" s="161"/>
      <c r="F996" s="161"/>
      <c r="G996" s="161"/>
      <c r="H996" s="161"/>
      <c r="I996" s="161"/>
      <c r="J996" s="161"/>
      <c r="K996" s="161"/>
      <c r="L996" s="161"/>
      <c r="M996" s="161"/>
      <c r="N996" s="161"/>
      <c r="O996" s="161"/>
      <c r="P996" s="161"/>
      <c r="Q996" s="161"/>
      <c r="R996" s="161"/>
      <c r="S996" s="161"/>
      <c r="T996" s="161"/>
    </row>
    <row r="997" spans="1:20" ht="13">
      <c r="A997" s="161"/>
      <c r="B997" s="161"/>
      <c r="C997" s="161"/>
      <c r="D997" s="161"/>
      <c r="E997" s="161"/>
      <c r="F997" s="161"/>
      <c r="G997" s="161"/>
      <c r="H997" s="161"/>
      <c r="I997" s="161"/>
      <c r="J997" s="161"/>
      <c r="K997" s="161"/>
      <c r="L997" s="161"/>
      <c r="M997" s="161"/>
      <c r="N997" s="161"/>
      <c r="O997" s="161"/>
      <c r="P997" s="161"/>
      <c r="Q997" s="161"/>
      <c r="R997" s="161"/>
      <c r="S997" s="161"/>
      <c r="T997" s="161"/>
    </row>
    <row r="998" spans="1:20" ht="13">
      <c r="A998" s="161"/>
      <c r="B998" s="161"/>
      <c r="C998" s="161"/>
      <c r="D998" s="161"/>
      <c r="E998" s="161"/>
      <c r="F998" s="161"/>
      <c r="G998" s="161"/>
      <c r="H998" s="161"/>
      <c r="I998" s="161"/>
      <c r="J998" s="161"/>
      <c r="K998" s="161"/>
      <c r="L998" s="161"/>
      <c r="M998" s="161"/>
      <c r="N998" s="161"/>
      <c r="O998" s="161"/>
      <c r="P998" s="161"/>
      <c r="Q998" s="161"/>
      <c r="R998" s="161"/>
      <c r="S998" s="161"/>
      <c r="T998" s="161"/>
    </row>
    <row r="999" spans="1:20" ht="13">
      <c r="A999" s="161"/>
      <c r="B999" s="161"/>
      <c r="C999" s="161"/>
      <c r="D999" s="161"/>
      <c r="E999" s="161"/>
      <c r="F999" s="161"/>
      <c r="G999" s="161"/>
      <c r="H999" s="161"/>
      <c r="I999" s="161"/>
      <c r="J999" s="161"/>
      <c r="K999" s="161"/>
      <c r="L999" s="161"/>
      <c r="M999" s="161"/>
      <c r="N999" s="161"/>
      <c r="O999" s="161"/>
      <c r="P999" s="161"/>
      <c r="Q999" s="161"/>
      <c r="R999" s="161"/>
      <c r="S999" s="161"/>
      <c r="T999" s="161"/>
    </row>
    <row r="1000" spans="1:20" ht="13">
      <c r="A1000" s="161"/>
      <c r="B1000" s="161"/>
      <c r="C1000" s="161"/>
      <c r="D1000" s="161"/>
      <c r="E1000" s="161"/>
      <c r="F1000" s="161"/>
      <c r="G1000" s="161"/>
      <c r="H1000" s="161"/>
      <c r="I1000" s="161"/>
      <c r="J1000" s="161"/>
      <c r="K1000" s="161"/>
      <c r="L1000" s="161"/>
      <c r="M1000" s="161"/>
      <c r="N1000" s="161"/>
      <c r="O1000" s="161"/>
      <c r="P1000" s="161"/>
      <c r="Q1000" s="161"/>
      <c r="R1000" s="161"/>
      <c r="S1000" s="161"/>
      <c r="T1000" s="161"/>
    </row>
    <row r="1001" spans="1:20" ht="13">
      <c r="A1001" s="161"/>
      <c r="B1001" s="161"/>
      <c r="C1001" s="161"/>
      <c r="D1001" s="161"/>
      <c r="E1001" s="161"/>
      <c r="F1001" s="161"/>
      <c r="G1001" s="161"/>
      <c r="H1001" s="161"/>
      <c r="I1001" s="161"/>
      <c r="J1001" s="161"/>
      <c r="K1001" s="161"/>
      <c r="L1001" s="161"/>
      <c r="M1001" s="161"/>
      <c r="N1001" s="161"/>
      <c r="O1001" s="161"/>
      <c r="P1001" s="161"/>
      <c r="Q1001" s="161"/>
      <c r="R1001" s="161"/>
      <c r="S1001" s="161"/>
      <c r="T1001" s="161"/>
    </row>
    <row r="1002" spans="1:20" ht="13">
      <c r="A1002" s="161"/>
      <c r="B1002" s="161"/>
      <c r="C1002" s="161"/>
      <c r="D1002" s="161"/>
      <c r="E1002" s="161"/>
      <c r="F1002" s="161"/>
      <c r="G1002" s="161"/>
      <c r="H1002" s="161"/>
      <c r="I1002" s="161"/>
      <c r="J1002" s="161"/>
      <c r="K1002" s="161"/>
      <c r="L1002" s="161"/>
      <c r="M1002" s="161"/>
      <c r="N1002" s="161"/>
      <c r="O1002" s="161"/>
      <c r="P1002" s="161"/>
      <c r="Q1002" s="161"/>
      <c r="R1002" s="161"/>
      <c r="S1002" s="161"/>
      <c r="T1002" s="161"/>
    </row>
    <row r="1003" spans="1:20" ht="13">
      <c r="A1003" s="161"/>
      <c r="B1003" s="161"/>
      <c r="C1003" s="161"/>
      <c r="D1003" s="161"/>
      <c r="E1003" s="161"/>
      <c r="F1003" s="161"/>
      <c r="G1003" s="161"/>
      <c r="H1003" s="161"/>
      <c r="I1003" s="161"/>
      <c r="J1003" s="161"/>
      <c r="K1003" s="161"/>
      <c r="L1003" s="161"/>
      <c r="M1003" s="161"/>
      <c r="N1003" s="161"/>
      <c r="O1003" s="161"/>
      <c r="P1003" s="161"/>
      <c r="Q1003" s="161"/>
      <c r="R1003" s="161"/>
      <c r="S1003" s="161"/>
      <c r="T1003" s="161"/>
    </row>
    <row r="1004" spans="1:20" ht="15.75" customHeight="1">
      <c r="N1004" s="161"/>
      <c r="O1004" s="161"/>
      <c r="P1004" s="161"/>
      <c r="Q1004" s="161"/>
    </row>
  </sheetData>
  <mergeCells count="108">
    <mergeCell ref="H34:I34"/>
    <mergeCell ref="H35:I35"/>
    <mergeCell ref="H36:I36"/>
    <mergeCell ref="H37:I37"/>
    <mergeCell ref="H38:I38"/>
    <mergeCell ref="H29:I29"/>
    <mergeCell ref="H30:I30"/>
    <mergeCell ref="H31:I31"/>
    <mergeCell ref="H32:I32"/>
    <mergeCell ref="H33:I33"/>
    <mergeCell ref="A25:C25"/>
    <mergeCell ref="A26:C26"/>
    <mergeCell ref="H27:I27"/>
    <mergeCell ref="H28:I28"/>
    <mergeCell ref="A1:C1"/>
    <mergeCell ref="E1:O3"/>
    <mergeCell ref="A2:C2"/>
    <mergeCell ref="A3:C3"/>
    <mergeCell ref="A4:B4"/>
    <mergeCell ref="L4:M4"/>
    <mergeCell ref="N4:Q4"/>
    <mergeCell ref="A6:C6"/>
    <mergeCell ref="F6:H6"/>
    <mergeCell ref="I6:J6"/>
    <mergeCell ref="L6:M6"/>
    <mergeCell ref="N6:Q6"/>
    <mergeCell ref="A5:C5"/>
    <mergeCell ref="F5:H5"/>
    <mergeCell ref="I5:J5"/>
    <mergeCell ref="L5:M5"/>
    <mergeCell ref="N5:Q5"/>
    <mergeCell ref="A7:B7"/>
    <mergeCell ref="F7:H7"/>
    <mergeCell ref="I7:J7"/>
    <mergeCell ref="L7:M7"/>
    <mergeCell ref="A8:B8"/>
    <mergeCell ref="L8:M8"/>
    <mergeCell ref="A13:C13"/>
    <mergeCell ref="L13:M13"/>
    <mergeCell ref="N13:Q13"/>
    <mergeCell ref="N8:Q8"/>
    <mergeCell ref="A9:B9"/>
    <mergeCell ref="L9:M9"/>
    <mergeCell ref="N9:Q9"/>
    <mergeCell ref="A10:B10"/>
    <mergeCell ref="L10:M10"/>
    <mergeCell ref="N10:Q10"/>
    <mergeCell ref="L11:M11"/>
    <mergeCell ref="N11:Q11"/>
    <mergeCell ref="A12:C12"/>
    <mergeCell ref="L12:M12"/>
    <mergeCell ref="N12:Q12"/>
    <mergeCell ref="A14:C14"/>
    <mergeCell ref="L14:M14"/>
    <mergeCell ref="N14:Q14"/>
    <mergeCell ref="A15:C15"/>
    <mergeCell ref="L15:M15"/>
    <mergeCell ref="N15:Q15"/>
    <mergeCell ref="A16:C16"/>
    <mergeCell ref="L16:M16"/>
    <mergeCell ref="N16:Q16"/>
    <mergeCell ref="A17:C17"/>
    <mergeCell ref="L17:M17"/>
    <mergeCell ref="N17:Q17"/>
    <mergeCell ref="F23:L23"/>
    <mergeCell ref="N23:Q23"/>
    <mergeCell ref="A18:C18"/>
    <mergeCell ref="L18:M18"/>
    <mergeCell ref="N18:Q18"/>
    <mergeCell ref="A19:C19"/>
    <mergeCell ref="L19:M19"/>
    <mergeCell ref="N19:Q19"/>
    <mergeCell ref="A23:C23"/>
    <mergeCell ref="A20:C20"/>
    <mergeCell ref="L20:M20"/>
    <mergeCell ref="N20:Q20"/>
    <mergeCell ref="N21:Q21"/>
    <mergeCell ref="N22:Q22"/>
    <mergeCell ref="J28:K28"/>
    <mergeCell ref="N28:Q28"/>
    <mergeCell ref="H24:I24"/>
    <mergeCell ref="J24:K24"/>
    <mergeCell ref="N24:Q24"/>
    <mergeCell ref="H25:I25"/>
    <mergeCell ref="J25:K25"/>
    <mergeCell ref="N25:Q25"/>
    <mergeCell ref="H26:I26"/>
    <mergeCell ref="J26:K26"/>
    <mergeCell ref="N26:Q26"/>
    <mergeCell ref="J27:K27"/>
    <mergeCell ref="N27:Q27"/>
    <mergeCell ref="J34:K34"/>
    <mergeCell ref="N34:Q34"/>
    <mergeCell ref="J35:K35"/>
    <mergeCell ref="N35:Q35"/>
    <mergeCell ref="J36:K36"/>
    <mergeCell ref="J37:K37"/>
    <mergeCell ref="J38:K38"/>
    <mergeCell ref="J29:K29"/>
    <mergeCell ref="N29:Q29"/>
    <mergeCell ref="J30:K30"/>
    <mergeCell ref="N30:Q30"/>
    <mergeCell ref="J31:K31"/>
    <mergeCell ref="N31:Q31"/>
    <mergeCell ref="J32:K32"/>
    <mergeCell ref="N32:Q32"/>
    <mergeCell ref="J33:K33"/>
    <mergeCell ref="N33:Q33"/>
  </mergeCells>
  <conditionalFormatting sqref="I6:J7 C8:C9 C21:D21">
    <cfRule type="cellIs" dxfId="3" priority="1" operator="greaterThan">
      <formula>0</formula>
    </cfRule>
    <cfRule type="cellIs" dxfId="2" priority="2" operator="lessThan">
      <formula>0</formula>
    </cfRule>
  </conditionalFormatting>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204B8C-C4AA-AA48-BBEA-E7E1C41D73A5}">
  <dimension ref="A1:AC1019"/>
  <sheetViews>
    <sheetView showGridLines="0" topLeftCell="B1" zoomScale="120" zoomScaleNormal="120" workbookViewId="0">
      <selection activeCell="E35" sqref="E35"/>
    </sheetView>
  </sheetViews>
  <sheetFormatPr baseColWidth="10" defaultColWidth="12.6640625" defaultRowHeight="15.75" customHeight="1"/>
  <cols>
    <col min="1" max="1" width="3.1640625" customWidth="1"/>
    <col min="2" max="2" width="9.6640625" customWidth="1"/>
    <col min="3" max="3" width="12.1640625" customWidth="1"/>
    <col min="4" max="4" width="10.6640625" customWidth="1"/>
    <col min="5" max="6" width="11.1640625" customWidth="1"/>
    <col min="7" max="7" width="10.6640625" style="211" customWidth="1"/>
    <col min="9" max="9" width="13" customWidth="1"/>
    <col min="10" max="10" width="13.1640625" customWidth="1"/>
    <col min="12" max="12" width="11.33203125" style="106" customWidth="1"/>
    <col min="13" max="14" width="19.6640625" customWidth="1"/>
    <col min="15" max="15" width="15.6640625" customWidth="1"/>
    <col min="16" max="16" width="30.33203125" customWidth="1"/>
    <col min="17" max="17" width="33.83203125" customWidth="1"/>
  </cols>
  <sheetData>
    <row r="1" spans="1:29" ht="15.75" customHeight="1">
      <c r="A1" s="161"/>
      <c r="B1" s="161"/>
      <c r="C1" s="177"/>
      <c r="D1" s="177"/>
      <c r="E1" s="177"/>
      <c r="F1" s="177"/>
      <c r="G1" s="206"/>
      <c r="H1" s="334" t="s">
        <v>371</v>
      </c>
      <c r="I1" s="325"/>
      <c r="J1" s="325"/>
      <c r="K1" s="325"/>
      <c r="L1" s="325"/>
      <c r="M1" s="327"/>
      <c r="N1" s="177"/>
      <c r="O1" s="177"/>
      <c r="P1" s="177"/>
      <c r="Q1" s="177"/>
      <c r="R1" s="177"/>
      <c r="S1" s="177"/>
      <c r="T1" s="177"/>
      <c r="U1" s="177"/>
      <c r="V1" s="177"/>
      <c r="W1" s="177"/>
      <c r="X1" s="177"/>
      <c r="Y1" s="177"/>
      <c r="Z1" s="177"/>
      <c r="AA1" s="177"/>
      <c r="AB1" s="177"/>
      <c r="AC1" s="177"/>
    </row>
    <row r="2" spans="1:29" ht="15.75" customHeight="1">
      <c r="A2" s="161"/>
      <c r="B2" s="161"/>
      <c r="C2" s="177"/>
      <c r="D2" s="177"/>
      <c r="E2" s="177"/>
      <c r="F2" s="177"/>
      <c r="G2" s="206"/>
      <c r="H2" s="335"/>
      <c r="I2" s="331"/>
      <c r="J2" s="331"/>
      <c r="K2" s="331"/>
      <c r="L2" s="331"/>
      <c r="M2" s="333"/>
      <c r="N2" s="177"/>
      <c r="O2" s="177"/>
      <c r="P2" s="177"/>
      <c r="Q2" s="177"/>
      <c r="R2" s="177"/>
      <c r="S2" s="177"/>
      <c r="T2" s="177"/>
      <c r="U2" s="177"/>
      <c r="V2" s="177"/>
      <c r="W2" s="177"/>
      <c r="X2" s="177"/>
      <c r="Y2" s="177"/>
      <c r="Z2" s="177"/>
      <c r="AA2" s="177"/>
      <c r="AB2" s="177"/>
      <c r="AC2" s="177"/>
    </row>
    <row r="3" spans="1:29" ht="15.75" customHeight="1">
      <c r="A3" s="161"/>
      <c r="B3" s="161"/>
      <c r="C3" s="177"/>
      <c r="D3" s="177"/>
      <c r="E3" s="177"/>
      <c r="F3" s="177"/>
      <c r="G3" s="206"/>
      <c r="H3" s="177"/>
      <c r="I3" s="177"/>
      <c r="J3" s="177"/>
      <c r="K3" s="177"/>
      <c r="L3" s="178"/>
      <c r="M3" s="177"/>
      <c r="N3" s="177"/>
      <c r="O3" s="177"/>
      <c r="P3" s="177"/>
      <c r="Q3" s="177"/>
      <c r="R3" s="177"/>
      <c r="S3" s="177"/>
      <c r="T3" s="177"/>
      <c r="U3" s="177"/>
      <c r="V3" s="177"/>
      <c r="W3" s="177"/>
      <c r="X3" s="177"/>
      <c r="Y3" s="177"/>
      <c r="Z3" s="177"/>
      <c r="AA3" s="177"/>
      <c r="AB3" s="177"/>
      <c r="AC3" s="177"/>
    </row>
    <row r="4" spans="1:29" ht="15.75" customHeight="1">
      <c r="A4" s="179"/>
      <c r="B4" s="179"/>
      <c r="C4" s="180"/>
      <c r="D4" s="180"/>
      <c r="E4" s="180"/>
      <c r="F4" s="180"/>
      <c r="G4" s="207"/>
      <c r="H4" s="180"/>
      <c r="I4" s="180"/>
      <c r="J4" s="180"/>
      <c r="K4" s="180"/>
      <c r="L4" s="181"/>
      <c r="M4" s="180"/>
      <c r="N4" s="180"/>
      <c r="O4" s="180"/>
      <c r="P4" s="180"/>
      <c r="Q4" s="182"/>
      <c r="R4" s="182"/>
      <c r="S4" s="182"/>
      <c r="T4" s="182"/>
      <c r="U4" s="182"/>
      <c r="V4" s="182"/>
      <c r="W4" s="182"/>
      <c r="X4" s="182"/>
      <c r="Y4" s="182"/>
      <c r="Z4" s="182"/>
      <c r="AA4" s="182"/>
      <c r="AB4" s="182"/>
      <c r="AC4" s="182"/>
    </row>
    <row r="5" spans="1:29" ht="15.75" customHeight="1">
      <c r="A5" s="179"/>
      <c r="B5" s="179"/>
      <c r="C5" s="180"/>
      <c r="D5" s="180"/>
      <c r="E5" s="180"/>
      <c r="F5" s="180"/>
      <c r="G5" s="207"/>
      <c r="H5" s="180"/>
      <c r="I5" s="180"/>
      <c r="J5" s="180"/>
      <c r="K5" s="180"/>
      <c r="L5" s="181"/>
      <c r="M5" s="180"/>
      <c r="N5" s="180"/>
      <c r="O5" s="180"/>
      <c r="P5" s="180"/>
      <c r="Q5" s="182"/>
      <c r="R5" s="182"/>
      <c r="S5" s="182"/>
      <c r="T5" s="182"/>
      <c r="U5" s="182"/>
      <c r="V5" s="182"/>
      <c r="W5" s="182"/>
      <c r="X5" s="182"/>
      <c r="Y5" s="182"/>
      <c r="Z5" s="182"/>
      <c r="AA5" s="182"/>
      <c r="AB5" s="182"/>
      <c r="AC5" s="182"/>
    </row>
    <row r="6" spans="1:29" ht="15.75" customHeight="1">
      <c r="A6" s="179"/>
      <c r="B6" s="179"/>
      <c r="C6" s="180"/>
      <c r="D6" s="180"/>
      <c r="E6" s="180"/>
      <c r="F6" s="180"/>
      <c r="G6" s="207"/>
      <c r="H6" s="180"/>
      <c r="I6" s="180"/>
      <c r="J6" s="180"/>
      <c r="K6" s="180"/>
      <c r="L6" s="181"/>
      <c r="M6" s="180"/>
      <c r="N6" s="180"/>
      <c r="O6" s="180"/>
      <c r="P6" s="180"/>
      <c r="Q6" s="182"/>
      <c r="R6" s="182"/>
      <c r="S6" s="182"/>
      <c r="T6" s="182"/>
      <c r="U6" s="182"/>
      <c r="V6" s="182"/>
      <c r="W6" s="182"/>
      <c r="X6" s="182"/>
      <c r="Y6" s="182"/>
      <c r="Z6" s="182"/>
      <c r="AA6" s="182"/>
      <c r="AB6" s="182"/>
      <c r="AC6" s="182"/>
    </row>
    <row r="7" spans="1:29" ht="15.75" customHeight="1">
      <c r="A7" s="179"/>
      <c r="B7" s="179"/>
      <c r="C7" s="180"/>
      <c r="D7" s="180"/>
      <c r="E7" s="180"/>
      <c r="F7" s="180"/>
      <c r="G7" s="207"/>
      <c r="H7" s="180"/>
      <c r="I7" s="180"/>
      <c r="J7" s="180"/>
      <c r="K7" s="180"/>
      <c r="L7" s="181"/>
      <c r="M7" s="180"/>
      <c r="N7" s="180"/>
      <c r="O7" s="180"/>
      <c r="P7" s="180"/>
      <c r="Q7" s="182"/>
      <c r="R7" s="182"/>
      <c r="S7" s="182"/>
      <c r="T7" s="182"/>
      <c r="U7" s="182"/>
      <c r="V7" s="182"/>
      <c r="W7" s="182"/>
      <c r="X7" s="182"/>
      <c r="Y7" s="182"/>
      <c r="Z7" s="182"/>
      <c r="AA7" s="182"/>
      <c r="AB7" s="182"/>
      <c r="AC7" s="182"/>
    </row>
    <row r="8" spans="1:29" ht="15.75" customHeight="1">
      <c r="A8" s="179"/>
      <c r="B8" s="179"/>
      <c r="C8" s="180"/>
      <c r="D8" s="180"/>
      <c r="E8" s="180"/>
      <c r="F8" s="180"/>
      <c r="G8" s="207"/>
      <c r="H8" s="180"/>
      <c r="I8" s="180"/>
      <c r="J8" s="180"/>
      <c r="K8" s="180"/>
      <c r="L8" s="181"/>
      <c r="M8" s="180"/>
      <c r="N8" s="180"/>
      <c r="O8" s="180"/>
      <c r="P8" s="180"/>
      <c r="Q8" s="182"/>
      <c r="R8" s="182"/>
      <c r="S8" s="182"/>
      <c r="T8" s="182"/>
      <c r="U8" s="182"/>
      <c r="V8" s="182"/>
      <c r="W8" s="182"/>
      <c r="X8" s="182"/>
      <c r="Y8" s="182"/>
      <c r="Z8" s="182"/>
      <c r="AA8" s="182"/>
      <c r="AB8" s="182"/>
      <c r="AC8" s="182"/>
    </row>
    <row r="9" spans="1:29" ht="15.75" customHeight="1">
      <c r="A9" s="179"/>
      <c r="B9" s="179"/>
      <c r="C9" s="180"/>
      <c r="D9" s="180"/>
      <c r="E9" s="180"/>
      <c r="F9" s="180"/>
      <c r="G9" s="207"/>
      <c r="H9" s="180"/>
      <c r="I9" s="180"/>
      <c r="J9" s="180"/>
      <c r="K9" s="180"/>
      <c r="L9" s="181"/>
      <c r="M9" s="180"/>
      <c r="N9" s="180"/>
      <c r="O9" s="180"/>
      <c r="P9" s="180"/>
      <c r="Q9" s="182"/>
      <c r="R9" s="182"/>
      <c r="S9" s="182"/>
      <c r="T9" s="182"/>
      <c r="U9" s="182"/>
      <c r="V9" s="182"/>
      <c r="W9" s="182"/>
      <c r="X9" s="182"/>
      <c r="Y9" s="182"/>
      <c r="Z9" s="182"/>
      <c r="AA9" s="182"/>
      <c r="AB9" s="182"/>
      <c r="AC9" s="182"/>
    </row>
    <row r="10" spans="1:29" ht="15.75" customHeight="1">
      <c r="A10" s="179"/>
      <c r="B10" s="179"/>
      <c r="C10" s="180"/>
      <c r="D10" s="180"/>
      <c r="E10" s="180"/>
      <c r="F10" s="180"/>
      <c r="G10" s="207"/>
      <c r="H10" s="180"/>
      <c r="I10" s="180"/>
      <c r="J10" s="180"/>
      <c r="K10" s="180"/>
      <c r="L10" s="181"/>
      <c r="M10" s="180"/>
      <c r="N10" s="180"/>
      <c r="O10" s="180"/>
      <c r="P10" s="180"/>
      <c r="Q10" s="182"/>
      <c r="R10" s="182"/>
      <c r="S10" s="182"/>
      <c r="T10" s="182"/>
      <c r="U10" s="182"/>
      <c r="V10" s="182"/>
      <c r="W10" s="182"/>
      <c r="X10" s="182"/>
      <c r="Y10" s="182"/>
      <c r="Z10" s="182"/>
      <c r="AA10" s="182"/>
      <c r="AB10" s="182"/>
      <c r="AC10" s="182"/>
    </row>
    <row r="11" spans="1:29" ht="15.75" customHeight="1">
      <c r="A11" s="179"/>
      <c r="B11" s="179"/>
      <c r="C11" s="180"/>
      <c r="D11" s="180"/>
      <c r="E11" s="180"/>
      <c r="F11" s="180"/>
      <c r="G11" s="207"/>
      <c r="H11" s="180"/>
      <c r="I11" s="180"/>
      <c r="J11" s="180"/>
      <c r="K11" s="180"/>
      <c r="L11" s="181"/>
      <c r="M11" s="180"/>
      <c r="N11" s="180"/>
      <c r="O11" s="180"/>
      <c r="P11" s="180"/>
      <c r="Q11" s="182"/>
      <c r="R11" s="182"/>
      <c r="S11" s="182"/>
      <c r="T11" s="182"/>
      <c r="U11" s="182"/>
      <c r="V11" s="182"/>
      <c r="W11" s="182"/>
      <c r="X11" s="182"/>
      <c r="Y11" s="182"/>
      <c r="Z11" s="182"/>
      <c r="AA11" s="182"/>
      <c r="AB11" s="182"/>
      <c r="AC11" s="182"/>
    </row>
    <row r="12" spans="1:29" ht="15.75" customHeight="1">
      <c r="A12" s="179"/>
      <c r="B12" s="179"/>
      <c r="C12" s="180"/>
      <c r="D12" s="180"/>
      <c r="E12" s="180"/>
      <c r="F12" s="180"/>
      <c r="G12" s="207"/>
      <c r="H12" s="180"/>
      <c r="I12" s="180"/>
      <c r="J12" s="180"/>
      <c r="K12" s="180"/>
      <c r="L12" s="181"/>
      <c r="M12" s="180"/>
      <c r="N12" s="180"/>
      <c r="O12" s="180"/>
      <c r="P12" s="180"/>
      <c r="Q12" s="182"/>
      <c r="R12" s="182"/>
      <c r="S12" s="182"/>
      <c r="T12" s="182"/>
      <c r="U12" s="182"/>
      <c r="V12" s="182"/>
      <c r="W12" s="182"/>
      <c r="X12" s="182"/>
      <c r="Y12" s="182"/>
      <c r="Z12" s="182"/>
      <c r="AA12" s="182"/>
      <c r="AB12" s="182"/>
      <c r="AC12" s="182"/>
    </row>
    <row r="13" spans="1:29" ht="15.75" customHeight="1">
      <c r="A13" s="179"/>
      <c r="B13" s="179"/>
      <c r="C13" s="180"/>
      <c r="D13" s="180"/>
      <c r="E13" s="180"/>
      <c r="F13" s="180"/>
      <c r="G13" s="207"/>
      <c r="H13" s="180"/>
      <c r="I13" s="180"/>
      <c r="J13" s="180"/>
      <c r="K13" s="180"/>
      <c r="L13" s="181"/>
      <c r="M13" s="180"/>
      <c r="N13" s="180"/>
      <c r="O13" s="180"/>
      <c r="P13" s="180"/>
      <c r="Q13" s="182"/>
      <c r="R13" s="182"/>
      <c r="S13" s="182"/>
      <c r="T13" s="182"/>
      <c r="U13" s="182"/>
      <c r="V13" s="182"/>
      <c r="W13" s="182"/>
      <c r="X13" s="182"/>
      <c r="Y13" s="182"/>
      <c r="Z13" s="182"/>
      <c r="AA13" s="182"/>
      <c r="AB13" s="182"/>
      <c r="AC13" s="182"/>
    </row>
    <row r="14" spans="1:29" ht="15.75" customHeight="1">
      <c r="A14" s="179"/>
      <c r="B14" s="179"/>
      <c r="C14" s="180"/>
      <c r="D14" s="180"/>
      <c r="E14" s="180"/>
      <c r="F14" s="180"/>
      <c r="G14" s="207"/>
      <c r="H14" s="180"/>
      <c r="I14" s="180"/>
      <c r="J14" s="180"/>
      <c r="K14" s="180"/>
      <c r="L14" s="181"/>
      <c r="M14" s="180"/>
      <c r="N14" s="180"/>
      <c r="O14" s="180"/>
      <c r="P14" s="180"/>
      <c r="Q14" s="182"/>
      <c r="R14" s="182"/>
      <c r="S14" s="182"/>
      <c r="T14" s="182"/>
      <c r="U14" s="182"/>
      <c r="V14" s="182"/>
      <c r="W14" s="182"/>
      <c r="X14" s="182"/>
      <c r="Y14" s="182"/>
      <c r="Z14" s="182"/>
      <c r="AA14" s="182"/>
      <c r="AB14" s="182"/>
      <c r="AC14" s="182"/>
    </row>
    <row r="15" spans="1:29" ht="15.75" customHeight="1">
      <c r="A15" s="179"/>
      <c r="B15" s="179"/>
      <c r="C15" s="180"/>
      <c r="D15" s="180"/>
      <c r="E15" s="180"/>
      <c r="F15" s="180"/>
      <c r="G15" s="207"/>
      <c r="H15" s="180"/>
      <c r="I15" s="180"/>
      <c r="J15" s="180"/>
      <c r="K15" s="180"/>
      <c r="L15" s="181"/>
      <c r="M15" s="180"/>
      <c r="N15" s="180"/>
      <c r="O15" s="180"/>
      <c r="P15" s="180"/>
      <c r="Q15" s="182"/>
      <c r="R15" s="182"/>
      <c r="S15" s="182"/>
      <c r="T15" s="182"/>
      <c r="U15" s="182"/>
      <c r="V15" s="182"/>
      <c r="W15" s="182"/>
      <c r="X15" s="182"/>
      <c r="Y15" s="182"/>
      <c r="Z15" s="182"/>
      <c r="AA15" s="182"/>
      <c r="AB15" s="182"/>
      <c r="AC15" s="182"/>
    </row>
    <row r="16" spans="1:29" ht="15.75" customHeight="1">
      <c r="A16" s="179"/>
      <c r="B16" s="179"/>
      <c r="C16" s="180"/>
      <c r="D16" s="180"/>
      <c r="E16" s="180"/>
      <c r="F16" s="180"/>
      <c r="G16" s="207"/>
      <c r="H16" s="180"/>
      <c r="I16" s="180"/>
      <c r="J16" s="180"/>
      <c r="K16" s="180"/>
      <c r="L16" s="181"/>
      <c r="M16" s="180"/>
      <c r="N16" s="180"/>
      <c r="O16" s="180"/>
      <c r="P16" s="180"/>
      <c r="Q16" s="182"/>
      <c r="R16" s="182"/>
      <c r="S16" s="182"/>
      <c r="T16" s="182"/>
      <c r="U16" s="182"/>
      <c r="V16" s="182"/>
      <c r="W16" s="182"/>
      <c r="X16" s="182"/>
      <c r="Y16" s="182"/>
      <c r="Z16" s="182"/>
      <c r="AA16" s="182"/>
      <c r="AB16" s="182"/>
      <c r="AC16" s="182"/>
    </row>
    <row r="17" spans="1:29" ht="15.75" customHeight="1">
      <c r="A17" s="179"/>
      <c r="B17" s="179"/>
      <c r="C17" s="180"/>
      <c r="D17" s="180"/>
      <c r="E17" s="180"/>
      <c r="F17" s="180"/>
      <c r="G17" s="207"/>
      <c r="H17" s="180"/>
      <c r="I17" s="180"/>
      <c r="J17" s="180"/>
      <c r="K17" s="180"/>
      <c r="L17" s="181"/>
      <c r="M17" s="180"/>
      <c r="N17" s="180"/>
      <c r="O17" s="180"/>
      <c r="P17" s="180"/>
      <c r="Q17" s="182"/>
      <c r="R17" s="182"/>
      <c r="S17" s="182"/>
      <c r="T17" s="182"/>
      <c r="U17" s="182"/>
      <c r="V17" s="182"/>
      <c r="W17" s="182"/>
      <c r="X17" s="182"/>
      <c r="Y17" s="182"/>
      <c r="Z17" s="182"/>
      <c r="AA17" s="182"/>
      <c r="AB17" s="182"/>
      <c r="AC17" s="182"/>
    </row>
    <row r="18" spans="1:29" ht="15.75" customHeight="1">
      <c r="A18" s="179"/>
      <c r="B18" s="179"/>
      <c r="C18" s="180"/>
      <c r="D18" s="180"/>
      <c r="E18" s="180"/>
      <c r="F18" s="180"/>
      <c r="G18" s="207"/>
      <c r="H18" s="180"/>
      <c r="I18" s="180"/>
      <c r="J18" s="180"/>
      <c r="K18" s="180"/>
      <c r="L18" s="181"/>
      <c r="M18" s="180"/>
      <c r="N18" s="180"/>
      <c r="O18" s="180"/>
      <c r="P18" s="180"/>
      <c r="Q18" s="182"/>
      <c r="R18" s="182"/>
      <c r="S18" s="182"/>
      <c r="T18" s="182"/>
      <c r="U18" s="182"/>
      <c r="V18" s="182"/>
      <c r="W18" s="182"/>
      <c r="X18" s="182"/>
      <c r="Y18" s="182"/>
      <c r="Z18" s="182"/>
      <c r="AA18" s="182"/>
      <c r="AB18" s="182"/>
      <c r="AC18" s="182"/>
    </row>
    <row r="19" spans="1:29" ht="15.75" customHeight="1">
      <c r="A19" s="179"/>
      <c r="B19" s="179"/>
      <c r="C19" s="180"/>
      <c r="D19" s="180"/>
      <c r="E19" s="180"/>
      <c r="F19" s="180"/>
      <c r="G19" s="207"/>
      <c r="H19" s="180"/>
      <c r="I19" s="180"/>
      <c r="J19" s="180"/>
      <c r="K19" s="180"/>
      <c r="L19" s="181"/>
      <c r="M19" s="180"/>
      <c r="N19" s="180"/>
      <c r="O19" s="180"/>
      <c r="P19" s="180"/>
      <c r="Q19" s="182"/>
      <c r="R19" s="182"/>
      <c r="S19" s="182"/>
      <c r="T19" s="182"/>
      <c r="U19" s="182"/>
      <c r="V19" s="182"/>
      <c r="W19" s="182"/>
      <c r="X19" s="182"/>
      <c r="Y19" s="182"/>
      <c r="Z19" s="182"/>
      <c r="AA19" s="182"/>
      <c r="AB19" s="182"/>
      <c r="AC19" s="182"/>
    </row>
    <row r="20" spans="1:29" ht="15.75" customHeight="1">
      <c r="A20" s="179"/>
      <c r="B20" s="179"/>
      <c r="C20" s="180"/>
      <c r="D20" s="180"/>
      <c r="E20" s="180"/>
      <c r="F20" s="180"/>
      <c r="G20" s="207"/>
      <c r="H20" s="180"/>
      <c r="I20" s="180"/>
      <c r="J20" s="180"/>
      <c r="K20" s="180"/>
      <c r="L20" s="181"/>
      <c r="M20" s="180"/>
      <c r="N20" s="180"/>
      <c r="O20" s="180"/>
      <c r="P20" s="180"/>
      <c r="Q20" s="182"/>
      <c r="R20" s="182"/>
      <c r="S20" s="182"/>
      <c r="T20" s="182"/>
      <c r="U20" s="182"/>
      <c r="V20" s="182"/>
      <c r="W20" s="182"/>
      <c r="X20" s="182"/>
      <c r="Y20" s="182"/>
      <c r="Z20" s="182"/>
      <c r="AA20" s="182"/>
      <c r="AB20" s="182"/>
      <c r="AC20" s="182"/>
    </row>
    <row r="21" spans="1:29" ht="15.75" customHeight="1">
      <c r="A21" s="179"/>
      <c r="B21" s="179"/>
      <c r="C21" s="180"/>
      <c r="D21" s="180"/>
      <c r="E21" s="180"/>
      <c r="F21" s="180"/>
      <c r="G21" s="207"/>
      <c r="H21" s="180"/>
      <c r="I21" s="180"/>
      <c r="J21" s="180"/>
      <c r="K21" s="180"/>
      <c r="L21" s="181"/>
      <c r="M21" s="180"/>
      <c r="N21" s="180"/>
      <c r="O21" s="180"/>
      <c r="P21" s="180"/>
      <c r="Q21" s="182"/>
      <c r="R21" s="182"/>
      <c r="S21" s="182"/>
      <c r="T21" s="182"/>
      <c r="U21" s="182"/>
      <c r="V21" s="182"/>
      <c r="W21" s="182"/>
      <c r="X21" s="182"/>
      <c r="Y21" s="182"/>
      <c r="Z21" s="182"/>
      <c r="AA21" s="182"/>
      <c r="AB21" s="182"/>
      <c r="AC21" s="182"/>
    </row>
    <row r="22" spans="1:29" ht="15.75" customHeight="1">
      <c r="A22" s="183"/>
      <c r="B22" s="183" t="s">
        <v>372</v>
      </c>
      <c r="C22" s="184" t="s">
        <v>373</v>
      </c>
      <c r="D22" s="184" t="s">
        <v>248</v>
      </c>
      <c r="E22" s="184" t="s">
        <v>374</v>
      </c>
      <c r="F22" s="184" t="s">
        <v>343</v>
      </c>
      <c r="G22" s="208" t="s">
        <v>375</v>
      </c>
      <c r="H22" s="184" t="s">
        <v>376</v>
      </c>
      <c r="I22" s="184" t="s">
        <v>365</v>
      </c>
      <c r="J22" s="185" t="s">
        <v>363</v>
      </c>
      <c r="K22" s="186" t="s">
        <v>6</v>
      </c>
      <c r="L22" s="187" t="s">
        <v>377</v>
      </c>
      <c r="M22" s="182"/>
      <c r="N22" s="182"/>
      <c r="O22" s="182"/>
      <c r="P22" s="182"/>
      <c r="Q22" s="182"/>
      <c r="R22" s="182"/>
      <c r="S22" s="182"/>
      <c r="T22" s="182"/>
      <c r="U22" s="182"/>
      <c r="V22" s="182"/>
      <c r="W22" s="182"/>
    </row>
    <row r="23" spans="1:29" ht="13">
      <c r="A23" s="188"/>
      <c r="B23" s="189" t="e" vm="2">
        <v>#VALUE!</v>
      </c>
      <c r="C23" s="190" t="str" cm="1">
        <f t="array" aca="1" ref="C23" ca="1">IFERROR(_FV(B23,"Ticker symbol",TRUE),"")</f>
        <v>AAPL</v>
      </c>
      <c r="D23" s="214">
        <v>100</v>
      </c>
      <c r="E23" s="214">
        <v>180</v>
      </c>
      <c r="F23" s="191" cm="1">
        <f t="array" aca="1" ref="F23" ca="1">IFERROR(_FV(B23,"Price"),"")</f>
        <v>213.55</v>
      </c>
      <c r="G23" s="209">
        <f>IFERROR(D23*E23,"")</f>
        <v>18000</v>
      </c>
      <c r="H23" s="191">
        <f ca="1">IFERROR(D23*F23,"")</f>
        <v>21355</v>
      </c>
      <c r="I23" s="192">
        <f ca="1">IFERROR(H23-G23,"")</f>
        <v>3355</v>
      </c>
      <c r="J23" s="193">
        <f ca="1">IFERROR((F23-E23)/E23,"")</f>
        <v>0.18638888888888897</v>
      </c>
      <c r="K23" s="194" cm="1">
        <f t="array" aca="1" ref="K23" ca="1">IFERROR(_FV(B23,"Beta"),"")</f>
        <v>1.1660999999999999</v>
      </c>
      <c r="L23" s="195">
        <f ca="1">IFERROR(H23/Portfolio!$C$7,"")</f>
        <v>7.6884996534684655E-2</v>
      </c>
      <c r="M23" s="196"/>
      <c r="N23" s="182" t="s">
        <v>387</v>
      </c>
      <c r="O23" s="182"/>
      <c r="P23" s="182"/>
      <c r="Q23" s="182"/>
      <c r="R23" s="182"/>
      <c r="S23" s="182"/>
      <c r="T23" s="182"/>
      <c r="U23" s="182"/>
      <c r="V23" s="182"/>
      <c r="W23" s="182"/>
    </row>
    <row r="24" spans="1:29" ht="13">
      <c r="A24" s="197"/>
      <c r="B24" s="198" t="e" vm="3">
        <v>#VALUE!</v>
      </c>
      <c r="C24" s="190" t="str" cm="1">
        <f t="array" aca="1" ref="C24" ca="1">IFERROR(_FV(B24,"Ticker symbol",TRUE),"")</f>
        <v>GOOG</v>
      </c>
      <c r="D24" s="214">
        <v>100</v>
      </c>
      <c r="E24" s="215">
        <v>200</v>
      </c>
      <c r="F24" s="191" cm="1">
        <f t="array" aca="1" ref="F24" ca="1">IFERROR(_FV(B24,"Price"),"")</f>
        <v>180.55</v>
      </c>
      <c r="G24" s="209">
        <f t="shared" ref="G24:G33" si="0">IFERROR(D24*E24,"")</f>
        <v>20000</v>
      </c>
      <c r="H24" s="191">
        <f t="shared" ref="H24" ca="1" si="1">IFERROR(D24*F24,"")</f>
        <v>18055</v>
      </c>
      <c r="I24" s="192">
        <f t="shared" ref="I24:I87" ca="1" si="2">IFERROR(H24-G24,"")</f>
        <v>-1945</v>
      </c>
      <c r="J24" s="193">
        <f t="shared" ref="J24:J87" ca="1" si="3">IFERROR((F24-E24)/E24,"")</f>
        <v>-9.7249999999999948E-2</v>
      </c>
      <c r="K24" s="194" cm="1">
        <f t="array" aca="1" ref="K24" ca="1">IFERROR(_FV(B24,"Beta"),"")</f>
        <v>1.0092000000000001</v>
      </c>
      <c r="L24" s="195">
        <f ca="1">IFERROR(H24/Portfolio!$C$7,"")</f>
        <v>6.5003915356297418E-2</v>
      </c>
      <c r="M24" s="196"/>
      <c r="N24" s="177"/>
      <c r="O24" s="177"/>
      <c r="P24" s="177"/>
      <c r="Q24" s="177"/>
      <c r="R24" s="177"/>
      <c r="S24" s="177"/>
      <c r="T24" s="177"/>
      <c r="U24" s="177"/>
      <c r="V24" s="177"/>
      <c r="W24" s="177"/>
    </row>
    <row r="25" spans="1:29" ht="13">
      <c r="A25" s="197"/>
      <c r="B25" s="198" t="e" vm="4">
        <v>#VALUE!</v>
      </c>
      <c r="C25" s="190" t="str" cm="1">
        <f t="array" aca="1" ref="C25" ca="1">IFERROR(_FV(B25,"Ticker symbol",TRUE),"")</f>
        <v>SPY</v>
      </c>
      <c r="D25" s="215">
        <v>50</v>
      </c>
      <c r="E25" s="215">
        <v>500</v>
      </c>
      <c r="F25" s="191" cm="1">
        <f t="array" aca="1" ref="F25" ca="1">IFERROR(_FV(B25,"Price"),"")</f>
        <v>625.34</v>
      </c>
      <c r="G25" s="209">
        <f t="shared" si="0"/>
        <v>25000</v>
      </c>
      <c r="H25" s="191">
        <f ca="1">IFERROR(D25*F25,"")</f>
        <v>31267</v>
      </c>
      <c r="I25" s="192">
        <f t="shared" ca="1" si="2"/>
        <v>6267</v>
      </c>
      <c r="J25" s="193">
        <f t="shared" ca="1" si="3"/>
        <v>0.25068000000000007</v>
      </c>
      <c r="K25" s="194" cm="1">
        <f t="array" aca="1" ref="K25" ca="1">IFERROR(_FV(B25,"Beta"),"")</f>
        <v>0.99819999999999998</v>
      </c>
      <c r="L25" s="195">
        <f ca="1">IFERROR(H25/Portfolio!$C$7,"")</f>
        <v>0.11257144400140413</v>
      </c>
      <c r="M25" s="196"/>
      <c r="N25" s="177"/>
      <c r="O25" s="177"/>
      <c r="P25" s="177"/>
      <c r="Q25" s="177"/>
      <c r="R25" s="177"/>
      <c r="S25" s="177"/>
      <c r="T25" s="177"/>
      <c r="U25" s="177"/>
      <c r="V25" s="177"/>
      <c r="W25" s="177"/>
    </row>
    <row r="26" spans="1:29" ht="14">
      <c r="A26" s="199"/>
      <c r="B26" s="200" t="e" vm="5">
        <v>#VALUE!</v>
      </c>
      <c r="C26" s="190" t="str" cm="1">
        <f t="array" aca="1" ref="C26" ca="1">IFERROR(_FV(B26,"Ticker symbol",TRUE),"")</f>
        <v>MSFT</v>
      </c>
      <c r="D26" s="215">
        <v>100</v>
      </c>
      <c r="E26" s="215">
        <v>600</v>
      </c>
      <c r="F26" s="191" cm="1">
        <f t="array" aca="1" ref="F26" ca="1">IFERROR(_FV(B26,"Price"),"")</f>
        <v>498.84</v>
      </c>
      <c r="G26" s="209">
        <f t="shared" si="0"/>
        <v>60000</v>
      </c>
      <c r="H26" s="191">
        <f t="shared" ref="H26:H89" ca="1" si="4">IFERROR(D26*F26,"")</f>
        <v>49884</v>
      </c>
      <c r="I26" s="192">
        <f t="shared" ca="1" si="2"/>
        <v>-10116</v>
      </c>
      <c r="J26" s="193">
        <f t="shared" ca="1" si="3"/>
        <v>-0.16860000000000006</v>
      </c>
      <c r="K26" s="194" cm="1">
        <f t="array" aca="1" ref="K26" ca="1">IFERROR(_FV(B26,"Beta"),"")</f>
        <v>1.0511999999999999</v>
      </c>
      <c r="L26" s="195">
        <f ca="1">IFERROR(H26/Portfolio!$C$7,"")</f>
        <v>0.17959874348565719</v>
      </c>
      <c r="M26" s="196"/>
      <c r="N26" s="177"/>
      <c r="O26" s="177"/>
      <c r="P26" s="177"/>
      <c r="Q26" s="177"/>
      <c r="R26" s="177"/>
      <c r="S26" s="177"/>
      <c r="T26" s="177"/>
      <c r="U26" s="177"/>
      <c r="V26" s="177"/>
      <c r="W26" s="177"/>
    </row>
    <row r="27" spans="1:29" ht="13">
      <c r="A27" s="201"/>
      <c r="B27" s="202" t="e" vm="6">
        <v>#VALUE!</v>
      </c>
      <c r="C27" s="190" t="str" cm="1">
        <f t="array" aca="1" ref="C27" ca="1">IFERROR(_FV(B27,"Ticker symbol",TRUE),"")</f>
        <v>JNJ</v>
      </c>
      <c r="D27" s="215">
        <v>100</v>
      </c>
      <c r="E27" s="215">
        <v>100</v>
      </c>
      <c r="F27" s="191" cm="1">
        <f t="array" aca="1" ref="F27" ca="1">IFERROR(_FV(B27,"Price"),"")</f>
        <v>156.01</v>
      </c>
      <c r="G27" s="209">
        <f t="shared" si="0"/>
        <v>10000</v>
      </c>
      <c r="H27" s="191">
        <f t="shared" ca="1" si="4"/>
        <v>15601</v>
      </c>
      <c r="I27" s="192">
        <f t="shared" ca="1" si="2"/>
        <v>5601</v>
      </c>
      <c r="J27" s="193">
        <f t="shared" ca="1" si="3"/>
        <v>0.56009999999999993</v>
      </c>
      <c r="K27" s="194" cm="1">
        <f t="array" aca="1" ref="K27" ca="1">IFERROR(_FV(B27,"Beta"),"")</f>
        <v>0.39419999999999999</v>
      </c>
      <c r="L27" s="195">
        <f ca="1">IFERROR(H27/Portfolio!$C$7,"")</f>
        <v>5.6168711352733096E-2</v>
      </c>
      <c r="M27" s="196"/>
      <c r="N27" s="177"/>
      <c r="O27" s="177"/>
      <c r="P27" s="177"/>
      <c r="Q27" s="177"/>
      <c r="R27" s="177"/>
      <c r="S27" s="177"/>
      <c r="T27" s="177"/>
      <c r="U27" s="177"/>
      <c r="V27" s="177"/>
      <c r="W27" s="177"/>
    </row>
    <row r="28" spans="1:29" ht="14">
      <c r="A28" s="199"/>
      <c r="B28" s="200" t="e" vm="7">
        <v>#VALUE!</v>
      </c>
      <c r="C28" s="190" t="str" cm="1">
        <f t="array" aca="1" ref="C28" ca="1">IFERROR(_FV(B28,"Ticker symbol",TRUE),"")</f>
        <v>NVDA</v>
      </c>
      <c r="D28" s="215">
        <v>100</v>
      </c>
      <c r="E28" s="215">
        <v>120</v>
      </c>
      <c r="F28" s="191" cm="1">
        <f t="array" aca="1" ref="F28" ca="1">IFERROR(_FV(B28,"Price"),"")</f>
        <v>159.34</v>
      </c>
      <c r="G28" s="209">
        <f t="shared" si="0"/>
        <v>12000</v>
      </c>
      <c r="H28" s="191">
        <f t="shared" ca="1" si="4"/>
        <v>15934</v>
      </c>
      <c r="I28" s="192">
        <f t="shared" ca="1" si="2"/>
        <v>3934</v>
      </c>
      <c r="J28" s="193">
        <f t="shared" ca="1" si="3"/>
        <v>0.32783333333333337</v>
      </c>
      <c r="K28" s="194" cm="1">
        <f t="array" aca="1" ref="K28" ca="1">IFERROR(_FV(B28,"Beta"),"")</f>
        <v>2.1406999999999998</v>
      </c>
      <c r="L28" s="195">
        <f ca="1">IFERROR(H28/Portfolio!$C$7,"")</f>
        <v>5.7367620453461263E-2</v>
      </c>
      <c r="M28" s="196"/>
      <c r="N28" s="177"/>
      <c r="O28" s="177"/>
      <c r="P28" s="177"/>
      <c r="Q28" s="177"/>
      <c r="R28" s="177"/>
      <c r="S28" s="177"/>
      <c r="T28" s="177"/>
      <c r="U28" s="177"/>
      <c r="V28" s="177"/>
      <c r="W28" s="177"/>
    </row>
    <row r="29" spans="1:29" ht="13">
      <c r="A29" s="188"/>
      <c r="B29" s="189" t="e" vm="8">
        <v>#VALUE!</v>
      </c>
      <c r="C29" s="190" t="str" cm="1">
        <f t="array" aca="1" ref="C29" ca="1">IFERROR(_FV(B29,"Ticker symbol",TRUE),"")</f>
        <v>UNH</v>
      </c>
      <c r="D29" s="215">
        <v>100</v>
      </c>
      <c r="E29" s="214">
        <v>300</v>
      </c>
      <c r="F29" s="191" cm="1">
        <f t="array" aca="1" ref="F29" ca="1">IFERROR(_FV(B29,"Price"),"")</f>
        <v>308.55</v>
      </c>
      <c r="G29" s="209">
        <f t="shared" si="0"/>
        <v>30000</v>
      </c>
      <c r="H29" s="191">
        <f t="shared" ca="1" si="4"/>
        <v>30855</v>
      </c>
      <c r="I29" s="192">
        <f t="shared" ca="1" si="2"/>
        <v>855</v>
      </c>
      <c r="J29" s="193">
        <f t="shared" ca="1" si="3"/>
        <v>2.8500000000000039E-2</v>
      </c>
      <c r="K29" s="194" cm="1">
        <f t="array" aca="1" ref="K29" ca="1">IFERROR(_FV(B29,"Beta"),"")</f>
        <v>0.45569999999999999</v>
      </c>
      <c r="L29" s="195">
        <f ca="1">IFERROR(H29/Portfolio!$C$7,"")</f>
        <v>0.11108810901792063</v>
      </c>
      <c r="M29" s="196"/>
      <c r="N29" s="177"/>
      <c r="O29" s="177"/>
      <c r="P29" s="177"/>
      <c r="Q29" s="177"/>
      <c r="R29" s="177"/>
      <c r="S29" s="177"/>
      <c r="T29" s="177"/>
      <c r="U29" s="177"/>
      <c r="V29" s="177"/>
      <c r="W29" s="177"/>
    </row>
    <row r="30" spans="1:29" ht="13">
      <c r="A30" s="188"/>
      <c r="B30" s="189" t="e" vm="9">
        <v>#VALUE!</v>
      </c>
      <c r="C30" s="190" t="str" cm="1">
        <f t="array" aca="1" ref="C30" ca="1">IFERROR(_FV(B30,"Ticker symbol",TRUE),"")</f>
        <v>JPM</v>
      </c>
      <c r="D30" s="215">
        <v>110</v>
      </c>
      <c r="E30" s="215">
        <v>200</v>
      </c>
      <c r="F30" s="191" cm="1">
        <f t="array" aca="1" ref="F30" ca="1">IFERROR(_FV(B30,"Price"),"")</f>
        <v>296</v>
      </c>
      <c r="G30" s="209">
        <f t="shared" si="0"/>
        <v>22000</v>
      </c>
      <c r="H30" s="191">
        <f t="shared" ca="1" si="4"/>
        <v>32560</v>
      </c>
      <c r="I30" s="192">
        <f t="shared" ca="1" si="2"/>
        <v>10560</v>
      </c>
      <c r="J30" s="193">
        <f t="shared" ca="1" si="3"/>
        <v>0.48</v>
      </c>
      <c r="K30" s="194" cm="1">
        <f t="array" aca="1" ref="K30" ca="1">IFERROR(_FV(B30,"Beta"),"")</f>
        <v>1.1076999999999999</v>
      </c>
      <c r="L30" s="195">
        <f ca="1">IFERROR(H30/Portfolio!$C$7,"")</f>
        <v>0.11722666762675403</v>
      </c>
      <c r="M30" s="196"/>
      <c r="N30" s="177"/>
      <c r="O30" s="177"/>
      <c r="P30" s="177"/>
      <c r="Q30" s="177"/>
      <c r="R30" s="177"/>
      <c r="S30" s="177"/>
      <c r="T30" s="177"/>
      <c r="U30" s="177"/>
      <c r="V30" s="177"/>
      <c r="W30" s="177"/>
    </row>
    <row r="31" spans="1:29" ht="13">
      <c r="A31" s="201"/>
      <c r="B31" s="202" t="e" vm="10">
        <v>#VALUE!</v>
      </c>
      <c r="C31" s="190" t="str" cm="1">
        <f t="array" aca="1" ref="C31" ca="1">IFERROR(_FV(B31,"Ticker symbol",TRUE),"")</f>
        <v>XOM</v>
      </c>
      <c r="D31" s="215">
        <v>50</v>
      </c>
      <c r="E31" s="215">
        <v>150</v>
      </c>
      <c r="F31" s="191" cm="1">
        <f t="array" aca="1" ref="F31" ca="1">IFERROR(_FV(B31,"Price"),"")</f>
        <v>112.2</v>
      </c>
      <c r="G31" s="209">
        <f t="shared" si="0"/>
        <v>7500</v>
      </c>
      <c r="H31" s="191">
        <f t="shared" ca="1" si="4"/>
        <v>5610</v>
      </c>
      <c r="I31" s="192">
        <f t="shared" ca="1" si="2"/>
        <v>-1890</v>
      </c>
      <c r="J31" s="193">
        <f t="shared" ca="1" si="3"/>
        <v>-0.252</v>
      </c>
      <c r="K31" s="194" cm="1">
        <f t="array" aca="1" ref="K31" ca="1">IFERROR(_FV(B31,"Beta"),"")</f>
        <v>0.50139999999999996</v>
      </c>
      <c r="L31" s="195">
        <f ca="1">IFERROR(H31/Portfolio!$C$7,"")</f>
        <v>2.0197838003258296E-2</v>
      </c>
      <c r="M31" s="196"/>
      <c r="N31" s="177"/>
      <c r="O31" s="177"/>
      <c r="P31" s="177"/>
      <c r="Q31" s="177"/>
      <c r="R31" s="177"/>
      <c r="S31" s="177"/>
      <c r="T31" s="177"/>
      <c r="U31" s="177"/>
      <c r="V31" s="177"/>
      <c r="W31" s="177"/>
    </row>
    <row r="32" spans="1:29" ht="14">
      <c r="A32" s="199"/>
      <c r="B32" s="200" t="e" vm="11">
        <v>#VALUE!</v>
      </c>
      <c r="C32" s="190" t="str" cm="1">
        <f t="array" aca="1" ref="C32" ca="1">IFERROR(_FV(B32,"Ticker symbol",TRUE),"")</f>
        <v>SNAP</v>
      </c>
      <c r="D32" s="215">
        <v>1000</v>
      </c>
      <c r="E32" s="215">
        <v>10</v>
      </c>
      <c r="F32" s="191" cm="1">
        <f t="array" aca="1" ref="F32" ca="1">IFERROR(_FV(B32,"Price"),"")</f>
        <v>9.27</v>
      </c>
      <c r="G32" s="209">
        <f t="shared" si="0"/>
        <v>10000</v>
      </c>
      <c r="H32" s="191">
        <f t="shared" ca="1" si="4"/>
        <v>9270</v>
      </c>
      <c r="I32" s="192">
        <f t="shared" ca="1" si="2"/>
        <v>-730</v>
      </c>
      <c r="J32" s="193">
        <f t="shared" ca="1" si="3"/>
        <v>-7.3000000000000037E-2</v>
      </c>
      <c r="K32" s="194" cm="1">
        <f t="array" aca="1" ref="K32" ca="1">IFERROR(_FV(B32,"Beta"),"")</f>
        <v>0.61609999999999998</v>
      </c>
      <c r="L32" s="195">
        <f ca="1">IFERROR(H32/Portfolio!$C$7,"")</f>
        <v>3.3375037128378686E-2</v>
      </c>
      <c r="M32" s="196"/>
      <c r="N32" s="177"/>
      <c r="O32" s="177"/>
      <c r="P32" s="177"/>
      <c r="Q32" s="177"/>
      <c r="R32" s="177"/>
      <c r="S32" s="177"/>
      <c r="T32" s="177"/>
      <c r="U32" s="177"/>
      <c r="V32" s="177"/>
      <c r="W32" s="177"/>
    </row>
    <row r="33" spans="1:23" ht="13">
      <c r="A33" s="188"/>
      <c r="B33" s="189" t="e" vm="12">
        <v>#VALUE!</v>
      </c>
      <c r="C33" s="190" t="str" cm="1">
        <f t="array" aca="1" ref="C33" ca="1">IFERROR(_FV(B33,"Ticker symbol",TRUE),"")</f>
        <v>META</v>
      </c>
      <c r="D33" s="214">
        <v>50</v>
      </c>
      <c r="E33" s="214">
        <v>500</v>
      </c>
      <c r="F33" s="212" cm="1">
        <f t="array" aca="1" ref="F33" ca="1">IFERROR(_FV(B33,"Price"),"")</f>
        <v>719.01</v>
      </c>
      <c r="G33" s="213">
        <f t="shared" si="0"/>
        <v>25000</v>
      </c>
      <c r="H33" s="212">
        <f t="shared" ca="1" si="4"/>
        <v>35950.5</v>
      </c>
      <c r="I33" s="203">
        <f t="shared" ca="1" si="2"/>
        <v>10950.5</v>
      </c>
      <c r="J33" s="193">
        <f t="shared" ca="1" si="3"/>
        <v>0.43801999999999996</v>
      </c>
      <c r="K33" s="194" cm="1">
        <f t="array" aca="1" ref="K33" ca="1">IFERROR(_FV(B33,"Beta"),"")</f>
        <v>1.2725</v>
      </c>
      <c r="L33" s="195">
        <f ca="1">IFERROR(H33/Portfolio!$C$7,"")</f>
        <v>0.12943357845563946</v>
      </c>
      <c r="M33" s="196"/>
      <c r="N33" s="177"/>
      <c r="O33" s="177"/>
      <c r="P33" s="177"/>
      <c r="Q33" s="177"/>
      <c r="R33" s="177"/>
      <c r="S33" s="177"/>
      <c r="T33" s="177"/>
      <c r="U33" s="177"/>
      <c r="V33" s="177"/>
      <c r="W33" s="177"/>
    </row>
    <row r="34" spans="1:23" ht="13">
      <c r="A34" s="188"/>
      <c r="B34" s="189" t="e" vm="13">
        <v>#VALUE!</v>
      </c>
      <c r="C34" s="190" t="str" cm="1">
        <f t="array" aca="1" ref="C34" ca="1">IFERROR(_FV(B34,"Ticker symbol",TRUE),"")</f>
        <v>DG</v>
      </c>
      <c r="D34" s="214">
        <v>100</v>
      </c>
      <c r="E34" s="214">
        <v>99</v>
      </c>
      <c r="F34" s="212" cm="1">
        <f t="array" aca="1" ref="F34" ca="1">IFERROR(_FV(B34,"Price"),"")</f>
        <v>114.11</v>
      </c>
      <c r="G34" s="213">
        <f t="shared" ref="G34:G97" si="5">IFERROR(D34*E34,"")</f>
        <v>9900</v>
      </c>
      <c r="H34" s="212">
        <f t="shared" ca="1" si="4"/>
        <v>11411</v>
      </c>
      <c r="I34" s="192">
        <f t="shared" ca="1" si="2"/>
        <v>1511</v>
      </c>
      <c r="J34" s="193">
        <f t="shared" ca="1" si="3"/>
        <v>0.15262626262626261</v>
      </c>
      <c r="K34" s="194" cm="1">
        <f t="array" aca="1" ref="K34" ca="1">IFERROR(_FV(B34,"Beta"),"")</f>
        <v>0.31819999999999998</v>
      </c>
      <c r="L34" s="195">
        <f ca="1">IFERROR(H34/Portfolio!$C$7,"")</f>
        <v>4.1083338583811128E-2</v>
      </c>
      <c r="M34" s="196"/>
      <c r="N34" s="177"/>
      <c r="O34" s="177"/>
      <c r="P34" s="177"/>
      <c r="Q34" s="177"/>
      <c r="R34" s="177"/>
      <c r="S34" s="177"/>
      <c r="T34" s="177"/>
      <c r="U34" s="177"/>
      <c r="V34" s="177"/>
      <c r="W34" s="177"/>
    </row>
    <row r="35" spans="1:23" ht="13">
      <c r="A35" s="161"/>
      <c r="B35" s="174"/>
      <c r="C35" s="190" t="str" cm="1">
        <f t="array" ref="C35">IFERROR(_FV(B35,"Ticker symbol",TRUE),"")</f>
        <v/>
      </c>
      <c r="D35" s="214"/>
      <c r="E35" s="214"/>
      <c r="F35" s="212" t="str" cm="1">
        <f t="array" ref="F35">IFERROR(_FV(B35,"Price"),"")</f>
        <v/>
      </c>
      <c r="G35" s="213">
        <f t="shared" si="5"/>
        <v>0</v>
      </c>
      <c r="H35" s="212" t="str">
        <f t="shared" si="4"/>
        <v/>
      </c>
      <c r="I35" s="192" t="str">
        <f t="shared" si="2"/>
        <v/>
      </c>
      <c r="J35" s="193" t="str">
        <f t="shared" si="3"/>
        <v/>
      </c>
      <c r="K35" s="194" t="str" cm="1">
        <f t="array" ref="K35">IFERROR(_FV(B35,"Beta"),"")</f>
        <v/>
      </c>
      <c r="L35" s="195" t="str">
        <f ca="1">IFERROR(H35/Portfolio!$C$7,"")</f>
        <v/>
      </c>
      <c r="M35" s="196"/>
      <c r="N35" s="177"/>
      <c r="O35" s="177"/>
      <c r="P35" s="177"/>
      <c r="Q35" s="177"/>
      <c r="R35" s="177"/>
      <c r="S35" s="177"/>
      <c r="T35" s="177"/>
      <c r="U35" s="177"/>
      <c r="V35" s="177"/>
      <c r="W35" s="177"/>
    </row>
    <row r="36" spans="1:23" ht="13">
      <c r="A36" s="161"/>
      <c r="B36" s="174"/>
      <c r="C36" s="190" t="str" cm="1">
        <f t="array" ref="C36">IFERROR(_FV(B36,"Ticker symbol",TRUE),"")</f>
        <v/>
      </c>
      <c r="D36" s="214"/>
      <c r="E36" s="214"/>
      <c r="F36" s="212" t="str" cm="1">
        <f t="array" ref="F36">IFERROR(_FV(B36,"Price"),"")</f>
        <v/>
      </c>
      <c r="G36" s="213">
        <f t="shared" si="5"/>
        <v>0</v>
      </c>
      <c r="H36" s="212" t="str">
        <f t="shared" si="4"/>
        <v/>
      </c>
      <c r="I36" s="192" t="str">
        <f t="shared" si="2"/>
        <v/>
      </c>
      <c r="J36" s="193" t="str">
        <f t="shared" si="3"/>
        <v/>
      </c>
      <c r="K36" s="194" t="str" cm="1">
        <f t="array" ref="K36">IFERROR(_FV(B36,"Beta"),"")</f>
        <v/>
      </c>
      <c r="L36" s="195" t="str">
        <f ca="1">IFERROR(H36/Portfolio!$C$7,"")</f>
        <v/>
      </c>
      <c r="M36" s="196"/>
      <c r="N36" s="177"/>
      <c r="O36" s="177"/>
      <c r="P36" s="177"/>
      <c r="Q36" s="177"/>
      <c r="R36" s="177"/>
      <c r="S36" s="177"/>
      <c r="T36" s="177"/>
      <c r="U36" s="177"/>
      <c r="V36" s="177"/>
      <c r="W36" s="177"/>
    </row>
    <row r="37" spans="1:23" ht="13">
      <c r="A37" s="161"/>
      <c r="B37" s="174"/>
      <c r="C37" s="190" t="str" cm="1">
        <f t="array" ref="C37">IFERROR(_FV(B37,"Ticker symbol",TRUE),"")</f>
        <v/>
      </c>
      <c r="D37" s="214"/>
      <c r="E37" s="214"/>
      <c r="F37" s="212" t="str" cm="1">
        <f t="array" ref="F37">IFERROR(_FV(B37,"Price"),"")</f>
        <v/>
      </c>
      <c r="G37" s="213">
        <f t="shared" si="5"/>
        <v>0</v>
      </c>
      <c r="H37" s="212" t="str">
        <f t="shared" si="4"/>
        <v/>
      </c>
      <c r="I37" s="192" t="str">
        <f t="shared" si="2"/>
        <v/>
      </c>
      <c r="J37" s="193" t="str">
        <f t="shared" si="3"/>
        <v/>
      </c>
      <c r="K37" s="194" t="str" cm="1">
        <f t="array" ref="K37">IFERROR(_FV(B37,"Beta"),"")</f>
        <v/>
      </c>
      <c r="L37" s="195" t="str">
        <f ca="1">IFERROR(H37/Portfolio!$C$7,"")</f>
        <v/>
      </c>
      <c r="M37" s="196"/>
      <c r="N37" s="177"/>
      <c r="O37" s="177"/>
      <c r="P37" s="177"/>
      <c r="Q37" s="177"/>
      <c r="R37" s="177"/>
      <c r="S37" s="177"/>
      <c r="T37" s="177"/>
      <c r="U37" s="177"/>
      <c r="V37" s="177"/>
      <c r="W37" s="177"/>
    </row>
    <row r="38" spans="1:23" ht="13">
      <c r="A38" s="161"/>
      <c r="B38" s="174"/>
      <c r="C38" s="190" t="str" cm="1">
        <f t="array" ref="C38">IFERROR(_FV(B38,"Ticker symbol",TRUE),"")</f>
        <v/>
      </c>
      <c r="D38" s="214"/>
      <c r="E38" s="214"/>
      <c r="F38" s="212" t="str" cm="1">
        <f t="array" ref="F38">IFERROR(_FV(B38,"Price"),"")</f>
        <v/>
      </c>
      <c r="G38" s="213">
        <f t="shared" si="5"/>
        <v>0</v>
      </c>
      <c r="H38" s="212" t="str">
        <f t="shared" si="4"/>
        <v/>
      </c>
      <c r="I38" s="192" t="str">
        <f t="shared" si="2"/>
        <v/>
      </c>
      <c r="J38" s="193" t="str">
        <f t="shared" si="3"/>
        <v/>
      </c>
      <c r="K38" s="194" t="str" cm="1">
        <f t="array" ref="K38">IFERROR(_FV(B38,"Beta"),"")</f>
        <v/>
      </c>
      <c r="L38" s="195" t="str">
        <f ca="1">IFERROR(H38/Portfolio!$C$7,"")</f>
        <v/>
      </c>
      <c r="M38" s="196"/>
      <c r="N38" s="177"/>
      <c r="O38" s="177"/>
      <c r="P38" s="177"/>
      <c r="Q38" s="177"/>
      <c r="R38" s="177"/>
      <c r="S38" s="177"/>
      <c r="T38" s="177"/>
      <c r="U38" s="177"/>
      <c r="V38" s="177"/>
      <c r="W38" s="177"/>
    </row>
    <row r="39" spans="1:23" ht="13">
      <c r="A39" s="161"/>
      <c r="B39" s="174"/>
      <c r="C39" s="190" t="str" cm="1">
        <f t="array" ref="C39">IFERROR(_FV(B39,"Ticker symbol",TRUE),"")</f>
        <v/>
      </c>
      <c r="D39" s="214"/>
      <c r="E39" s="214"/>
      <c r="F39" s="212" t="str" cm="1">
        <f t="array" ref="F39">IFERROR(_FV(B39,"Price"),"")</f>
        <v/>
      </c>
      <c r="G39" s="213">
        <f t="shared" si="5"/>
        <v>0</v>
      </c>
      <c r="H39" s="212" t="str">
        <f t="shared" si="4"/>
        <v/>
      </c>
      <c r="I39" s="192" t="str">
        <f t="shared" si="2"/>
        <v/>
      </c>
      <c r="J39" s="193" t="str">
        <f t="shared" si="3"/>
        <v/>
      </c>
      <c r="K39" s="194" t="str" cm="1">
        <f t="array" ref="K39">IFERROR(_FV(B39,"Beta"),"")</f>
        <v/>
      </c>
      <c r="L39" s="195" t="str">
        <f ca="1">IFERROR(H39/Portfolio!$C$7,"")</f>
        <v/>
      </c>
      <c r="M39" s="196"/>
      <c r="N39" s="177"/>
      <c r="O39" s="177"/>
      <c r="P39" s="177"/>
      <c r="Q39" s="177"/>
      <c r="R39" s="177"/>
      <c r="S39" s="177"/>
      <c r="T39" s="177"/>
      <c r="U39" s="177"/>
      <c r="V39" s="177"/>
      <c r="W39" s="177"/>
    </row>
    <row r="40" spans="1:23" ht="13">
      <c r="A40" s="161"/>
      <c r="B40" s="174"/>
      <c r="C40" s="190" t="str" cm="1">
        <f t="array" ref="C40">IFERROR(_FV(B40,"Ticker symbol",TRUE),"")</f>
        <v/>
      </c>
      <c r="D40" s="214"/>
      <c r="E40" s="214"/>
      <c r="F40" s="212" t="str" cm="1">
        <f t="array" ref="F40">IFERROR(_FV(B40,"Price"),"")</f>
        <v/>
      </c>
      <c r="G40" s="213">
        <f t="shared" si="5"/>
        <v>0</v>
      </c>
      <c r="H40" s="212" t="str">
        <f t="shared" si="4"/>
        <v/>
      </c>
      <c r="I40" s="192" t="str">
        <f t="shared" si="2"/>
        <v/>
      </c>
      <c r="J40" s="193" t="str">
        <f t="shared" si="3"/>
        <v/>
      </c>
      <c r="K40" s="194" t="str" cm="1">
        <f t="array" ref="K40">IFERROR(_FV(B40,"Beta"),"")</f>
        <v/>
      </c>
      <c r="L40" s="195" t="str">
        <f ca="1">IFERROR(H40/Portfolio!$C$7,"")</f>
        <v/>
      </c>
      <c r="M40" s="196"/>
      <c r="N40" s="177"/>
      <c r="O40" s="177"/>
      <c r="P40" s="177"/>
      <c r="Q40" s="177"/>
      <c r="R40" s="177"/>
      <c r="S40" s="177"/>
      <c r="T40" s="177"/>
      <c r="U40" s="177"/>
      <c r="V40" s="177"/>
      <c r="W40" s="177"/>
    </row>
    <row r="41" spans="1:23" ht="13">
      <c r="A41" s="161"/>
      <c r="B41" s="174"/>
      <c r="C41" s="190" t="str" cm="1">
        <f t="array" ref="C41">IFERROR(_FV(B41,"Ticker symbol",TRUE),"")</f>
        <v/>
      </c>
      <c r="D41" s="214"/>
      <c r="E41" s="214"/>
      <c r="F41" s="212" t="str" cm="1">
        <f t="array" ref="F41">IFERROR(_FV(B41,"Price"),"")</f>
        <v/>
      </c>
      <c r="G41" s="213">
        <f t="shared" si="5"/>
        <v>0</v>
      </c>
      <c r="H41" s="212" t="str">
        <f t="shared" si="4"/>
        <v/>
      </c>
      <c r="I41" s="192" t="str">
        <f t="shared" si="2"/>
        <v/>
      </c>
      <c r="J41" s="193" t="str">
        <f t="shared" si="3"/>
        <v/>
      </c>
      <c r="K41" s="194" t="str" cm="1">
        <f t="array" ref="K41">IFERROR(_FV(B41,"Beta"),"")</f>
        <v/>
      </c>
      <c r="L41" s="195" t="str">
        <f ca="1">IFERROR(H41/Portfolio!$C$7,"")</f>
        <v/>
      </c>
      <c r="M41" s="196"/>
      <c r="N41" s="177"/>
      <c r="O41" s="177"/>
      <c r="P41" s="177"/>
      <c r="Q41" s="177"/>
      <c r="R41" s="177"/>
      <c r="S41" s="177"/>
      <c r="T41" s="177"/>
      <c r="U41" s="177"/>
      <c r="V41" s="177"/>
      <c r="W41" s="177"/>
    </row>
    <row r="42" spans="1:23" ht="13">
      <c r="A42" s="161"/>
      <c r="B42" s="174"/>
      <c r="C42" s="190" t="str" cm="1">
        <f t="array" ref="C42">IFERROR(_FV(B42,"Ticker symbol",TRUE),"")</f>
        <v/>
      </c>
      <c r="D42" s="214"/>
      <c r="E42" s="214"/>
      <c r="F42" s="212" t="str" cm="1">
        <f t="array" ref="F42">IFERROR(_FV(B42,"Price"),"")</f>
        <v/>
      </c>
      <c r="G42" s="213">
        <f t="shared" si="5"/>
        <v>0</v>
      </c>
      <c r="H42" s="212" t="str">
        <f t="shared" si="4"/>
        <v/>
      </c>
      <c r="I42" s="192" t="str">
        <f t="shared" si="2"/>
        <v/>
      </c>
      <c r="J42" s="193" t="str">
        <f t="shared" si="3"/>
        <v/>
      </c>
      <c r="K42" s="194" t="str" cm="1">
        <f t="array" ref="K42">IFERROR(_FV(B42,"Beta"),"")</f>
        <v/>
      </c>
      <c r="L42" s="195" t="str">
        <f ca="1">IFERROR(H42/Portfolio!$C$7,"")</f>
        <v/>
      </c>
      <c r="M42" s="196"/>
      <c r="N42" s="177"/>
      <c r="O42" s="177"/>
      <c r="P42" s="177"/>
      <c r="Q42" s="177"/>
      <c r="R42" s="177"/>
      <c r="S42" s="177"/>
      <c r="T42" s="177"/>
      <c r="U42" s="177"/>
      <c r="V42" s="177"/>
      <c r="W42" s="177"/>
    </row>
    <row r="43" spans="1:23" ht="13">
      <c r="A43" s="161"/>
      <c r="B43" s="174"/>
      <c r="C43" s="190" t="str" cm="1">
        <f t="array" ref="C43">IFERROR(_FV(B43,"Ticker symbol",TRUE),"")</f>
        <v/>
      </c>
      <c r="D43" s="214"/>
      <c r="E43" s="214"/>
      <c r="F43" s="212" t="str" cm="1">
        <f t="array" ref="F43">IFERROR(_FV(B43,"Price"),"")</f>
        <v/>
      </c>
      <c r="G43" s="213">
        <f t="shared" si="5"/>
        <v>0</v>
      </c>
      <c r="H43" s="212" t="str">
        <f t="shared" si="4"/>
        <v/>
      </c>
      <c r="I43" s="192" t="str">
        <f t="shared" si="2"/>
        <v/>
      </c>
      <c r="J43" s="193" t="str">
        <f t="shared" si="3"/>
        <v/>
      </c>
      <c r="K43" s="194" t="str" cm="1">
        <f t="array" ref="K43">IFERROR(_FV(B43,"Beta"),"")</f>
        <v/>
      </c>
      <c r="L43" s="195" t="str">
        <f ca="1">IFERROR(H43/Portfolio!$C$7,"")</f>
        <v/>
      </c>
      <c r="M43" s="196"/>
      <c r="N43" s="177"/>
      <c r="O43" s="177"/>
      <c r="P43" s="177"/>
      <c r="Q43" s="177"/>
      <c r="R43" s="177"/>
      <c r="S43" s="177"/>
      <c r="T43" s="177"/>
      <c r="U43" s="177"/>
      <c r="V43" s="177"/>
      <c r="W43" s="177"/>
    </row>
    <row r="44" spans="1:23" ht="13">
      <c r="A44" s="161"/>
      <c r="B44" s="174"/>
      <c r="C44" s="190" t="str" cm="1">
        <f t="array" ref="C44">IFERROR(_FV(B44,"Ticker symbol",TRUE),"")</f>
        <v/>
      </c>
      <c r="D44" s="214"/>
      <c r="E44" s="214"/>
      <c r="F44" s="212" t="str" cm="1">
        <f t="array" ref="F44">IFERROR(_FV(B44,"Price"),"")</f>
        <v/>
      </c>
      <c r="G44" s="213">
        <f t="shared" si="5"/>
        <v>0</v>
      </c>
      <c r="H44" s="212" t="str">
        <f t="shared" si="4"/>
        <v/>
      </c>
      <c r="I44" s="192" t="str">
        <f t="shared" si="2"/>
        <v/>
      </c>
      <c r="J44" s="193" t="str">
        <f t="shared" si="3"/>
        <v/>
      </c>
      <c r="K44" s="194" t="str" cm="1">
        <f t="array" ref="K44">IFERROR(_FV(B44,"Beta"),"")</f>
        <v/>
      </c>
      <c r="L44" s="195" t="str">
        <f ca="1">IFERROR(H44/Portfolio!$C$7,"")</f>
        <v/>
      </c>
      <c r="M44" s="196"/>
      <c r="N44" s="177"/>
      <c r="O44" s="177"/>
      <c r="P44" s="177"/>
      <c r="Q44" s="177"/>
      <c r="R44" s="177"/>
      <c r="S44" s="177"/>
      <c r="T44" s="177"/>
      <c r="U44" s="177"/>
      <c r="V44" s="177"/>
      <c r="W44" s="177"/>
    </row>
    <row r="45" spans="1:23" ht="13">
      <c r="A45" s="161"/>
      <c r="B45" s="174"/>
      <c r="C45" s="190" t="str" cm="1">
        <f t="array" ref="C45">IFERROR(_FV(B45,"Ticker symbol",TRUE),"")</f>
        <v/>
      </c>
      <c r="D45" s="214"/>
      <c r="E45" s="214"/>
      <c r="F45" s="212" t="str" cm="1">
        <f t="array" ref="F45">IFERROR(_FV(B45,"Price"),"")</f>
        <v/>
      </c>
      <c r="G45" s="213">
        <f t="shared" si="5"/>
        <v>0</v>
      </c>
      <c r="H45" s="212" t="str">
        <f t="shared" si="4"/>
        <v/>
      </c>
      <c r="I45" s="192" t="str">
        <f t="shared" si="2"/>
        <v/>
      </c>
      <c r="J45" s="193" t="str">
        <f t="shared" si="3"/>
        <v/>
      </c>
      <c r="K45" s="194" t="str" cm="1">
        <f t="array" ref="K45">IFERROR(_FV(B45,"Beta"),"")</f>
        <v/>
      </c>
      <c r="L45" s="195" t="str">
        <f ca="1">IFERROR(H45/Portfolio!$C$7,"")</f>
        <v/>
      </c>
      <c r="M45" s="196"/>
      <c r="N45" s="177"/>
      <c r="O45" s="177"/>
      <c r="P45" s="177"/>
      <c r="Q45" s="177"/>
      <c r="R45" s="177"/>
      <c r="S45" s="177"/>
      <c r="T45" s="177"/>
      <c r="U45" s="177"/>
      <c r="V45" s="177"/>
      <c r="W45" s="177"/>
    </row>
    <row r="46" spans="1:23" ht="13">
      <c r="A46" s="161"/>
      <c r="B46" s="174"/>
      <c r="C46" s="190" t="str" cm="1">
        <f t="array" ref="C46">IFERROR(_FV(B46,"Ticker symbol",TRUE),"")</f>
        <v/>
      </c>
      <c r="D46" s="214"/>
      <c r="E46" s="214"/>
      <c r="F46" s="212" t="str" cm="1">
        <f t="array" ref="F46">IFERROR(_FV(B46,"Price"),"")</f>
        <v/>
      </c>
      <c r="G46" s="213">
        <f t="shared" si="5"/>
        <v>0</v>
      </c>
      <c r="H46" s="212" t="str">
        <f t="shared" si="4"/>
        <v/>
      </c>
      <c r="I46" s="192" t="str">
        <f t="shared" si="2"/>
        <v/>
      </c>
      <c r="J46" s="193" t="str">
        <f t="shared" si="3"/>
        <v/>
      </c>
      <c r="K46" s="194" t="str" cm="1">
        <f t="array" ref="K46">IFERROR(_FV(B46,"Beta"),"")</f>
        <v/>
      </c>
      <c r="L46" s="195" t="str">
        <f ca="1">IFERROR(H46/Portfolio!$C$7,"")</f>
        <v/>
      </c>
      <c r="M46" s="196"/>
      <c r="N46" s="177"/>
      <c r="O46" s="177"/>
      <c r="P46" s="177"/>
      <c r="Q46" s="177"/>
      <c r="R46" s="177"/>
      <c r="S46" s="177"/>
      <c r="T46" s="177"/>
      <c r="U46" s="177"/>
      <c r="V46" s="177"/>
      <c r="W46" s="177"/>
    </row>
    <row r="47" spans="1:23" ht="13">
      <c r="A47" s="161"/>
      <c r="B47" s="174"/>
      <c r="C47" s="190" t="str" cm="1">
        <f t="array" ref="C47">IFERROR(_FV(B47,"Ticker symbol",TRUE),"")</f>
        <v/>
      </c>
      <c r="D47" s="214"/>
      <c r="E47" s="214"/>
      <c r="F47" s="212" t="str" cm="1">
        <f t="array" ref="F47">IFERROR(_FV(B47,"Price"),"")</f>
        <v/>
      </c>
      <c r="G47" s="213">
        <f t="shared" si="5"/>
        <v>0</v>
      </c>
      <c r="H47" s="212" t="str">
        <f t="shared" si="4"/>
        <v/>
      </c>
      <c r="I47" s="192" t="str">
        <f t="shared" si="2"/>
        <v/>
      </c>
      <c r="J47" s="193" t="str">
        <f t="shared" si="3"/>
        <v/>
      </c>
      <c r="K47" s="194" t="str" cm="1">
        <f t="array" ref="K47">IFERROR(_FV(B47,"Beta"),"")</f>
        <v/>
      </c>
      <c r="L47" s="195" t="str">
        <f ca="1">IFERROR(H47/Portfolio!$C$7,"")</f>
        <v/>
      </c>
      <c r="M47" s="196"/>
      <c r="N47" s="177"/>
      <c r="O47" s="177"/>
      <c r="P47" s="177"/>
      <c r="Q47" s="177"/>
      <c r="R47" s="177"/>
      <c r="S47" s="177"/>
      <c r="T47" s="177"/>
      <c r="U47" s="177"/>
      <c r="V47" s="177"/>
      <c r="W47" s="177"/>
    </row>
    <row r="48" spans="1:23" ht="13">
      <c r="A48" s="161"/>
      <c r="B48" s="174"/>
      <c r="C48" s="190" t="str" cm="1">
        <f t="array" ref="C48">IFERROR(_FV(B48,"Ticker symbol",TRUE),"")</f>
        <v/>
      </c>
      <c r="D48" s="214"/>
      <c r="E48" s="214"/>
      <c r="F48" s="212" t="str" cm="1">
        <f t="array" ref="F48">IFERROR(_FV(B48,"Price"),"")</f>
        <v/>
      </c>
      <c r="G48" s="213">
        <f t="shared" si="5"/>
        <v>0</v>
      </c>
      <c r="H48" s="212" t="str">
        <f t="shared" si="4"/>
        <v/>
      </c>
      <c r="I48" s="192" t="str">
        <f t="shared" si="2"/>
        <v/>
      </c>
      <c r="J48" s="193" t="str">
        <f t="shared" si="3"/>
        <v/>
      </c>
      <c r="K48" s="194" t="str" cm="1">
        <f t="array" ref="K48">IFERROR(_FV(B48,"Beta"),"")</f>
        <v/>
      </c>
      <c r="L48" s="195" t="str">
        <f ca="1">IFERROR(H48/Portfolio!$C$7,"")</f>
        <v/>
      </c>
      <c r="M48" s="196"/>
      <c r="N48" s="177"/>
      <c r="O48" s="177"/>
      <c r="P48" s="177"/>
      <c r="Q48" s="177"/>
      <c r="R48" s="177"/>
      <c r="S48" s="177"/>
      <c r="T48" s="177"/>
      <c r="U48" s="177"/>
      <c r="V48" s="177"/>
      <c r="W48" s="177"/>
    </row>
    <row r="49" spans="1:23" ht="13">
      <c r="A49" s="161"/>
      <c r="B49" s="174"/>
      <c r="C49" s="190" t="str" cm="1">
        <f t="array" ref="C49">IFERROR(_FV(B49,"Ticker symbol",TRUE),"")</f>
        <v/>
      </c>
      <c r="D49" s="214"/>
      <c r="E49" s="214"/>
      <c r="F49" s="212" t="str" cm="1">
        <f t="array" ref="F49">IFERROR(_FV(B49,"Price"),"")</f>
        <v/>
      </c>
      <c r="G49" s="213">
        <f t="shared" si="5"/>
        <v>0</v>
      </c>
      <c r="H49" s="212" t="str">
        <f t="shared" si="4"/>
        <v/>
      </c>
      <c r="I49" s="192" t="str">
        <f t="shared" si="2"/>
        <v/>
      </c>
      <c r="J49" s="193" t="str">
        <f t="shared" si="3"/>
        <v/>
      </c>
      <c r="K49" s="194" t="str" cm="1">
        <f t="array" ref="K49">IFERROR(_FV(B49,"Beta"),"")</f>
        <v/>
      </c>
      <c r="L49" s="195" t="str">
        <f ca="1">IFERROR(H49/Portfolio!$C$7,"")</f>
        <v/>
      </c>
      <c r="M49" s="196"/>
      <c r="N49" s="177"/>
      <c r="O49" s="177"/>
      <c r="P49" s="177"/>
      <c r="Q49" s="177"/>
      <c r="R49" s="177"/>
      <c r="S49" s="177"/>
      <c r="T49" s="177"/>
      <c r="U49" s="177"/>
      <c r="V49" s="177"/>
      <c r="W49" s="177"/>
    </row>
    <row r="50" spans="1:23" ht="13">
      <c r="A50" s="161"/>
      <c r="B50" s="174"/>
      <c r="C50" s="190" t="str" cm="1">
        <f t="array" ref="C50">IFERROR(_FV(B50,"Ticker symbol",TRUE),"")</f>
        <v/>
      </c>
      <c r="D50" s="214"/>
      <c r="E50" s="214"/>
      <c r="F50" s="212" t="str" cm="1">
        <f t="array" ref="F50">IFERROR(_FV(B50,"Price"),"")</f>
        <v/>
      </c>
      <c r="G50" s="213">
        <f t="shared" si="5"/>
        <v>0</v>
      </c>
      <c r="H50" s="212" t="str">
        <f t="shared" si="4"/>
        <v/>
      </c>
      <c r="I50" s="192" t="str">
        <f t="shared" si="2"/>
        <v/>
      </c>
      <c r="J50" s="193" t="str">
        <f t="shared" si="3"/>
        <v/>
      </c>
      <c r="K50" s="194" t="str" cm="1">
        <f t="array" ref="K50">IFERROR(_FV(B50,"Beta"),"")</f>
        <v/>
      </c>
      <c r="L50" s="195" t="str">
        <f ca="1">IFERROR(H50/Portfolio!$C$7,"")</f>
        <v/>
      </c>
      <c r="M50" s="196"/>
      <c r="N50" s="177"/>
      <c r="O50" s="177"/>
      <c r="P50" s="177"/>
      <c r="Q50" s="177"/>
      <c r="R50" s="177"/>
      <c r="S50" s="177"/>
      <c r="T50" s="177"/>
      <c r="U50" s="177"/>
      <c r="V50" s="177"/>
      <c r="W50" s="177"/>
    </row>
    <row r="51" spans="1:23" ht="13">
      <c r="A51" s="161"/>
      <c r="B51" s="174"/>
      <c r="C51" s="190" t="str" cm="1">
        <f t="array" ref="C51">IFERROR(_FV(B51,"Ticker symbol",TRUE),"")</f>
        <v/>
      </c>
      <c r="D51" s="214"/>
      <c r="E51" s="214"/>
      <c r="F51" s="212" t="str" cm="1">
        <f t="array" ref="F51">IFERROR(_FV(B51,"Price"),"")</f>
        <v/>
      </c>
      <c r="G51" s="213">
        <f t="shared" si="5"/>
        <v>0</v>
      </c>
      <c r="H51" s="212" t="str">
        <f t="shared" si="4"/>
        <v/>
      </c>
      <c r="I51" s="192" t="str">
        <f t="shared" si="2"/>
        <v/>
      </c>
      <c r="J51" s="193" t="str">
        <f t="shared" si="3"/>
        <v/>
      </c>
      <c r="K51" s="194" t="str" cm="1">
        <f t="array" ref="K51">IFERROR(_FV(B51,"Beta"),"")</f>
        <v/>
      </c>
      <c r="L51" s="195" t="str">
        <f ca="1">IFERROR(H51/Portfolio!$C$7,"")</f>
        <v/>
      </c>
      <c r="M51" s="196"/>
      <c r="N51" s="177"/>
      <c r="O51" s="177"/>
      <c r="P51" s="177"/>
      <c r="Q51" s="177"/>
      <c r="R51" s="177"/>
      <c r="S51" s="177"/>
      <c r="T51" s="177"/>
      <c r="U51" s="177"/>
      <c r="V51" s="177"/>
      <c r="W51" s="177"/>
    </row>
    <row r="52" spans="1:23" ht="13">
      <c r="A52" s="161"/>
      <c r="B52" s="174"/>
      <c r="C52" s="190" t="str" cm="1">
        <f t="array" ref="C52">IFERROR(_FV(B52,"Ticker symbol",TRUE),"")</f>
        <v/>
      </c>
      <c r="D52" s="214"/>
      <c r="E52" s="214"/>
      <c r="F52" s="212" t="str" cm="1">
        <f t="array" ref="F52">IFERROR(_FV(B52,"Price"),"")</f>
        <v/>
      </c>
      <c r="G52" s="213">
        <f t="shared" si="5"/>
        <v>0</v>
      </c>
      <c r="H52" s="212" t="str">
        <f t="shared" si="4"/>
        <v/>
      </c>
      <c r="I52" s="192" t="str">
        <f t="shared" si="2"/>
        <v/>
      </c>
      <c r="J52" s="193" t="str">
        <f t="shared" si="3"/>
        <v/>
      </c>
      <c r="K52" s="194" t="str" cm="1">
        <f t="array" ref="K52">IFERROR(_FV(B52,"Beta"),"")</f>
        <v/>
      </c>
      <c r="L52" s="195" t="str">
        <f ca="1">IFERROR(H52/Portfolio!$C$7,"")</f>
        <v/>
      </c>
      <c r="M52" s="196"/>
      <c r="N52" s="177"/>
      <c r="O52" s="177"/>
      <c r="P52" s="177"/>
      <c r="Q52" s="177"/>
      <c r="R52" s="177"/>
      <c r="S52" s="177"/>
      <c r="T52" s="177"/>
      <c r="U52" s="177"/>
      <c r="V52" s="177"/>
      <c r="W52" s="177"/>
    </row>
    <row r="53" spans="1:23" ht="13">
      <c r="A53" s="161"/>
      <c r="B53" s="174"/>
      <c r="C53" s="190" t="str" cm="1">
        <f t="array" ref="C53">IFERROR(_FV(B53,"Ticker symbol",TRUE),"")</f>
        <v/>
      </c>
      <c r="D53" s="214"/>
      <c r="E53" s="214"/>
      <c r="F53" s="212" t="str" cm="1">
        <f t="array" ref="F53">IFERROR(_FV(B53,"Price"),"")</f>
        <v/>
      </c>
      <c r="G53" s="213">
        <f t="shared" si="5"/>
        <v>0</v>
      </c>
      <c r="H53" s="212" t="str">
        <f t="shared" si="4"/>
        <v/>
      </c>
      <c r="I53" s="192" t="str">
        <f t="shared" si="2"/>
        <v/>
      </c>
      <c r="J53" s="193" t="str">
        <f t="shared" si="3"/>
        <v/>
      </c>
      <c r="K53" s="194" t="str" cm="1">
        <f t="array" ref="K53">IFERROR(_FV(B53,"Beta"),"")</f>
        <v/>
      </c>
      <c r="L53" s="195" t="str">
        <f ca="1">IFERROR(H53/Portfolio!$C$7,"")</f>
        <v/>
      </c>
      <c r="M53" s="196"/>
      <c r="N53" s="177"/>
      <c r="O53" s="177"/>
      <c r="P53" s="177"/>
      <c r="Q53" s="177"/>
      <c r="R53" s="177"/>
      <c r="S53" s="177"/>
      <c r="T53" s="177"/>
      <c r="U53" s="177"/>
      <c r="V53" s="177"/>
      <c r="W53" s="177"/>
    </row>
    <row r="54" spans="1:23" ht="13">
      <c r="A54" s="161"/>
      <c r="B54" s="174"/>
      <c r="C54" s="190" t="str" cm="1">
        <f t="array" ref="C54">IFERROR(_FV(B54,"Ticker symbol",TRUE),"")</f>
        <v/>
      </c>
      <c r="D54" s="214"/>
      <c r="E54" s="214"/>
      <c r="F54" s="212" t="str" cm="1">
        <f t="array" ref="F54">IFERROR(_FV(B54,"Price"),"")</f>
        <v/>
      </c>
      <c r="G54" s="213">
        <f t="shared" si="5"/>
        <v>0</v>
      </c>
      <c r="H54" s="212" t="str">
        <f t="shared" si="4"/>
        <v/>
      </c>
      <c r="I54" s="192" t="str">
        <f t="shared" si="2"/>
        <v/>
      </c>
      <c r="J54" s="193" t="str">
        <f t="shared" si="3"/>
        <v/>
      </c>
      <c r="K54" s="194" t="str" cm="1">
        <f t="array" ref="K54">IFERROR(_FV(B54,"Beta"),"")</f>
        <v/>
      </c>
      <c r="L54" s="195" t="str">
        <f ca="1">IFERROR(H54/Portfolio!$C$7,"")</f>
        <v/>
      </c>
      <c r="M54" s="196"/>
      <c r="N54" s="177"/>
      <c r="O54" s="177"/>
      <c r="P54" s="177"/>
      <c r="Q54" s="177"/>
      <c r="R54" s="177"/>
      <c r="S54" s="177"/>
      <c r="T54" s="177"/>
      <c r="U54" s="177"/>
      <c r="V54" s="177"/>
      <c r="W54" s="177"/>
    </row>
    <row r="55" spans="1:23" ht="13">
      <c r="A55" s="161"/>
      <c r="B55" s="174"/>
      <c r="C55" s="190" t="str" cm="1">
        <f t="array" ref="C55">IFERROR(_FV(B55,"Ticker symbol",TRUE),"")</f>
        <v/>
      </c>
      <c r="D55" s="214"/>
      <c r="E55" s="214"/>
      <c r="F55" s="212" t="str" cm="1">
        <f t="array" ref="F55">IFERROR(_FV(B55,"Price"),"")</f>
        <v/>
      </c>
      <c r="G55" s="213">
        <f t="shared" si="5"/>
        <v>0</v>
      </c>
      <c r="H55" s="212" t="str">
        <f t="shared" si="4"/>
        <v/>
      </c>
      <c r="I55" s="192" t="str">
        <f t="shared" si="2"/>
        <v/>
      </c>
      <c r="J55" s="193" t="str">
        <f t="shared" si="3"/>
        <v/>
      </c>
      <c r="K55" s="194" t="str" cm="1">
        <f t="array" ref="K55">IFERROR(_FV(B55,"Beta"),"")</f>
        <v/>
      </c>
      <c r="L55" s="195" t="str">
        <f ca="1">IFERROR(H55/Portfolio!$C$7,"")</f>
        <v/>
      </c>
      <c r="M55" s="196"/>
      <c r="N55" s="177"/>
      <c r="O55" s="177"/>
      <c r="P55" s="177"/>
      <c r="Q55" s="177"/>
      <c r="R55" s="177"/>
      <c r="S55" s="177"/>
      <c r="T55" s="177"/>
      <c r="U55" s="177"/>
      <c r="V55" s="177"/>
      <c r="W55" s="177"/>
    </row>
    <row r="56" spans="1:23" ht="13">
      <c r="A56" s="161"/>
      <c r="B56" s="174"/>
      <c r="C56" s="190" t="str" cm="1">
        <f t="array" ref="C56">IFERROR(_FV(B56,"Ticker symbol",TRUE),"")</f>
        <v/>
      </c>
      <c r="D56" s="214"/>
      <c r="E56" s="214"/>
      <c r="F56" s="212" t="str" cm="1">
        <f t="array" ref="F56">IFERROR(_FV(B56,"Price"),"")</f>
        <v/>
      </c>
      <c r="G56" s="213">
        <f t="shared" si="5"/>
        <v>0</v>
      </c>
      <c r="H56" s="212" t="str">
        <f t="shared" si="4"/>
        <v/>
      </c>
      <c r="I56" s="192" t="str">
        <f t="shared" si="2"/>
        <v/>
      </c>
      <c r="J56" s="193" t="str">
        <f t="shared" si="3"/>
        <v/>
      </c>
      <c r="K56" s="194" t="str" cm="1">
        <f t="array" ref="K56">IFERROR(_FV(B56,"Beta"),"")</f>
        <v/>
      </c>
      <c r="L56" s="195" t="str">
        <f ca="1">IFERROR(H56/Portfolio!$C$7,"")</f>
        <v/>
      </c>
      <c r="M56" s="196"/>
      <c r="N56" s="177"/>
      <c r="O56" s="177"/>
      <c r="P56" s="177"/>
      <c r="Q56" s="177"/>
      <c r="R56" s="177"/>
      <c r="S56" s="177"/>
      <c r="T56" s="177"/>
      <c r="U56" s="177"/>
      <c r="V56" s="177"/>
      <c r="W56" s="177"/>
    </row>
    <row r="57" spans="1:23" ht="13">
      <c r="A57" s="161"/>
      <c r="B57" s="174"/>
      <c r="C57" s="190" t="str" cm="1">
        <f t="array" ref="C57">IFERROR(_FV(B57,"Ticker symbol",TRUE),"")</f>
        <v/>
      </c>
      <c r="D57" s="214"/>
      <c r="E57" s="214"/>
      <c r="F57" s="212" t="str" cm="1">
        <f t="array" ref="F57">IFERROR(_FV(B57,"Price"),"")</f>
        <v/>
      </c>
      <c r="G57" s="213">
        <f t="shared" si="5"/>
        <v>0</v>
      </c>
      <c r="H57" s="212" t="str">
        <f t="shared" si="4"/>
        <v/>
      </c>
      <c r="I57" s="192" t="str">
        <f t="shared" si="2"/>
        <v/>
      </c>
      <c r="J57" s="193" t="str">
        <f t="shared" si="3"/>
        <v/>
      </c>
      <c r="K57" s="194" t="str" cm="1">
        <f t="array" ref="K57">IFERROR(_FV(B57,"Beta"),"")</f>
        <v/>
      </c>
      <c r="L57" s="195" t="str">
        <f ca="1">IFERROR(H57/Portfolio!$C$7,"")</f>
        <v/>
      </c>
      <c r="M57" s="196"/>
      <c r="N57" s="177"/>
      <c r="O57" s="177"/>
      <c r="P57" s="177"/>
      <c r="Q57" s="177"/>
      <c r="R57" s="177"/>
      <c r="S57" s="177"/>
      <c r="T57" s="177"/>
      <c r="U57" s="177"/>
      <c r="V57" s="177"/>
      <c r="W57" s="177"/>
    </row>
    <row r="58" spans="1:23" ht="13">
      <c r="A58" s="161"/>
      <c r="B58" s="174"/>
      <c r="C58" s="190" t="str" cm="1">
        <f t="array" ref="C58">IFERROR(_FV(B58,"Ticker symbol",TRUE),"")</f>
        <v/>
      </c>
      <c r="D58" s="214"/>
      <c r="E58" s="214"/>
      <c r="F58" s="212" t="str" cm="1">
        <f t="array" ref="F58">IFERROR(_FV(B58,"Price"),"")</f>
        <v/>
      </c>
      <c r="G58" s="213">
        <f t="shared" si="5"/>
        <v>0</v>
      </c>
      <c r="H58" s="212" t="str">
        <f t="shared" si="4"/>
        <v/>
      </c>
      <c r="I58" s="192" t="str">
        <f t="shared" si="2"/>
        <v/>
      </c>
      <c r="J58" s="193" t="str">
        <f t="shared" si="3"/>
        <v/>
      </c>
      <c r="K58" s="194" t="str" cm="1">
        <f t="array" ref="K58">IFERROR(_FV(B58,"Beta"),"")</f>
        <v/>
      </c>
      <c r="L58" s="195" t="str">
        <f ca="1">IFERROR(H58/Portfolio!$C$7,"")</f>
        <v/>
      </c>
      <c r="M58" s="196"/>
      <c r="N58" s="177"/>
      <c r="O58" s="177"/>
      <c r="P58" s="177"/>
      <c r="Q58" s="177"/>
      <c r="R58" s="177"/>
      <c r="S58" s="177"/>
      <c r="T58" s="177"/>
      <c r="U58" s="177"/>
      <c r="V58" s="177"/>
      <c r="W58" s="177"/>
    </row>
    <row r="59" spans="1:23" ht="13">
      <c r="A59" s="161"/>
      <c r="B59" s="174"/>
      <c r="C59" s="190" t="str" cm="1">
        <f t="array" ref="C59">IFERROR(_FV(B59,"Ticker symbol",TRUE),"")</f>
        <v/>
      </c>
      <c r="D59" s="214"/>
      <c r="E59" s="214"/>
      <c r="F59" s="212" t="str" cm="1">
        <f t="array" ref="F59">IFERROR(_FV(B59,"Price"),"")</f>
        <v/>
      </c>
      <c r="G59" s="213">
        <f t="shared" si="5"/>
        <v>0</v>
      </c>
      <c r="H59" s="212" t="str">
        <f t="shared" si="4"/>
        <v/>
      </c>
      <c r="I59" s="192" t="str">
        <f t="shared" si="2"/>
        <v/>
      </c>
      <c r="J59" s="193" t="str">
        <f t="shared" si="3"/>
        <v/>
      </c>
      <c r="K59" s="194" t="str" cm="1">
        <f t="array" ref="K59">IFERROR(_FV(B59,"Beta"),"")</f>
        <v/>
      </c>
      <c r="L59" s="195" t="str">
        <f ca="1">IFERROR(H59/Portfolio!$C$7,"")</f>
        <v/>
      </c>
      <c r="M59" s="196"/>
      <c r="N59" s="177"/>
      <c r="O59" s="177"/>
      <c r="P59" s="177"/>
      <c r="Q59" s="177"/>
      <c r="R59" s="177"/>
      <c r="S59" s="177"/>
      <c r="T59" s="177"/>
      <c r="U59" s="177"/>
      <c r="V59" s="177"/>
      <c r="W59" s="177"/>
    </row>
    <row r="60" spans="1:23" ht="13">
      <c r="A60" s="161"/>
      <c r="B60" s="174"/>
      <c r="C60" s="190" t="str" cm="1">
        <f t="array" ref="C60">IFERROR(_FV(B60,"Ticker symbol",TRUE),"")</f>
        <v/>
      </c>
      <c r="D60" s="214"/>
      <c r="E60" s="214"/>
      <c r="F60" s="212" t="str" cm="1">
        <f t="array" ref="F60">IFERROR(_FV(B60,"Price"),"")</f>
        <v/>
      </c>
      <c r="G60" s="213">
        <f t="shared" si="5"/>
        <v>0</v>
      </c>
      <c r="H60" s="212" t="str">
        <f t="shared" si="4"/>
        <v/>
      </c>
      <c r="I60" s="192" t="str">
        <f t="shared" si="2"/>
        <v/>
      </c>
      <c r="J60" s="193" t="str">
        <f t="shared" si="3"/>
        <v/>
      </c>
      <c r="K60" s="194" t="str" cm="1">
        <f t="array" ref="K60">IFERROR(_FV(B60,"Beta"),"")</f>
        <v/>
      </c>
      <c r="L60" s="195" t="str">
        <f ca="1">IFERROR(H60/Portfolio!$C$7,"")</f>
        <v/>
      </c>
      <c r="M60" s="196"/>
      <c r="N60" s="177"/>
      <c r="O60" s="177"/>
      <c r="P60" s="177"/>
      <c r="Q60" s="177"/>
      <c r="R60" s="177"/>
      <c r="S60" s="177"/>
      <c r="T60" s="177"/>
      <c r="U60" s="177"/>
      <c r="V60" s="177"/>
      <c r="W60" s="177"/>
    </row>
    <row r="61" spans="1:23" ht="13">
      <c r="A61" s="161"/>
      <c r="B61" s="174"/>
      <c r="C61" s="190" t="str" cm="1">
        <f t="array" ref="C61">IFERROR(_FV(B61,"Ticker symbol",TRUE),"")</f>
        <v/>
      </c>
      <c r="D61" s="214"/>
      <c r="E61" s="214"/>
      <c r="F61" s="212" t="str" cm="1">
        <f t="array" ref="F61">IFERROR(_FV(B61,"Price"),"")</f>
        <v/>
      </c>
      <c r="G61" s="213">
        <f t="shared" si="5"/>
        <v>0</v>
      </c>
      <c r="H61" s="212" t="str">
        <f t="shared" si="4"/>
        <v/>
      </c>
      <c r="I61" s="192" t="str">
        <f t="shared" si="2"/>
        <v/>
      </c>
      <c r="J61" s="193" t="str">
        <f t="shared" si="3"/>
        <v/>
      </c>
      <c r="K61" s="194" t="str" cm="1">
        <f t="array" ref="K61">IFERROR(_FV(B61,"Beta"),"")</f>
        <v/>
      </c>
      <c r="L61" s="195" t="str">
        <f ca="1">IFERROR(H61/Portfolio!$C$7,"")</f>
        <v/>
      </c>
      <c r="M61" s="196"/>
      <c r="N61" s="177"/>
      <c r="O61" s="177"/>
      <c r="P61" s="177"/>
      <c r="Q61" s="177"/>
      <c r="R61" s="177"/>
      <c r="S61" s="177"/>
      <c r="T61" s="177"/>
      <c r="U61" s="177"/>
      <c r="V61" s="177"/>
      <c r="W61" s="177"/>
    </row>
    <row r="62" spans="1:23" ht="13">
      <c r="A62" s="161"/>
      <c r="B62" s="174"/>
      <c r="C62" s="190" t="str" cm="1">
        <f t="array" ref="C62">IFERROR(_FV(B62,"Ticker symbol",TRUE),"")</f>
        <v/>
      </c>
      <c r="D62" s="214"/>
      <c r="E62" s="214"/>
      <c r="F62" s="212" t="str" cm="1">
        <f t="array" ref="F62">IFERROR(_FV(B62,"Price"),"")</f>
        <v/>
      </c>
      <c r="G62" s="213">
        <f t="shared" si="5"/>
        <v>0</v>
      </c>
      <c r="H62" s="212" t="str">
        <f t="shared" si="4"/>
        <v/>
      </c>
      <c r="I62" s="192" t="str">
        <f t="shared" si="2"/>
        <v/>
      </c>
      <c r="J62" s="193" t="str">
        <f t="shared" si="3"/>
        <v/>
      </c>
      <c r="K62" s="194" t="str" cm="1">
        <f t="array" ref="K62">IFERROR(_FV(B62,"Beta"),"")</f>
        <v/>
      </c>
      <c r="L62" s="195" t="str">
        <f ca="1">IFERROR(H62/Portfolio!$C$7,"")</f>
        <v/>
      </c>
      <c r="M62" s="196"/>
      <c r="N62" s="177"/>
      <c r="O62" s="177"/>
      <c r="P62" s="177"/>
      <c r="Q62" s="177"/>
      <c r="R62" s="177"/>
      <c r="S62" s="177"/>
      <c r="T62" s="177"/>
      <c r="U62" s="177"/>
      <c r="V62" s="177"/>
      <c r="W62" s="177"/>
    </row>
    <row r="63" spans="1:23" ht="13">
      <c r="A63" s="161"/>
      <c r="B63" s="174"/>
      <c r="C63" s="190" t="str" cm="1">
        <f t="array" ref="C63">IFERROR(_FV(B63,"Ticker symbol",TRUE),"")</f>
        <v/>
      </c>
      <c r="D63" s="214"/>
      <c r="E63" s="214"/>
      <c r="F63" s="212" t="str" cm="1">
        <f t="array" ref="F63">IFERROR(_FV(B63,"Price"),"")</f>
        <v/>
      </c>
      <c r="G63" s="213">
        <f t="shared" si="5"/>
        <v>0</v>
      </c>
      <c r="H63" s="212" t="str">
        <f t="shared" si="4"/>
        <v/>
      </c>
      <c r="I63" s="192" t="str">
        <f t="shared" si="2"/>
        <v/>
      </c>
      <c r="J63" s="193" t="str">
        <f t="shared" si="3"/>
        <v/>
      </c>
      <c r="K63" s="194" t="str" cm="1">
        <f t="array" ref="K63">IFERROR(_FV(B63,"Beta"),"")</f>
        <v/>
      </c>
      <c r="L63" s="195" t="str">
        <f ca="1">IFERROR(H63/Portfolio!$C$7,"")</f>
        <v/>
      </c>
      <c r="M63" s="196"/>
      <c r="N63" s="177"/>
      <c r="O63" s="177"/>
      <c r="P63" s="177"/>
      <c r="Q63" s="177"/>
      <c r="R63" s="177"/>
      <c r="S63" s="177"/>
      <c r="T63" s="177"/>
      <c r="U63" s="177"/>
      <c r="V63" s="177"/>
      <c r="W63" s="177"/>
    </row>
    <row r="64" spans="1:23" ht="13">
      <c r="A64" s="161"/>
      <c r="B64" s="174"/>
      <c r="C64" s="190" t="str" cm="1">
        <f t="array" ref="C64">IFERROR(_FV(B64,"Ticker symbol",TRUE),"")</f>
        <v/>
      </c>
      <c r="D64" s="214"/>
      <c r="E64" s="214"/>
      <c r="F64" s="212" t="str" cm="1">
        <f t="array" ref="F64">IFERROR(_FV(B64,"Price"),"")</f>
        <v/>
      </c>
      <c r="G64" s="213">
        <f t="shared" si="5"/>
        <v>0</v>
      </c>
      <c r="H64" s="212" t="str">
        <f t="shared" si="4"/>
        <v/>
      </c>
      <c r="I64" s="192" t="str">
        <f t="shared" si="2"/>
        <v/>
      </c>
      <c r="J64" s="193" t="str">
        <f t="shared" si="3"/>
        <v/>
      </c>
      <c r="K64" s="194" t="str" cm="1">
        <f t="array" ref="K64">IFERROR(_FV(B64,"Beta"),"")</f>
        <v/>
      </c>
      <c r="L64" s="195" t="str">
        <f ca="1">IFERROR(H64/Portfolio!$C$7,"")</f>
        <v/>
      </c>
      <c r="M64" s="196"/>
      <c r="N64" s="177"/>
      <c r="O64" s="177"/>
      <c r="P64" s="177"/>
      <c r="Q64" s="177"/>
      <c r="R64" s="177"/>
      <c r="S64" s="177"/>
      <c r="T64" s="177"/>
      <c r="U64" s="177"/>
      <c r="V64" s="177"/>
      <c r="W64" s="177"/>
    </row>
    <row r="65" spans="1:23" ht="13">
      <c r="A65" s="161"/>
      <c r="B65" s="174"/>
      <c r="C65" s="190" t="str" cm="1">
        <f t="array" ref="C65">IFERROR(_FV(B65,"Ticker symbol",TRUE),"")</f>
        <v/>
      </c>
      <c r="D65" s="214"/>
      <c r="E65" s="214"/>
      <c r="F65" s="212" t="str" cm="1">
        <f t="array" ref="F65">IFERROR(_FV(B65,"Price"),"")</f>
        <v/>
      </c>
      <c r="G65" s="213">
        <f t="shared" si="5"/>
        <v>0</v>
      </c>
      <c r="H65" s="212" t="str">
        <f t="shared" si="4"/>
        <v/>
      </c>
      <c r="I65" s="192" t="str">
        <f t="shared" si="2"/>
        <v/>
      </c>
      <c r="J65" s="193" t="str">
        <f t="shared" si="3"/>
        <v/>
      </c>
      <c r="K65" s="194" t="str" cm="1">
        <f t="array" ref="K65">IFERROR(_FV(B65,"Beta"),"")</f>
        <v/>
      </c>
      <c r="L65" s="195" t="str">
        <f ca="1">IFERROR(H65/Portfolio!$C$7,"")</f>
        <v/>
      </c>
      <c r="M65" s="196"/>
      <c r="N65" s="177"/>
      <c r="O65" s="177"/>
      <c r="P65" s="177"/>
      <c r="Q65" s="177"/>
      <c r="R65" s="177"/>
      <c r="S65" s="177"/>
      <c r="T65" s="177"/>
      <c r="U65" s="177"/>
      <c r="V65" s="177"/>
      <c r="W65" s="177"/>
    </row>
    <row r="66" spans="1:23" ht="13">
      <c r="A66" s="161"/>
      <c r="B66" s="174"/>
      <c r="C66" s="190" t="str" cm="1">
        <f t="array" ref="C66">IFERROR(_FV(B66,"Ticker symbol",TRUE),"")</f>
        <v/>
      </c>
      <c r="D66" s="214"/>
      <c r="E66" s="214"/>
      <c r="F66" s="212" t="str" cm="1">
        <f t="array" ref="F66">IFERROR(_FV(B66,"Price"),"")</f>
        <v/>
      </c>
      <c r="G66" s="213">
        <f t="shared" si="5"/>
        <v>0</v>
      </c>
      <c r="H66" s="212" t="str">
        <f t="shared" si="4"/>
        <v/>
      </c>
      <c r="I66" s="192" t="str">
        <f t="shared" si="2"/>
        <v/>
      </c>
      <c r="J66" s="193" t="str">
        <f t="shared" si="3"/>
        <v/>
      </c>
      <c r="K66" s="194" t="str" cm="1">
        <f t="array" ref="K66">IFERROR(_FV(B66,"Beta"),"")</f>
        <v/>
      </c>
      <c r="L66" s="195" t="str">
        <f ca="1">IFERROR(H66/Portfolio!$C$7,"")</f>
        <v/>
      </c>
      <c r="M66" s="196"/>
      <c r="N66" s="177"/>
      <c r="O66" s="177"/>
      <c r="P66" s="177"/>
      <c r="Q66" s="177"/>
      <c r="R66" s="177"/>
      <c r="S66" s="177"/>
      <c r="T66" s="177"/>
      <c r="U66" s="177"/>
      <c r="V66" s="177"/>
      <c r="W66" s="177"/>
    </row>
    <row r="67" spans="1:23" ht="13">
      <c r="A67" s="161"/>
      <c r="B67" s="174"/>
      <c r="C67" s="190" t="str" cm="1">
        <f t="array" ref="C67">IFERROR(_FV(B67,"Ticker symbol",TRUE),"")</f>
        <v/>
      </c>
      <c r="D67" s="214"/>
      <c r="E67" s="214"/>
      <c r="F67" s="212" t="str" cm="1">
        <f t="array" ref="F67">IFERROR(_FV(B67,"Price"),"")</f>
        <v/>
      </c>
      <c r="G67" s="213">
        <f t="shared" si="5"/>
        <v>0</v>
      </c>
      <c r="H67" s="212" t="str">
        <f t="shared" si="4"/>
        <v/>
      </c>
      <c r="I67" s="192" t="str">
        <f t="shared" si="2"/>
        <v/>
      </c>
      <c r="J67" s="193" t="str">
        <f t="shared" si="3"/>
        <v/>
      </c>
      <c r="K67" s="194" t="str" cm="1">
        <f t="array" ref="K67">IFERROR(_FV(B67,"Beta"),"")</f>
        <v/>
      </c>
      <c r="L67" s="195" t="str">
        <f ca="1">IFERROR(H67/Portfolio!$C$7,"")</f>
        <v/>
      </c>
      <c r="M67" s="196"/>
      <c r="N67" s="177"/>
      <c r="O67" s="177"/>
      <c r="P67" s="177"/>
      <c r="Q67" s="177"/>
      <c r="R67" s="177"/>
      <c r="S67" s="177"/>
      <c r="T67" s="177"/>
      <c r="U67" s="177"/>
      <c r="V67" s="177"/>
      <c r="W67" s="177"/>
    </row>
    <row r="68" spans="1:23" ht="13">
      <c r="A68" s="161"/>
      <c r="B68" s="174"/>
      <c r="C68" s="190" t="str" cm="1">
        <f t="array" ref="C68">IFERROR(_FV(B68,"Ticker symbol",TRUE),"")</f>
        <v/>
      </c>
      <c r="D68" s="214"/>
      <c r="E68" s="214"/>
      <c r="F68" s="212" t="str" cm="1">
        <f t="array" ref="F68">IFERROR(_FV(B68,"Price"),"")</f>
        <v/>
      </c>
      <c r="G68" s="213">
        <f t="shared" si="5"/>
        <v>0</v>
      </c>
      <c r="H68" s="212" t="str">
        <f t="shared" si="4"/>
        <v/>
      </c>
      <c r="I68" s="192" t="str">
        <f t="shared" si="2"/>
        <v/>
      </c>
      <c r="J68" s="193" t="str">
        <f t="shared" si="3"/>
        <v/>
      </c>
      <c r="K68" s="194" t="str" cm="1">
        <f t="array" ref="K68">IFERROR(_FV(B68,"Beta"),"")</f>
        <v/>
      </c>
      <c r="L68" s="195" t="str">
        <f ca="1">IFERROR(H68/Portfolio!$C$7,"")</f>
        <v/>
      </c>
      <c r="M68" s="196"/>
      <c r="N68" s="177"/>
      <c r="O68" s="177"/>
      <c r="P68" s="177"/>
      <c r="Q68" s="177"/>
      <c r="R68" s="177"/>
      <c r="S68" s="177"/>
      <c r="T68" s="177"/>
      <c r="U68" s="177"/>
      <c r="V68" s="177"/>
      <c r="W68" s="177"/>
    </row>
    <row r="69" spans="1:23" ht="13">
      <c r="A69" s="161"/>
      <c r="B69" s="174"/>
      <c r="C69" s="190" t="str" cm="1">
        <f t="array" ref="C69">IFERROR(_FV(B69,"Ticker symbol",TRUE),"")</f>
        <v/>
      </c>
      <c r="D69" s="214"/>
      <c r="E69" s="214"/>
      <c r="F69" s="212" t="str" cm="1">
        <f t="array" ref="F69">IFERROR(_FV(B69,"Price"),"")</f>
        <v/>
      </c>
      <c r="G69" s="213">
        <f t="shared" si="5"/>
        <v>0</v>
      </c>
      <c r="H69" s="212" t="str">
        <f t="shared" si="4"/>
        <v/>
      </c>
      <c r="I69" s="192" t="str">
        <f t="shared" si="2"/>
        <v/>
      </c>
      <c r="J69" s="193" t="str">
        <f t="shared" si="3"/>
        <v/>
      </c>
      <c r="K69" s="194" t="str" cm="1">
        <f t="array" ref="K69">IFERROR(_FV(B69,"Beta"),"")</f>
        <v/>
      </c>
      <c r="L69" s="195" t="str">
        <f ca="1">IFERROR(H69/Portfolio!$C$7,"")</f>
        <v/>
      </c>
      <c r="M69" s="196"/>
      <c r="N69" s="177"/>
      <c r="O69" s="177"/>
      <c r="P69" s="177"/>
      <c r="Q69" s="177"/>
      <c r="R69" s="177"/>
      <c r="S69" s="177"/>
      <c r="T69" s="177"/>
      <c r="U69" s="177"/>
      <c r="V69" s="177"/>
      <c r="W69" s="177"/>
    </row>
    <row r="70" spans="1:23" ht="13">
      <c r="A70" s="161"/>
      <c r="B70" s="174"/>
      <c r="C70" s="190" t="str" cm="1">
        <f t="array" ref="C70">IFERROR(_FV(B70,"Ticker symbol",TRUE),"")</f>
        <v/>
      </c>
      <c r="D70" s="214"/>
      <c r="E70" s="214"/>
      <c r="F70" s="212" t="str" cm="1">
        <f t="array" ref="F70">IFERROR(_FV(B70,"Price"),"")</f>
        <v/>
      </c>
      <c r="G70" s="213">
        <f t="shared" si="5"/>
        <v>0</v>
      </c>
      <c r="H70" s="212" t="str">
        <f t="shared" si="4"/>
        <v/>
      </c>
      <c r="I70" s="192" t="str">
        <f t="shared" si="2"/>
        <v/>
      </c>
      <c r="J70" s="193" t="str">
        <f t="shared" si="3"/>
        <v/>
      </c>
      <c r="K70" s="194" t="str" cm="1">
        <f t="array" ref="K70">IFERROR(_FV(B70,"Beta"),"")</f>
        <v/>
      </c>
      <c r="L70" s="195" t="str">
        <f ca="1">IFERROR(H70/Portfolio!$C$7,"")</f>
        <v/>
      </c>
      <c r="M70" s="196"/>
      <c r="N70" s="177"/>
      <c r="O70" s="177"/>
      <c r="P70" s="177"/>
      <c r="Q70" s="177"/>
      <c r="R70" s="177"/>
      <c r="S70" s="177"/>
      <c r="T70" s="177"/>
      <c r="U70" s="177"/>
      <c r="V70" s="177"/>
      <c r="W70" s="177"/>
    </row>
    <row r="71" spans="1:23" ht="13">
      <c r="A71" s="161"/>
      <c r="B71" s="174"/>
      <c r="C71" s="190" t="str" cm="1">
        <f t="array" ref="C71">IFERROR(_FV(B71,"Ticker symbol",TRUE),"")</f>
        <v/>
      </c>
      <c r="D71" s="214"/>
      <c r="E71" s="214"/>
      <c r="F71" s="212" t="str" cm="1">
        <f t="array" ref="F71">IFERROR(_FV(B71,"Price"),"")</f>
        <v/>
      </c>
      <c r="G71" s="213">
        <f t="shared" si="5"/>
        <v>0</v>
      </c>
      <c r="H71" s="212" t="str">
        <f t="shared" si="4"/>
        <v/>
      </c>
      <c r="I71" s="192" t="str">
        <f t="shared" si="2"/>
        <v/>
      </c>
      <c r="J71" s="193" t="str">
        <f t="shared" si="3"/>
        <v/>
      </c>
      <c r="K71" s="194" t="str" cm="1">
        <f t="array" ref="K71">IFERROR(_FV(B71,"Beta"),"")</f>
        <v/>
      </c>
      <c r="L71" s="195" t="str">
        <f ca="1">IFERROR(H71/Portfolio!$C$7,"")</f>
        <v/>
      </c>
      <c r="M71" s="196"/>
      <c r="N71" s="177"/>
      <c r="O71" s="177"/>
      <c r="P71" s="177"/>
      <c r="Q71" s="177"/>
      <c r="R71" s="177"/>
      <c r="S71" s="177"/>
      <c r="T71" s="177"/>
      <c r="U71" s="177"/>
      <c r="V71" s="177"/>
      <c r="W71" s="177"/>
    </row>
    <row r="72" spans="1:23" ht="13">
      <c r="A72" s="161"/>
      <c r="B72" s="174"/>
      <c r="C72" s="190" t="str" cm="1">
        <f t="array" ref="C72">IFERROR(_FV(B72,"Ticker symbol",TRUE),"")</f>
        <v/>
      </c>
      <c r="D72" s="214"/>
      <c r="E72" s="214"/>
      <c r="F72" s="212" t="str" cm="1">
        <f t="array" ref="F72">IFERROR(_FV(B72,"Price"),"")</f>
        <v/>
      </c>
      <c r="G72" s="213">
        <f t="shared" si="5"/>
        <v>0</v>
      </c>
      <c r="H72" s="212" t="str">
        <f t="shared" si="4"/>
        <v/>
      </c>
      <c r="I72" s="192" t="str">
        <f t="shared" si="2"/>
        <v/>
      </c>
      <c r="J72" s="193" t="str">
        <f t="shared" si="3"/>
        <v/>
      </c>
      <c r="K72" s="194" t="str" cm="1">
        <f t="array" ref="K72">IFERROR(_FV(B72,"Beta"),"")</f>
        <v/>
      </c>
      <c r="L72" s="195" t="str">
        <f ca="1">IFERROR(H72/Portfolio!$C$7,"")</f>
        <v/>
      </c>
      <c r="M72" s="196"/>
      <c r="N72" s="177"/>
      <c r="O72" s="177"/>
      <c r="P72" s="177"/>
      <c r="Q72" s="177"/>
      <c r="R72" s="177"/>
      <c r="S72" s="177"/>
      <c r="T72" s="177"/>
      <c r="U72" s="177"/>
      <c r="V72" s="177"/>
      <c r="W72" s="177"/>
    </row>
    <row r="73" spans="1:23" ht="13">
      <c r="A73" s="161"/>
      <c r="B73" s="174"/>
      <c r="C73" s="190" t="str" cm="1">
        <f t="array" ref="C73">IFERROR(_FV(B73,"Ticker symbol",TRUE),"")</f>
        <v/>
      </c>
      <c r="D73" s="214"/>
      <c r="E73" s="214"/>
      <c r="F73" s="212" t="str" cm="1">
        <f t="array" ref="F73">IFERROR(_FV(B73,"Price"),"")</f>
        <v/>
      </c>
      <c r="G73" s="213">
        <f t="shared" si="5"/>
        <v>0</v>
      </c>
      <c r="H73" s="212" t="str">
        <f t="shared" si="4"/>
        <v/>
      </c>
      <c r="I73" s="192" t="str">
        <f t="shared" si="2"/>
        <v/>
      </c>
      <c r="J73" s="193" t="str">
        <f t="shared" si="3"/>
        <v/>
      </c>
      <c r="K73" s="194" t="str" cm="1">
        <f t="array" ref="K73">IFERROR(_FV(B73,"Beta"),"")</f>
        <v/>
      </c>
      <c r="L73" s="195" t="str">
        <f ca="1">IFERROR(H73/Portfolio!$C$7,"")</f>
        <v/>
      </c>
      <c r="M73" s="196"/>
      <c r="N73" s="177"/>
      <c r="O73" s="177"/>
      <c r="P73" s="177"/>
      <c r="Q73" s="177"/>
      <c r="R73" s="177"/>
      <c r="S73" s="177"/>
      <c r="T73" s="177"/>
      <c r="U73" s="177"/>
      <c r="V73" s="177"/>
      <c r="W73" s="177"/>
    </row>
    <row r="74" spans="1:23" ht="13">
      <c r="A74" s="161"/>
      <c r="B74" s="174"/>
      <c r="C74" s="190" t="str" cm="1">
        <f t="array" ref="C74">IFERROR(_FV(B74,"Ticker symbol",TRUE),"")</f>
        <v/>
      </c>
      <c r="D74" s="214"/>
      <c r="E74" s="214"/>
      <c r="F74" s="212" t="str" cm="1">
        <f t="array" ref="F74">IFERROR(_FV(B74,"Price"),"")</f>
        <v/>
      </c>
      <c r="G74" s="213">
        <f t="shared" si="5"/>
        <v>0</v>
      </c>
      <c r="H74" s="212" t="str">
        <f t="shared" si="4"/>
        <v/>
      </c>
      <c r="I74" s="192" t="str">
        <f t="shared" si="2"/>
        <v/>
      </c>
      <c r="J74" s="193" t="str">
        <f t="shared" si="3"/>
        <v/>
      </c>
      <c r="K74" s="194" t="str" cm="1">
        <f t="array" ref="K74">IFERROR(_FV(B74,"Beta"),"")</f>
        <v/>
      </c>
      <c r="L74" s="195" t="str">
        <f ca="1">IFERROR(H74/Portfolio!$C$7,"")</f>
        <v/>
      </c>
      <c r="M74" s="196"/>
      <c r="N74" s="177"/>
      <c r="O74" s="177"/>
      <c r="P74" s="177"/>
      <c r="Q74" s="177"/>
      <c r="R74" s="177"/>
      <c r="S74" s="177"/>
      <c r="T74" s="177"/>
      <c r="U74" s="177"/>
      <c r="V74" s="177"/>
      <c r="W74" s="177"/>
    </row>
    <row r="75" spans="1:23" ht="13">
      <c r="A75" s="161"/>
      <c r="B75" s="174"/>
      <c r="C75" s="190" t="str" cm="1">
        <f t="array" ref="C75">IFERROR(_FV(B75,"Ticker symbol",TRUE),"")</f>
        <v/>
      </c>
      <c r="D75" s="214"/>
      <c r="E75" s="214"/>
      <c r="F75" s="212" t="str" cm="1">
        <f t="array" ref="F75">IFERROR(_FV(B75,"Price"),"")</f>
        <v/>
      </c>
      <c r="G75" s="213">
        <f t="shared" si="5"/>
        <v>0</v>
      </c>
      <c r="H75" s="212" t="str">
        <f t="shared" si="4"/>
        <v/>
      </c>
      <c r="I75" s="192" t="str">
        <f t="shared" si="2"/>
        <v/>
      </c>
      <c r="J75" s="193" t="str">
        <f t="shared" si="3"/>
        <v/>
      </c>
      <c r="K75" s="194" t="str" cm="1">
        <f t="array" ref="K75">IFERROR(_FV(B75,"Beta"),"")</f>
        <v/>
      </c>
      <c r="L75" s="195" t="str">
        <f ca="1">IFERROR(H75/Portfolio!$C$7,"")</f>
        <v/>
      </c>
      <c r="M75" s="196"/>
      <c r="N75" s="177"/>
      <c r="O75" s="177"/>
      <c r="P75" s="177"/>
      <c r="Q75" s="177"/>
      <c r="R75" s="177"/>
      <c r="S75" s="177"/>
      <c r="T75" s="177"/>
      <c r="U75" s="177"/>
      <c r="V75" s="177"/>
      <c r="W75" s="177"/>
    </row>
    <row r="76" spans="1:23" ht="13">
      <c r="A76" s="161"/>
      <c r="B76" s="174"/>
      <c r="C76" s="190" t="str" cm="1">
        <f t="array" ref="C76">IFERROR(_FV(B76,"Ticker symbol",TRUE),"")</f>
        <v/>
      </c>
      <c r="D76" s="214"/>
      <c r="E76" s="214"/>
      <c r="F76" s="212" t="str" cm="1">
        <f t="array" ref="F76">IFERROR(_FV(B76,"Price"),"")</f>
        <v/>
      </c>
      <c r="G76" s="213">
        <f t="shared" si="5"/>
        <v>0</v>
      </c>
      <c r="H76" s="212" t="str">
        <f t="shared" si="4"/>
        <v/>
      </c>
      <c r="I76" s="192" t="str">
        <f t="shared" si="2"/>
        <v/>
      </c>
      <c r="J76" s="193" t="str">
        <f t="shared" si="3"/>
        <v/>
      </c>
      <c r="K76" s="194" t="str" cm="1">
        <f t="array" ref="K76">IFERROR(_FV(B76,"Beta"),"")</f>
        <v/>
      </c>
      <c r="L76" s="195" t="str">
        <f ca="1">IFERROR(H76/Portfolio!$C$7,"")</f>
        <v/>
      </c>
      <c r="M76" s="196"/>
      <c r="N76" s="177"/>
      <c r="O76" s="177"/>
      <c r="P76" s="177"/>
      <c r="Q76" s="177"/>
      <c r="R76" s="177"/>
      <c r="S76" s="177"/>
      <c r="T76" s="177"/>
      <c r="U76" s="177"/>
      <c r="V76" s="177"/>
      <c r="W76" s="177"/>
    </row>
    <row r="77" spans="1:23" ht="13">
      <c r="A77" s="161"/>
      <c r="B77" s="174"/>
      <c r="C77" s="190" t="str" cm="1">
        <f t="array" ref="C77">IFERROR(_FV(B77,"Ticker symbol",TRUE),"")</f>
        <v/>
      </c>
      <c r="D77" s="214"/>
      <c r="E77" s="214"/>
      <c r="F77" s="212" t="str" cm="1">
        <f t="array" ref="F77">IFERROR(_FV(B77,"Price"),"")</f>
        <v/>
      </c>
      <c r="G77" s="213">
        <f t="shared" si="5"/>
        <v>0</v>
      </c>
      <c r="H77" s="212" t="str">
        <f t="shared" si="4"/>
        <v/>
      </c>
      <c r="I77" s="192" t="str">
        <f t="shared" si="2"/>
        <v/>
      </c>
      <c r="J77" s="193" t="str">
        <f t="shared" si="3"/>
        <v/>
      </c>
      <c r="K77" s="194" t="str" cm="1">
        <f t="array" ref="K77">IFERROR(_FV(B77,"Beta"),"")</f>
        <v/>
      </c>
      <c r="L77" s="195" t="str">
        <f ca="1">IFERROR(H77/Portfolio!$C$7,"")</f>
        <v/>
      </c>
      <c r="M77" s="196"/>
      <c r="N77" s="177"/>
      <c r="O77" s="177"/>
      <c r="P77" s="177"/>
      <c r="Q77" s="177"/>
      <c r="R77" s="177"/>
      <c r="S77" s="177"/>
      <c r="T77" s="177"/>
      <c r="U77" s="177"/>
      <c r="V77" s="177"/>
      <c r="W77" s="177"/>
    </row>
    <row r="78" spans="1:23" ht="13">
      <c r="A78" s="161"/>
      <c r="B78" s="174"/>
      <c r="C78" s="190" t="str" cm="1">
        <f t="array" ref="C78">IFERROR(_FV(B78,"Ticker symbol",TRUE),"")</f>
        <v/>
      </c>
      <c r="D78" s="214"/>
      <c r="E78" s="214"/>
      <c r="F78" s="212" t="str" cm="1">
        <f t="array" ref="F78">IFERROR(_FV(B78,"Price"),"")</f>
        <v/>
      </c>
      <c r="G78" s="213">
        <f t="shared" si="5"/>
        <v>0</v>
      </c>
      <c r="H78" s="212" t="str">
        <f t="shared" si="4"/>
        <v/>
      </c>
      <c r="I78" s="192" t="str">
        <f t="shared" si="2"/>
        <v/>
      </c>
      <c r="J78" s="193" t="str">
        <f t="shared" si="3"/>
        <v/>
      </c>
      <c r="K78" s="194" t="str" cm="1">
        <f t="array" ref="K78">IFERROR(_FV(B78,"Beta"),"")</f>
        <v/>
      </c>
      <c r="L78" s="195" t="str">
        <f ca="1">IFERROR(H78/Portfolio!$C$7,"")</f>
        <v/>
      </c>
      <c r="M78" s="196"/>
      <c r="N78" s="177"/>
      <c r="O78" s="177"/>
      <c r="P78" s="177"/>
      <c r="Q78" s="177"/>
      <c r="R78" s="177"/>
      <c r="S78" s="177"/>
      <c r="T78" s="177"/>
      <c r="U78" s="177"/>
      <c r="V78" s="177"/>
      <c r="W78" s="177"/>
    </row>
    <row r="79" spans="1:23" ht="13">
      <c r="A79" s="161"/>
      <c r="B79" s="174"/>
      <c r="C79" s="190" t="str" cm="1">
        <f t="array" ref="C79">IFERROR(_FV(B79,"Ticker symbol",TRUE),"")</f>
        <v/>
      </c>
      <c r="D79" s="214"/>
      <c r="E79" s="214"/>
      <c r="F79" s="212" t="str" cm="1">
        <f t="array" ref="F79">IFERROR(_FV(B79,"Price"),"")</f>
        <v/>
      </c>
      <c r="G79" s="213">
        <f t="shared" si="5"/>
        <v>0</v>
      </c>
      <c r="H79" s="212" t="str">
        <f t="shared" si="4"/>
        <v/>
      </c>
      <c r="I79" s="192" t="str">
        <f t="shared" si="2"/>
        <v/>
      </c>
      <c r="J79" s="193" t="str">
        <f t="shared" si="3"/>
        <v/>
      </c>
      <c r="K79" s="194" t="str" cm="1">
        <f t="array" ref="K79">IFERROR(_FV(B79,"Beta"),"")</f>
        <v/>
      </c>
      <c r="L79" s="195" t="str">
        <f ca="1">IFERROR(H79/Portfolio!$C$7,"")</f>
        <v/>
      </c>
      <c r="M79" s="196"/>
      <c r="N79" s="177"/>
      <c r="O79" s="177"/>
      <c r="P79" s="177"/>
      <c r="Q79" s="177"/>
      <c r="R79" s="177"/>
      <c r="S79" s="177"/>
      <c r="T79" s="177"/>
      <c r="U79" s="177"/>
      <c r="V79" s="177"/>
      <c r="W79" s="177"/>
    </row>
    <row r="80" spans="1:23" ht="13">
      <c r="A80" s="161"/>
      <c r="B80" s="174"/>
      <c r="C80" s="190" t="str" cm="1">
        <f t="array" ref="C80">IFERROR(_FV(B80,"Ticker symbol",TRUE),"")</f>
        <v/>
      </c>
      <c r="D80" s="214"/>
      <c r="E80" s="214"/>
      <c r="F80" s="212" t="str" cm="1">
        <f t="array" ref="F80">IFERROR(_FV(B80,"Price"),"")</f>
        <v/>
      </c>
      <c r="G80" s="213">
        <f t="shared" si="5"/>
        <v>0</v>
      </c>
      <c r="H80" s="212" t="str">
        <f t="shared" si="4"/>
        <v/>
      </c>
      <c r="I80" s="192" t="str">
        <f t="shared" si="2"/>
        <v/>
      </c>
      <c r="J80" s="193" t="str">
        <f t="shared" si="3"/>
        <v/>
      </c>
      <c r="K80" s="194" t="str" cm="1">
        <f t="array" ref="K80">IFERROR(_FV(B80,"Beta"),"")</f>
        <v/>
      </c>
      <c r="L80" s="195" t="str">
        <f ca="1">IFERROR(H80/Portfolio!$C$7,"")</f>
        <v/>
      </c>
      <c r="M80" s="196"/>
      <c r="N80" s="177"/>
      <c r="O80" s="177"/>
      <c r="P80" s="177"/>
      <c r="Q80" s="177"/>
      <c r="R80" s="177"/>
      <c r="S80" s="177"/>
      <c r="T80" s="177"/>
      <c r="U80" s="177"/>
      <c r="V80" s="177"/>
      <c r="W80" s="177"/>
    </row>
    <row r="81" spans="1:23" ht="13">
      <c r="A81" s="161"/>
      <c r="B81" s="174"/>
      <c r="C81" s="190" t="str" cm="1">
        <f t="array" ref="C81">IFERROR(_FV(B81,"Ticker symbol",TRUE),"")</f>
        <v/>
      </c>
      <c r="D81" s="214"/>
      <c r="E81" s="214"/>
      <c r="F81" s="212" t="str" cm="1">
        <f t="array" ref="F81">IFERROR(_FV(B81,"Price"),"")</f>
        <v/>
      </c>
      <c r="G81" s="213">
        <f t="shared" si="5"/>
        <v>0</v>
      </c>
      <c r="H81" s="212" t="str">
        <f t="shared" si="4"/>
        <v/>
      </c>
      <c r="I81" s="192" t="str">
        <f t="shared" si="2"/>
        <v/>
      </c>
      <c r="J81" s="193" t="str">
        <f t="shared" si="3"/>
        <v/>
      </c>
      <c r="K81" s="194" t="str" cm="1">
        <f t="array" ref="K81">IFERROR(_FV(B81,"Beta"),"")</f>
        <v/>
      </c>
      <c r="L81" s="195" t="str">
        <f ca="1">IFERROR(H81/Portfolio!$C$7,"")</f>
        <v/>
      </c>
      <c r="M81" s="196"/>
      <c r="N81" s="177"/>
      <c r="O81" s="177"/>
      <c r="P81" s="177"/>
      <c r="Q81" s="177"/>
      <c r="R81" s="177"/>
      <c r="S81" s="177"/>
      <c r="T81" s="177"/>
      <c r="U81" s="177"/>
      <c r="V81" s="177"/>
      <c r="W81" s="177"/>
    </row>
    <row r="82" spans="1:23" ht="13">
      <c r="A82" s="161"/>
      <c r="B82" s="174"/>
      <c r="C82" s="190" t="str" cm="1">
        <f t="array" ref="C82">IFERROR(_FV(B82,"Ticker symbol",TRUE),"")</f>
        <v/>
      </c>
      <c r="D82" s="214"/>
      <c r="E82" s="214"/>
      <c r="F82" s="212" t="str" cm="1">
        <f t="array" ref="F82">IFERROR(_FV(B82,"Price"),"")</f>
        <v/>
      </c>
      <c r="G82" s="213">
        <f t="shared" si="5"/>
        <v>0</v>
      </c>
      <c r="H82" s="212" t="str">
        <f t="shared" si="4"/>
        <v/>
      </c>
      <c r="I82" s="192" t="str">
        <f t="shared" si="2"/>
        <v/>
      </c>
      <c r="J82" s="193" t="str">
        <f t="shared" si="3"/>
        <v/>
      </c>
      <c r="K82" s="194" t="str" cm="1">
        <f t="array" ref="K82">IFERROR(_FV(B82,"Beta"),"")</f>
        <v/>
      </c>
      <c r="L82" s="195" t="str">
        <f ca="1">IFERROR(H82/Portfolio!$C$7,"")</f>
        <v/>
      </c>
      <c r="M82" s="196"/>
      <c r="N82" s="177"/>
      <c r="O82" s="177"/>
      <c r="P82" s="177"/>
      <c r="Q82" s="177"/>
      <c r="R82" s="177"/>
      <c r="S82" s="177"/>
      <c r="T82" s="177"/>
      <c r="U82" s="177"/>
      <c r="V82" s="177"/>
      <c r="W82" s="177"/>
    </row>
    <row r="83" spans="1:23" ht="13">
      <c r="A83" s="161"/>
      <c r="B83" s="174"/>
      <c r="C83" s="190" t="str" cm="1">
        <f t="array" ref="C83">IFERROR(_FV(B83,"Ticker symbol",TRUE),"")</f>
        <v/>
      </c>
      <c r="D83" s="214"/>
      <c r="E83" s="214"/>
      <c r="F83" s="212" t="str" cm="1">
        <f t="array" ref="F83">IFERROR(_FV(B83,"Price"),"")</f>
        <v/>
      </c>
      <c r="G83" s="213">
        <f t="shared" si="5"/>
        <v>0</v>
      </c>
      <c r="H83" s="212" t="str">
        <f t="shared" si="4"/>
        <v/>
      </c>
      <c r="I83" s="192" t="str">
        <f t="shared" si="2"/>
        <v/>
      </c>
      <c r="J83" s="193" t="str">
        <f t="shared" si="3"/>
        <v/>
      </c>
      <c r="K83" s="194" t="str" cm="1">
        <f t="array" ref="K83">IFERROR(_FV(B83,"Beta"),"")</f>
        <v/>
      </c>
      <c r="L83" s="195" t="str">
        <f ca="1">IFERROR(H83/Portfolio!$C$7,"")</f>
        <v/>
      </c>
      <c r="M83" s="196"/>
      <c r="N83" s="177"/>
      <c r="O83" s="177"/>
      <c r="P83" s="177"/>
      <c r="Q83" s="177"/>
      <c r="R83" s="177"/>
      <c r="S83" s="177"/>
      <c r="T83" s="177"/>
      <c r="U83" s="177"/>
      <c r="V83" s="177"/>
      <c r="W83" s="177"/>
    </row>
    <row r="84" spans="1:23" ht="13">
      <c r="A84" s="161"/>
      <c r="B84" s="174"/>
      <c r="C84" s="190" t="str" cm="1">
        <f t="array" ref="C84">IFERROR(_FV(B84,"Ticker symbol",TRUE),"")</f>
        <v/>
      </c>
      <c r="D84" s="214"/>
      <c r="E84" s="214"/>
      <c r="F84" s="212" t="str" cm="1">
        <f t="array" ref="F84">IFERROR(_FV(B84,"Price"),"")</f>
        <v/>
      </c>
      <c r="G84" s="213">
        <f t="shared" si="5"/>
        <v>0</v>
      </c>
      <c r="H84" s="212" t="str">
        <f t="shared" si="4"/>
        <v/>
      </c>
      <c r="I84" s="192" t="str">
        <f t="shared" si="2"/>
        <v/>
      </c>
      <c r="J84" s="193" t="str">
        <f t="shared" si="3"/>
        <v/>
      </c>
      <c r="K84" s="194" t="str" cm="1">
        <f t="array" ref="K84">IFERROR(_FV(B84,"Beta"),"")</f>
        <v/>
      </c>
      <c r="L84" s="195" t="str">
        <f ca="1">IFERROR(H84/Portfolio!$C$7,"")</f>
        <v/>
      </c>
      <c r="M84" s="196"/>
      <c r="N84" s="177"/>
      <c r="O84" s="177"/>
      <c r="P84" s="177"/>
      <c r="Q84" s="177"/>
      <c r="R84" s="177"/>
      <c r="S84" s="177"/>
      <c r="T84" s="177"/>
      <c r="U84" s="177"/>
      <c r="V84" s="177"/>
      <c r="W84" s="177"/>
    </row>
    <row r="85" spans="1:23" ht="13">
      <c r="A85" s="161"/>
      <c r="B85" s="174"/>
      <c r="C85" s="190" t="str" cm="1">
        <f t="array" ref="C85">IFERROR(_FV(B85,"Ticker symbol",TRUE),"")</f>
        <v/>
      </c>
      <c r="D85" s="214"/>
      <c r="E85" s="214"/>
      <c r="F85" s="212" t="str" cm="1">
        <f t="array" ref="F85">IFERROR(_FV(B85,"Price"),"")</f>
        <v/>
      </c>
      <c r="G85" s="213">
        <f t="shared" si="5"/>
        <v>0</v>
      </c>
      <c r="H85" s="212" t="str">
        <f t="shared" si="4"/>
        <v/>
      </c>
      <c r="I85" s="192" t="str">
        <f t="shared" si="2"/>
        <v/>
      </c>
      <c r="J85" s="193" t="str">
        <f t="shared" si="3"/>
        <v/>
      </c>
      <c r="K85" s="194" t="str" cm="1">
        <f t="array" ref="K85">IFERROR(_FV(B85,"Beta"),"")</f>
        <v/>
      </c>
      <c r="L85" s="195" t="str">
        <f ca="1">IFERROR(H85/Portfolio!$C$7,"")</f>
        <v/>
      </c>
      <c r="M85" s="196"/>
      <c r="N85" s="177"/>
      <c r="O85" s="177"/>
      <c r="P85" s="177"/>
      <c r="Q85" s="177"/>
      <c r="R85" s="177"/>
      <c r="S85" s="177"/>
      <c r="T85" s="177"/>
      <c r="U85" s="177"/>
      <c r="V85" s="177"/>
      <c r="W85" s="177"/>
    </row>
    <row r="86" spans="1:23" ht="13">
      <c r="A86" s="161"/>
      <c r="B86" s="174"/>
      <c r="C86" s="190" t="str" cm="1">
        <f t="array" ref="C86">IFERROR(_FV(B86,"Ticker symbol",TRUE),"")</f>
        <v/>
      </c>
      <c r="D86" s="214"/>
      <c r="E86" s="214"/>
      <c r="F86" s="212" t="str" cm="1">
        <f t="array" ref="F86">IFERROR(_FV(B86,"Price"),"")</f>
        <v/>
      </c>
      <c r="G86" s="213">
        <f t="shared" si="5"/>
        <v>0</v>
      </c>
      <c r="H86" s="212" t="str">
        <f t="shared" si="4"/>
        <v/>
      </c>
      <c r="I86" s="192" t="str">
        <f t="shared" si="2"/>
        <v/>
      </c>
      <c r="J86" s="193" t="str">
        <f t="shared" si="3"/>
        <v/>
      </c>
      <c r="K86" s="194" t="str" cm="1">
        <f t="array" ref="K86">IFERROR(_FV(B86,"Beta"),"")</f>
        <v/>
      </c>
      <c r="L86" s="195" t="str">
        <f ca="1">IFERROR(H86/Portfolio!$C$7,"")</f>
        <v/>
      </c>
      <c r="M86" s="196"/>
      <c r="N86" s="177"/>
      <c r="O86" s="177"/>
      <c r="P86" s="177"/>
      <c r="Q86" s="177"/>
      <c r="R86" s="177"/>
      <c r="S86" s="177"/>
      <c r="T86" s="177"/>
      <c r="U86" s="177"/>
      <c r="V86" s="177"/>
      <c r="W86" s="177"/>
    </row>
    <row r="87" spans="1:23" ht="13">
      <c r="A87" s="161"/>
      <c r="B87" s="174"/>
      <c r="C87" s="190" t="str" cm="1">
        <f t="array" ref="C87">IFERROR(_FV(B87,"Ticker symbol",TRUE),"")</f>
        <v/>
      </c>
      <c r="D87" s="214"/>
      <c r="E87" s="214"/>
      <c r="F87" s="212" t="str" cm="1">
        <f t="array" ref="F87">IFERROR(_FV(B87,"Price"),"")</f>
        <v/>
      </c>
      <c r="G87" s="213">
        <f t="shared" si="5"/>
        <v>0</v>
      </c>
      <c r="H87" s="212" t="str">
        <f t="shared" si="4"/>
        <v/>
      </c>
      <c r="I87" s="192" t="str">
        <f t="shared" si="2"/>
        <v/>
      </c>
      <c r="J87" s="193" t="str">
        <f t="shared" si="3"/>
        <v/>
      </c>
      <c r="K87" s="194" t="str" cm="1">
        <f t="array" ref="K87">IFERROR(_FV(B87,"Beta"),"")</f>
        <v/>
      </c>
      <c r="L87" s="195" t="str">
        <f ca="1">IFERROR(H87/Portfolio!$C$7,"")</f>
        <v/>
      </c>
      <c r="M87" s="196"/>
      <c r="N87" s="177"/>
      <c r="O87" s="177"/>
      <c r="P87" s="177"/>
      <c r="Q87" s="177"/>
      <c r="R87" s="177"/>
      <c r="S87" s="177"/>
      <c r="T87" s="177"/>
      <c r="U87" s="177"/>
      <c r="V87" s="177"/>
      <c r="W87" s="177"/>
    </row>
    <row r="88" spans="1:23" ht="13">
      <c r="A88" s="161"/>
      <c r="B88" s="174"/>
      <c r="C88" s="190" t="str" cm="1">
        <f t="array" ref="C88">IFERROR(_FV(B88,"Ticker symbol",TRUE),"")</f>
        <v/>
      </c>
      <c r="D88" s="214"/>
      <c r="E88" s="214"/>
      <c r="F88" s="212" t="str" cm="1">
        <f t="array" ref="F88">IFERROR(_FV(B88,"Price"),"")</f>
        <v/>
      </c>
      <c r="G88" s="213">
        <f t="shared" si="5"/>
        <v>0</v>
      </c>
      <c r="H88" s="212" t="str">
        <f t="shared" si="4"/>
        <v/>
      </c>
      <c r="I88" s="192" t="str">
        <f t="shared" ref="I88:I120" si="6">IFERROR(H88-G88,"")</f>
        <v/>
      </c>
      <c r="J88" s="193" t="str">
        <f t="shared" ref="J88:J120" si="7">IFERROR((F88-E88)/E88,"")</f>
        <v/>
      </c>
      <c r="K88" s="194" t="str" cm="1">
        <f t="array" ref="K88">IFERROR(_FV(B88,"Beta"),"")</f>
        <v/>
      </c>
      <c r="L88" s="195" t="str">
        <f ca="1">IFERROR(H88/Portfolio!$C$7,"")</f>
        <v/>
      </c>
      <c r="M88" s="196"/>
      <c r="N88" s="177"/>
      <c r="O88" s="177"/>
      <c r="P88" s="177"/>
      <c r="Q88" s="177"/>
      <c r="R88" s="177"/>
      <c r="S88" s="177"/>
      <c r="T88" s="177"/>
      <c r="U88" s="177"/>
      <c r="V88" s="177"/>
      <c r="W88" s="177"/>
    </row>
    <row r="89" spans="1:23" ht="13">
      <c r="A89" s="161"/>
      <c r="B89" s="174"/>
      <c r="C89" s="190" t="str" cm="1">
        <f t="array" ref="C89">IFERROR(_FV(B89,"Ticker symbol",TRUE),"")</f>
        <v/>
      </c>
      <c r="D89" s="214"/>
      <c r="E89" s="214"/>
      <c r="F89" s="212" t="str" cm="1">
        <f t="array" ref="F89">IFERROR(_FV(B89,"Price"),"")</f>
        <v/>
      </c>
      <c r="G89" s="213">
        <f t="shared" si="5"/>
        <v>0</v>
      </c>
      <c r="H89" s="212" t="str">
        <f t="shared" si="4"/>
        <v/>
      </c>
      <c r="I89" s="192" t="str">
        <f t="shared" si="6"/>
        <v/>
      </c>
      <c r="J89" s="193" t="str">
        <f t="shared" si="7"/>
        <v/>
      </c>
      <c r="K89" s="194" t="str" cm="1">
        <f t="array" ref="K89">IFERROR(_FV(B89,"Beta"),"")</f>
        <v/>
      </c>
      <c r="L89" s="195" t="str">
        <f ca="1">IFERROR(H89/Portfolio!$C$7,"")</f>
        <v/>
      </c>
      <c r="M89" s="196"/>
      <c r="N89" s="177"/>
      <c r="O89" s="177"/>
      <c r="P89" s="177"/>
      <c r="Q89" s="177"/>
      <c r="R89" s="177"/>
      <c r="S89" s="177"/>
      <c r="T89" s="177"/>
      <c r="U89" s="177"/>
      <c r="V89" s="177"/>
      <c r="W89" s="177"/>
    </row>
    <row r="90" spans="1:23" ht="13">
      <c r="A90" s="161"/>
      <c r="B90" s="174"/>
      <c r="C90" s="190" t="str" cm="1">
        <f t="array" ref="C90">IFERROR(_FV(B90,"Ticker symbol",TRUE),"")</f>
        <v/>
      </c>
      <c r="D90" s="214"/>
      <c r="E90" s="214"/>
      <c r="F90" s="212" t="str" cm="1">
        <f t="array" ref="F90">IFERROR(_FV(B90,"Price"),"")</f>
        <v/>
      </c>
      <c r="G90" s="213">
        <f t="shared" si="5"/>
        <v>0</v>
      </c>
      <c r="H90" s="212" t="str">
        <f t="shared" ref="H90:H120" si="8">IFERROR(D90*F90,"")</f>
        <v/>
      </c>
      <c r="I90" s="192" t="str">
        <f t="shared" si="6"/>
        <v/>
      </c>
      <c r="J90" s="193" t="str">
        <f t="shared" si="7"/>
        <v/>
      </c>
      <c r="K90" s="194" t="str" cm="1">
        <f t="array" ref="K90">IFERROR(_FV(B90,"Beta"),"")</f>
        <v/>
      </c>
      <c r="L90" s="195" t="str">
        <f ca="1">IFERROR(H90/Portfolio!$C$7,"")</f>
        <v/>
      </c>
      <c r="M90" s="196"/>
      <c r="N90" s="177"/>
      <c r="O90" s="177"/>
      <c r="P90" s="177"/>
      <c r="Q90" s="177"/>
      <c r="R90" s="177"/>
      <c r="S90" s="177"/>
      <c r="T90" s="177"/>
      <c r="U90" s="177"/>
      <c r="V90" s="177"/>
      <c r="W90" s="177"/>
    </row>
    <row r="91" spans="1:23" ht="13">
      <c r="A91" s="161"/>
      <c r="B91" s="174"/>
      <c r="C91" s="190" t="str" cm="1">
        <f t="array" ref="C91">IFERROR(_FV(B91,"Ticker symbol",TRUE),"")</f>
        <v/>
      </c>
      <c r="D91" s="214"/>
      <c r="E91" s="214"/>
      <c r="F91" s="212" t="str" cm="1">
        <f t="array" ref="F91">IFERROR(_FV(B91,"Price"),"")</f>
        <v/>
      </c>
      <c r="G91" s="213">
        <f t="shared" si="5"/>
        <v>0</v>
      </c>
      <c r="H91" s="212" t="str">
        <f t="shared" si="8"/>
        <v/>
      </c>
      <c r="I91" s="192" t="str">
        <f t="shared" si="6"/>
        <v/>
      </c>
      <c r="J91" s="193" t="str">
        <f t="shared" si="7"/>
        <v/>
      </c>
      <c r="K91" s="194" t="str" cm="1">
        <f t="array" ref="K91">IFERROR(_FV(B91,"Beta"),"")</f>
        <v/>
      </c>
      <c r="L91" s="195" t="str">
        <f ca="1">IFERROR(H91/Portfolio!$C$7,"")</f>
        <v/>
      </c>
      <c r="M91" s="196"/>
      <c r="N91" s="177"/>
      <c r="O91" s="177"/>
      <c r="P91" s="177"/>
      <c r="Q91" s="177"/>
      <c r="R91" s="177"/>
      <c r="S91" s="177"/>
      <c r="T91" s="177"/>
      <c r="U91" s="177"/>
      <c r="V91" s="177"/>
      <c r="W91" s="177"/>
    </row>
    <row r="92" spans="1:23" ht="13">
      <c r="A92" s="161"/>
      <c r="B92" s="174"/>
      <c r="C92" s="190" t="str" cm="1">
        <f t="array" ref="C92">IFERROR(_FV(B92,"Ticker symbol",TRUE),"")</f>
        <v/>
      </c>
      <c r="D92" s="214"/>
      <c r="E92" s="214"/>
      <c r="F92" s="212" t="str" cm="1">
        <f t="array" ref="F92">IFERROR(_FV(B92,"Price"),"")</f>
        <v/>
      </c>
      <c r="G92" s="213">
        <f t="shared" si="5"/>
        <v>0</v>
      </c>
      <c r="H92" s="212" t="str">
        <f t="shared" si="8"/>
        <v/>
      </c>
      <c r="I92" s="192" t="str">
        <f t="shared" si="6"/>
        <v/>
      </c>
      <c r="J92" s="193" t="str">
        <f t="shared" si="7"/>
        <v/>
      </c>
      <c r="K92" s="194" t="str" cm="1">
        <f t="array" ref="K92">IFERROR(_FV(B92,"Beta"),"")</f>
        <v/>
      </c>
      <c r="L92" s="195" t="str">
        <f ca="1">IFERROR(H92/Portfolio!$C$7,"")</f>
        <v/>
      </c>
      <c r="M92" s="196"/>
      <c r="N92" s="177"/>
      <c r="O92" s="177"/>
      <c r="P92" s="177"/>
      <c r="Q92" s="177"/>
      <c r="R92" s="177"/>
      <c r="S92" s="177"/>
      <c r="T92" s="177"/>
      <c r="U92" s="177"/>
      <c r="V92" s="177"/>
      <c r="W92" s="177"/>
    </row>
    <row r="93" spans="1:23" ht="13">
      <c r="A93" s="161"/>
      <c r="B93" s="174"/>
      <c r="C93" s="190" t="str" cm="1">
        <f t="array" ref="C93">IFERROR(_FV(B93,"Ticker symbol",TRUE),"")</f>
        <v/>
      </c>
      <c r="D93" s="214"/>
      <c r="E93" s="214"/>
      <c r="F93" s="212" t="str" cm="1">
        <f t="array" ref="F93">IFERROR(_FV(B93,"Price"),"")</f>
        <v/>
      </c>
      <c r="G93" s="213">
        <f t="shared" si="5"/>
        <v>0</v>
      </c>
      <c r="H93" s="212" t="str">
        <f t="shared" si="8"/>
        <v/>
      </c>
      <c r="I93" s="192" t="str">
        <f t="shared" si="6"/>
        <v/>
      </c>
      <c r="J93" s="193" t="str">
        <f t="shared" si="7"/>
        <v/>
      </c>
      <c r="K93" s="194" t="str" cm="1">
        <f t="array" ref="K93">IFERROR(_FV(B93,"Beta"),"")</f>
        <v/>
      </c>
      <c r="L93" s="195" t="str">
        <f ca="1">IFERROR(H93/Portfolio!$C$7,"")</f>
        <v/>
      </c>
      <c r="M93" s="196"/>
      <c r="N93" s="177"/>
      <c r="O93" s="177"/>
      <c r="P93" s="177"/>
      <c r="Q93" s="177"/>
      <c r="R93" s="177"/>
      <c r="S93" s="177"/>
      <c r="T93" s="177"/>
      <c r="U93" s="177"/>
      <c r="V93" s="177"/>
      <c r="W93" s="177"/>
    </row>
    <row r="94" spans="1:23" ht="13">
      <c r="A94" s="161"/>
      <c r="B94" s="174"/>
      <c r="C94" s="190" t="str" cm="1">
        <f t="array" ref="C94">IFERROR(_FV(B94,"Ticker symbol",TRUE),"")</f>
        <v/>
      </c>
      <c r="D94" s="214"/>
      <c r="E94" s="214"/>
      <c r="F94" s="212" t="str" cm="1">
        <f t="array" ref="F94">IFERROR(_FV(B94,"Price"),"")</f>
        <v/>
      </c>
      <c r="G94" s="213">
        <f t="shared" si="5"/>
        <v>0</v>
      </c>
      <c r="H94" s="212" t="str">
        <f t="shared" si="8"/>
        <v/>
      </c>
      <c r="I94" s="192" t="str">
        <f t="shared" si="6"/>
        <v/>
      </c>
      <c r="J94" s="193" t="str">
        <f t="shared" si="7"/>
        <v/>
      </c>
      <c r="K94" s="194" t="str" cm="1">
        <f t="array" ref="K94">IFERROR(_FV(B94,"Beta"),"")</f>
        <v/>
      </c>
      <c r="L94" s="195" t="str">
        <f ca="1">IFERROR(H94/Portfolio!$C$7,"")</f>
        <v/>
      </c>
      <c r="M94" s="196"/>
      <c r="N94" s="177"/>
      <c r="O94" s="177"/>
      <c r="P94" s="177"/>
      <c r="Q94" s="177"/>
      <c r="R94" s="177"/>
      <c r="S94" s="177"/>
      <c r="T94" s="177"/>
      <c r="U94" s="177"/>
      <c r="V94" s="177"/>
      <c r="W94" s="177"/>
    </row>
    <row r="95" spans="1:23" ht="13">
      <c r="A95" s="161"/>
      <c r="B95" s="174"/>
      <c r="C95" s="190" t="str" cm="1">
        <f t="array" ref="C95">IFERROR(_FV(B95,"Ticker symbol",TRUE),"")</f>
        <v/>
      </c>
      <c r="D95" s="214"/>
      <c r="E95" s="214"/>
      <c r="F95" s="212" t="str" cm="1">
        <f t="array" ref="F95">IFERROR(_FV(B95,"Price"),"")</f>
        <v/>
      </c>
      <c r="G95" s="213">
        <f t="shared" si="5"/>
        <v>0</v>
      </c>
      <c r="H95" s="212" t="str">
        <f t="shared" si="8"/>
        <v/>
      </c>
      <c r="I95" s="192" t="str">
        <f t="shared" si="6"/>
        <v/>
      </c>
      <c r="J95" s="193" t="str">
        <f t="shared" si="7"/>
        <v/>
      </c>
      <c r="K95" s="194" t="str" cm="1">
        <f t="array" ref="K95">IFERROR(_FV(B95,"Beta"),"")</f>
        <v/>
      </c>
      <c r="L95" s="195" t="str">
        <f ca="1">IFERROR(H95/Portfolio!$C$7,"")</f>
        <v/>
      </c>
      <c r="M95" s="196"/>
      <c r="N95" s="177"/>
      <c r="O95" s="177"/>
      <c r="P95" s="177"/>
      <c r="Q95" s="177"/>
      <c r="R95" s="177"/>
      <c r="S95" s="177"/>
      <c r="T95" s="177"/>
      <c r="U95" s="177"/>
      <c r="V95" s="177"/>
      <c r="W95" s="177"/>
    </row>
    <row r="96" spans="1:23" ht="13">
      <c r="A96" s="161"/>
      <c r="B96" s="174"/>
      <c r="C96" s="190" t="str" cm="1">
        <f t="array" ref="C96">IFERROR(_FV(B96,"Ticker symbol",TRUE),"")</f>
        <v/>
      </c>
      <c r="D96" s="214"/>
      <c r="E96" s="214"/>
      <c r="F96" s="212" t="str" cm="1">
        <f t="array" ref="F96">IFERROR(_FV(B96,"Price"),"")</f>
        <v/>
      </c>
      <c r="G96" s="213">
        <f t="shared" si="5"/>
        <v>0</v>
      </c>
      <c r="H96" s="212" t="str">
        <f t="shared" si="8"/>
        <v/>
      </c>
      <c r="I96" s="192" t="str">
        <f t="shared" si="6"/>
        <v/>
      </c>
      <c r="J96" s="193" t="str">
        <f t="shared" si="7"/>
        <v/>
      </c>
      <c r="K96" s="194" t="str" cm="1">
        <f t="array" ref="K96">IFERROR(_FV(B96,"Beta"),"")</f>
        <v/>
      </c>
      <c r="L96" s="195" t="str">
        <f ca="1">IFERROR(H96/Portfolio!$C$7,"")</f>
        <v/>
      </c>
      <c r="M96" s="196"/>
      <c r="N96" s="177"/>
      <c r="O96" s="177"/>
      <c r="P96" s="177"/>
      <c r="Q96" s="177"/>
      <c r="R96" s="177"/>
      <c r="S96" s="177"/>
      <c r="T96" s="177"/>
      <c r="U96" s="177"/>
      <c r="V96" s="177"/>
      <c r="W96" s="177"/>
    </row>
    <row r="97" spans="1:23" ht="13">
      <c r="A97" s="161"/>
      <c r="B97" s="174"/>
      <c r="C97" s="190" t="str" cm="1">
        <f t="array" ref="C97">IFERROR(_FV(B97,"Ticker symbol",TRUE),"")</f>
        <v/>
      </c>
      <c r="D97" s="214"/>
      <c r="E97" s="214"/>
      <c r="F97" s="212" t="str" cm="1">
        <f t="array" ref="F97">IFERROR(_FV(B97,"Price"),"")</f>
        <v/>
      </c>
      <c r="G97" s="213">
        <f t="shared" si="5"/>
        <v>0</v>
      </c>
      <c r="H97" s="212" t="str">
        <f t="shared" si="8"/>
        <v/>
      </c>
      <c r="I97" s="192" t="str">
        <f t="shared" si="6"/>
        <v/>
      </c>
      <c r="J97" s="193" t="str">
        <f t="shared" si="7"/>
        <v/>
      </c>
      <c r="K97" s="194" t="str" cm="1">
        <f t="array" ref="K97">IFERROR(_FV(B97,"Beta"),"")</f>
        <v/>
      </c>
      <c r="L97" s="195" t="str">
        <f ca="1">IFERROR(H97/Portfolio!$C$7,"")</f>
        <v/>
      </c>
      <c r="M97" s="196"/>
      <c r="N97" s="177"/>
      <c r="O97" s="177"/>
      <c r="P97" s="177"/>
      <c r="Q97" s="177"/>
      <c r="R97" s="177"/>
      <c r="S97" s="177"/>
      <c r="T97" s="177"/>
      <c r="U97" s="177"/>
      <c r="V97" s="177"/>
      <c r="W97" s="177"/>
    </row>
    <row r="98" spans="1:23" ht="13">
      <c r="A98" s="161"/>
      <c r="B98" s="174"/>
      <c r="C98" s="190" t="str" cm="1">
        <f t="array" ref="C98">IFERROR(_FV(B98,"Ticker symbol",TRUE),"")</f>
        <v/>
      </c>
      <c r="D98" s="214"/>
      <c r="E98" s="214"/>
      <c r="F98" s="212" t="str" cm="1">
        <f t="array" ref="F98">IFERROR(_FV(B98,"Price"),"")</f>
        <v/>
      </c>
      <c r="G98" s="213">
        <f t="shared" ref="G98:G120" si="9">IFERROR(D98*E98,"")</f>
        <v>0</v>
      </c>
      <c r="H98" s="212" t="str">
        <f t="shared" si="8"/>
        <v/>
      </c>
      <c r="I98" s="192" t="str">
        <f t="shared" si="6"/>
        <v/>
      </c>
      <c r="J98" s="193" t="str">
        <f t="shared" si="7"/>
        <v/>
      </c>
      <c r="K98" s="194" t="str" cm="1">
        <f t="array" ref="K98">IFERROR(_FV(B98,"Beta"),"")</f>
        <v/>
      </c>
      <c r="L98" s="195" t="str">
        <f ca="1">IFERROR(H98/Portfolio!$C$7,"")</f>
        <v/>
      </c>
      <c r="M98" s="196"/>
      <c r="N98" s="177"/>
      <c r="O98" s="177"/>
      <c r="P98" s="177"/>
      <c r="Q98" s="177"/>
      <c r="R98" s="177"/>
      <c r="S98" s="177"/>
      <c r="T98" s="177"/>
      <c r="U98" s="177"/>
      <c r="V98" s="177"/>
      <c r="W98" s="177"/>
    </row>
    <row r="99" spans="1:23" ht="13">
      <c r="A99" s="161"/>
      <c r="B99" s="174"/>
      <c r="C99" s="190" t="str" cm="1">
        <f t="array" ref="C99">IFERROR(_FV(B99,"Ticker symbol",TRUE),"")</f>
        <v/>
      </c>
      <c r="D99" s="214"/>
      <c r="E99" s="214"/>
      <c r="F99" s="212" t="str" cm="1">
        <f t="array" ref="F99">IFERROR(_FV(B99,"Price"),"")</f>
        <v/>
      </c>
      <c r="G99" s="213">
        <f t="shared" si="9"/>
        <v>0</v>
      </c>
      <c r="H99" s="212" t="str">
        <f t="shared" si="8"/>
        <v/>
      </c>
      <c r="I99" s="192" t="str">
        <f t="shared" si="6"/>
        <v/>
      </c>
      <c r="J99" s="193" t="str">
        <f t="shared" si="7"/>
        <v/>
      </c>
      <c r="K99" s="194" t="str" cm="1">
        <f t="array" ref="K99">IFERROR(_FV(B99,"Beta"),"")</f>
        <v/>
      </c>
      <c r="L99" s="195" t="str">
        <f ca="1">IFERROR(H99/Portfolio!$C$7,"")</f>
        <v/>
      </c>
      <c r="M99" s="196"/>
      <c r="N99" s="177"/>
      <c r="O99" s="177"/>
      <c r="P99" s="177"/>
      <c r="Q99" s="177"/>
      <c r="R99" s="177"/>
      <c r="S99" s="177"/>
      <c r="T99" s="177"/>
      <c r="U99" s="177"/>
      <c r="V99" s="177"/>
      <c r="W99" s="177"/>
    </row>
    <row r="100" spans="1:23" ht="13">
      <c r="A100" s="161"/>
      <c r="B100" s="174"/>
      <c r="C100" s="190" t="str" cm="1">
        <f t="array" ref="C100">IFERROR(_FV(B100,"Ticker symbol",TRUE),"")</f>
        <v/>
      </c>
      <c r="D100" s="214"/>
      <c r="E100" s="214"/>
      <c r="F100" s="212" t="str" cm="1">
        <f t="array" ref="F100">IFERROR(_FV(B100,"Price"),"")</f>
        <v/>
      </c>
      <c r="G100" s="213">
        <f t="shared" si="9"/>
        <v>0</v>
      </c>
      <c r="H100" s="212" t="str">
        <f t="shared" si="8"/>
        <v/>
      </c>
      <c r="I100" s="192" t="str">
        <f t="shared" si="6"/>
        <v/>
      </c>
      <c r="J100" s="193" t="str">
        <f t="shared" si="7"/>
        <v/>
      </c>
      <c r="K100" s="194" t="str" cm="1">
        <f t="array" ref="K100">IFERROR(_FV(B100,"Beta"),"")</f>
        <v/>
      </c>
      <c r="L100" s="195" t="str">
        <f ca="1">IFERROR(H100/Portfolio!$C$7,"")</f>
        <v/>
      </c>
      <c r="M100" s="196"/>
      <c r="N100" s="177"/>
      <c r="O100" s="177"/>
      <c r="P100" s="177"/>
      <c r="Q100" s="177"/>
      <c r="R100" s="177"/>
      <c r="S100" s="177"/>
      <c r="T100" s="177"/>
      <c r="U100" s="177"/>
      <c r="V100" s="177"/>
      <c r="W100" s="177"/>
    </row>
    <row r="101" spans="1:23" ht="13">
      <c r="A101" s="161"/>
      <c r="B101" s="174"/>
      <c r="C101" s="190" t="str" cm="1">
        <f t="array" ref="C101">IFERROR(_FV(B101,"Ticker symbol",TRUE),"")</f>
        <v/>
      </c>
      <c r="D101" s="214"/>
      <c r="E101" s="214"/>
      <c r="F101" s="212" t="str" cm="1">
        <f t="array" ref="F101">IFERROR(_FV(B101,"Price"),"")</f>
        <v/>
      </c>
      <c r="G101" s="213">
        <f t="shared" si="9"/>
        <v>0</v>
      </c>
      <c r="H101" s="212" t="str">
        <f t="shared" si="8"/>
        <v/>
      </c>
      <c r="I101" s="192" t="str">
        <f t="shared" si="6"/>
        <v/>
      </c>
      <c r="J101" s="193" t="str">
        <f t="shared" si="7"/>
        <v/>
      </c>
      <c r="K101" s="194" t="str" cm="1">
        <f t="array" ref="K101">IFERROR(_FV(B101,"Beta"),"")</f>
        <v/>
      </c>
      <c r="L101" s="195" t="str">
        <f ca="1">IFERROR(H101/Portfolio!$C$7,"")</f>
        <v/>
      </c>
      <c r="M101" s="196"/>
      <c r="N101" s="177"/>
      <c r="O101" s="177"/>
      <c r="P101" s="177"/>
      <c r="Q101" s="177"/>
      <c r="R101" s="177"/>
      <c r="S101" s="177"/>
      <c r="T101" s="177"/>
      <c r="U101" s="177"/>
      <c r="V101" s="177"/>
      <c r="W101" s="177"/>
    </row>
    <row r="102" spans="1:23" ht="13">
      <c r="A102" s="161"/>
      <c r="B102" s="174"/>
      <c r="C102" s="190" t="str" cm="1">
        <f t="array" ref="C102">IFERROR(_FV(B102,"Ticker symbol",TRUE),"")</f>
        <v/>
      </c>
      <c r="D102" s="214"/>
      <c r="E102" s="214"/>
      <c r="F102" s="212" t="str" cm="1">
        <f t="array" ref="F102">IFERROR(_FV(B102,"Price"),"")</f>
        <v/>
      </c>
      <c r="G102" s="213">
        <f t="shared" si="9"/>
        <v>0</v>
      </c>
      <c r="H102" s="212" t="str">
        <f t="shared" si="8"/>
        <v/>
      </c>
      <c r="I102" s="192" t="str">
        <f t="shared" si="6"/>
        <v/>
      </c>
      <c r="J102" s="193" t="str">
        <f t="shared" si="7"/>
        <v/>
      </c>
      <c r="K102" s="194" t="str" cm="1">
        <f t="array" ref="K102">IFERROR(_FV(B102,"Beta"),"")</f>
        <v/>
      </c>
      <c r="L102" s="195" t="str">
        <f ca="1">IFERROR(H102/Portfolio!$C$7,"")</f>
        <v/>
      </c>
      <c r="M102" s="196"/>
      <c r="N102" s="177"/>
      <c r="O102" s="177"/>
      <c r="P102" s="177"/>
      <c r="Q102" s="177"/>
      <c r="R102" s="177"/>
      <c r="S102" s="177"/>
      <c r="T102" s="177"/>
      <c r="U102" s="177"/>
      <c r="V102" s="177"/>
      <c r="W102" s="177"/>
    </row>
    <row r="103" spans="1:23" ht="13">
      <c r="A103" s="161"/>
      <c r="B103" s="174"/>
      <c r="C103" s="190" t="str" cm="1">
        <f t="array" ref="C103">IFERROR(_FV(B103,"Ticker symbol",TRUE),"")</f>
        <v/>
      </c>
      <c r="D103" s="214"/>
      <c r="E103" s="214"/>
      <c r="F103" s="212" t="str" cm="1">
        <f t="array" ref="F103">IFERROR(_FV(B103,"Price"),"")</f>
        <v/>
      </c>
      <c r="G103" s="213">
        <f t="shared" si="9"/>
        <v>0</v>
      </c>
      <c r="H103" s="212" t="str">
        <f t="shared" si="8"/>
        <v/>
      </c>
      <c r="I103" s="192" t="str">
        <f t="shared" si="6"/>
        <v/>
      </c>
      <c r="J103" s="193" t="str">
        <f t="shared" si="7"/>
        <v/>
      </c>
      <c r="K103" s="194" t="str" cm="1">
        <f t="array" ref="K103">IFERROR(_FV(B103,"Beta"),"")</f>
        <v/>
      </c>
      <c r="L103" s="195" t="str">
        <f ca="1">IFERROR(H103/Portfolio!$C$7,"")</f>
        <v/>
      </c>
      <c r="M103" s="196"/>
      <c r="N103" s="177"/>
      <c r="O103" s="177"/>
      <c r="P103" s="177"/>
      <c r="Q103" s="177"/>
      <c r="R103" s="177"/>
      <c r="S103" s="177"/>
      <c r="T103" s="177"/>
      <c r="U103" s="177"/>
      <c r="V103" s="177"/>
      <c r="W103" s="177"/>
    </row>
    <row r="104" spans="1:23" ht="13">
      <c r="A104" s="161"/>
      <c r="B104" s="174"/>
      <c r="C104" s="190" t="str" cm="1">
        <f t="array" ref="C104">IFERROR(_FV(B104,"Ticker symbol",TRUE),"")</f>
        <v/>
      </c>
      <c r="D104" s="214"/>
      <c r="E104" s="214"/>
      <c r="F104" s="212" t="str" cm="1">
        <f t="array" ref="F104">IFERROR(_FV(B104,"Price"),"")</f>
        <v/>
      </c>
      <c r="G104" s="213">
        <f t="shared" si="9"/>
        <v>0</v>
      </c>
      <c r="H104" s="212" t="str">
        <f t="shared" si="8"/>
        <v/>
      </c>
      <c r="I104" s="192" t="str">
        <f t="shared" si="6"/>
        <v/>
      </c>
      <c r="J104" s="193" t="str">
        <f t="shared" si="7"/>
        <v/>
      </c>
      <c r="K104" s="194" t="str" cm="1">
        <f t="array" ref="K104">IFERROR(_FV(B104,"Beta"),"")</f>
        <v/>
      </c>
      <c r="L104" s="195" t="str">
        <f ca="1">IFERROR(H104/Portfolio!$C$7,"")</f>
        <v/>
      </c>
      <c r="M104" s="177"/>
      <c r="N104" s="177"/>
      <c r="O104" s="177"/>
      <c r="P104" s="177"/>
      <c r="Q104" s="177"/>
      <c r="R104" s="177"/>
      <c r="S104" s="177"/>
      <c r="T104" s="177"/>
      <c r="U104" s="177"/>
      <c r="V104" s="177"/>
      <c r="W104" s="177"/>
    </row>
    <row r="105" spans="1:23" ht="13">
      <c r="A105" s="161"/>
      <c r="B105" s="174"/>
      <c r="C105" s="173"/>
      <c r="D105" s="214"/>
      <c r="E105" s="214"/>
      <c r="F105" s="212" t="str" cm="1">
        <f t="array" ref="F105">IFERROR(_FV(B105,"Price"),"")</f>
        <v/>
      </c>
      <c r="G105" s="213">
        <f t="shared" si="9"/>
        <v>0</v>
      </c>
      <c r="H105" s="212" t="str">
        <f t="shared" si="8"/>
        <v/>
      </c>
      <c r="I105" s="192" t="str">
        <f t="shared" si="6"/>
        <v/>
      </c>
      <c r="J105" s="193" t="str">
        <f t="shared" si="7"/>
        <v/>
      </c>
      <c r="K105" s="194" t="str" cm="1">
        <f t="array" ref="K105">IFERROR(_FV(B105,"Beta"),"")</f>
        <v/>
      </c>
      <c r="L105" s="195" t="str">
        <f ca="1">IFERROR(H105/Portfolio!$C$7,"")</f>
        <v/>
      </c>
      <c r="M105" s="177"/>
      <c r="N105" s="177"/>
      <c r="O105" s="177"/>
      <c r="P105" s="177"/>
      <c r="Q105" s="177"/>
      <c r="R105" s="177"/>
      <c r="S105" s="177"/>
      <c r="T105" s="177"/>
      <c r="U105" s="177"/>
      <c r="V105" s="177"/>
      <c r="W105" s="177"/>
    </row>
    <row r="106" spans="1:23" ht="13">
      <c r="A106" s="161"/>
      <c r="B106" s="174"/>
      <c r="C106" s="173"/>
      <c r="D106" s="214"/>
      <c r="E106" s="214"/>
      <c r="F106" s="212" t="str" cm="1">
        <f t="array" ref="F106">IFERROR(_FV(B106,"Price"),"")</f>
        <v/>
      </c>
      <c r="G106" s="213">
        <f t="shared" si="9"/>
        <v>0</v>
      </c>
      <c r="H106" s="212" t="str">
        <f t="shared" si="8"/>
        <v/>
      </c>
      <c r="I106" s="192" t="str">
        <f t="shared" si="6"/>
        <v/>
      </c>
      <c r="J106" s="193" t="str">
        <f t="shared" si="7"/>
        <v/>
      </c>
      <c r="K106" s="194" t="str" cm="1">
        <f t="array" ref="K106">IFERROR(_FV(B106,"Beta"),"")</f>
        <v/>
      </c>
      <c r="L106" s="195" t="str">
        <f ca="1">IFERROR(H106/Portfolio!$C$7,"")</f>
        <v/>
      </c>
      <c r="M106" s="177"/>
      <c r="N106" s="177"/>
      <c r="O106" s="177"/>
      <c r="P106" s="177"/>
      <c r="Q106" s="177"/>
      <c r="R106" s="177"/>
      <c r="S106" s="177"/>
      <c r="T106" s="177"/>
      <c r="U106" s="177"/>
      <c r="V106" s="177"/>
      <c r="W106" s="177"/>
    </row>
    <row r="107" spans="1:23" ht="13">
      <c r="A107" s="161"/>
      <c r="B107" s="174"/>
      <c r="C107" s="173"/>
      <c r="D107" s="214"/>
      <c r="E107" s="214"/>
      <c r="F107" s="212" t="str" cm="1">
        <f t="array" ref="F107">IFERROR(_FV(B107,"Price"),"")</f>
        <v/>
      </c>
      <c r="G107" s="213">
        <f t="shared" si="9"/>
        <v>0</v>
      </c>
      <c r="H107" s="212" t="str">
        <f t="shared" si="8"/>
        <v/>
      </c>
      <c r="I107" s="192" t="str">
        <f t="shared" si="6"/>
        <v/>
      </c>
      <c r="J107" s="193" t="str">
        <f t="shared" si="7"/>
        <v/>
      </c>
      <c r="K107" s="194" t="str" cm="1">
        <f t="array" ref="K107">IFERROR(_FV(B107,"Beta"),"")</f>
        <v/>
      </c>
      <c r="L107" s="195" t="str">
        <f ca="1">IFERROR(H107/Portfolio!$C$7,"")</f>
        <v/>
      </c>
      <c r="M107" s="177"/>
      <c r="N107" s="177"/>
      <c r="O107" s="177"/>
      <c r="P107" s="177"/>
      <c r="Q107" s="177"/>
      <c r="R107" s="177"/>
      <c r="S107" s="177"/>
      <c r="T107" s="177"/>
      <c r="U107" s="177"/>
      <c r="V107" s="177"/>
      <c r="W107" s="177"/>
    </row>
    <row r="108" spans="1:23" ht="13">
      <c r="A108" s="161"/>
      <c r="B108" s="174"/>
      <c r="C108" s="173"/>
      <c r="D108" s="214"/>
      <c r="E108" s="214"/>
      <c r="F108" s="212" t="str" cm="1">
        <f t="array" ref="F108">IFERROR(_FV(B108,"Price"),"")</f>
        <v/>
      </c>
      <c r="G108" s="213">
        <f t="shared" si="9"/>
        <v>0</v>
      </c>
      <c r="H108" s="212" t="str">
        <f t="shared" si="8"/>
        <v/>
      </c>
      <c r="I108" s="192" t="str">
        <f t="shared" si="6"/>
        <v/>
      </c>
      <c r="J108" s="193" t="str">
        <f t="shared" si="7"/>
        <v/>
      </c>
      <c r="K108" s="194" t="str" cm="1">
        <f t="array" ref="K108">IFERROR(_FV(B108,"Beta"),"")</f>
        <v/>
      </c>
      <c r="L108" s="195" t="str">
        <f ca="1">IFERROR(H108/Portfolio!$C$7,"")</f>
        <v/>
      </c>
      <c r="M108" s="177"/>
      <c r="N108" s="177"/>
      <c r="O108" s="177"/>
      <c r="P108" s="177"/>
      <c r="Q108" s="177"/>
      <c r="R108" s="177"/>
      <c r="S108" s="177"/>
      <c r="T108" s="177"/>
      <c r="U108" s="177"/>
      <c r="V108" s="177"/>
      <c r="W108" s="177"/>
    </row>
    <row r="109" spans="1:23" ht="13">
      <c r="A109" s="161"/>
      <c r="B109" s="174"/>
      <c r="C109" s="173"/>
      <c r="D109" s="214"/>
      <c r="E109" s="214"/>
      <c r="F109" s="212" t="str" cm="1">
        <f t="array" ref="F109">IFERROR(_FV(B109,"Price"),"")</f>
        <v/>
      </c>
      <c r="G109" s="213">
        <f t="shared" si="9"/>
        <v>0</v>
      </c>
      <c r="H109" s="212" t="str">
        <f t="shared" si="8"/>
        <v/>
      </c>
      <c r="I109" s="192" t="str">
        <f t="shared" si="6"/>
        <v/>
      </c>
      <c r="J109" s="193" t="str">
        <f t="shared" si="7"/>
        <v/>
      </c>
      <c r="K109" s="194" t="str" cm="1">
        <f t="array" ref="K109">IFERROR(_FV(B109,"Beta"),"")</f>
        <v/>
      </c>
      <c r="L109" s="195" t="str">
        <f ca="1">IFERROR(H109/Portfolio!$C$7,"")</f>
        <v/>
      </c>
      <c r="M109" s="177"/>
      <c r="N109" s="177"/>
      <c r="O109" s="177"/>
      <c r="P109" s="177"/>
      <c r="Q109" s="177"/>
      <c r="R109" s="177"/>
      <c r="S109" s="177"/>
      <c r="T109" s="177"/>
      <c r="U109" s="177"/>
      <c r="V109" s="177"/>
      <c r="W109" s="177"/>
    </row>
    <row r="110" spans="1:23" ht="13">
      <c r="A110" s="161"/>
      <c r="B110" s="174"/>
      <c r="C110" s="173"/>
      <c r="D110" s="214"/>
      <c r="E110" s="214"/>
      <c r="F110" s="212" t="str" cm="1">
        <f t="array" ref="F110">IFERROR(_FV(B110,"Price"),"")</f>
        <v/>
      </c>
      <c r="G110" s="213">
        <f t="shared" si="9"/>
        <v>0</v>
      </c>
      <c r="H110" s="212" t="str">
        <f t="shared" si="8"/>
        <v/>
      </c>
      <c r="I110" s="192" t="str">
        <f t="shared" si="6"/>
        <v/>
      </c>
      <c r="J110" s="193" t="str">
        <f t="shared" si="7"/>
        <v/>
      </c>
      <c r="K110" s="194" t="str" cm="1">
        <f t="array" ref="K110">IFERROR(_FV(B110,"Beta"),"")</f>
        <v/>
      </c>
      <c r="L110" s="195" t="str">
        <f ca="1">IFERROR(H110/Portfolio!$C$7,"")</f>
        <v/>
      </c>
      <c r="M110" s="177"/>
      <c r="N110" s="177"/>
      <c r="O110" s="177"/>
      <c r="P110" s="177"/>
      <c r="Q110" s="177"/>
      <c r="R110" s="177"/>
      <c r="S110" s="177"/>
      <c r="T110" s="177"/>
      <c r="U110" s="177"/>
      <c r="V110" s="177"/>
      <c r="W110" s="177"/>
    </row>
    <row r="111" spans="1:23" ht="13">
      <c r="A111" s="161"/>
      <c r="B111" s="174"/>
      <c r="C111" s="173"/>
      <c r="D111" s="214"/>
      <c r="E111" s="214"/>
      <c r="F111" s="212" t="str" cm="1">
        <f t="array" ref="F111">IFERROR(_FV(B111,"Price"),"")</f>
        <v/>
      </c>
      <c r="G111" s="213">
        <f t="shared" si="9"/>
        <v>0</v>
      </c>
      <c r="H111" s="212" t="str">
        <f t="shared" si="8"/>
        <v/>
      </c>
      <c r="I111" s="192" t="str">
        <f t="shared" si="6"/>
        <v/>
      </c>
      <c r="J111" s="193" t="str">
        <f t="shared" si="7"/>
        <v/>
      </c>
      <c r="K111" s="194" t="str" cm="1">
        <f t="array" ref="K111">IFERROR(_FV(B111,"Beta"),"")</f>
        <v/>
      </c>
      <c r="L111" s="195" t="str">
        <f ca="1">IFERROR(H111/Portfolio!$C$7,"")</f>
        <v/>
      </c>
      <c r="M111" s="177"/>
      <c r="N111" s="177"/>
      <c r="O111" s="177"/>
      <c r="P111" s="177"/>
      <c r="Q111" s="177"/>
      <c r="R111" s="177"/>
      <c r="S111" s="177"/>
      <c r="T111" s="177"/>
      <c r="U111" s="177"/>
      <c r="V111" s="177"/>
      <c r="W111" s="177"/>
    </row>
    <row r="112" spans="1:23" ht="13">
      <c r="A112" s="161"/>
      <c r="B112" s="174"/>
      <c r="C112" s="173"/>
      <c r="D112" s="214"/>
      <c r="E112" s="214"/>
      <c r="F112" s="212" t="str" cm="1">
        <f t="array" ref="F112">IFERROR(_FV(B112,"Price"),"")</f>
        <v/>
      </c>
      <c r="G112" s="213">
        <f t="shared" si="9"/>
        <v>0</v>
      </c>
      <c r="H112" s="212" t="str">
        <f t="shared" si="8"/>
        <v/>
      </c>
      <c r="I112" s="192" t="str">
        <f t="shared" si="6"/>
        <v/>
      </c>
      <c r="J112" s="193" t="str">
        <f t="shared" si="7"/>
        <v/>
      </c>
      <c r="K112" s="194" t="str" cm="1">
        <f t="array" ref="K112">IFERROR(_FV(B112,"Beta"),"")</f>
        <v/>
      </c>
      <c r="L112" s="195" t="str">
        <f ca="1">IFERROR(H112/Portfolio!$C$7,"")</f>
        <v/>
      </c>
      <c r="M112" s="177"/>
      <c r="N112" s="177"/>
      <c r="O112" s="177"/>
      <c r="P112" s="177"/>
      <c r="Q112" s="177"/>
      <c r="R112" s="177"/>
      <c r="S112" s="177"/>
      <c r="T112" s="177"/>
      <c r="U112" s="177"/>
      <c r="V112" s="177"/>
      <c r="W112" s="177"/>
    </row>
    <row r="113" spans="1:29" ht="13">
      <c r="A113" s="161"/>
      <c r="B113" s="174"/>
      <c r="C113" s="173"/>
      <c r="D113" s="214"/>
      <c r="E113" s="214"/>
      <c r="F113" s="212" t="str" cm="1">
        <f t="array" ref="F113">IFERROR(_FV(B113,"Price"),"")</f>
        <v/>
      </c>
      <c r="G113" s="213">
        <f t="shared" si="9"/>
        <v>0</v>
      </c>
      <c r="H113" s="212" t="str">
        <f t="shared" si="8"/>
        <v/>
      </c>
      <c r="I113" s="192" t="str">
        <f t="shared" si="6"/>
        <v/>
      </c>
      <c r="J113" s="193" t="str">
        <f t="shared" si="7"/>
        <v/>
      </c>
      <c r="K113" s="194" t="str" cm="1">
        <f t="array" ref="K113">IFERROR(_FV(B113,"Beta"),"")</f>
        <v/>
      </c>
      <c r="L113" s="195" t="str">
        <f ca="1">IFERROR(H113/Portfolio!$C$7,"")</f>
        <v/>
      </c>
      <c r="M113" s="177"/>
      <c r="N113" s="177"/>
      <c r="O113" s="177"/>
      <c r="P113" s="177"/>
      <c r="Q113" s="177"/>
      <c r="R113" s="177"/>
      <c r="S113" s="177"/>
      <c r="T113" s="177"/>
      <c r="U113" s="177"/>
      <c r="V113" s="177"/>
      <c r="W113" s="177"/>
    </row>
    <row r="114" spans="1:29" ht="13">
      <c r="A114" s="161"/>
      <c r="B114" s="174"/>
      <c r="C114" s="173"/>
      <c r="D114" s="214"/>
      <c r="E114" s="214"/>
      <c r="F114" s="212" t="str" cm="1">
        <f t="array" ref="F114">IFERROR(_FV(B114,"Price"),"")</f>
        <v/>
      </c>
      <c r="G114" s="213">
        <f t="shared" si="9"/>
        <v>0</v>
      </c>
      <c r="H114" s="212" t="str">
        <f t="shared" si="8"/>
        <v/>
      </c>
      <c r="I114" s="192" t="str">
        <f t="shared" si="6"/>
        <v/>
      </c>
      <c r="J114" s="193" t="str">
        <f t="shared" si="7"/>
        <v/>
      </c>
      <c r="K114" s="194" t="str" cm="1">
        <f t="array" ref="K114">IFERROR(_FV(B114,"Beta"),"")</f>
        <v/>
      </c>
      <c r="L114" s="195" t="str">
        <f ca="1">IFERROR(H114/Portfolio!$C$7,"")</f>
        <v/>
      </c>
      <c r="M114" s="177"/>
      <c r="N114" s="177"/>
      <c r="O114" s="177"/>
      <c r="P114" s="177"/>
      <c r="Q114" s="177"/>
      <c r="R114" s="177"/>
      <c r="S114" s="177"/>
      <c r="T114" s="177"/>
      <c r="U114" s="177"/>
      <c r="V114" s="177"/>
      <c r="W114" s="177"/>
    </row>
    <row r="115" spans="1:29" ht="13">
      <c r="A115" s="161"/>
      <c r="B115" s="174"/>
      <c r="C115" s="173"/>
      <c r="D115" s="214"/>
      <c r="E115" s="214"/>
      <c r="F115" s="212" t="str" cm="1">
        <f t="array" ref="F115">IFERROR(_FV(B115,"Price"),"")</f>
        <v/>
      </c>
      <c r="G115" s="213">
        <f t="shared" si="9"/>
        <v>0</v>
      </c>
      <c r="H115" s="212" t="str">
        <f t="shared" si="8"/>
        <v/>
      </c>
      <c r="I115" s="192" t="str">
        <f t="shared" si="6"/>
        <v/>
      </c>
      <c r="J115" s="193" t="str">
        <f t="shared" si="7"/>
        <v/>
      </c>
      <c r="K115" s="194" t="str" cm="1">
        <f t="array" ref="K115">IFERROR(_FV(B115,"Beta"),"")</f>
        <v/>
      </c>
      <c r="L115" s="195" t="str">
        <f ca="1">IFERROR(H115/Portfolio!$C$7,"")</f>
        <v/>
      </c>
      <c r="M115" s="177"/>
      <c r="N115" s="177"/>
      <c r="O115" s="177"/>
      <c r="P115" s="177"/>
      <c r="Q115" s="177"/>
      <c r="R115" s="177"/>
      <c r="S115" s="177"/>
      <c r="T115" s="177"/>
      <c r="U115" s="177"/>
      <c r="V115" s="177"/>
      <c r="W115" s="177"/>
    </row>
    <row r="116" spans="1:29" ht="13">
      <c r="A116" s="161"/>
      <c r="B116" s="174"/>
      <c r="C116" s="173"/>
      <c r="D116" s="214"/>
      <c r="E116" s="214"/>
      <c r="F116" s="212" t="str" cm="1">
        <f t="array" ref="F116">IFERROR(_FV(B116,"Price"),"")</f>
        <v/>
      </c>
      <c r="G116" s="213">
        <f t="shared" si="9"/>
        <v>0</v>
      </c>
      <c r="H116" s="212" t="str">
        <f t="shared" si="8"/>
        <v/>
      </c>
      <c r="I116" s="192" t="str">
        <f t="shared" si="6"/>
        <v/>
      </c>
      <c r="J116" s="193" t="str">
        <f t="shared" si="7"/>
        <v/>
      </c>
      <c r="K116" s="194" t="str" cm="1">
        <f t="array" ref="K116">IFERROR(_FV(B116,"Beta"),"")</f>
        <v/>
      </c>
      <c r="L116" s="195" t="str">
        <f ca="1">IFERROR(H116/Portfolio!$C$7,"")</f>
        <v/>
      </c>
      <c r="M116" s="177"/>
      <c r="N116" s="177"/>
      <c r="O116" s="177"/>
      <c r="P116" s="177"/>
      <c r="Q116" s="177"/>
      <c r="R116" s="177"/>
      <c r="S116" s="177"/>
      <c r="T116" s="177"/>
      <c r="U116" s="177"/>
      <c r="V116" s="177"/>
      <c r="W116" s="177"/>
    </row>
    <row r="117" spans="1:29" ht="13">
      <c r="A117" s="161"/>
      <c r="B117" s="174"/>
      <c r="C117" s="173"/>
      <c r="D117" s="214"/>
      <c r="E117" s="214"/>
      <c r="F117" s="212" t="str" cm="1">
        <f t="array" ref="F117">IFERROR(_FV(B117,"Price"),"")</f>
        <v/>
      </c>
      <c r="G117" s="213">
        <f t="shared" si="9"/>
        <v>0</v>
      </c>
      <c r="H117" s="212" t="str">
        <f t="shared" si="8"/>
        <v/>
      </c>
      <c r="I117" s="192" t="str">
        <f t="shared" si="6"/>
        <v/>
      </c>
      <c r="J117" s="193" t="str">
        <f t="shared" si="7"/>
        <v/>
      </c>
      <c r="K117" s="194" t="str" cm="1">
        <f t="array" ref="K117">IFERROR(_FV(B117,"Beta"),"")</f>
        <v/>
      </c>
      <c r="L117" s="195" t="str">
        <f ca="1">IFERROR(H117/Portfolio!$C$7,"")</f>
        <v/>
      </c>
      <c r="M117" s="177"/>
      <c r="N117" s="177"/>
      <c r="O117" s="177"/>
      <c r="P117" s="177"/>
      <c r="Q117" s="177"/>
      <c r="R117" s="177"/>
      <c r="S117" s="177"/>
      <c r="T117" s="177"/>
      <c r="U117" s="177"/>
      <c r="V117" s="177"/>
      <c r="W117" s="177"/>
    </row>
    <row r="118" spans="1:29" ht="13">
      <c r="A118" s="161"/>
      <c r="B118" s="174"/>
      <c r="C118" s="173"/>
      <c r="D118" s="214"/>
      <c r="E118" s="214"/>
      <c r="F118" s="212" t="str" cm="1">
        <f t="array" ref="F118">IFERROR(_FV(B118,"Price"),"")</f>
        <v/>
      </c>
      <c r="G118" s="213">
        <f t="shared" si="9"/>
        <v>0</v>
      </c>
      <c r="H118" s="212" t="str">
        <f t="shared" si="8"/>
        <v/>
      </c>
      <c r="I118" s="192" t="str">
        <f t="shared" si="6"/>
        <v/>
      </c>
      <c r="J118" s="193" t="str">
        <f t="shared" si="7"/>
        <v/>
      </c>
      <c r="K118" s="194" t="str" cm="1">
        <f t="array" ref="K118">IFERROR(_FV(B118,"Beta"),"")</f>
        <v/>
      </c>
      <c r="L118" s="195" t="str">
        <f ca="1">IFERROR(H118/Portfolio!$C$7,"")</f>
        <v/>
      </c>
      <c r="M118" s="177"/>
      <c r="N118" s="177"/>
      <c r="O118" s="177"/>
      <c r="P118" s="177"/>
      <c r="Q118" s="177"/>
      <c r="R118" s="177"/>
      <c r="S118" s="177"/>
      <c r="T118" s="177"/>
      <c r="U118" s="177"/>
      <c r="V118" s="177"/>
      <c r="W118" s="177"/>
    </row>
    <row r="119" spans="1:29" ht="13">
      <c r="A119" s="161"/>
      <c r="B119" s="174"/>
      <c r="C119" s="173"/>
      <c r="D119" s="214"/>
      <c r="E119" s="214"/>
      <c r="F119" s="212" t="str" cm="1">
        <f t="array" ref="F119">IFERROR(_FV(B119,"Price"),"")</f>
        <v/>
      </c>
      <c r="G119" s="213">
        <f t="shared" si="9"/>
        <v>0</v>
      </c>
      <c r="H119" s="212" t="str">
        <f t="shared" si="8"/>
        <v/>
      </c>
      <c r="I119" s="192" t="str">
        <f t="shared" si="6"/>
        <v/>
      </c>
      <c r="J119" s="193" t="str">
        <f t="shared" si="7"/>
        <v/>
      </c>
      <c r="K119" s="194" t="str" cm="1">
        <f t="array" ref="K119">IFERROR(_FV(B119,"Beta"),"")</f>
        <v/>
      </c>
      <c r="L119" s="195" t="str">
        <f ca="1">IFERROR(H119/Portfolio!$C$7,"")</f>
        <v/>
      </c>
      <c r="M119" s="177"/>
      <c r="N119" s="177"/>
      <c r="O119" s="177"/>
      <c r="P119" s="177"/>
      <c r="Q119" s="177"/>
      <c r="R119" s="177"/>
      <c r="S119" s="177"/>
      <c r="T119" s="177"/>
      <c r="U119" s="177"/>
      <c r="V119" s="177"/>
      <c r="W119" s="177"/>
    </row>
    <row r="120" spans="1:29" ht="13">
      <c r="A120" s="161"/>
      <c r="B120" s="174"/>
      <c r="C120" s="173"/>
      <c r="D120" s="214"/>
      <c r="E120" s="214"/>
      <c r="F120" s="212" t="str" cm="1">
        <f t="array" ref="F120">IFERROR(_FV(B120,"Price"),"")</f>
        <v/>
      </c>
      <c r="G120" s="213">
        <f t="shared" si="9"/>
        <v>0</v>
      </c>
      <c r="H120" s="212" t="str">
        <f t="shared" si="8"/>
        <v/>
      </c>
      <c r="I120" s="192" t="str">
        <f t="shared" si="6"/>
        <v/>
      </c>
      <c r="J120" s="193" t="str">
        <f t="shared" si="7"/>
        <v/>
      </c>
      <c r="K120" s="194" t="str" cm="1">
        <f t="array" ref="K120">IFERROR(_FV(B120,"Beta"),"")</f>
        <v/>
      </c>
      <c r="L120" s="195" t="str">
        <f ca="1">IFERROR(H120/Portfolio!$C$7,"")</f>
        <v/>
      </c>
      <c r="M120" s="177"/>
      <c r="N120" s="177"/>
      <c r="O120" s="177"/>
      <c r="P120" s="177"/>
      <c r="Q120" s="177"/>
      <c r="R120" s="177"/>
      <c r="S120" s="177"/>
      <c r="T120" s="177"/>
      <c r="U120" s="177"/>
      <c r="V120" s="177"/>
      <c r="W120" s="177"/>
    </row>
    <row r="121" spans="1:29" ht="13">
      <c r="A121" s="161"/>
      <c r="B121" s="161"/>
      <c r="C121" s="177"/>
      <c r="D121" s="177"/>
      <c r="E121" s="177"/>
      <c r="F121" s="204"/>
      <c r="G121" s="210"/>
      <c r="H121" s="205"/>
      <c r="I121" s="177"/>
      <c r="J121" s="177"/>
      <c r="K121" s="177"/>
      <c r="L121" s="178"/>
      <c r="M121" s="177"/>
      <c r="N121" s="177"/>
      <c r="O121" s="177"/>
      <c r="P121" s="177"/>
      <c r="Q121" s="177"/>
      <c r="R121" s="177"/>
      <c r="S121" s="177"/>
      <c r="T121" s="177"/>
      <c r="U121" s="177"/>
      <c r="V121" s="177"/>
      <c r="W121" s="177"/>
    </row>
    <row r="122" spans="1:29" ht="13">
      <c r="A122" s="161"/>
      <c r="B122" s="161"/>
      <c r="C122" s="177"/>
      <c r="D122" s="177"/>
      <c r="E122" s="177"/>
      <c r="F122" s="204"/>
      <c r="G122" s="210"/>
      <c r="H122" s="205"/>
      <c r="I122" s="177"/>
      <c r="J122" s="177"/>
      <c r="K122" s="177"/>
      <c r="L122" s="178"/>
      <c r="M122" s="177"/>
      <c r="N122" s="177"/>
      <c r="O122" s="177"/>
      <c r="P122" s="177"/>
      <c r="Q122" s="177"/>
      <c r="R122" s="177"/>
      <c r="S122" s="177"/>
      <c r="T122" s="177"/>
      <c r="U122" s="177"/>
      <c r="V122" s="177"/>
      <c r="W122" s="177"/>
    </row>
    <row r="123" spans="1:29" ht="13">
      <c r="A123" s="161"/>
      <c r="B123" s="161"/>
      <c r="C123" s="177"/>
      <c r="D123" s="177"/>
      <c r="E123" s="177"/>
      <c r="F123" s="204"/>
      <c r="G123" s="210"/>
      <c r="H123" s="205"/>
      <c r="I123" s="177"/>
      <c r="J123" s="177"/>
      <c r="K123" s="177"/>
      <c r="L123" s="178"/>
      <c r="M123" s="177"/>
      <c r="N123" s="177"/>
      <c r="O123" s="177"/>
      <c r="P123" s="177"/>
      <c r="Q123" s="177"/>
      <c r="R123" s="177"/>
      <c r="S123" s="177"/>
      <c r="T123" s="177"/>
      <c r="U123" s="177"/>
      <c r="V123" s="177"/>
      <c r="W123" s="177"/>
    </row>
    <row r="124" spans="1:29" ht="13">
      <c r="A124" s="161"/>
      <c r="B124" s="161"/>
      <c r="C124" s="177"/>
      <c r="D124" s="177"/>
      <c r="E124" s="177"/>
      <c r="F124" s="204"/>
      <c r="G124" s="210"/>
      <c r="H124" s="205"/>
      <c r="I124" s="177"/>
      <c r="J124" s="177"/>
      <c r="K124" s="177"/>
      <c r="L124" s="178"/>
      <c r="M124" s="177"/>
      <c r="N124" s="177"/>
      <c r="O124" s="177"/>
      <c r="P124" s="177"/>
      <c r="Q124" s="177"/>
      <c r="R124" s="177"/>
      <c r="S124" s="177"/>
      <c r="T124" s="177"/>
      <c r="U124" s="177"/>
      <c r="V124" s="177"/>
      <c r="W124" s="177"/>
      <c r="X124" s="177"/>
      <c r="Y124" s="177"/>
      <c r="Z124" s="177"/>
      <c r="AA124" s="177"/>
      <c r="AB124" s="177"/>
      <c r="AC124" s="177"/>
    </row>
    <row r="125" spans="1:29" ht="13">
      <c r="A125" s="161"/>
      <c r="B125" s="161"/>
      <c r="C125" s="177"/>
      <c r="D125" s="177"/>
      <c r="E125" s="177"/>
      <c r="F125" s="204"/>
      <c r="G125" s="210"/>
      <c r="H125" s="205"/>
      <c r="I125" s="177"/>
      <c r="J125" s="177"/>
      <c r="K125" s="177"/>
      <c r="L125" s="178"/>
      <c r="M125" s="177"/>
      <c r="N125" s="177"/>
      <c r="O125" s="177"/>
      <c r="P125" s="177"/>
      <c r="Q125" s="177"/>
      <c r="R125" s="177"/>
      <c r="S125" s="177"/>
      <c r="T125" s="177"/>
      <c r="U125" s="177"/>
      <c r="V125" s="177"/>
      <c r="W125" s="177"/>
      <c r="X125" s="177"/>
      <c r="Y125" s="177"/>
      <c r="Z125" s="177"/>
      <c r="AA125" s="177"/>
      <c r="AB125" s="177"/>
      <c r="AC125" s="177"/>
    </row>
    <row r="126" spans="1:29" ht="13">
      <c r="A126" s="161"/>
      <c r="B126" s="161"/>
      <c r="C126" s="177"/>
      <c r="D126" s="177"/>
      <c r="E126" s="177"/>
      <c r="F126" s="204"/>
      <c r="G126" s="210"/>
      <c r="H126" s="205"/>
      <c r="I126" s="177"/>
      <c r="J126" s="177"/>
      <c r="K126" s="177"/>
      <c r="L126" s="178"/>
      <c r="M126" s="177"/>
      <c r="N126" s="177"/>
      <c r="O126" s="177"/>
      <c r="P126" s="177"/>
      <c r="Q126" s="177"/>
      <c r="R126" s="177"/>
      <c r="S126" s="177"/>
      <c r="T126" s="177"/>
      <c r="U126" s="177"/>
      <c r="V126" s="177"/>
      <c r="W126" s="177"/>
      <c r="X126" s="177"/>
      <c r="Y126" s="177"/>
      <c r="Z126" s="177"/>
      <c r="AA126" s="177"/>
      <c r="AB126" s="177"/>
      <c r="AC126" s="177"/>
    </row>
    <row r="127" spans="1:29" ht="13">
      <c r="A127" s="161"/>
      <c r="B127" s="161"/>
      <c r="C127" s="177"/>
      <c r="D127" s="177"/>
      <c r="E127" s="177"/>
      <c r="F127" s="204"/>
      <c r="G127" s="210"/>
      <c r="H127" s="205"/>
      <c r="I127" s="177"/>
      <c r="J127" s="177"/>
      <c r="K127" s="177"/>
      <c r="L127" s="178"/>
      <c r="M127" s="177"/>
      <c r="N127" s="177"/>
      <c r="O127" s="177"/>
      <c r="P127" s="177"/>
      <c r="Q127" s="177"/>
      <c r="R127" s="177"/>
      <c r="S127" s="177"/>
      <c r="T127" s="177"/>
      <c r="U127" s="177"/>
      <c r="V127" s="177"/>
      <c r="W127" s="177"/>
      <c r="X127" s="177"/>
      <c r="Y127" s="177"/>
      <c r="Z127" s="177"/>
      <c r="AA127" s="177"/>
      <c r="AB127" s="177"/>
      <c r="AC127" s="177"/>
    </row>
    <row r="128" spans="1:29" ht="13">
      <c r="A128" s="161"/>
      <c r="B128" s="161"/>
      <c r="C128" s="177"/>
      <c r="D128" s="177"/>
      <c r="E128" s="177"/>
      <c r="F128" s="204"/>
      <c r="G128" s="210"/>
      <c r="H128" s="205"/>
      <c r="I128" s="177"/>
      <c r="J128" s="177"/>
      <c r="K128" s="177"/>
      <c r="L128" s="178"/>
      <c r="M128" s="177"/>
      <c r="N128" s="177"/>
      <c r="O128" s="177"/>
      <c r="P128" s="177"/>
      <c r="Q128" s="177"/>
      <c r="R128" s="177"/>
      <c r="S128" s="177"/>
      <c r="T128" s="177"/>
      <c r="U128" s="177"/>
      <c r="V128" s="177"/>
      <c r="W128" s="177"/>
      <c r="X128" s="177"/>
      <c r="Y128" s="177"/>
      <c r="Z128" s="177"/>
      <c r="AA128" s="177"/>
      <c r="AB128" s="177"/>
      <c r="AC128" s="177"/>
    </row>
    <row r="129" spans="1:29" ht="13">
      <c r="A129" s="161"/>
      <c r="B129" s="161"/>
      <c r="C129" s="177"/>
      <c r="D129" s="177"/>
      <c r="E129" s="177"/>
      <c r="F129" s="205"/>
      <c r="G129" s="210"/>
      <c r="H129" s="205"/>
      <c r="I129" s="177"/>
      <c r="J129" s="177"/>
      <c r="K129" s="177"/>
      <c r="L129" s="178"/>
      <c r="M129" s="177"/>
      <c r="N129" s="177"/>
      <c r="O129" s="177"/>
      <c r="P129" s="177"/>
      <c r="Q129" s="177"/>
      <c r="R129" s="177"/>
      <c r="S129" s="177"/>
      <c r="T129" s="177"/>
      <c r="U129" s="177"/>
      <c r="V129" s="177"/>
      <c r="W129" s="177"/>
      <c r="X129" s="177"/>
      <c r="Y129" s="177"/>
      <c r="Z129" s="177"/>
      <c r="AA129" s="177"/>
      <c r="AB129" s="177"/>
      <c r="AC129" s="177"/>
    </row>
    <row r="130" spans="1:29" ht="13">
      <c r="A130" s="161"/>
      <c r="B130" s="161"/>
      <c r="C130" s="177"/>
      <c r="D130" s="177"/>
      <c r="E130" s="177"/>
      <c r="F130" s="205"/>
      <c r="G130" s="210"/>
      <c r="H130" s="205"/>
      <c r="I130" s="177"/>
      <c r="J130" s="177"/>
      <c r="K130" s="177"/>
      <c r="L130" s="178"/>
      <c r="M130" s="177"/>
      <c r="N130" s="177"/>
      <c r="O130" s="177"/>
      <c r="P130" s="177"/>
      <c r="Q130" s="177"/>
      <c r="R130" s="177"/>
      <c r="S130" s="177"/>
      <c r="T130" s="177"/>
      <c r="U130" s="177"/>
      <c r="V130" s="177"/>
      <c r="W130" s="177"/>
      <c r="X130" s="177"/>
      <c r="Y130" s="177"/>
      <c r="Z130" s="177"/>
      <c r="AA130" s="177"/>
      <c r="AB130" s="177"/>
      <c r="AC130" s="177"/>
    </row>
    <row r="131" spans="1:29" ht="13">
      <c r="A131" s="161"/>
      <c r="B131" s="161"/>
      <c r="C131" s="177"/>
      <c r="D131" s="177"/>
      <c r="E131" s="177"/>
      <c r="F131" s="205"/>
      <c r="G131" s="210"/>
      <c r="H131" s="205"/>
      <c r="I131" s="177"/>
      <c r="J131" s="177"/>
      <c r="K131" s="177"/>
      <c r="L131" s="178"/>
      <c r="M131" s="177"/>
      <c r="N131" s="177"/>
      <c r="O131" s="177"/>
      <c r="P131" s="177"/>
      <c r="Q131" s="177"/>
      <c r="R131" s="177"/>
      <c r="S131" s="177"/>
      <c r="T131" s="177"/>
      <c r="U131" s="177"/>
      <c r="V131" s="177"/>
      <c r="W131" s="177"/>
      <c r="X131" s="177"/>
      <c r="Y131" s="177"/>
      <c r="Z131" s="177"/>
      <c r="AA131" s="177"/>
      <c r="AB131" s="177"/>
      <c r="AC131" s="177"/>
    </row>
    <row r="132" spans="1:29" ht="13">
      <c r="A132" s="161"/>
      <c r="B132" s="161"/>
      <c r="C132" s="177"/>
      <c r="D132" s="177"/>
      <c r="E132" s="177"/>
      <c r="F132" s="205"/>
      <c r="G132" s="210"/>
      <c r="H132" s="205"/>
      <c r="I132" s="177"/>
      <c r="J132" s="177"/>
      <c r="K132" s="177"/>
      <c r="L132" s="178"/>
      <c r="M132" s="177"/>
      <c r="N132" s="177"/>
      <c r="O132" s="177"/>
      <c r="P132" s="177"/>
      <c r="Q132" s="177"/>
      <c r="R132" s="177"/>
      <c r="S132" s="177"/>
      <c r="T132" s="177"/>
      <c r="U132" s="177"/>
      <c r="V132" s="177"/>
      <c r="W132" s="177"/>
      <c r="X132" s="177"/>
      <c r="Y132" s="177"/>
      <c r="Z132" s="177"/>
      <c r="AA132" s="177"/>
      <c r="AB132" s="177"/>
      <c r="AC132" s="177"/>
    </row>
    <row r="133" spans="1:29" ht="13">
      <c r="A133" s="161"/>
      <c r="B133" s="161"/>
      <c r="C133" s="177"/>
      <c r="D133" s="177"/>
      <c r="E133" s="177"/>
      <c r="F133" s="205"/>
      <c r="G133" s="210"/>
      <c r="H133" s="205"/>
      <c r="I133" s="177"/>
      <c r="J133" s="177"/>
      <c r="K133" s="177"/>
      <c r="L133" s="178"/>
      <c r="M133" s="177"/>
      <c r="N133" s="177"/>
      <c r="O133" s="177"/>
      <c r="P133" s="177"/>
      <c r="Q133" s="177"/>
      <c r="R133" s="177"/>
      <c r="S133" s="177"/>
      <c r="T133" s="177"/>
      <c r="U133" s="177"/>
      <c r="V133" s="177"/>
      <c r="W133" s="177"/>
      <c r="X133" s="177"/>
      <c r="Y133" s="177"/>
      <c r="Z133" s="177"/>
      <c r="AA133" s="177"/>
      <c r="AB133" s="177"/>
      <c r="AC133" s="177"/>
    </row>
    <row r="134" spans="1:29" ht="13">
      <c r="A134" s="161"/>
      <c r="B134" s="161"/>
      <c r="C134" s="177"/>
      <c r="D134" s="177"/>
      <c r="E134" s="177"/>
      <c r="F134" s="205"/>
      <c r="G134" s="210"/>
      <c r="H134" s="205"/>
      <c r="I134" s="177"/>
      <c r="J134" s="177"/>
      <c r="K134" s="177"/>
      <c r="L134" s="178"/>
      <c r="M134" s="177"/>
      <c r="N134" s="177"/>
      <c r="O134" s="177"/>
      <c r="P134" s="177"/>
      <c r="Q134" s="177"/>
      <c r="R134" s="177"/>
      <c r="S134" s="177"/>
      <c r="T134" s="177"/>
      <c r="U134" s="177"/>
      <c r="V134" s="177"/>
      <c r="W134" s="177"/>
      <c r="X134" s="177"/>
      <c r="Y134" s="177"/>
      <c r="Z134" s="177"/>
      <c r="AA134" s="177"/>
      <c r="AB134" s="177"/>
      <c r="AC134" s="177"/>
    </row>
    <row r="135" spans="1:29" ht="13">
      <c r="A135" s="161"/>
      <c r="B135" s="161"/>
      <c r="C135" s="177"/>
      <c r="D135" s="177"/>
      <c r="E135" s="177"/>
      <c r="F135" s="205"/>
      <c r="G135" s="210"/>
      <c r="H135" s="205"/>
      <c r="I135" s="177"/>
      <c r="J135" s="177"/>
      <c r="K135" s="177"/>
      <c r="L135" s="178"/>
      <c r="M135" s="177"/>
      <c r="N135" s="177"/>
      <c r="O135" s="177"/>
      <c r="P135" s="177"/>
      <c r="Q135" s="177"/>
      <c r="R135" s="177"/>
      <c r="S135" s="177"/>
      <c r="T135" s="177"/>
      <c r="U135" s="177"/>
      <c r="V135" s="177"/>
      <c r="W135" s="177"/>
      <c r="X135" s="177"/>
      <c r="Y135" s="177"/>
      <c r="Z135" s="177"/>
      <c r="AA135" s="177"/>
      <c r="AB135" s="177"/>
      <c r="AC135" s="177"/>
    </row>
    <row r="136" spans="1:29" ht="13">
      <c r="A136" s="161"/>
      <c r="B136" s="161"/>
      <c r="C136" s="177"/>
      <c r="D136" s="177"/>
      <c r="E136" s="177"/>
      <c r="F136" s="205"/>
      <c r="G136" s="210"/>
      <c r="H136" s="205"/>
      <c r="I136" s="177"/>
      <c r="J136" s="177"/>
      <c r="K136" s="177"/>
      <c r="L136" s="178"/>
      <c r="M136" s="177"/>
      <c r="N136" s="177"/>
      <c r="O136" s="177"/>
      <c r="P136" s="177"/>
      <c r="Q136" s="177"/>
      <c r="R136" s="177"/>
      <c r="S136" s="177"/>
      <c r="T136" s="177"/>
      <c r="U136" s="177"/>
      <c r="V136" s="177"/>
      <c r="W136" s="177"/>
      <c r="X136" s="177"/>
      <c r="Y136" s="177"/>
      <c r="Z136" s="177"/>
      <c r="AA136" s="177"/>
      <c r="AB136" s="177"/>
      <c r="AC136" s="177"/>
    </row>
    <row r="137" spans="1:29" ht="13">
      <c r="A137" s="161"/>
      <c r="B137" s="161"/>
      <c r="C137" s="177"/>
      <c r="D137" s="177"/>
      <c r="E137" s="177"/>
      <c r="F137" s="205"/>
      <c r="G137" s="210"/>
      <c r="H137" s="205"/>
      <c r="I137" s="177"/>
      <c r="J137" s="177"/>
      <c r="K137" s="177"/>
      <c r="L137" s="178"/>
      <c r="M137" s="177"/>
      <c r="N137" s="177"/>
      <c r="O137" s="177"/>
      <c r="P137" s="177"/>
      <c r="Q137" s="177"/>
      <c r="R137" s="177"/>
      <c r="S137" s="177"/>
      <c r="T137" s="177"/>
      <c r="U137" s="177"/>
      <c r="V137" s="177"/>
      <c r="W137" s="177"/>
      <c r="X137" s="177"/>
      <c r="Y137" s="177"/>
      <c r="Z137" s="177"/>
      <c r="AA137" s="177"/>
      <c r="AB137" s="177"/>
      <c r="AC137" s="177"/>
    </row>
    <row r="138" spans="1:29" ht="13">
      <c r="A138" s="161"/>
      <c r="B138" s="161"/>
      <c r="C138" s="177"/>
      <c r="D138" s="177"/>
      <c r="E138" s="177"/>
      <c r="F138" s="205"/>
      <c r="G138" s="210"/>
      <c r="H138" s="205"/>
      <c r="I138" s="177"/>
      <c r="J138" s="177"/>
      <c r="K138" s="177"/>
      <c r="L138" s="178"/>
      <c r="M138" s="177"/>
      <c r="N138" s="177"/>
      <c r="O138" s="177"/>
      <c r="P138" s="177"/>
      <c r="Q138" s="177"/>
      <c r="R138" s="177"/>
      <c r="S138" s="177"/>
      <c r="T138" s="177"/>
      <c r="U138" s="177"/>
      <c r="V138" s="177"/>
      <c r="W138" s="177"/>
      <c r="X138" s="177"/>
      <c r="Y138" s="177"/>
      <c r="Z138" s="177"/>
      <c r="AA138" s="177"/>
      <c r="AB138" s="177"/>
      <c r="AC138" s="177"/>
    </row>
    <row r="139" spans="1:29" ht="13">
      <c r="A139" s="161"/>
      <c r="B139" s="161"/>
      <c r="C139" s="177"/>
      <c r="D139" s="177"/>
      <c r="E139" s="177"/>
      <c r="F139" s="205"/>
      <c r="G139" s="210"/>
      <c r="H139" s="205"/>
      <c r="I139" s="177"/>
      <c r="J139" s="177"/>
      <c r="K139" s="177"/>
      <c r="L139" s="178"/>
      <c r="M139" s="177"/>
      <c r="N139" s="177"/>
      <c r="O139" s="177"/>
      <c r="P139" s="177"/>
      <c r="Q139" s="177"/>
      <c r="R139" s="177"/>
      <c r="S139" s="177"/>
      <c r="T139" s="177"/>
      <c r="U139" s="177"/>
      <c r="V139" s="177"/>
      <c r="W139" s="177"/>
      <c r="X139" s="177"/>
      <c r="Y139" s="177"/>
      <c r="Z139" s="177"/>
      <c r="AA139" s="177"/>
      <c r="AB139" s="177"/>
      <c r="AC139" s="177"/>
    </row>
    <row r="140" spans="1:29" ht="13">
      <c r="A140" s="161"/>
      <c r="B140" s="161"/>
      <c r="C140" s="177"/>
      <c r="D140" s="177"/>
      <c r="E140" s="177"/>
      <c r="F140" s="205"/>
      <c r="G140" s="210"/>
      <c r="H140" s="205"/>
      <c r="I140" s="177"/>
      <c r="J140" s="177"/>
      <c r="K140" s="177"/>
      <c r="L140" s="178"/>
      <c r="M140" s="177"/>
      <c r="N140" s="177"/>
      <c r="O140" s="177"/>
      <c r="P140" s="177"/>
      <c r="Q140" s="177"/>
      <c r="R140" s="177"/>
      <c r="S140" s="177"/>
      <c r="T140" s="177"/>
      <c r="U140" s="177"/>
      <c r="V140" s="177"/>
      <c r="W140" s="177"/>
      <c r="X140" s="177"/>
      <c r="Y140" s="177"/>
      <c r="Z140" s="177"/>
      <c r="AA140" s="177"/>
      <c r="AB140" s="177"/>
      <c r="AC140" s="177"/>
    </row>
    <row r="141" spans="1:29" ht="13">
      <c r="A141" s="161"/>
      <c r="B141" s="161"/>
      <c r="C141" s="177"/>
      <c r="D141" s="177"/>
      <c r="E141" s="177"/>
      <c r="F141" s="205"/>
      <c r="G141" s="210"/>
      <c r="H141" s="205"/>
      <c r="I141" s="177"/>
      <c r="J141" s="177"/>
      <c r="K141" s="177"/>
      <c r="L141" s="178"/>
      <c r="M141" s="177"/>
      <c r="N141" s="177"/>
      <c r="O141" s="177"/>
      <c r="P141" s="177"/>
      <c r="Q141" s="177"/>
      <c r="R141" s="177"/>
      <c r="S141" s="177"/>
      <c r="T141" s="177"/>
      <c r="U141" s="177"/>
      <c r="V141" s="177"/>
      <c r="W141" s="177"/>
      <c r="X141" s="177"/>
      <c r="Y141" s="177"/>
      <c r="Z141" s="177"/>
      <c r="AA141" s="177"/>
      <c r="AB141" s="177"/>
      <c r="AC141" s="177"/>
    </row>
    <row r="142" spans="1:29" ht="13">
      <c r="A142" s="161"/>
      <c r="B142" s="161"/>
      <c r="C142" s="177"/>
      <c r="D142" s="177"/>
      <c r="E142" s="177"/>
      <c r="F142" s="205"/>
      <c r="G142" s="210"/>
      <c r="H142" s="205"/>
      <c r="I142" s="177"/>
      <c r="J142" s="177"/>
      <c r="K142" s="177"/>
      <c r="L142" s="178"/>
      <c r="M142" s="177"/>
      <c r="N142" s="177"/>
      <c r="O142" s="177"/>
      <c r="P142" s="177"/>
      <c r="Q142" s="177"/>
      <c r="R142" s="177"/>
      <c r="S142" s="177"/>
      <c r="T142" s="177"/>
      <c r="U142" s="177"/>
      <c r="V142" s="177"/>
      <c r="W142" s="177"/>
      <c r="X142" s="177"/>
      <c r="Y142" s="177"/>
      <c r="Z142" s="177"/>
      <c r="AA142" s="177"/>
      <c r="AB142" s="177"/>
      <c r="AC142" s="177"/>
    </row>
    <row r="143" spans="1:29" ht="13">
      <c r="A143" s="161"/>
      <c r="B143" s="161"/>
      <c r="C143" s="177"/>
      <c r="D143" s="177"/>
      <c r="E143" s="177"/>
      <c r="F143" s="205"/>
      <c r="G143" s="210"/>
      <c r="H143" s="205"/>
      <c r="I143" s="177"/>
      <c r="J143" s="177"/>
      <c r="K143" s="177"/>
      <c r="L143" s="178"/>
      <c r="M143" s="177"/>
      <c r="N143" s="177"/>
      <c r="O143" s="177"/>
      <c r="P143" s="177"/>
      <c r="Q143" s="177"/>
      <c r="R143" s="177"/>
      <c r="S143" s="177"/>
      <c r="T143" s="177"/>
      <c r="U143" s="177"/>
      <c r="V143" s="177"/>
      <c r="W143" s="177"/>
      <c r="X143" s="177"/>
      <c r="Y143" s="177"/>
      <c r="Z143" s="177"/>
      <c r="AA143" s="177"/>
      <c r="AB143" s="177"/>
      <c r="AC143" s="177"/>
    </row>
    <row r="144" spans="1:29" ht="13">
      <c r="A144" s="161"/>
      <c r="B144" s="161"/>
      <c r="C144" s="177"/>
      <c r="D144" s="177"/>
      <c r="E144" s="177"/>
      <c r="F144" s="205"/>
      <c r="G144" s="210"/>
      <c r="H144" s="205"/>
      <c r="I144" s="177"/>
      <c r="J144" s="177"/>
      <c r="K144" s="177"/>
      <c r="L144" s="178"/>
      <c r="M144" s="177"/>
      <c r="N144" s="177"/>
      <c r="O144" s="177"/>
      <c r="P144" s="177"/>
      <c r="Q144" s="177"/>
      <c r="R144" s="177"/>
      <c r="S144" s="177"/>
      <c r="T144" s="177"/>
      <c r="U144" s="177"/>
      <c r="V144" s="177"/>
      <c r="W144" s="177"/>
      <c r="X144" s="177"/>
      <c r="Y144" s="177"/>
      <c r="Z144" s="177"/>
      <c r="AA144" s="177"/>
      <c r="AB144" s="177"/>
      <c r="AC144" s="177"/>
    </row>
    <row r="145" spans="1:29" ht="13">
      <c r="A145" s="161"/>
      <c r="B145" s="161"/>
      <c r="C145" s="177"/>
      <c r="D145" s="177"/>
      <c r="E145" s="177"/>
      <c r="F145" s="205"/>
      <c r="G145" s="210"/>
      <c r="H145" s="205"/>
      <c r="I145" s="177"/>
      <c r="J145" s="177"/>
      <c r="K145" s="177"/>
      <c r="L145" s="178"/>
      <c r="M145" s="177"/>
      <c r="N145" s="177"/>
      <c r="O145" s="177"/>
      <c r="P145" s="177"/>
      <c r="Q145" s="177"/>
      <c r="R145" s="177"/>
      <c r="S145" s="177"/>
      <c r="T145" s="177"/>
      <c r="U145" s="177"/>
      <c r="V145" s="177"/>
      <c r="W145" s="177"/>
      <c r="X145" s="177"/>
      <c r="Y145" s="177"/>
      <c r="Z145" s="177"/>
      <c r="AA145" s="177"/>
      <c r="AB145" s="177"/>
      <c r="AC145" s="177"/>
    </row>
    <row r="146" spans="1:29" ht="13">
      <c r="A146" s="161"/>
      <c r="B146" s="161"/>
      <c r="C146" s="177"/>
      <c r="D146" s="177"/>
      <c r="E146" s="177"/>
      <c r="F146" s="205"/>
      <c r="G146" s="210"/>
      <c r="H146" s="205"/>
      <c r="I146" s="177"/>
      <c r="J146" s="177"/>
      <c r="K146" s="177"/>
      <c r="L146" s="178"/>
      <c r="M146" s="177"/>
      <c r="N146" s="177"/>
      <c r="O146" s="177"/>
      <c r="P146" s="177"/>
      <c r="Q146" s="177"/>
      <c r="R146" s="177"/>
      <c r="S146" s="177"/>
      <c r="T146" s="177"/>
      <c r="U146" s="177"/>
      <c r="V146" s="177"/>
      <c r="W146" s="177"/>
      <c r="X146" s="177"/>
      <c r="Y146" s="177"/>
      <c r="Z146" s="177"/>
      <c r="AA146" s="177"/>
      <c r="AB146" s="177"/>
      <c r="AC146" s="177"/>
    </row>
    <row r="147" spans="1:29" ht="13">
      <c r="A147" s="161"/>
      <c r="B147" s="161"/>
      <c r="C147" s="177"/>
      <c r="D147" s="177"/>
      <c r="E147" s="177"/>
      <c r="F147" s="205"/>
      <c r="G147" s="210"/>
      <c r="H147" s="205"/>
      <c r="I147" s="177"/>
      <c r="J147" s="177"/>
      <c r="K147" s="177"/>
      <c r="L147" s="178"/>
      <c r="M147" s="177"/>
      <c r="N147" s="177"/>
      <c r="O147" s="177"/>
      <c r="P147" s="177"/>
      <c r="Q147" s="177"/>
      <c r="R147" s="177"/>
      <c r="S147" s="177"/>
      <c r="T147" s="177"/>
      <c r="U147" s="177"/>
      <c r="V147" s="177"/>
      <c r="W147" s="177"/>
      <c r="X147" s="177"/>
      <c r="Y147" s="177"/>
      <c r="Z147" s="177"/>
      <c r="AA147" s="177"/>
      <c r="AB147" s="177"/>
      <c r="AC147" s="177"/>
    </row>
    <row r="148" spans="1:29" ht="13">
      <c r="A148" s="161"/>
      <c r="B148" s="161"/>
      <c r="C148" s="177"/>
      <c r="D148" s="177"/>
      <c r="E148" s="177"/>
      <c r="F148" s="205"/>
      <c r="G148" s="210"/>
      <c r="H148" s="205"/>
      <c r="I148" s="177"/>
      <c r="J148" s="177"/>
      <c r="K148" s="177"/>
      <c r="L148" s="178"/>
      <c r="M148" s="177"/>
      <c r="N148" s="177"/>
      <c r="O148" s="177"/>
      <c r="P148" s="177"/>
      <c r="Q148" s="177"/>
      <c r="R148" s="177"/>
      <c r="S148" s="177"/>
      <c r="T148" s="177"/>
      <c r="U148" s="177"/>
      <c r="V148" s="177"/>
      <c r="W148" s="177"/>
      <c r="X148" s="177"/>
      <c r="Y148" s="177"/>
      <c r="Z148" s="177"/>
      <c r="AA148" s="177"/>
      <c r="AB148" s="177"/>
      <c r="AC148" s="177"/>
    </row>
    <row r="149" spans="1:29" ht="13">
      <c r="A149" s="161"/>
      <c r="B149" s="161"/>
      <c r="C149" s="177"/>
      <c r="D149" s="177"/>
      <c r="E149" s="177"/>
      <c r="F149" s="205"/>
      <c r="G149" s="210"/>
      <c r="H149" s="205"/>
      <c r="I149" s="177"/>
      <c r="J149" s="177"/>
      <c r="K149" s="177"/>
      <c r="L149" s="178"/>
      <c r="M149" s="177"/>
      <c r="N149" s="177"/>
      <c r="O149" s="177"/>
      <c r="P149" s="177"/>
      <c r="Q149" s="177"/>
      <c r="R149" s="177"/>
      <c r="S149" s="177"/>
      <c r="T149" s="177"/>
      <c r="U149" s="177"/>
      <c r="V149" s="177"/>
      <c r="W149" s="177"/>
      <c r="X149" s="177"/>
      <c r="Y149" s="177"/>
      <c r="Z149" s="177"/>
      <c r="AA149" s="177"/>
      <c r="AB149" s="177"/>
      <c r="AC149" s="177"/>
    </row>
    <row r="150" spans="1:29" ht="13">
      <c r="A150" s="161"/>
      <c r="B150" s="161"/>
      <c r="C150" s="177"/>
      <c r="D150" s="177"/>
      <c r="E150" s="177"/>
      <c r="F150" s="205"/>
      <c r="G150" s="210"/>
      <c r="H150" s="205"/>
      <c r="I150" s="177"/>
      <c r="J150" s="177"/>
      <c r="K150" s="177"/>
      <c r="L150" s="178"/>
      <c r="M150" s="177"/>
      <c r="N150" s="177"/>
      <c r="O150" s="177"/>
      <c r="P150" s="177"/>
      <c r="Q150" s="177"/>
      <c r="R150" s="177"/>
      <c r="S150" s="177"/>
      <c r="T150" s="177"/>
      <c r="U150" s="177"/>
      <c r="V150" s="177"/>
      <c r="W150" s="177"/>
      <c r="X150" s="177"/>
      <c r="Y150" s="177"/>
      <c r="Z150" s="177"/>
      <c r="AA150" s="177"/>
      <c r="AB150" s="177"/>
      <c r="AC150" s="177"/>
    </row>
    <row r="151" spans="1:29" ht="13">
      <c r="A151" s="161"/>
      <c r="B151" s="161"/>
      <c r="C151" s="177"/>
      <c r="D151" s="177"/>
      <c r="E151" s="177"/>
      <c r="F151" s="205"/>
      <c r="G151" s="210"/>
      <c r="H151" s="205"/>
      <c r="I151" s="177"/>
      <c r="J151" s="177"/>
      <c r="K151" s="177"/>
      <c r="L151" s="178"/>
      <c r="M151" s="177"/>
      <c r="N151" s="177"/>
      <c r="O151" s="177"/>
      <c r="P151" s="177"/>
      <c r="Q151" s="177"/>
      <c r="R151" s="177"/>
      <c r="S151" s="177"/>
      <c r="T151" s="177"/>
      <c r="U151" s="177"/>
      <c r="V151" s="177"/>
      <c r="W151" s="177"/>
      <c r="X151" s="177"/>
      <c r="Y151" s="177"/>
      <c r="Z151" s="177"/>
      <c r="AA151" s="177"/>
      <c r="AB151" s="177"/>
      <c r="AC151" s="177"/>
    </row>
    <row r="152" spans="1:29" ht="13">
      <c r="A152" s="161"/>
      <c r="B152" s="161"/>
      <c r="C152" s="177"/>
      <c r="D152" s="177"/>
      <c r="E152" s="177"/>
      <c r="F152" s="205"/>
      <c r="G152" s="210"/>
      <c r="H152" s="205"/>
      <c r="I152" s="177"/>
      <c r="J152" s="177"/>
      <c r="K152" s="177"/>
      <c r="L152" s="178"/>
      <c r="M152" s="177"/>
      <c r="N152" s="177"/>
      <c r="O152" s="177"/>
      <c r="P152" s="177"/>
      <c r="Q152" s="177"/>
      <c r="R152" s="177"/>
      <c r="S152" s="177"/>
      <c r="T152" s="177"/>
      <c r="U152" s="177"/>
      <c r="V152" s="177"/>
      <c r="W152" s="177"/>
      <c r="X152" s="177"/>
      <c r="Y152" s="177"/>
      <c r="Z152" s="177"/>
      <c r="AA152" s="177"/>
      <c r="AB152" s="177"/>
      <c r="AC152" s="177"/>
    </row>
    <row r="153" spans="1:29" ht="13">
      <c r="A153" s="161"/>
      <c r="B153" s="161"/>
      <c r="C153" s="177"/>
      <c r="D153" s="177"/>
      <c r="E153" s="177"/>
      <c r="F153" s="205"/>
      <c r="G153" s="210"/>
      <c r="H153" s="205"/>
      <c r="I153" s="177"/>
      <c r="J153" s="177"/>
      <c r="K153" s="177"/>
      <c r="L153" s="178"/>
      <c r="M153" s="177"/>
      <c r="N153" s="177"/>
      <c r="O153" s="177"/>
      <c r="P153" s="177"/>
      <c r="Q153" s="177"/>
      <c r="R153" s="177"/>
      <c r="S153" s="177"/>
      <c r="T153" s="177"/>
      <c r="U153" s="177"/>
      <c r="V153" s="177"/>
      <c r="W153" s="177"/>
      <c r="X153" s="177"/>
      <c r="Y153" s="177"/>
      <c r="Z153" s="177"/>
      <c r="AA153" s="177"/>
      <c r="AB153" s="177"/>
      <c r="AC153" s="177"/>
    </row>
    <row r="154" spans="1:29" ht="13">
      <c r="A154" s="161"/>
      <c r="B154" s="161"/>
      <c r="C154" s="177"/>
      <c r="D154" s="177"/>
      <c r="E154" s="177"/>
      <c r="F154" s="205"/>
      <c r="G154" s="210"/>
      <c r="H154" s="205"/>
      <c r="I154" s="177"/>
      <c r="J154" s="177"/>
      <c r="K154" s="177"/>
      <c r="L154" s="178"/>
      <c r="M154" s="177"/>
      <c r="N154" s="177"/>
      <c r="O154" s="177"/>
      <c r="P154" s="177"/>
      <c r="Q154" s="177"/>
      <c r="R154" s="177"/>
      <c r="S154" s="177"/>
      <c r="T154" s="177"/>
      <c r="U154" s="177"/>
      <c r="V154" s="177"/>
      <c r="W154" s="177"/>
      <c r="X154" s="177"/>
      <c r="Y154" s="177"/>
      <c r="Z154" s="177"/>
      <c r="AA154" s="177"/>
      <c r="AB154" s="177"/>
      <c r="AC154" s="177"/>
    </row>
    <row r="155" spans="1:29" ht="13">
      <c r="A155" s="161"/>
      <c r="B155" s="161"/>
      <c r="C155" s="177"/>
      <c r="D155" s="177"/>
      <c r="E155" s="177"/>
      <c r="F155" s="205"/>
      <c r="G155" s="210"/>
      <c r="H155" s="205"/>
      <c r="I155" s="177"/>
      <c r="J155" s="177"/>
      <c r="K155" s="177"/>
      <c r="L155" s="178"/>
      <c r="M155" s="177"/>
      <c r="N155" s="177"/>
      <c r="O155" s="177"/>
      <c r="P155" s="177"/>
      <c r="Q155" s="177"/>
      <c r="R155" s="177"/>
      <c r="S155" s="177"/>
      <c r="T155" s="177"/>
      <c r="U155" s="177"/>
      <c r="V155" s="177"/>
      <c r="W155" s="177"/>
      <c r="X155" s="177"/>
      <c r="Y155" s="177"/>
      <c r="Z155" s="177"/>
      <c r="AA155" s="177"/>
      <c r="AB155" s="177"/>
      <c r="AC155" s="177"/>
    </row>
    <row r="156" spans="1:29" ht="13">
      <c r="A156" s="161"/>
      <c r="B156" s="161"/>
      <c r="C156" s="177"/>
      <c r="D156" s="177"/>
      <c r="E156" s="177"/>
      <c r="F156" s="205"/>
      <c r="G156" s="210"/>
      <c r="H156" s="205"/>
      <c r="I156" s="177"/>
      <c r="J156" s="177"/>
      <c r="K156" s="177"/>
      <c r="L156" s="178"/>
      <c r="M156" s="177"/>
      <c r="N156" s="177"/>
      <c r="O156" s="177"/>
      <c r="P156" s="177"/>
      <c r="Q156" s="177"/>
      <c r="R156" s="177"/>
      <c r="S156" s="177"/>
      <c r="T156" s="177"/>
      <c r="U156" s="177"/>
      <c r="V156" s="177"/>
      <c r="W156" s="177"/>
      <c r="X156" s="177"/>
      <c r="Y156" s="177"/>
      <c r="Z156" s="177"/>
      <c r="AA156" s="177"/>
      <c r="AB156" s="177"/>
      <c r="AC156" s="177"/>
    </row>
    <row r="157" spans="1:29" ht="13">
      <c r="A157" s="161"/>
      <c r="B157" s="161"/>
      <c r="C157" s="177"/>
      <c r="D157" s="177"/>
      <c r="E157" s="177"/>
      <c r="F157" s="205"/>
      <c r="G157" s="210"/>
      <c r="H157" s="205"/>
      <c r="I157" s="177"/>
      <c r="J157" s="177"/>
      <c r="K157" s="177"/>
      <c r="L157" s="178"/>
      <c r="M157" s="177"/>
      <c r="N157" s="177"/>
      <c r="O157" s="177"/>
      <c r="P157" s="177"/>
      <c r="Q157" s="177"/>
      <c r="R157" s="177"/>
      <c r="S157" s="177"/>
      <c r="T157" s="177"/>
      <c r="U157" s="177"/>
      <c r="V157" s="177"/>
      <c r="W157" s="177"/>
      <c r="X157" s="177"/>
      <c r="Y157" s="177"/>
      <c r="Z157" s="177"/>
      <c r="AA157" s="177"/>
      <c r="AB157" s="177"/>
      <c r="AC157" s="177"/>
    </row>
    <row r="158" spans="1:29" ht="13">
      <c r="A158" s="161"/>
      <c r="B158" s="161"/>
      <c r="C158" s="177"/>
      <c r="D158" s="177"/>
      <c r="E158" s="177"/>
      <c r="F158" s="205"/>
      <c r="G158" s="210"/>
      <c r="H158" s="205"/>
      <c r="I158" s="177"/>
      <c r="J158" s="177"/>
      <c r="K158" s="177"/>
      <c r="L158" s="178"/>
      <c r="M158" s="177"/>
      <c r="N158" s="177"/>
      <c r="O158" s="177"/>
      <c r="P158" s="177"/>
      <c r="Q158" s="177"/>
      <c r="R158" s="177"/>
      <c r="S158" s="177"/>
      <c r="T158" s="177"/>
      <c r="U158" s="177"/>
      <c r="V158" s="177"/>
      <c r="W158" s="177"/>
      <c r="X158" s="177"/>
      <c r="Y158" s="177"/>
      <c r="Z158" s="177"/>
      <c r="AA158" s="177"/>
      <c r="AB158" s="177"/>
      <c r="AC158" s="177"/>
    </row>
    <row r="159" spans="1:29" ht="13">
      <c r="A159" s="161"/>
      <c r="B159" s="161"/>
      <c r="C159" s="177"/>
      <c r="D159" s="177"/>
      <c r="E159" s="177"/>
      <c r="F159" s="205"/>
      <c r="G159" s="210"/>
      <c r="H159" s="205"/>
      <c r="I159" s="177"/>
      <c r="J159" s="177"/>
      <c r="K159" s="177"/>
      <c r="L159" s="178"/>
      <c r="M159" s="177"/>
      <c r="N159" s="177"/>
      <c r="O159" s="177"/>
      <c r="P159" s="177"/>
      <c r="Q159" s="177"/>
      <c r="R159" s="177"/>
      <c r="S159" s="177"/>
      <c r="T159" s="177"/>
      <c r="U159" s="177"/>
      <c r="V159" s="177"/>
      <c r="W159" s="177"/>
      <c r="X159" s="177"/>
      <c r="Y159" s="177"/>
      <c r="Z159" s="177"/>
      <c r="AA159" s="177"/>
      <c r="AB159" s="177"/>
      <c r="AC159" s="177"/>
    </row>
    <row r="160" spans="1:29" ht="13">
      <c r="A160" s="161"/>
      <c r="B160" s="161"/>
      <c r="C160" s="177"/>
      <c r="D160" s="177"/>
      <c r="E160" s="177"/>
      <c r="F160" s="205"/>
      <c r="G160" s="210"/>
      <c r="H160" s="205"/>
      <c r="I160" s="177"/>
      <c r="J160" s="177"/>
      <c r="K160" s="177"/>
      <c r="L160" s="178"/>
      <c r="M160" s="177"/>
      <c r="N160" s="177"/>
      <c r="O160" s="177"/>
      <c r="P160" s="177"/>
      <c r="Q160" s="177"/>
      <c r="R160" s="177"/>
      <c r="S160" s="177"/>
      <c r="T160" s="177"/>
      <c r="U160" s="177"/>
      <c r="V160" s="177"/>
      <c r="W160" s="177"/>
      <c r="X160" s="177"/>
      <c r="Y160" s="177"/>
      <c r="Z160" s="177"/>
      <c r="AA160" s="177"/>
      <c r="AB160" s="177"/>
      <c r="AC160" s="177"/>
    </row>
    <row r="161" spans="1:29" ht="13">
      <c r="A161" s="161"/>
      <c r="B161" s="161"/>
      <c r="C161" s="177"/>
      <c r="D161" s="177"/>
      <c r="E161" s="177"/>
      <c r="F161" s="205"/>
      <c r="G161" s="210"/>
      <c r="H161" s="205"/>
      <c r="I161" s="177"/>
      <c r="J161" s="177"/>
      <c r="K161" s="177"/>
      <c r="L161" s="178"/>
      <c r="M161" s="177"/>
      <c r="N161" s="177"/>
      <c r="O161" s="177"/>
      <c r="P161" s="177"/>
      <c r="Q161" s="177"/>
      <c r="R161" s="177"/>
      <c r="S161" s="177"/>
      <c r="T161" s="177"/>
      <c r="U161" s="177"/>
      <c r="V161" s="177"/>
      <c r="W161" s="177"/>
      <c r="X161" s="177"/>
      <c r="Y161" s="177"/>
      <c r="Z161" s="177"/>
      <c r="AA161" s="177"/>
      <c r="AB161" s="177"/>
      <c r="AC161" s="177"/>
    </row>
    <row r="162" spans="1:29" ht="13">
      <c r="A162" s="161"/>
      <c r="B162" s="161"/>
      <c r="C162" s="177"/>
      <c r="D162" s="177"/>
      <c r="E162" s="177"/>
      <c r="F162" s="205"/>
      <c r="G162" s="210"/>
      <c r="H162" s="205"/>
      <c r="I162" s="177"/>
      <c r="J162" s="177"/>
      <c r="K162" s="177"/>
      <c r="L162" s="178"/>
      <c r="M162" s="177"/>
      <c r="N162" s="177"/>
      <c r="O162" s="177"/>
      <c r="P162" s="177"/>
      <c r="Q162" s="177"/>
      <c r="R162" s="177"/>
      <c r="S162" s="177"/>
      <c r="T162" s="177"/>
      <c r="U162" s="177"/>
      <c r="V162" s="177"/>
      <c r="W162" s="177"/>
      <c r="X162" s="177"/>
      <c r="Y162" s="177"/>
      <c r="Z162" s="177"/>
      <c r="AA162" s="177"/>
      <c r="AB162" s="177"/>
      <c r="AC162" s="177"/>
    </row>
    <row r="163" spans="1:29" ht="13">
      <c r="A163" s="161"/>
      <c r="B163" s="161"/>
      <c r="C163" s="177"/>
      <c r="D163" s="177"/>
      <c r="E163" s="177"/>
      <c r="F163" s="205"/>
      <c r="G163" s="210"/>
      <c r="H163" s="205"/>
      <c r="I163" s="177"/>
      <c r="J163" s="177"/>
      <c r="K163" s="177"/>
      <c r="L163" s="178"/>
      <c r="M163" s="177"/>
      <c r="N163" s="177"/>
      <c r="O163" s="177"/>
      <c r="P163" s="177"/>
      <c r="Q163" s="177"/>
      <c r="R163" s="177"/>
      <c r="S163" s="177"/>
      <c r="T163" s="177"/>
      <c r="U163" s="177"/>
      <c r="V163" s="177"/>
      <c r="W163" s="177"/>
      <c r="X163" s="177"/>
      <c r="Y163" s="177"/>
      <c r="Z163" s="177"/>
      <c r="AA163" s="177"/>
      <c r="AB163" s="177"/>
      <c r="AC163" s="177"/>
    </row>
    <row r="164" spans="1:29" ht="13">
      <c r="A164" s="161"/>
      <c r="B164" s="161"/>
      <c r="C164" s="177"/>
      <c r="D164" s="177"/>
      <c r="E164" s="177"/>
      <c r="F164" s="205"/>
      <c r="G164" s="210"/>
      <c r="H164" s="205"/>
      <c r="I164" s="177"/>
      <c r="J164" s="177"/>
      <c r="K164" s="177"/>
      <c r="L164" s="178"/>
      <c r="M164" s="177"/>
      <c r="N164" s="177"/>
      <c r="O164" s="177"/>
      <c r="P164" s="177"/>
      <c r="Q164" s="177"/>
      <c r="R164" s="177"/>
      <c r="S164" s="177"/>
      <c r="T164" s="177"/>
      <c r="U164" s="177"/>
      <c r="V164" s="177"/>
      <c r="W164" s="177"/>
      <c r="X164" s="177"/>
      <c r="Y164" s="177"/>
      <c r="Z164" s="177"/>
      <c r="AA164" s="177"/>
      <c r="AB164" s="177"/>
      <c r="AC164" s="177"/>
    </row>
    <row r="165" spans="1:29" ht="13">
      <c r="A165" s="161"/>
      <c r="B165" s="161"/>
      <c r="C165" s="177"/>
      <c r="D165" s="177"/>
      <c r="E165" s="177"/>
      <c r="F165" s="205"/>
      <c r="G165" s="210"/>
      <c r="H165" s="205"/>
      <c r="I165" s="177"/>
      <c r="J165" s="177"/>
      <c r="K165" s="177"/>
      <c r="L165" s="178"/>
      <c r="M165" s="177"/>
      <c r="N165" s="177"/>
      <c r="O165" s="177"/>
      <c r="P165" s="177"/>
      <c r="Q165" s="177"/>
      <c r="R165" s="177"/>
      <c r="S165" s="177"/>
      <c r="T165" s="177"/>
      <c r="U165" s="177"/>
      <c r="V165" s="177"/>
      <c r="W165" s="177"/>
      <c r="X165" s="177"/>
      <c r="Y165" s="177"/>
      <c r="Z165" s="177"/>
      <c r="AA165" s="177"/>
      <c r="AB165" s="177"/>
      <c r="AC165" s="177"/>
    </row>
    <row r="166" spans="1:29" ht="13">
      <c r="A166" s="161"/>
      <c r="B166" s="161"/>
      <c r="C166" s="177"/>
      <c r="D166" s="177"/>
      <c r="E166" s="177"/>
      <c r="F166" s="205"/>
      <c r="G166" s="210"/>
      <c r="H166" s="205"/>
      <c r="I166" s="177"/>
      <c r="J166" s="177"/>
      <c r="K166" s="177"/>
      <c r="L166" s="178"/>
      <c r="M166" s="177"/>
      <c r="N166" s="177"/>
      <c r="O166" s="177"/>
      <c r="P166" s="177"/>
      <c r="Q166" s="177"/>
      <c r="R166" s="177"/>
      <c r="S166" s="177"/>
      <c r="T166" s="177"/>
      <c r="U166" s="177"/>
      <c r="V166" s="177"/>
      <c r="W166" s="177"/>
      <c r="X166" s="177"/>
      <c r="Y166" s="177"/>
      <c r="Z166" s="177"/>
      <c r="AA166" s="177"/>
      <c r="AB166" s="177"/>
      <c r="AC166" s="177"/>
    </row>
    <row r="167" spans="1:29" ht="13">
      <c r="A167" s="161"/>
      <c r="B167" s="161"/>
      <c r="C167" s="177"/>
      <c r="D167" s="177"/>
      <c r="E167" s="177"/>
      <c r="F167" s="205"/>
      <c r="G167" s="210"/>
      <c r="H167" s="205"/>
      <c r="I167" s="177"/>
      <c r="J167" s="177"/>
      <c r="K167" s="177"/>
      <c r="L167" s="178"/>
      <c r="M167" s="177"/>
      <c r="N167" s="177"/>
      <c r="O167" s="177"/>
      <c r="P167" s="177"/>
      <c r="Q167" s="177"/>
      <c r="R167" s="177"/>
      <c r="S167" s="177"/>
      <c r="T167" s="177"/>
      <c r="U167" s="177"/>
      <c r="V167" s="177"/>
      <c r="W167" s="177"/>
      <c r="X167" s="177"/>
      <c r="Y167" s="177"/>
      <c r="Z167" s="177"/>
      <c r="AA167" s="177"/>
      <c r="AB167" s="177"/>
      <c r="AC167" s="177"/>
    </row>
    <row r="168" spans="1:29" ht="13">
      <c r="A168" s="161"/>
      <c r="B168" s="161"/>
      <c r="C168" s="177"/>
      <c r="D168" s="177"/>
      <c r="E168" s="177"/>
      <c r="F168" s="205"/>
      <c r="G168" s="210"/>
      <c r="H168" s="205"/>
      <c r="I168" s="177"/>
      <c r="J168" s="177"/>
      <c r="K168" s="177"/>
      <c r="L168" s="178"/>
      <c r="M168" s="177"/>
      <c r="N168" s="177"/>
      <c r="O168" s="177"/>
      <c r="P168" s="177"/>
      <c r="Q168" s="177"/>
      <c r="R168" s="177"/>
      <c r="S168" s="177"/>
      <c r="T168" s="177"/>
      <c r="U168" s="177"/>
      <c r="V168" s="177"/>
      <c r="W168" s="177"/>
      <c r="X168" s="177"/>
      <c r="Y168" s="177"/>
      <c r="Z168" s="177"/>
      <c r="AA168" s="177"/>
      <c r="AB168" s="177"/>
      <c r="AC168" s="177"/>
    </row>
    <row r="169" spans="1:29" ht="13">
      <c r="A169" s="161"/>
      <c r="B169" s="161"/>
      <c r="C169" s="177"/>
      <c r="D169" s="177"/>
      <c r="E169" s="177"/>
      <c r="F169" s="205"/>
      <c r="G169" s="210"/>
      <c r="H169" s="205"/>
      <c r="I169" s="177"/>
      <c r="J169" s="177"/>
      <c r="K169" s="177"/>
      <c r="L169" s="178"/>
      <c r="M169" s="177"/>
      <c r="N169" s="177"/>
      <c r="O169" s="177"/>
      <c r="P169" s="177"/>
      <c r="Q169" s="177"/>
      <c r="R169" s="177"/>
      <c r="S169" s="177"/>
      <c r="T169" s="177"/>
      <c r="U169" s="177"/>
      <c r="V169" s="177"/>
      <c r="W169" s="177"/>
      <c r="X169" s="177"/>
      <c r="Y169" s="177"/>
      <c r="Z169" s="177"/>
      <c r="AA169" s="177"/>
      <c r="AB169" s="177"/>
      <c r="AC169" s="177"/>
    </row>
    <row r="170" spans="1:29" ht="13">
      <c r="A170" s="161"/>
      <c r="B170" s="161"/>
      <c r="C170" s="177"/>
      <c r="D170" s="177"/>
      <c r="E170" s="177"/>
      <c r="F170" s="205"/>
      <c r="G170" s="210"/>
      <c r="H170" s="205"/>
      <c r="I170" s="177"/>
      <c r="J170" s="177"/>
      <c r="K170" s="177"/>
      <c r="L170" s="178"/>
      <c r="M170" s="177"/>
      <c r="N170" s="177"/>
      <c r="O170" s="177"/>
      <c r="P170" s="177"/>
      <c r="Q170" s="177"/>
      <c r="R170" s="177"/>
      <c r="S170" s="177"/>
      <c r="T170" s="177"/>
      <c r="U170" s="177"/>
      <c r="V170" s="177"/>
      <c r="W170" s="177"/>
      <c r="X170" s="177"/>
      <c r="Y170" s="177"/>
      <c r="Z170" s="177"/>
      <c r="AA170" s="177"/>
      <c r="AB170" s="177"/>
      <c r="AC170" s="177"/>
    </row>
    <row r="171" spans="1:29" ht="13">
      <c r="A171" s="161"/>
      <c r="B171" s="161"/>
      <c r="C171" s="177"/>
      <c r="D171" s="177"/>
      <c r="E171" s="177"/>
      <c r="F171" s="205"/>
      <c r="G171" s="210"/>
      <c r="H171" s="205"/>
      <c r="I171" s="177"/>
      <c r="J171" s="177"/>
      <c r="K171" s="177"/>
      <c r="L171" s="178"/>
      <c r="M171" s="177"/>
      <c r="N171" s="177"/>
      <c r="O171" s="177"/>
      <c r="P171" s="177"/>
      <c r="Q171" s="177"/>
      <c r="R171" s="177"/>
      <c r="S171" s="177"/>
      <c r="T171" s="177"/>
      <c r="U171" s="177"/>
      <c r="V171" s="177"/>
      <c r="W171" s="177"/>
      <c r="X171" s="177"/>
      <c r="Y171" s="177"/>
      <c r="Z171" s="177"/>
      <c r="AA171" s="177"/>
      <c r="AB171" s="177"/>
      <c r="AC171" s="177"/>
    </row>
    <row r="172" spans="1:29" ht="13">
      <c r="A172" s="161"/>
      <c r="B172" s="161"/>
      <c r="C172" s="177"/>
      <c r="D172" s="177"/>
      <c r="E172" s="177"/>
      <c r="F172" s="205"/>
      <c r="G172" s="210"/>
      <c r="H172" s="205"/>
      <c r="I172" s="177"/>
      <c r="J172" s="177"/>
      <c r="K172" s="177"/>
      <c r="L172" s="178"/>
      <c r="M172" s="177"/>
      <c r="N172" s="177"/>
      <c r="O172" s="177"/>
      <c r="P172" s="177"/>
      <c r="Q172" s="177"/>
      <c r="R172" s="177"/>
      <c r="S172" s="177"/>
      <c r="T172" s="177"/>
      <c r="U172" s="177"/>
      <c r="V172" s="177"/>
      <c r="W172" s="177"/>
      <c r="X172" s="177"/>
      <c r="Y172" s="177"/>
      <c r="Z172" s="177"/>
      <c r="AA172" s="177"/>
      <c r="AB172" s="177"/>
      <c r="AC172" s="177"/>
    </row>
    <row r="173" spans="1:29" ht="13">
      <c r="A173" s="161"/>
      <c r="B173" s="161"/>
      <c r="C173" s="177"/>
      <c r="D173" s="177"/>
      <c r="E173" s="177"/>
      <c r="F173" s="205"/>
      <c r="G173" s="210"/>
      <c r="H173" s="205"/>
      <c r="I173" s="177"/>
      <c r="J173" s="177"/>
      <c r="K173" s="177"/>
      <c r="L173" s="178"/>
      <c r="M173" s="177"/>
      <c r="N173" s="177"/>
      <c r="O173" s="177"/>
      <c r="P173" s="177"/>
      <c r="Q173" s="177"/>
      <c r="R173" s="177"/>
      <c r="S173" s="177"/>
      <c r="T173" s="177"/>
      <c r="U173" s="177"/>
      <c r="V173" s="177"/>
      <c r="W173" s="177"/>
      <c r="X173" s="177"/>
      <c r="Y173" s="177"/>
      <c r="Z173" s="177"/>
      <c r="AA173" s="177"/>
      <c r="AB173" s="177"/>
      <c r="AC173" s="177"/>
    </row>
    <row r="174" spans="1:29" ht="13">
      <c r="A174" s="161"/>
      <c r="B174" s="161"/>
      <c r="C174" s="177"/>
      <c r="D174" s="177"/>
      <c r="E174" s="177"/>
      <c r="F174" s="205"/>
      <c r="G174" s="210"/>
      <c r="H174" s="205"/>
      <c r="I174" s="177"/>
      <c r="J174" s="177"/>
      <c r="K174" s="177"/>
      <c r="L174" s="178"/>
      <c r="M174" s="177"/>
      <c r="N174" s="177"/>
      <c r="O174" s="177"/>
      <c r="P174" s="177"/>
      <c r="Q174" s="177"/>
      <c r="R174" s="177"/>
      <c r="S174" s="177"/>
      <c r="T174" s="177"/>
      <c r="U174" s="177"/>
      <c r="V174" s="177"/>
      <c r="W174" s="177"/>
      <c r="X174" s="177"/>
      <c r="Y174" s="177"/>
      <c r="Z174" s="177"/>
      <c r="AA174" s="177"/>
      <c r="AB174" s="177"/>
      <c r="AC174" s="177"/>
    </row>
    <row r="175" spans="1:29" ht="13">
      <c r="A175" s="161"/>
      <c r="B175" s="161"/>
      <c r="C175" s="177"/>
      <c r="D175" s="177"/>
      <c r="E175" s="177"/>
      <c r="F175" s="205"/>
      <c r="G175" s="210"/>
      <c r="H175" s="205"/>
      <c r="I175" s="177"/>
      <c r="J175" s="177"/>
      <c r="K175" s="177"/>
      <c r="L175" s="178"/>
      <c r="M175" s="177"/>
      <c r="N175" s="177"/>
      <c r="O175" s="177"/>
      <c r="P175" s="177"/>
      <c r="Q175" s="177"/>
      <c r="R175" s="177"/>
      <c r="S175" s="177"/>
      <c r="T175" s="177"/>
      <c r="U175" s="177"/>
      <c r="V175" s="177"/>
      <c r="W175" s="177"/>
      <c r="X175" s="177"/>
      <c r="Y175" s="177"/>
      <c r="Z175" s="177"/>
      <c r="AA175" s="177"/>
      <c r="AB175" s="177"/>
      <c r="AC175" s="177"/>
    </row>
    <row r="176" spans="1:29" ht="13">
      <c r="A176" s="161"/>
      <c r="B176" s="161"/>
      <c r="C176" s="177"/>
      <c r="D176" s="177"/>
      <c r="E176" s="177"/>
      <c r="F176" s="205"/>
      <c r="G176" s="210"/>
      <c r="H176" s="205"/>
      <c r="I176" s="177"/>
      <c r="J176" s="177"/>
      <c r="K176" s="177"/>
      <c r="L176" s="178"/>
      <c r="M176" s="177"/>
      <c r="N176" s="177"/>
      <c r="O176" s="177"/>
      <c r="P176" s="177"/>
      <c r="Q176" s="177"/>
      <c r="R176" s="177"/>
      <c r="S176" s="177"/>
      <c r="T176" s="177"/>
      <c r="U176" s="177"/>
      <c r="V176" s="177"/>
      <c r="W176" s="177"/>
      <c r="X176" s="177"/>
      <c r="Y176" s="177"/>
      <c r="Z176" s="177"/>
      <c r="AA176" s="177"/>
      <c r="AB176" s="177"/>
      <c r="AC176" s="177"/>
    </row>
    <row r="177" spans="1:29" ht="13">
      <c r="A177" s="161"/>
      <c r="B177" s="161"/>
      <c r="C177" s="177"/>
      <c r="D177" s="177"/>
      <c r="E177" s="177"/>
      <c r="F177" s="205"/>
      <c r="G177" s="210"/>
      <c r="H177" s="205"/>
      <c r="I177" s="177"/>
      <c r="J177" s="177"/>
      <c r="K177" s="177"/>
      <c r="L177" s="178"/>
      <c r="M177" s="177"/>
      <c r="N177" s="177"/>
      <c r="O177" s="177"/>
      <c r="P177" s="177"/>
      <c r="Q177" s="177"/>
      <c r="R177" s="177"/>
      <c r="S177" s="177"/>
      <c r="T177" s="177"/>
      <c r="U177" s="177"/>
      <c r="V177" s="177"/>
      <c r="W177" s="177"/>
      <c r="X177" s="177"/>
      <c r="Y177" s="177"/>
      <c r="Z177" s="177"/>
      <c r="AA177" s="177"/>
      <c r="AB177" s="177"/>
      <c r="AC177" s="177"/>
    </row>
    <row r="178" spans="1:29" ht="13">
      <c r="A178" s="161"/>
      <c r="B178" s="161"/>
      <c r="C178" s="177"/>
      <c r="D178" s="177"/>
      <c r="E178" s="177"/>
      <c r="F178" s="205"/>
      <c r="G178" s="210"/>
      <c r="H178" s="205"/>
      <c r="I178" s="177"/>
      <c r="J178" s="177"/>
      <c r="K178" s="177"/>
      <c r="L178" s="178"/>
      <c r="M178" s="177"/>
      <c r="N178" s="177"/>
      <c r="O178" s="177"/>
      <c r="P178" s="177"/>
      <c r="Q178" s="177"/>
      <c r="R178" s="177"/>
      <c r="S178" s="177"/>
      <c r="T178" s="177"/>
      <c r="U178" s="177"/>
      <c r="V178" s="177"/>
      <c r="W178" s="177"/>
      <c r="X178" s="177"/>
      <c r="Y178" s="177"/>
      <c r="Z178" s="177"/>
      <c r="AA178" s="177"/>
      <c r="AB178" s="177"/>
      <c r="AC178" s="177"/>
    </row>
    <row r="179" spans="1:29" ht="13">
      <c r="A179" s="161"/>
      <c r="B179" s="161"/>
      <c r="C179" s="177"/>
      <c r="D179" s="177"/>
      <c r="E179" s="177"/>
      <c r="F179" s="205"/>
      <c r="G179" s="210"/>
      <c r="H179" s="205"/>
      <c r="I179" s="177"/>
      <c r="J179" s="177"/>
      <c r="K179" s="177"/>
      <c r="L179" s="178"/>
      <c r="M179" s="177"/>
      <c r="N179" s="177"/>
      <c r="O179" s="177"/>
      <c r="P179" s="177"/>
      <c r="Q179" s="177"/>
      <c r="R179" s="177"/>
      <c r="S179" s="177"/>
      <c r="T179" s="177"/>
      <c r="U179" s="177"/>
      <c r="V179" s="177"/>
      <c r="W179" s="177"/>
      <c r="X179" s="177"/>
      <c r="Y179" s="177"/>
      <c r="Z179" s="177"/>
      <c r="AA179" s="177"/>
      <c r="AB179" s="177"/>
      <c r="AC179" s="177"/>
    </row>
    <row r="180" spans="1:29" ht="13">
      <c r="A180" s="161"/>
      <c r="B180" s="161"/>
      <c r="C180" s="177"/>
      <c r="D180" s="177"/>
      <c r="E180" s="177"/>
      <c r="F180" s="205"/>
      <c r="G180" s="210"/>
      <c r="H180" s="205"/>
      <c r="I180" s="177"/>
      <c r="J180" s="177"/>
      <c r="K180" s="177"/>
      <c r="L180" s="178"/>
      <c r="M180" s="177"/>
      <c r="N180" s="177"/>
      <c r="O180" s="177"/>
      <c r="P180" s="177"/>
      <c r="Q180" s="177"/>
      <c r="R180" s="177"/>
      <c r="S180" s="177"/>
      <c r="T180" s="177"/>
      <c r="U180" s="177"/>
      <c r="V180" s="177"/>
      <c r="W180" s="177"/>
      <c r="X180" s="177"/>
      <c r="Y180" s="177"/>
      <c r="Z180" s="177"/>
      <c r="AA180" s="177"/>
      <c r="AB180" s="177"/>
      <c r="AC180" s="177"/>
    </row>
    <row r="181" spans="1:29" ht="13">
      <c r="A181" s="161"/>
      <c r="B181" s="161"/>
      <c r="C181" s="177"/>
      <c r="D181" s="177"/>
      <c r="E181" s="177"/>
      <c r="F181" s="205"/>
      <c r="G181" s="210"/>
      <c r="H181" s="205"/>
      <c r="I181" s="177"/>
      <c r="J181" s="177"/>
      <c r="K181" s="177"/>
      <c r="L181" s="178"/>
      <c r="M181" s="177"/>
      <c r="N181" s="177"/>
      <c r="O181" s="177"/>
      <c r="P181" s="177"/>
      <c r="Q181" s="177"/>
      <c r="R181" s="177"/>
      <c r="S181" s="177"/>
      <c r="T181" s="177"/>
      <c r="U181" s="177"/>
      <c r="V181" s="177"/>
      <c r="W181" s="177"/>
      <c r="X181" s="177"/>
      <c r="Y181" s="177"/>
      <c r="Z181" s="177"/>
      <c r="AA181" s="177"/>
      <c r="AB181" s="177"/>
      <c r="AC181" s="177"/>
    </row>
    <row r="182" spans="1:29" ht="13">
      <c r="A182" s="161"/>
      <c r="B182" s="161"/>
      <c r="C182" s="177"/>
      <c r="D182" s="177"/>
      <c r="E182" s="177"/>
      <c r="F182" s="205"/>
      <c r="G182" s="210"/>
      <c r="H182" s="205"/>
      <c r="I182" s="177"/>
      <c r="J182" s="177"/>
      <c r="K182" s="177"/>
      <c r="L182" s="178"/>
      <c r="M182" s="177"/>
      <c r="N182" s="177"/>
      <c r="O182" s="177"/>
      <c r="P182" s="177"/>
      <c r="Q182" s="177"/>
      <c r="R182" s="177"/>
      <c r="S182" s="177"/>
      <c r="T182" s="177"/>
      <c r="U182" s="177"/>
      <c r="V182" s="177"/>
      <c r="W182" s="177"/>
      <c r="X182" s="177"/>
      <c r="Y182" s="177"/>
      <c r="Z182" s="177"/>
      <c r="AA182" s="177"/>
      <c r="AB182" s="177"/>
      <c r="AC182" s="177"/>
    </row>
    <row r="183" spans="1:29" ht="13">
      <c r="A183" s="161"/>
      <c r="B183" s="161"/>
      <c r="C183" s="177"/>
      <c r="D183" s="177"/>
      <c r="E183" s="177"/>
      <c r="F183" s="205"/>
      <c r="G183" s="210"/>
      <c r="H183" s="205"/>
      <c r="I183" s="177"/>
      <c r="J183" s="177"/>
      <c r="K183" s="177"/>
      <c r="L183" s="178"/>
      <c r="M183" s="177"/>
      <c r="N183" s="177"/>
      <c r="O183" s="177"/>
      <c r="P183" s="177"/>
      <c r="Q183" s="177"/>
      <c r="R183" s="177"/>
      <c r="S183" s="177"/>
      <c r="T183" s="177"/>
      <c r="U183" s="177"/>
      <c r="V183" s="177"/>
      <c r="W183" s="177"/>
      <c r="X183" s="177"/>
      <c r="Y183" s="177"/>
      <c r="Z183" s="177"/>
      <c r="AA183" s="177"/>
      <c r="AB183" s="177"/>
      <c r="AC183" s="177"/>
    </row>
    <row r="184" spans="1:29" ht="13">
      <c r="A184" s="161"/>
      <c r="B184" s="161"/>
      <c r="C184" s="177"/>
      <c r="D184" s="177"/>
      <c r="E184" s="177"/>
      <c r="F184" s="205"/>
      <c r="G184" s="210"/>
      <c r="H184" s="205"/>
      <c r="I184" s="177"/>
      <c r="J184" s="177"/>
      <c r="K184" s="177"/>
      <c r="L184" s="178"/>
      <c r="M184" s="177"/>
      <c r="N184" s="177"/>
      <c r="O184" s="177"/>
      <c r="P184" s="177"/>
      <c r="Q184" s="177"/>
      <c r="R184" s="177"/>
      <c r="S184" s="177"/>
      <c r="T184" s="177"/>
      <c r="U184" s="177"/>
      <c r="V184" s="177"/>
      <c r="W184" s="177"/>
      <c r="X184" s="177"/>
      <c r="Y184" s="177"/>
      <c r="Z184" s="177"/>
      <c r="AA184" s="177"/>
      <c r="AB184" s="177"/>
      <c r="AC184" s="177"/>
    </row>
    <row r="185" spans="1:29" ht="13">
      <c r="A185" s="161"/>
      <c r="B185" s="161"/>
      <c r="C185" s="177"/>
      <c r="D185" s="177"/>
      <c r="E185" s="177"/>
      <c r="F185" s="205"/>
      <c r="G185" s="210"/>
      <c r="H185" s="205"/>
      <c r="I185" s="177"/>
      <c r="J185" s="177"/>
      <c r="K185" s="177"/>
      <c r="L185" s="178"/>
      <c r="M185" s="177"/>
      <c r="N185" s="177"/>
      <c r="O185" s="177"/>
      <c r="P185" s="177"/>
      <c r="Q185" s="177"/>
      <c r="R185" s="177"/>
      <c r="S185" s="177"/>
      <c r="T185" s="177"/>
      <c r="U185" s="177"/>
      <c r="V185" s="177"/>
      <c r="W185" s="177"/>
      <c r="X185" s="177"/>
      <c r="Y185" s="177"/>
      <c r="Z185" s="177"/>
      <c r="AA185" s="177"/>
      <c r="AB185" s="177"/>
      <c r="AC185" s="177"/>
    </row>
    <row r="186" spans="1:29" ht="13">
      <c r="A186" s="161"/>
      <c r="B186" s="161"/>
      <c r="C186" s="177"/>
      <c r="D186" s="177"/>
      <c r="E186" s="177"/>
      <c r="F186" s="205"/>
      <c r="G186" s="210"/>
      <c r="H186" s="205"/>
      <c r="I186" s="177"/>
      <c r="J186" s="177"/>
      <c r="K186" s="177"/>
      <c r="L186" s="178"/>
      <c r="M186" s="177"/>
      <c r="N186" s="177"/>
      <c r="O186" s="177"/>
      <c r="P186" s="177"/>
      <c r="Q186" s="177"/>
      <c r="R186" s="177"/>
      <c r="S186" s="177"/>
      <c r="T186" s="177"/>
      <c r="U186" s="177"/>
      <c r="V186" s="177"/>
      <c r="W186" s="177"/>
      <c r="X186" s="177"/>
      <c r="Y186" s="177"/>
      <c r="Z186" s="177"/>
      <c r="AA186" s="177"/>
      <c r="AB186" s="177"/>
      <c r="AC186" s="177"/>
    </row>
    <row r="187" spans="1:29" ht="13">
      <c r="A187" s="161"/>
      <c r="B187" s="161"/>
      <c r="C187" s="177"/>
      <c r="D187" s="177"/>
      <c r="E187" s="177"/>
      <c r="F187" s="205"/>
      <c r="G187" s="210"/>
      <c r="H187" s="205"/>
      <c r="I187" s="177"/>
      <c r="J187" s="177"/>
      <c r="K187" s="177"/>
      <c r="L187" s="178"/>
      <c r="M187" s="177"/>
      <c r="N187" s="177"/>
      <c r="O187" s="177"/>
      <c r="P187" s="177"/>
      <c r="Q187" s="177"/>
      <c r="R187" s="177"/>
      <c r="S187" s="177"/>
      <c r="T187" s="177"/>
      <c r="U187" s="177"/>
      <c r="V187" s="177"/>
      <c r="W187" s="177"/>
      <c r="X187" s="177"/>
      <c r="Y187" s="177"/>
      <c r="Z187" s="177"/>
      <c r="AA187" s="177"/>
      <c r="AB187" s="177"/>
      <c r="AC187" s="177"/>
    </row>
    <row r="188" spans="1:29" ht="13">
      <c r="A188" s="161"/>
      <c r="B188" s="161"/>
      <c r="C188" s="177"/>
      <c r="D188" s="177"/>
      <c r="E188" s="177"/>
      <c r="F188" s="205"/>
      <c r="G188" s="210"/>
      <c r="H188" s="205"/>
      <c r="I188" s="177"/>
      <c r="J188" s="177"/>
      <c r="K188" s="177"/>
      <c r="L188" s="178"/>
      <c r="M188" s="177"/>
      <c r="N188" s="177"/>
      <c r="O188" s="177"/>
      <c r="P188" s="177"/>
      <c r="Q188" s="177"/>
      <c r="R188" s="177"/>
      <c r="S188" s="177"/>
      <c r="T188" s="177"/>
      <c r="U188" s="177"/>
      <c r="V188" s="177"/>
      <c r="W188" s="177"/>
      <c r="X188" s="177"/>
      <c r="Y188" s="177"/>
      <c r="Z188" s="177"/>
      <c r="AA188" s="177"/>
      <c r="AB188" s="177"/>
      <c r="AC188" s="177"/>
    </row>
    <row r="189" spans="1:29" ht="13">
      <c r="A189" s="161"/>
      <c r="B189" s="161"/>
      <c r="C189" s="177"/>
      <c r="D189" s="177"/>
      <c r="E189" s="177"/>
      <c r="F189" s="205"/>
      <c r="G189" s="210"/>
      <c r="H189" s="205"/>
      <c r="I189" s="177"/>
      <c r="J189" s="177"/>
      <c r="K189" s="177"/>
      <c r="L189" s="178"/>
      <c r="M189" s="177"/>
      <c r="N189" s="177"/>
      <c r="O189" s="177"/>
      <c r="P189" s="177"/>
      <c r="Q189" s="177"/>
      <c r="R189" s="177"/>
      <c r="S189" s="177"/>
      <c r="T189" s="177"/>
      <c r="U189" s="177"/>
      <c r="V189" s="177"/>
      <c r="W189" s="177"/>
      <c r="X189" s="177"/>
      <c r="Y189" s="177"/>
      <c r="Z189" s="177"/>
      <c r="AA189" s="177"/>
      <c r="AB189" s="177"/>
      <c r="AC189" s="177"/>
    </row>
    <row r="190" spans="1:29" ht="13">
      <c r="A190" s="161"/>
      <c r="B190" s="161"/>
      <c r="C190" s="177"/>
      <c r="D190" s="177"/>
      <c r="E190" s="177"/>
      <c r="F190" s="205"/>
      <c r="G190" s="210"/>
      <c r="H190" s="205"/>
      <c r="I190" s="177"/>
      <c r="J190" s="177"/>
      <c r="K190" s="177"/>
      <c r="L190" s="178"/>
      <c r="M190" s="177"/>
      <c r="N190" s="177"/>
      <c r="O190" s="177"/>
      <c r="P190" s="177"/>
      <c r="Q190" s="177"/>
      <c r="R190" s="177"/>
      <c r="S190" s="177"/>
      <c r="T190" s="177"/>
      <c r="U190" s="177"/>
      <c r="V190" s="177"/>
      <c r="W190" s="177"/>
      <c r="X190" s="177"/>
      <c r="Y190" s="177"/>
      <c r="Z190" s="177"/>
      <c r="AA190" s="177"/>
      <c r="AB190" s="177"/>
      <c r="AC190" s="177"/>
    </row>
    <row r="191" spans="1:29" ht="13">
      <c r="A191" s="161"/>
      <c r="B191" s="161"/>
      <c r="C191" s="177"/>
      <c r="D191" s="177"/>
      <c r="E191" s="177"/>
      <c r="F191" s="205"/>
      <c r="G191" s="210"/>
      <c r="H191" s="205"/>
      <c r="I191" s="177"/>
      <c r="J191" s="177"/>
      <c r="K191" s="177"/>
      <c r="L191" s="178"/>
      <c r="M191" s="177"/>
      <c r="N191" s="177"/>
      <c r="O191" s="177"/>
      <c r="P191" s="177"/>
      <c r="Q191" s="177"/>
      <c r="R191" s="177"/>
      <c r="S191" s="177"/>
      <c r="T191" s="177"/>
      <c r="U191" s="177"/>
      <c r="V191" s="177"/>
      <c r="W191" s="177"/>
      <c r="X191" s="177"/>
      <c r="Y191" s="177"/>
      <c r="Z191" s="177"/>
      <c r="AA191" s="177"/>
      <c r="AB191" s="177"/>
      <c r="AC191" s="177"/>
    </row>
    <row r="192" spans="1:29" ht="13">
      <c r="A192" s="161"/>
      <c r="B192" s="161"/>
      <c r="C192" s="177"/>
      <c r="D192" s="177"/>
      <c r="E192" s="177"/>
      <c r="F192" s="205"/>
      <c r="G192" s="210"/>
      <c r="H192" s="205"/>
      <c r="I192" s="177"/>
      <c r="J192" s="177"/>
      <c r="K192" s="177"/>
      <c r="L192" s="178"/>
      <c r="M192" s="177"/>
      <c r="N192" s="177"/>
      <c r="O192" s="177"/>
      <c r="P192" s="177"/>
      <c r="Q192" s="177"/>
      <c r="R192" s="177"/>
      <c r="S192" s="177"/>
      <c r="T192" s="177"/>
      <c r="U192" s="177"/>
      <c r="V192" s="177"/>
      <c r="W192" s="177"/>
      <c r="X192" s="177"/>
      <c r="Y192" s="177"/>
      <c r="Z192" s="177"/>
      <c r="AA192" s="177"/>
      <c r="AB192" s="177"/>
      <c r="AC192" s="177"/>
    </row>
    <row r="193" spans="1:29" ht="13">
      <c r="A193" s="161"/>
      <c r="B193" s="161"/>
      <c r="C193" s="177"/>
      <c r="D193" s="177"/>
      <c r="E193" s="177"/>
      <c r="F193" s="205"/>
      <c r="G193" s="210"/>
      <c r="H193" s="205"/>
      <c r="I193" s="177"/>
      <c r="J193" s="177"/>
      <c r="K193" s="177"/>
      <c r="L193" s="178"/>
      <c r="M193" s="177"/>
      <c r="N193" s="177"/>
      <c r="O193" s="177"/>
      <c r="P193" s="177"/>
      <c r="Q193" s="177"/>
      <c r="R193" s="177"/>
      <c r="S193" s="177"/>
      <c r="T193" s="177"/>
      <c r="U193" s="177"/>
      <c r="V193" s="177"/>
      <c r="W193" s="177"/>
      <c r="X193" s="177"/>
      <c r="Y193" s="177"/>
      <c r="Z193" s="177"/>
      <c r="AA193" s="177"/>
      <c r="AB193" s="177"/>
      <c r="AC193" s="177"/>
    </row>
    <row r="194" spans="1:29" ht="13">
      <c r="A194" s="161"/>
      <c r="B194" s="161"/>
      <c r="C194" s="177"/>
      <c r="D194" s="177"/>
      <c r="E194" s="177"/>
      <c r="F194" s="205"/>
      <c r="G194" s="210"/>
      <c r="H194" s="205"/>
      <c r="I194" s="177"/>
      <c r="J194" s="177"/>
      <c r="K194" s="177"/>
      <c r="L194" s="178"/>
      <c r="M194" s="177"/>
      <c r="N194" s="177"/>
      <c r="O194" s="177"/>
      <c r="P194" s="177"/>
      <c r="Q194" s="177"/>
      <c r="R194" s="177"/>
      <c r="S194" s="177"/>
      <c r="T194" s="177"/>
      <c r="U194" s="177"/>
      <c r="V194" s="177"/>
      <c r="W194" s="177"/>
      <c r="X194" s="177"/>
      <c r="Y194" s="177"/>
      <c r="Z194" s="177"/>
      <c r="AA194" s="177"/>
      <c r="AB194" s="177"/>
      <c r="AC194" s="177"/>
    </row>
    <row r="195" spans="1:29" ht="13">
      <c r="A195" s="161"/>
      <c r="B195" s="161"/>
      <c r="C195" s="177"/>
      <c r="D195" s="177"/>
      <c r="E195" s="177"/>
      <c r="F195" s="205"/>
      <c r="G195" s="210"/>
      <c r="H195" s="205"/>
      <c r="I195" s="177"/>
      <c r="J195" s="177"/>
      <c r="K195" s="177"/>
      <c r="L195" s="178"/>
      <c r="M195" s="177"/>
      <c r="N195" s="177"/>
      <c r="O195" s="177"/>
      <c r="P195" s="177"/>
      <c r="Q195" s="177"/>
      <c r="R195" s="177"/>
      <c r="S195" s="177"/>
      <c r="T195" s="177"/>
      <c r="U195" s="177"/>
      <c r="V195" s="177"/>
      <c r="W195" s="177"/>
      <c r="X195" s="177"/>
      <c r="Y195" s="177"/>
      <c r="Z195" s="177"/>
      <c r="AA195" s="177"/>
      <c r="AB195" s="177"/>
      <c r="AC195" s="177"/>
    </row>
    <row r="196" spans="1:29" ht="13">
      <c r="A196" s="161"/>
      <c r="B196" s="161"/>
      <c r="C196" s="177"/>
      <c r="D196" s="177"/>
      <c r="E196" s="177"/>
      <c r="F196" s="205"/>
      <c r="G196" s="210"/>
      <c r="H196" s="205"/>
      <c r="I196" s="177"/>
      <c r="J196" s="177"/>
      <c r="K196" s="177"/>
      <c r="L196" s="178"/>
      <c r="M196" s="177"/>
      <c r="N196" s="177"/>
      <c r="O196" s="177"/>
      <c r="P196" s="177"/>
      <c r="Q196" s="177"/>
      <c r="R196" s="177"/>
      <c r="S196" s="177"/>
      <c r="T196" s="177"/>
      <c r="U196" s="177"/>
      <c r="V196" s="177"/>
      <c r="W196" s="177"/>
      <c r="X196" s="177"/>
      <c r="Y196" s="177"/>
      <c r="Z196" s="177"/>
      <c r="AA196" s="177"/>
      <c r="AB196" s="177"/>
      <c r="AC196" s="177"/>
    </row>
    <row r="197" spans="1:29" ht="13">
      <c r="A197" s="161"/>
      <c r="B197" s="161"/>
      <c r="C197" s="177"/>
      <c r="D197" s="177"/>
      <c r="E197" s="177"/>
      <c r="F197" s="205"/>
      <c r="G197" s="210"/>
      <c r="H197" s="205"/>
      <c r="I197" s="177"/>
      <c r="J197" s="177"/>
      <c r="K197" s="177"/>
      <c r="L197" s="178"/>
      <c r="M197" s="177"/>
      <c r="N197" s="177"/>
      <c r="O197" s="177"/>
      <c r="P197" s="177"/>
      <c r="Q197" s="177"/>
      <c r="R197" s="177"/>
      <c r="S197" s="177"/>
      <c r="T197" s="177"/>
      <c r="U197" s="177"/>
      <c r="V197" s="177"/>
      <c r="W197" s="177"/>
      <c r="X197" s="177"/>
      <c r="Y197" s="177"/>
      <c r="Z197" s="177"/>
      <c r="AA197" s="177"/>
      <c r="AB197" s="177"/>
      <c r="AC197" s="177"/>
    </row>
    <row r="198" spans="1:29" ht="13">
      <c r="A198" s="161"/>
      <c r="B198" s="161"/>
      <c r="C198" s="177"/>
      <c r="D198" s="177"/>
      <c r="E198" s="177"/>
      <c r="F198" s="205"/>
      <c r="G198" s="210"/>
      <c r="H198" s="205"/>
      <c r="I198" s="177"/>
      <c r="J198" s="177"/>
      <c r="K198" s="177"/>
      <c r="L198" s="178"/>
      <c r="M198" s="177"/>
      <c r="N198" s="177"/>
      <c r="O198" s="177"/>
      <c r="P198" s="177"/>
      <c r="Q198" s="177"/>
      <c r="R198" s="177"/>
      <c r="S198" s="177"/>
      <c r="T198" s="177"/>
      <c r="U198" s="177"/>
      <c r="V198" s="177"/>
      <c r="W198" s="177"/>
      <c r="X198" s="177"/>
      <c r="Y198" s="177"/>
      <c r="Z198" s="177"/>
      <c r="AA198" s="177"/>
      <c r="AB198" s="177"/>
      <c r="AC198" s="177"/>
    </row>
    <row r="199" spans="1:29" ht="13">
      <c r="A199" s="161"/>
      <c r="B199" s="161"/>
      <c r="C199" s="177"/>
      <c r="D199" s="177"/>
      <c r="E199" s="177"/>
      <c r="F199" s="205"/>
      <c r="G199" s="210"/>
      <c r="H199" s="205"/>
      <c r="I199" s="177"/>
      <c r="J199" s="177"/>
      <c r="K199" s="177"/>
      <c r="L199" s="178"/>
      <c r="M199" s="177"/>
      <c r="N199" s="177"/>
      <c r="O199" s="177"/>
      <c r="P199" s="177"/>
      <c r="Q199" s="177"/>
      <c r="R199" s="177"/>
      <c r="S199" s="177"/>
      <c r="T199" s="177"/>
      <c r="U199" s="177"/>
      <c r="V199" s="177"/>
      <c r="W199" s="177"/>
      <c r="X199" s="177"/>
      <c r="Y199" s="177"/>
      <c r="Z199" s="177"/>
      <c r="AA199" s="177"/>
      <c r="AB199" s="177"/>
      <c r="AC199" s="177"/>
    </row>
    <row r="200" spans="1:29" ht="13">
      <c r="A200" s="161"/>
      <c r="B200" s="161"/>
      <c r="C200" s="177"/>
      <c r="D200" s="177"/>
      <c r="E200" s="177"/>
      <c r="F200" s="205"/>
      <c r="G200" s="210"/>
      <c r="H200" s="205"/>
      <c r="I200" s="177"/>
      <c r="J200" s="177"/>
      <c r="K200" s="177"/>
      <c r="L200" s="178"/>
      <c r="M200" s="177"/>
      <c r="N200" s="177"/>
      <c r="O200" s="177"/>
      <c r="P200" s="177"/>
      <c r="Q200" s="177"/>
      <c r="R200" s="177"/>
      <c r="S200" s="177"/>
      <c r="T200" s="177"/>
      <c r="U200" s="177"/>
      <c r="V200" s="177"/>
      <c r="W200" s="177"/>
      <c r="X200" s="177"/>
      <c r="Y200" s="177"/>
      <c r="Z200" s="177"/>
      <c r="AA200" s="177"/>
      <c r="AB200" s="177"/>
      <c r="AC200" s="177"/>
    </row>
    <row r="201" spans="1:29" ht="13">
      <c r="A201" s="161"/>
      <c r="B201" s="161"/>
      <c r="C201" s="177"/>
      <c r="D201" s="177"/>
      <c r="E201" s="177"/>
      <c r="F201" s="205"/>
      <c r="G201" s="210"/>
      <c r="H201" s="205"/>
      <c r="I201" s="177"/>
      <c r="J201" s="177"/>
      <c r="K201" s="177"/>
      <c r="L201" s="178"/>
      <c r="M201" s="177"/>
      <c r="N201" s="177"/>
      <c r="O201" s="177"/>
      <c r="P201" s="177"/>
      <c r="Q201" s="177"/>
      <c r="R201" s="177"/>
      <c r="S201" s="177"/>
      <c r="T201" s="177"/>
      <c r="U201" s="177"/>
      <c r="V201" s="177"/>
      <c r="W201" s="177"/>
      <c r="X201" s="177"/>
      <c r="Y201" s="177"/>
      <c r="Z201" s="177"/>
      <c r="AA201" s="177"/>
      <c r="AB201" s="177"/>
      <c r="AC201" s="177"/>
    </row>
    <row r="202" spans="1:29" ht="13">
      <c r="A202" s="161"/>
      <c r="B202" s="161"/>
      <c r="C202" s="177"/>
      <c r="D202" s="177"/>
      <c r="E202" s="177"/>
      <c r="F202" s="205"/>
      <c r="G202" s="210"/>
      <c r="H202" s="205"/>
      <c r="I202" s="177"/>
      <c r="J202" s="177"/>
      <c r="K202" s="177"/>
      <c r="L202" s="178"/>
      <c r="M202" s="177"/>
      <c r="N202" s="177"/>
      <c r="O202" s="177"/>
      <c r="P202" s="177"/>
      <c r="Q202" s="177"/>
      <c r="R202" s="177"/>
      <c r="S202" s="177"/>
      <c r="T202" s="177"/>
      <c r="U202" s="177"/>
      <c r="V202" s="177"/>
      <c r="W202" s="177"/>
      <c r="X202" s="177"/>
      <c r="Y202" s="177"/>
      <c r="Z202" s="177"/>
      <c r="AA202" s="177"/>
      <c r="AB202" s="177"/>
      <c r="AC202" s="177"/>
    </row>
    <row r="203" spans="1:29" ht="13">
      <c r="A203" s="161"/>
      <c r="B203" s="161"/>
      <c r="C203" s="177"/>
      <c r="D203" s="177"/>
      <c r="E203" s="177"/>
      <c r="F203" s="205"/>
      <c r="G203" s="210"/>
      <c r="H203" s="205"/>
      <c r="I203" s="177"/>
      <c r="J203" s="177"/>
      <c r="K203" s="177"/>
      <c r="L203" s="178"/>
      <c r="M203" s="177"/>
      <c r="N203" s="177"/>
      <c r="O203" s="177"/>
      <c r="P203" s="177"/>
      <c r="Q203" s="177"/>
      <c r="R203" s="177"/>
      <c r="S203" s="177"/>
      <c r="T203" s="177"/>
      <c r="U203" s="177"/>
      <c r="V203" s="177"/>
      <c r="W203" s="177"/>
      <c r="X203" s="177"/>
      <c r="Y203" s="177"/>
      <c r="Z203" s="177"/>
      <c r="AA203" s="177"/>
      <c r="AB203" s="177"/>
      <c r="AC203" s="177"/>
    </row>
    <row r="204" spans="1:29" ht="13">
      <c r="A204" s="161"/>
      <c r="B204" s="161"/>
      <c r="C204" s="177"/>
      <c r="D204" s="177"/>
      <c r="E204" s="177"/>
      <c r="F204" s="205"/>
      <c r="G204" s="210"/>
      <c r="H204" s="205"/>
      <c r="I204" s="177"/>
      <c r="J204" s="177"/>
      <c r="K204" s="177"/>
      <c r="L204" s="178"/>
      <c r="M204" s="177"/>
      <c r="N204" s="177"/>
      <c r="O204" s="177"/>
      <c r="P204" s="177"/>
      <c r="Q204" s="177"/>
      <c r="R204" s="177"/>
      <c r="S204" s="177"/>
      <c r="T204" s="177"/>
      <c r="U204" s="177"/>
      <c r="V204" s="177"/>
      <c r="W204" s="177"/>
      <c r="X204" s="177"/>
      <c r="Y204" s="177"/>
      <c r="Z204" s="177"/>
      <c r="AA204" s="177"/>
      <c r="AB204" s="177"/>
      <c r="AC204" s="177"/>
    </row>
    <row r="205" spans="1:29" ht="13">
      <c r="A205" s="161"/>
      <c r="B205" s="161"/>
      <c r="C205" s="177"/>
      <c r="D205" s="177"/>
      <c r="E205" s="177"/>
      <c r="F205" s="205"/>
      <c r="G205" s="210"/>
      <c r="H205" s="205"/>
      <c r="I205" s="177"/>
      <c r="J205" s="177"/>
      <c r="K205" s="177"/>
      <c r="L205" s="178"/>
      <c r="M205" s="177"/>
      <c r="N205" s="177"/>
      <c r="O205" s="177"/>
      <c r="P205" s="177"/>
      <c r="Q205" s="177"/>
      <c r="R205" s="177"/>
      <c r="S205" s="177"/>
      <c r="T205" s="177"/>
      <c r="U205" s="177"/>
      <c r="V205" s="177"/>
      <c r="W205" s="177"/>
      <c r="X205" s="177"/>
      <c r="Y205" s="177"/>
      <c r="Z205" s="177"/>
      <c r="AA205" s="177"/>
      <c r="AB205" s="177"/>
      <c r="AC205" s="177"/>
    </row>
    <row r="206" spans="1:29" ht="13">
      <c r="A206" s="161"/>
      <c r="B206" s="161"/>
      <c r="C206" s="177"/>
      <c r="D206" s="177"/>
      <c r="E206" s="177"/>
      <c r="F206" s="205"/>
      <c r="G206" s="210"/>
      <c r="H206" s="205"/>
      <c r="I206" s="177"/>
      <c r="J206" s="177"/>
      <c r="K206" s="177"/>
      <c r="L206" s="178"/>
      <c r="M206" s="177"/>
      <c r="N206" s="177"/>
      <c r="O206" s="177"/>
      <c r="P206" s="177"/>
      <c r="Q206" s="177"/>
      <c r="R206" s="177"/>
      <c r="S206" s="177"/>
      <c r="T206" s="177"/>
      <c r="U206" s="177"/>
      <c r="V206" s="177"/>
      <c r="W206" s="177"/>
      <c r="X206" s="177"/>
      <c r="Y206" s="177"/>
      <c r="Z206" s="177"/>
      <c r="AA206" s="177"/>
      <c r="AB206" s="177"/>
      <c r="AC206" s="177"/>
    </row>
    <row r="207" spans="1:29" ht="13">
      <c r="A207" s="161"/>
      <c r="B207" s="161"/>
      <c r="C207" s="177"/>
      <c r="D207" s="177"/>
      <c r="E207" s="177"/>
      <c r="F207" s="205"/>
      <c r="G207" s="210"/>
      <c r="H207" s="205"/>
      <c r="I207" s="177"/>
      <c r="J207" s="177"/>
      <c r="K207" s="177"/>
      <c r="L207" s="178"/>
      <c r="M207" s="177"/>
      <c r="N207" s="177"/>
      <c r="O207" s="177"/>
      <c r="P207" s="177"/>
      <c r="Q207" s="177"/>
      <c r="R207" s="177"/>
      <c r="S207" s="177"/>
      <c r="T207" s="177"/>
      <c r="U207" s="177"/>
      <c r="V207" s="177"/>
      <c r="W207" s="177"/>
      <c r="X207" s="177"/>
      <c r="Y207" s="177"/>
      <c r="Z207" s="177"/>
      <c r="AA207" s="177"/>
      <c r="AB207" s="177"/>
      <c r="AC207" s="177"/>
    </row>
    <row r="208" spans="1:29" ht="13">
      <c r="A208" s="161"/>
      <c r="B208" s="161"/>
      <c r="C208" s="177"/>
      <c r="D208" s="177"/>
      <c r="E208" s="177"/>
      <c r="F208" s="205"/>
      <c r="G208" s="210"/>
      <c r="H208" s="205"/>
      <c r="I208" s="177"/>
      <c r="J208" s="177"/>
      <c r="K208" s="177"/>
      <c r="L208" s="178"/>
      <c r="M208" s="177"/>
      <c r="N208" s="177"/>
      <c r="O208" s="177"/>
      <c r="P208" s="177"/>
      <c r="Q208" s="177"/>
      <c r="R208" s="177"/>
      <c r="S208" s="177"/>
      <c r="T208" s="177"/>
      <c r="U208" s="177"/>
      <c r="V208" s="177"/>
      <c r="W208" s="177"/>
      <c r="X208" s="177"/>
      <c r="Y208" s="177"/>
      <c r="Z208" s="177"/>
      <c r="AA208" s="177"/>
      <c r="AB208" s="177"/>
      <c r="AC208" s="177"/>
    </row>
    <row r="209" spans="1:29" ht="13">
      <c r="A209" s="161"/>
      <c r="B209" s="161"/>
      <c r="C209" s="177"/>
      <c r="D209" s="177"/>
      <c r="E209" s="177"/>
      <c r="F209" s="205"/>
      <c r="G209" s="210"/>
      <c r="H209" s="205"/>
      <c r="I209" s="177"/>
      <c r="J209" s="177"/>
      <c r="K209" s="177"/>
      <c r="L209" s="178"/>
      <c r="M209" s="177"/>
      <c r="N209" s="177"/>
      <c r="O209" s="177"/>
      <c r="P209" s="177"/>
      <c r="Q209" s="177"/>
      <c r="R209" s="177"/>
      <c r="S209" s="177"/>
      <c r="T209" s="177"/>
      <c r="U209" s="177"/>
      <c r="V209" s="177"/>
      <c r="W209" s="177"/>
      <c r="X209" s="177"/>
      <c r="Y209" s="177"/>
      <c r="Z209" s="177"/>
      <c r="AA209" s="177"/>
      <c r="AB209" s="177"/>
      <c r="AC209" s="177"/>
    </row>
    <row r="210" spans="1:29" ht="13">
      <c r="A210" s="161"/>
      <c r="B210" s="161"/>
      <c r="C210" s="177"/>
      <c r="D210" s="177"/>
      <c r="E210" s="177"/>
      <c r="F210" s="205"/>
      <c r="G210" s="210"/>
      <c r="H210" s="205"/>
      <c r="I210" s="177"/>
      <c r="J210" s="177"/>
      <c r="K210" s="177"/>
      <c r="L210" s="178"/>
      <c r="M210" s="177"/>
      <c r="N210" s="177"/>
      <c r="O210" s="177"/>
      <c r="P210" s="177"/>
      <c r="Q210" s="177"/>
      <c r="R210" s="177"/>
      <c r="S210" s="177"/>
      <c r="T210" s="177"/>
      <c r="U210" s="177"/>
      <c r="V210" s="177"/>
      <c r="W210" s="177"/>
      <c r="X210" s="177"/>
      <c r="Y210" s="177"/>
      <c r="Z210" s="177"/>
      <c r="AA210" s="177"/>
      <c r="AB210" s="177"/>
      <c r="AC210" s="177"/>
    </row>
    <row r="211" spans="1:29" ht="13">
      <c r="A211" s="161"/>
      <c r="B211" s="161"/>
      <c r="C211" s="177"/>
      <c r="D211" s="177"/>
      <c r="E211" s="177"/>
      <c r="F211" s="205"/>
      <c r="G211" s="210"/>
      <c r="H211" s="205"/>
      <c r="I211" s="177"/>
      <c r="J211" s="177"/>
      <c r="K211" s="177"/>
      <c r="L211" s="178"/>
      <c r="M211" s="177"/>
      <c r="N211" s="177"/>
      <c r="O211" s="177"/>
      <c r="P211" s="177"/>
      <c r="Q211" s="177"/>
      <c r="R211" s="177"/>
      <c r="S211" s="177"/>
      <c r="T211" s="177"/>
      <c r="U211" s="177"/>
      <c r="V211" s="177"/>
      <c r="W211" s="177"/>
      <c r="X211" s="177"/>
      <c r="Y211" s="177"/>
      <c r="Z211" s="177"/>
      <c r="AA211" s="177"/>
      <c r="AB211" s="177"/>
      <c r="AC211" s="177"/>
    </row>
    <row r="212" spans="1:29" ht="13">
      <c r="A212" s="161"/>
      <c r="B212" s="161"/>
      <c r="C212" s="177"/>
      <c r="D212" s="177"/>
      <c r="E212" s="177"/>
      <c r="F212" s="205"/>
      <c r="G212" s="210"/>
      <c r="H212" s="205"/>
      <c r="I212" s="177"/>
      <c r="J212" s="177"/>
      <c r="K212" s="177"/>
      <c r="L212" s="178"/>
      <c r="M212" s="177"/>
      <c r="N212" s="177"/>
      <c r="O212" s="177"/>
      <c r="P212" s="177"/>
      <c r="Q212" s="177"/>
      <c r="R212" s="177"/>
      <c r="S212" s="177"/>
      <c r="T212" s="177"/>
      <c r="U212" s="177"/>
      <c r="V212" s="177"/>
      <c r="W212" s="177"/>
      <c r="X212" s="177"/>
      <c r="Y212" s="177"/>
      <c r="Z212" s="177"/>
      <c r="AA212" s="177"/>
      <c r="AB212" s="177"/>
      <c r="AC212" s="177"/>
    </row>
    <row r="213" spans="1:29" ht="13">
      <c r="A213" s="161"/>
      <c r="B213" s="161"/>
      <c r="C213" s="177"/>
      <c r="D213" s="177"/>
      <c r="E213" s="177"/>
      <c r="F213" s="205"/>
      <c r="G213" s="210"/>
      <c r="H213" s="205"/>
      <c r="I213" s="177"/>
      <c r="J213" s="177"/>
      <c r="K213" s="177"/>
      <c r="L213" s="178"/>
      <c r="M213" s="177"/>
      <c r="N213" s="177"/>
      <c r="O213" s="177"/>
      <c r="P213" s="177"/>
      <c r="Q213" s="177"/>
      <c r="R213" s="177"/>
      <c r="S213" s="177"/>
      <c r="T213" s="177"/>
      <c r="U213" s="177"/>
      <c r="V213" s="177"/>
      <c r="W213" s="177"/>
      <c r="X213" s="177"/>
      <c r="Y213" s="177"/>
      <c r="Z213" s="177"/>
      <c r="AA213" s="177"/>
      <c r="AB213" s="177"/>
      <c r="AC213" s="177"/>
    </row>
    <row r="214" spans="1:29" ht="13">
      <c r="A214" s="161"/>
      <c r="B214" s="161"/>
      <c r="C214" s="177"/>
      <c r="D214" s="177"/>
      <c r="E214" s="177"/>
      <c r="F214" s="205"/>
      <c r="G214" s="210"/>
      <c r="H214" s="205"/>
      <c r="I214" s="177"/>
      <c r="J214" s="177"/>
      <c r="K214" s="177"/>
      <c r="L214" s="178"/>
      <c r="M214" s="177"/>
      <c r="N214" s="177"/>
      <c r="O214" s="177"/>
      <c r="P214" s="177"/>
      <c r="Q214" s="177"/>
      <c r="R214" s="177"/>
      <c r="S214" s="177"/>
      <c r="T214" s="177"/>
      <c r="U214" s="177"/>
      <c r="V214" s="177"/>
      <c r="W214" s="177"/>
      <c r="X214" s="177"/>
      <c r="Y214" s="177"/>
      <c r="Z214" s="177"/>
      <c r="AA214" s="177"/>
      <c r="AB214" s="177"/>
      <c r="AC214" s="177"/>
    </row>
    <row r="215" spans="1:29" ht="13">
      <c r="A215" s="161"/>
      <c r="B215" s="161"/>
      <c r="C215" s="177"/>
      <c r="D215" s="177"/>
      <c r="E215" s="177"/>
      <c r="F215" s="205"/>
      <c r="G215" s="210"/>
      <c r="H215" s="205"/>
      <c r="I215" s="177"/>
      <c r="J215" s="177"/>
      <c r="K215" s="177"/>
      <c r="L215" s="178"/>
      <c r="M215" s="177"/>
      <c r="N215" s="177"/>
      <c r="O215" s="177"/>
      <c r="P215" s="177"/>
      <c r="Q215" s="177"/>
      <c r="R215" s="177"/>
      <c r="S215" s="177"/>
      <c r="T215" s="177"/>
      <c r="U215" s="177"/>
      <c r="V215" s="177"/>
      <c r="W215" s="177"/>
      <c r="X215" s="177"/>
      <c r="Y215" s="177"/>
      <c r="Z215" s="177"/>
      <c r="AA215" s="177"/>
      <c r="AB215" s="177"/>
      <c r="AC215" s="177"/>
    </row>
    <row r="216" spans="1:29" ht="13">
      <c r="A216" s="161"/>
      <c r="B216" s="161"/>
      <c r="C216" s="177"/>
      <c r="D216" s="177"/>
      <c r="E216" s="177"/>
      <c r="F216" s="205"/>
      <c r="G216" s="210"/>
      <c r="H216" s="205"/>
      <c r="I216" s="177"/>
      <c r="J216" s="177"/>
      <c r="K216" s="177"/>
      <c r="L216" s="178"/>
      <c r="M216" s="177"/>
      <c r="N216" s="177"/>
      <c r="O216" s="177"/>
      <c r="P216" s="177"/>
      <c r="Q216" s="177"/>
      <c r="R216" s="177"/>
      <c r="S216" s="177"/>
      <c r="T216" s="177"/>
      <c r="U216" s="177"/>
      <c r="V216" s="177"/>
      <c r="W216" s="177"/>
      <c r="X216" s="177"/>
      <c r="Y216" s="177"/>
      <c r="Z216" s="177"/>
      <c r="AA216" s="177"/>
      <c r="AB216" s="177"/>
      <c r="AC216" s="177"/>
    </row>
    <row r="217" spans="1:29" ht="13">
      <c r="A217" s="161"/>
      <c r="B217" s="161"/>
      <c r="C217" s="177"/>
      <c r="D217" s="177"/>
      <c r="E217" s="177"/>
      <c r="F217" s="205"/>
      <c r="G217" s="210"/>
      <c r="H217" s="205"/>
      <c r="I217" s="177"/>
      <c r="J217" s="177"/>
      <c r="K217" s="177"/>
      <c r="L217" s="178"/>
      <c r="M217" s="177"/>
      <c r="N217" s="177"/>
      <c r="O217" s="177"/>
      <c r="P217" s="177"/>
      <c r="Q217" s="177"/>
      <c r="R217" s="177"/>
      <c r="S217" s="177"/>
      <c r="T217" s="177"/>
      <c r="U217" s="177"/>
      <c r="V217" s="177"/>
      <c r="W217" s="177"/>
      <c r="X217" s="177"/>
      <c r="Y217" s="177"/>
      <c r="Z217" s="177"/>
      <c r="AA217" s="177"/>
      <c r="AB217" s="177"/>
      <c r="AC217" s="177"/>
    </row>
    <row r="218" spans="1:29" ht="13">
      <c r="A218" s="161"/>
      <c r="B218" s="161"/>
      <c r="C218" s="177"/>
      <c r="D218" s="177"/>
      <c r="E218" s="177"/>
      <c r="F218" s="205"/>
      <c r="G218" s="210"/>
      <c r="H218" s="205"/>
      <c r="I218" s="177"/>
      <c r="J218" s="177"/>
      <c r="K218" s="177"/>
      <c r="L218" s="178"/>
      <c r="M218" s="177"/>
      <c r="N218" s="177"/>
      <c r="O218" s="177"/>
      <c r="P218" s="177"/>
      <c r="Q218" s="177"/>
      <c r="R218" s="177"/>
      <c r="S218" s="177"/>
      <c r="T218" s="177"/>
      <c r="U218" s="177"/>
      <c r="V218" s="177"/>
      <c r="W218" s="177"/>
      <c r="X218" s="177"/>
      <c r="Y218" s="177"/>
      <c r="Z218" s="177"/>
      <c r="AA218" s="177"/>
      <c r="AB218" s="177"/>
      <c r="AC218" s="177"/>
    </row>
    <row r="219" spans="1:29" ht="13">
      <c r="A219" s="161"/>
      <c r="B219" s="161"/>
      <c r="C219" s="177"/>
      <c r="D219" s="177"/>
      <c r="E219" s="177"/>
      <c r="F219" s="205"/>
      <c r="G219" s="210"/>
      <c r="H219" s="205"/>
      <c r="I219" s="177"/>
      <c r="J219" s="177"/>
      <c r="K219" s="177"/>
      <c r="L219" s="178"/>
      <c r="M219" s="177"/>
      <c r="N219" s="177"/>
      <c r="O219" s="177"/>
      <c r="P219" s="177"/>
      <c r="Q219" s="177"/>
      <c r="R219" s="177"/>
      <c r="S219" s="177"/>
      <c r="T219" s="177"/>
      <c r="U219" s="177"/>
      <c r="V219" s="177"/>
      <c r="W219" s="177"/>
      <c r="X219" s="177"/>
      <c r="Y219" s="177"/>
      <c r="Z219" s="177"/>
      <c r="AA219" s="177"/>
      <c r="AB219" s="177"/>
      <c r="AC219" s="177"/>
    </row>
    <row r="220" spans="1:29" ht="13">
      <c r="A220" s="161"/>
      <c r="B220" s="161"/>
      <c r="C220" s="177"/>
      <c r="D220" s="177"/>
      <c r="E220" s="177"/>
      <c r="F220" s="205"/>
      <c r="G220" s="210"/>
      <c r="H220" s="205"/>
      <c r="I220" s="177"/>
      <c r="J220" s="177"/>
      <c r="K220" s="177"/>
      <c r="L220" s="178"/>
      <c r="M220" s="177"/>
      <c r="N220" s="177"/>
      <c r="O220" s="177"/>
      <c r="P220" s="177"/>
      <c r="Q220" s="177"/>
      <c r="R220" s="177"/>
      <c r="S220" s="177"/>
      <c r="T220" s="177"/>
      <c r="U220" s="177"/>
      <c r="V220" s="177"/>
      <c r="W220" s="177"/>
      <c r="X220" s="177"/>
      <c r="Y220" s="177"/>
      <c r="Z220" s="177"/>
      <c r="AA220" s="177"/>
      <c r="AB220" s="177"/>
      <c r="AC220" s="177"/>
    </row>
    <row r="221" spans="1:29" ht="13">
      <c r="A221" s="161"/>
      <c r="B221" s="161"/>
      <c r="C221" s="177"/>
      <c r="D221" s="177"/>
      <c r="E221" s="177"/>
      <c r="F221" s="205"/>
      <c r="G221" s="210"/>
      <c r="H221" s="205"/>
      <c r="I221" s="177"/>
      <c r="J221" s="177"/>
      <c r="K221" s="177"/>
      <c r="L221" s="178"/>
      <c r="M221" s="177"/>
      <c r="N221" s="177"/>
      <c r="O221" s="177"/>
      <c r="P221" s="177"/>
      <c r="Q221" s="177"/>
      <c r="R221" s="177"/>
      <c r="S221" s="177"/>
      <c r="T221" s="177"/>
      <c r="U221" s="177"/>
      <c r="V221" s="177"/>
      <c r="W221" s="177"/>
      <c r="X221" s="177"/>
      <c r="Y221" s="177"/>
      <c r="Z221" s="177"/>
      <c r="AA221" s="177"/>
      <c r="AB221" s="177"/>
      <c r="AC221" s="177"/>
    </row>
    <row r="222" spans="1:29" ht="13">
      <c r="A222" s="161"/>
      <c r="B222" s="161"/>
      <c r="C222" s="177"/>
      <c r="D222" s="177"/>
      <c r="E222" s="177"/>
      <c r="F222" s="205"/>
      <c r="G222" s="210"/>
      <c r="H222" s="205"/>
      <c r="I222" s="177"/>
      <c r="J222" s="177"/>
      <c r="K222" s="177"/>
      <c r="L222" s="178"/>
      <c r="M222" s="177"/>
      <c r="N222" s="177"/>
      <c r="O222" s="177"/>
      <c r="P222" s="177"/>
      <c r="Q222" s="177"/>
      <c r="R222" s="177"/>
      <c r="S222" s="177"/>
      <c r="T222" s="177"/>
      <c r="U222" s="177"/>
      <c r="V222" s="177"/>
      <c r="W222" s="177"/>
      <c r="X222" s="177"/>
      <c r="Y222" s="177"/>
      <c r="Z222" s="177"/>
      <c r="AA222" s="177"/>
      <c r="AB222" s="177"/>
      <c r="AC222" s="177"/>
    </row>
    <row r="223" spans="1:29" ht="13">
      <c r="A223" s="161"/>
      <c r="B223" s="161"/>
      <c r="C223" s="177"/>
      <c r="D223" s="177"/>
      <c r="E223" s="177"/>
      <c r="F223" s="205"/>
      <c r="G223" s="210"/>
      <c r="H223" s="205"/>
      <c r="I223" s="177"/>
      <c r="J223" s="177"/>
      <c r="K223" s="177"/>
      <c r="L223" s="178"/>
      <c r="M223" s="177"/>
      <c r="N223" s="177"/>
      <c r="O223" s="177"/>
      <c r="P223" s="177"/>
      <c r="Q223" s="177"/>
      <c r="R223" s="177"/>
      <c r="S223" s="177"/>
      <c r="T223" s="177"/>
      <c r="U223" s="177"/>
      <c r="V223" s="177"/>
      <c r="W223" s="177"/>
      <c r="X223" s="177"/>
      <c r="Y223" s="177"/>
      <c r="Z223" s="177"/>
      <c r="AA223" s="177"/>
      <c r="AB223" s="177"/>
      <c r="AC223" s="177"/>
    </row>
    <row r="224" spans="1:29" ht="13">
      <c r="A224" s="161"/>
      <c r="B224" s="161"/>
      <c r="C224" s="177"/>
      <c r="D224" s="177"/>
      <c r="E224" s="177"/>
      <c r="F224" s="205"/>
      <c r="G224" s="210"/>
      <c r="H224" s="205"/>
      <c r="I224" s="177"/>
      <c r="J224" s="177"/>
      <c r="K224" s="177"/>
      <c r="L224" s="178"/>
      <c r="M224" s="177"/>
      <c r="N224" s="177"/>
      <c r="O224" s="177"/>
      <c r="P224" s="177"/>
      <c r="Q224" s="177"/>
      <c r="R224" s="177"/>
      <c r="S224" s="177"/>
      <c r="T224" s="177"/>
      <c r="U224" s="177"/>
      <c r="V224" s="177"/>
      <c r="W224" s="177"/>
      <c r="X224" s="177"/>
      <c r="Y224" s="177"/>
      <c r="Z224" s="177"/>
      <c r="AA224" s="177"/>
      <c r="AB224" s="177"/>
      <c r="AC224" s="177"/>
    </row>
    <row r="225" spans="1:29" ht="13">
      <c r="A225" s="161"/>
      <c r="B225" s="161"/>
      <c r="C225" s="177"/>
      <c r="D225" s="177"/>
      <c r="E225" s="177"/>
      <c r="F225" s="205"/>
      <c r="G225" s="210"/>
      <c r="H225" s="205"/>
      <c r="I225" s="177"/>
      <c r="J225" s="177"/>
      <c r="K225" s="177"/>
      <c r="L225" s="178"/>
      <c r="M225" s="177"/>
      <c r="N225" s="177"/>
      <c r="O225" s="177"/>
      <c r="P225" s="177"/>
      <c r="Q225" s="177"/>
      <c r="R225" s="177"/>
      <c r="S225" s="177"/>
      <c r="T225" s="177"/>
      <c r="U225" s="177"/>
      <c r="V225" s="177"/>
      <c r="W225" s="177"/>
      <c r="X225" s="177"/>
      <c r="Y225" s="177"/>
      <c r="Z225" s="177"/>
      <c r="AA225" s="177"/>
      <c r="AB225" s="177"/>
      <c r="AC225" s="177"/>
    </row>
    <row r="226" spans="1:29" ht="13">
      <c r="A226" s="161"/>
      <c r="B226" s="161"/>
      <c r="C226" s="177"/>
      <c r="D226" s="177"/>
      <c r="E226" s="177"/>
      <c r="F226" s="205"/>
      <c r="G226" s="210"/>
      <c r="H226" s="205"/>
      <c r="I226" s="177"/>
      <c r="J226" s="177"/>
      <c r="K226" s="177"/>
      <c r="L226" s="178"/>
      <c r="M226" s="177"/>
      <c r="N226" s="177"/>
      <c r="O226" s="177"/>
      <c r="P226" s="177"/>
      <c r="Q226" s="177"/>
      <c r="R226" s="177"/>
      <c r="S226" s="177"/>
      <c r="T226" s="177"/>
      <c r="U226" s="177"/>
      <c r="V226" s="177"/>
      <c r="W226" s="177"/>
      <c r="X226" s="177"/>
      <c r="Y226" s="177"/>
      <c r="Z226" s="177"/>
      <c r="AA226" s="177"/>
      <c r="AB226" s="177"/>
      <c r="AC226" s="177"/>
    </row>
    <row r="227" spans="1:29" ht="13">
      <c r="A227" s="161"/>
      <c r="B227" s="161"/>
      <c r="C227" s="177"/>
      <c r="D227" s="177"/>
      <c r="E227" s="177"/>
      <c r="F227" s="205"/>
      <c r="G227" s="210"/>
      <c r="H227" s="205"/>
      <c r="I227" s="177"/>
      <c r="J227" s="177"/>
      <c r="K227" s="177"/>
      <c r="L227" s="178"/>
      <c r="M227" s="177"/>
      <c r="N227" s="177"/>
      <c r="O227" s="177"/>
      <c r="P227" s="177"/>
      <c r="Q227" s="177"/>
      <c r="R227" s="177"/>
      <c r="S227" s="177"/>
      <c r="T227" s="177"/>
      <c r="U227" s="177"/>
      <c r="V227" s="177"/>
      <c r="W227" s="177"/>
      <c r="X227" s="177"/>
      <c r="Y227" s="177"/>
      <c r="Z227" s="177"/>
      <c r="AA227" s="177"/>
      <c r="AB227" s="177"/>
      <c r="AC227" s="177"/>
    </row>
    <row r="228" spans="1:29" ht="13">
      <c r="A228" s="161"/>
      <c r="B228" s="161"/>
      <c r="C228" s="177"/>
      <c r="D228" s="177"/>
      <c r="E228" s="177"/>
      <c r="F228" s="205"/>
      <c r="G228" s="210"/>
      <c r="H228" s="205"/>
      <c r="I228" s="177"/>
      <c r="J228" s="177"/>
      <c r="K228" s="177"/>
      <c r="L228" s="178"/>
      <c r="M228" s="177"/>
      <c r="N228" s="177"/>
      <c r="O228" s="177"/>
      <c r="P228" s="177"/>
      <c r="Q228" s="177"/>
      <c r="R228" s="177"/>
      <c r="S228" s="177"/>
      <c r="T228" s="177"/>
      <c r="U228" s="177"/>
      <c r="V228" s="177"/>
      <c r="W228" s="177"/>
      <c r="X228" s="177"/>
      <c r="Y228" s="177"/>
      <c r="Z228" s="177"/>
      <c r="AA228" s="177"/>
      <c r="AB228" s="177"/>
      <c r="AC228" s="177"/>
    </row>
    <row r="229" spans="1:29" ht="13">
      <c r="A229" s="161"/>
      <c r="B229" s="161"/>
      <c r="C229" s="177"/>
      <c r="D229" s="177"/>
      <c r="E229" s="177"/>
      <c r="F229" s="205"/>
      <c r="G229" s="210"/>
      <c r="H229" s="205"/>
      <c r="I229" s="177"/>
      <c r="J229" s="177"/>
      <c r="K229" s="177"/>
      <c r="L229" s="178"/>
      <c r="M229" s="177"/>
      <c r="N229" s="177"/>
      <c r="O229" s="177"/>
      <c r="P229" s="177"/>
      <c r="Q229" s="177"/>
      <c r="R229" s="177"/>
      <c r="S229" s="177"/>
      <c r="T229" s="177"/>
      <c r="U229" s="177"/>
      <c r="V229" s="177"/>
      <c r="W229" s="177"/>
      <c r="X229" s="177"/>
      <c r="Y229" s="177"/>
      <c r="Z229" s="177"/>
      <c r="AA229" s="177"/>
      <c r="AB229" s="177"/>
      <c r="AC229" s="177"/>
    </row>
    <row r="230" spans="1:29" ht="13">
      <c r="A230" s="161"/>
      <c r="B230" s="161"/>
      <c r="C230" s="177"/>
      <c r="D230" s="177"/>
      <c r="E230" s="177"/>
      <c r="F230" s="205"/>
      <c r="G230" s="210"/>
      <c r="H230" s="205"/>
      <c r="I230" s="177"/>
      <c r="J230" s="177"/>
      <c r="K230" s="177"/>
      <c r="L230" s="178"/>
      <c r="M230" s="177"/>
      <c r="N230" s="177"/>
      <c r="O230" s="177"/>
      <c r="P230" s="177"/>
      <c r="Q230" s="177"/>
      <c r="R230" s="177"/>
      <c r="S230" s="177"/>
      <c r="T230" s="177"/>
      <c r="U230" s="177"/>
      <c r="V230" s="177"/>
      <c r="W230" s="177"/>
      <c r="X230" s="177"/>
      <c r="Y230" s="177"/>
      <c r="Z230" s="177"/>
      <c r="AA230" s="177"/>
      <c r="AB230" s="177"/>
      <c r="AC230" s="177"/>
    </row>
    <row r="231" spans="1:29" ht="13">
      <c r="A231" s="161"/>
      <c r="B231" s="161"/>
      <c r="C231" s="177"/>
      <c r="D231" s="177"/>
      <c r="E231" s="177"/>
      <c r="F231" s="205"/>
      <c r="G231" s="210"/>
      <c r="H231" s="205"/>
      <c r="I231" s="177"/>
      <c r="J231" s="177"/>
      <c r="K231" s="177"/>
      <c r="L231" s="178"/>
      <c r="M231" s="177"/>
      <c r="N231" s="177"/>
      <c r="O231" s="177"/>
      <c r="P231" s="177"/>
      <c r="Q231" s="177"/>
      <c r="R231" s="177"/>
      <c r="S231" s="177"/>
      <c r="T231" s="177"/>
      <c r="U231" s="177"/>
      <c r="V231" s="177"/>
      <c r="W231" s="177"/>
      <c r="X231" s="177"/>
      <c r="Y231" s="177"/>
      <c r="Z231" s="177"/>
      <c r="AA231" s="177"/>
      <c r="AB231" s="177"/>
      <c r="AC231" s="177"/>
    </row>
    <row r="232" spans="1:29" ht="13">
      <c r="A232" s="161"/>
      <c r="B232" s="161"/>
      <c r="C232" s="177"/>
      <c r="D232" s="177"/>
      <c r="E232" s="177"/>
      <c r="F232" s="205"/>
      <c r="G232" s="210"/>
      <c r="H232" s="205"/>
      <c r="I232" s="177"/>
      <c r="J232" s="177"/>
      <c r="K232" s="177"/>
      <c r="L232" s="178"/>
      <c r="M232" s="177"/>
      <c r="N232" s="177"/>
      <c r="O232" s="177"/>
      <c r="P232" s="177"/>
      <c r="Q232" s="177"/>
      <c r="R232" s="177"/>
      <c r="S232" s="177"/>
      <c r="T232" s="177"/>
      <c r="U232" s="177"/>
      <c r="V232" s="177"/>
      <c r="W232" s="177"/>
      <c r="X232" s="177"/>
      <c r="Y232" s="177"/>
      <c r="Z232" s="177"/>
      <c r="AA232" s="177"/>
      <c r="AB232" s="177"/>
      <c r="AC232" s="177"/>
    </row>
    <row r="233" spans="1:29" ht="13">
      <c r="A233" s="161"/>
      <c r="B233" s="161"/>
      <c r="C233" s="177"/>
      <c r="D233" s="177"/>
      <c r="E233" s="177"/>
      <c r="F233" s="205"/>
      <c r="G233" s="210"/>
      <c r="H233" s="205"/>
      <c r="I233" s="177"/>
      <c r="J233" s="177"/>
      <c r="K233" s="177"/>
      <c r="L233" s="178"/>
      <c r="M233" s="177"/>
      <c r="N233" s="177"/>
      <c r="O233" s="177"/>
      <c r="P233" s="177"/>
      <c r="Q233" s="177"/>
      <c r="R233" s="177"/>
      <c r="S233" s="177"/>
      <c r="T233" s="177"/>
      <c r="U233" s="177"/>
      <c r="V233" s="177"/>
      <c r="W233" s="177"/>
      <c r="X233" s="177"/>
      <c r="Y233" s="177"/>
      <c r="Z233" s="177"/>
      <c r="AA233" s="177"/>
      <c r="AB233" s="177"/>
      <c r="AC233" s="177"/>
    </row>
    <row r="234" spans="1:29" ht="13">
      <c r="A234" s="161"/>
      <c r="B234" s="161"/>
      <c r="C234" s="177"/>
      <c r="D234" s="177"/>
      <c r="E234" s="177"/>
      <c r="F234" s="205"/>
      <c r="G234" s="210"/>
      <c r="H234" s="205"/>
      <c r="I234" s="177"/>
      <c r="J234" s="177"/>
      <c r="K234" s="177"/>
      <c r="L234" s="178"/>
      <c r="M234" s="177"/>
      <c r="N234" s="177"/>
      <c r="O234" s="177"/>
      <c r="P234" s="177"/>
      <c r="Q234" s="177"/>
      <c r="R234" s="177"/>
      <c r="S234" s="177"/>
      <c r="T234" s="177"/>
      <c r="U234" s="177"/>
      <c r="V234" s="177"/>
      <c r="W234" s="177"/>
      <c r="X234" s="177"/>
      <c r="Y234" s="177"/>
      <c r="Z234" s="177"/>
      <c r="AA234" s="177"/>
      <c r="AB234" s="177"/>
      <c r="AC234" s="177"/>
    </row>
    <row r="235" spans="1:29" ht="13">
      <c r="A235" s="161"/>
      <c r="B235" s="161"/>
      <c r="C235" s="177"/>
      <c r="D235" s="177"/>
      <c r="E235" s="177"/>
      <c r="F235" s="205"/>
      <c r="G235" s="210"/>
      <c r="H235" s="205"/>
      <c r="I235" s="177"/>
      <c r="J235" s="177"/>
      <c r="K235" s="177"/>
      <c r="L235" s="178"/>
      <c r="M235" s="177"/>
      <c r="N235" s="177"/>
      <c r="O235" s="177"/>
      <c r="P235" s="177"/>
      <c r="Q235" s="177"/>
      <c r="R235" s="177"/>
      <c r="S235" s="177"/>
      <c r="T235" s="177"/>
      <c r="U235" s="177"/>
      <c r="V235" s="177"/>
      <c r="W235" s="177"/>
      <c r="X235" s="177"/>
      <c r="Y235" s="177"/>
      <c r="Z235" s="177"/>
      <c r="AA235" s="177"/>
      <c r="AB235" s="177"/>
      <c r="AC235" s="177"/>
    </row>
    <row r="236" spans="1:29" ht="13">
      <c r="A236" s="161"/>
      <c r="B236" s="161"/>
      <c r="C236" s="177"/>
      <c r="D236" s="177"/>
      <c r="E236" s="177"/>
      <c r="F236" s="205"/>
      <c r="G236" s="210"/>
      <c r="H236" s="205"/>
      <c r="I236" s="177"/>
      <c r="J236" s="177"/>
      <c r="K236" s="177"/>
      <c r="L236" s="178"/>
      <c r="M236" s="177"/>
      <c r="N236" s="177"/>
      <c r="O236" s="177"/>
      <c r="P236" s="177"/>
      <c r="Q236" s="177"/>
      <c r="R236" s="177"/>
      <c r="S236" s="177"/>
      <c r="T236" s="177"/>
      <c r="U236" s="177"/>
      <c r="V236" s="177"/>
      <c r="W236" s="177"/>
      <c r="X236" s="177"/>
      <c r="Y236" s="177"/>
      <c r="Z236" s="177"/>
      <c r="AA236" s="177"/>
      <c r="AB236" s="177"/>
      <c r="AC236" s="177"/>
    </row>
    <row r="237" spans="1:29" ht="13">
      <c r="A237" s="161"/>
      <c r="B237" s="161"/>
      <c r="C237" s="177"/>
      <c r="D237" s="177"/>
      <c r="E237" s="177"/>
      <c r="F237" s="205"/>
      <c r="G237" s="210"/>
      <c r="H237" s="205"/>
      <c r="I237" s="177"/>
      <c r="J237" s="177"/>
      <c r="K237" s="177"/>
      <c r="L237" s="178"/>
      <c r="M237" s="177"/>
      <c r="N237" s="177"/>
      <c r="O237" s="177"/>
      <c r="P237" s="177"/>
      <c r="Q237" s="177"/>
      <c r="R237" s="177"/>
      <c r="S237" s="177"/>
      <c r="T237" s="177"/>
      <c r="U237" s="177"/>
      <c r="V237" s="177"/>
      <c r="W237" s="177"/>
      <c r="X237" s="177"/>
      <c r="Y237" s="177"/>
      <c r="Z237" s="177"/>
      <c r="AA237" s="177"/>
      <c r="AB237" s="177"/>
      <c r="AC237" s="177"/>
    </row>
    <row r="238" spans="1:29" ht="13">
      <c r="A238" s="161"/>
      <c r="B238" s="161"/>
      <c r="C238" s="177"/>
      <c r="D238" s="177"/>
      <c r="E238" s="177"/>
      <c r="F238" s="205"/>
      <c r="G238" s="210"/>
      <c r="H238" s="205"/>
      <c r="I238" s="177"/>
      <c r="J238" s="177"/>
      <c r="K238" s="177"/>
      <c r="L238" s="178"/>
      <c r="M238" s="177"/>
      <c r="N238" s="177"/>
      <c r="O238" s="177"/>
      <c r="P238" s="177"/>
      <c r="Q238" s="177"/>
      <c r="R238" s="177"/>
      <c r="S238" s="177"/>
      <c r="T238" s="177"/>
      <c r="U238" s="177"/>
      <c r="V238" s="177"/>
      <c r="W238" s="177"/>
      <c r="X238" s="177"/>
      <c r="Y238" s="177"/>
      <c r="Z238" s="177"/>
      <c r="AA238" s="177"/>
      <c r="AB238" s="177"/>
      <c r="AC238" s="177"/>
    </row>
    <row r="239" spans="1:29" ht="13">
      <c r="A239" s="161"/>
      <c r="B239" s="161"/>
      <c r="C239" s="177"/>
      <c r="D239" s="177"/>
      <c r="E239" s="177"/>
      <c r="F239" s="205"/>
      <c r="G239" s="210"/>
      <c r="H239" s="205"/>
      <c r="I239" s="177"/>
      <c r="J239" s="177"/>
      <c r="K239" s="177"/>
      <c r="L239" s="178"/>
      <c r="M239" s="177"/>
      <c r="N239" s="177"/>
      <c r="O239" s="177"/>
      <c r="P239" s="177"/>
      <c r="Q239" s="177"/>
      <c r="R239" s="177"/>
      <c r="S239" s="177"/>
      <c r="T239" s="177"/>
      <c r="U239" s="177"/>
      <c r="V239" s="177"/>
      <c r="W239" s="177"/>
      <c r="X239" s="177"/>
      <c r="Y239" s="177"/>
      <c r="Z239" s="177"/>
      <c r="AA239" s="177"/>
      <c r="AB239" s="177"/>
      <c r="AC239" s="177"/>
    </row>
    <row r="240" spans="1:29" ht="13">
      <c r="A240" s="161"/>
      <c r="B240" s="161"/>
      <c r="C240" s="177"/>
      <c r="D240" s="177"/>
      <c r="E240" s="177"/>
      <c r="F240" s="205"/>
      <c r="G240" s="210"/>
      <c r="H240" s="205"/>
      <c r="I240" s="177"/>
      <c r="J240" s="177"/>
      <c r="K240" s="177"/>
      <c r="L240" s="178"/>
      <c r="M240" s="177"/>
      <c r="N240" s="177"/>
      <c r="O240" s="177"/>
      <c r="P240" s="177"/>
      <c r="Q240" s="177"/>
      <c r="R240" s="177"/>
      <c r="S240" s="177"/>
      <c r="T240" s="177"/>
      <c r="U240" s="177"/>
      <c r="V240" s="177"/>
      <c r="W240" s="177"/>
      <c r="X240" s="177"/>
      <c r="Y240" s="177"/>
      <c r="Z240" s="177"/>
      <c r="AA240" s="177"/>
      <c r="AB240" s="177"/>
      <c r="AC240" s="177"/>
    </row>
    <row r="241" spans="1:29" ht="13">
      <c r="A241" s="161"/>
      <c r="B241" s="161"/>
      <c r="C241" s="177"/>
      <c r="D241" s="177"/>
      <c r="E241" s="177"/>
      <c r="F241" s="205"/>
      <c r="G241" s="210"/>
      <c r="H241" s="205"/>
      <c r="I241" s="177"/>
      <c r="J241" s="177"/>
      <c r="K241" s="177"/>
      <c r="L241" s="178"/>
      <c r="M241" s="177"/>
      <c r="N241" s="177"/>
      <c r="O241" s="177"/>
      <c r="P241" s="177"/>
      <c r="Q241" s="177"/>
      <c r="R241" s="177"/>
      <c r="S241" s="177"/>
      <c r="T241" s="177"/>
      <c r="U241" s="177"/>
      <c r="V241" s="177"/>
      <c r="W241" s="177"/>
      <c r="X241" s="177"/>
      <c r="Y241" s="177"/>
      <c r="Z241" s="177"/>
      <c r="AA241" s="177"/>
      <c r="AB241" s="177"/>
      <c r="AC241" s="177"/>
    </row>
    <row r="242" spans="1:29" ht="13">
      <c r="A242" s="161"/>
      <c r="B242" s="161"/>
      <c r="C242" s="177"/>
      <c r="D242" s="177"/>
      <c r="E242" s="177"/>
      <c r="F242" s="205"/>
      <c r="G242" s="210"/>
      <c r="H242" s="205"/>
      <c r="I242" s="177"/>
      <c r="J242" s="177"/>
      <c r="K242" s="177"/>
      <c r="L242" s="178"/>
      <c r="M242" s="177"/>
      <c r="N242" s="177"/>
      <c r="O242" s="177"/>
      <c r="P242" s="177"/>
      <c r="Q242" s="177"/>
      <c r="R242" s="177"/>
      <c r="S242" s="177"/>
      <c r="T242" s="177"/>
      <c r="U242" s="177"/>
      <c r="V242" s="177"/>
      <c r="W242" s="177"/>
      <c r="X242" s="177"/>
      <c r="Y242" s="177"/>
      <c r="Z242" s="177"/>
      <c r="AA242" s="177"/>
      <c r="AB242" s="177"/>
      <c r="AC242" s="177"/>
    </row>
    <row r="243" spans="1:29" ht="13">
      <c r="A243" s="161"/>
      <c r="B243" s="161"/>
      <c r="C243" s="177"/>
      <c r="D243" s="177"/>
      <c r="E243" s="177"/>
      <c r="F243" s="205"/>
      <c r="G243" s="210"/>
      <c r="H243" s="205"/>
      <c r="I243" s="177"/>
      <c r="J243" s="177"/>
      <c r="K243" s="177"/>
      <c r="L243" s="178"/>
      <c r="M243" s="177"/>
      <c r="N243" s="177"/>
      <c r="O243" s="177"/>
      <c r="P243" s="177"/>
      <c r="Q243" s="177"/>
      <c r="R243" s="177"/>
      <c r="S243" s="177"/>
      <c r="T243" s="177"/>
      <c r="U243" s="177"/>
      <c r="V243" s="177"/>
      <c r="W243" s="177"/>
      <c r="X243" s="177"/>
      <c r="Y243" s="177"/>
      <c r="Z243" s="177"/>
      <c r="AA243" s="177"/>
      <c r="AB243" s="177"/>
      <c r="AC243" s="177"/>
    </row>
    <row r="244" spans="1:29" ht="13">
      <c r="A244" s="161"/>
      <c r="B244" s="161"/>
      <c r="C244" s="177"/>
      <c r="D244" s="177"/>
      <c r="E244" s="177"/>
      <c r="F244" s="205"/>
      <c r="G244" s="210"/>
      <c r="H244" s="205"/>
      <c r="I244" s="177"/>
      <c r="J244" s="177"/>
      <c r="K244" s="177"/>
      <c r="L244" s="178"/>
      <c r="M244" s="177"/>
      <c r="N244" s="177"/>
      <c r="O244" s="177"/>
      <c r="P244" s="177"/>
      <c r="Q244" s="177"/>
      <c r="R244" s="177"/>
      <c r="S244" s="177"/>
      <c r="T244" s="177"/>
      <c r="U244" s="177"/>
      <c r="V244" s="177"/>
      <c r="W244" s="177"/>
      <c r="X244" s="177"/>
      <c r="Y244" s="177"/>
      <c r="Z244" s="177"/>
      <c r="AA244" s="177"/>
      <c r="AB244" s="177"/>
      <c r="AC244" s="177"/>
    </row>
    <row r="245" spans="1:29" ht="13">
      <c r="A245" s="161"/>
      <c r="B245" s="161"/>
      <c r="C245" s="177"/>
      <c r="D245" s="177"/>
      <c r="E245" s="177"/>
      <c r="F245" s="205"/>
      <c r="G245" s="210"/>
      <c r="H245" s="205"/>
      <c r="I245" s="177"/>
      <c r="J245" s="177"/>
      <c r="K245" s="177"/>
      <c r="L245" s="178"/>
      <c r="M245" s="177"/>
      <c r="N245" s="177"/>
      <c r="O245" s="177"/>
      <c r="P245" s="177"/>
      <c r="Q245" s="177"/>
      <c r="R245" s="177"/>
      <c r="S245" s="177"/>
      <c r="T245" s="177"/>
      <c r="U245" s="177"/>
      <c r="V245" s="177"/>
      <c r="W245" s="177"/>
      <c r="X245" s="177"/>
      <c r="Y245" s="177"/>
      <c r="Z245" s="177"/>
      <c r="AA245" s="177"/>
      <c r="AB245" s="177"/>
      <c r="AC245" s="177"/>
    </row>
    <row r="246" spans="1:29" ht="13">
      <c r="A246" s="161"/>
      <c r="B246" s="161"/>
      <c r="C246" s="177"/>
      <c r="D246" s="177"/>
      <c r="E246" s="177"/>
      <c r="F246" s="205"/>
      <c r="G246" s="210"/>
      <c r="H246" s="205"/>
      <c r="I246" s="177"/>
      <c r="J246" s="177"/>
      <c r="K246" s="177"/>
      <c r="L246" s="178"/>
      <c r="M246" s="177"/>
      <c r="N246" s="177"/>
      <c r="O246" s="177"/>
      <c r="P246" s="177"/>
      <c r="Q246" s="177"/>
      <c r="R246" s="177"/>
      <c r="S246" s="177"/>
      <c r="T246" s="177"/>
      <c r="U246" s="177"/>
      <c r="V246" s="177"/>
      <c r="W246" s="177"/>
      <c r="X246" s="177"/>
      <c r="Y246" s="177"/>
      <c r="Z246" s="177"/>
      <c r="AA246" s="177"/>
      <c r="AB246" s="177"/>
      <c r="AC246" s="177"/>
    </row>
    <row r="247" spans="1:29" ht="13">
      <c r="A247" s="161"/>
      <c r="B247" s="161"/>
      <c r="C247" s="177"/>
      <c r="D247" s="177"/>
      <c r="E247" s="177"/>
      <c r="F247" s="205"/>
      <c r="G247" s="210"/>
      <c r="H247" s="205"/>
      <c r="I247" s="177"/>
      <c r="J247" s="177"/>
      <c r="K247" s="177"/>
      <c r="L247" s="178"/>
      <c r="M247" s="177"/>
      <c r="N247" s="177"/>
      <c r="O247" s="177"/>
      <c r="P247" s="177"/>
      <c r="Q247" s="177"/>
      <c r="R247" s="177"/>
      <c r="S247" s="177"/>
      <c r="T247" s="177"/>
      <c r="U247" s="177"/>
      <c r="V247" s="177"/>
      <c r="W247" s="177"/>
      <c r="X247" s="177"/>
      <c r="Y247" s="177"/>
      <c r="Z247" s="177"/>
      <c r="AA247" s="177"/>
      <c r="AB247" s="177"/>
      <c r="AC247" s="177"/>
    </row>
    <row r="248" spans="1:29" ht="13">
      <c r="A248" s="161"/>
      <c r="B248" s="161"/>
      <c r="C248" s="177"/>
      <c r="D248" s="177"/>
      <c r="E248" s="177"/>
      <c r="F248" s="205"/>
      <c r="G248" s="210"/>
      <c r="H248" s="205"/>
      <c r="I248" s="177"/>
      <c r="J248" s="177"/>
      <c r="K248" s="177"/>
      <c r="L248" s="178"/>
      <c r="M248" s="177"/>
      <c r="N248" s="177"/>
      <c r="O248" s="177"/>
      <c r="P248" s="177"/>
      <c r="Q248" s="177"/>
      <c r="R248" s="177"/>
      <c r="S248" s="177"/>
      <c r="T248" s="177"/>
      <c r="U248" s="177"/>
      <c r="V248" s="177"/>
      <c r="W248" s="177"/>
      <c r="X248" s="177"/>
      <c r="Y248" s="177"/>
      <c r="Z248" s="177"/>
      <c r="AA248" s="177"/>
      <c r="AB248" s="177"/>
      <c r="AC248" s="177"/>
    </row>
    <row r="249" spans="1:29" ht="13">
      <c r="A249" s="161"/>
      <c r="B249" s="161"/>
      <c r="C249" s="177"/>
      <c r="D249" s="177"/>
      <c r="E249" s="177"/>
      <c r="F249" s="177"/>
      <c r="G249" s="206"/>
      <c r="H249" s="177"/>
      <c r="I249" s="177"/>
      <c r="J249" s="177"/>
      <c r="K249" s="177"/>
      <c r="L249" s="178"/>
      <c r="M249" s="177"/>
      <c r="N249" s="177"/>
      <c r="O249" s="177"/>
      <c r="P249" s="177"/>
      <c r="Q249" s="177"/>
      <c r="R249" s="177"/>
      <c r="S249" s="177"/>
      <c r="T249" s="177"/>
      <c r="U249" s="177"/>
      <c r="V249" s="177"/>
      <c r="W249" s="177"/>
      <c r="X249" s="177"/>
      <c r="Y249" s="177"/>
      <c r="Z249" s="177"/>
      <c r="AA249" s="177"/>
      <c r="AB249" s="177"/>
      <c r="AC249" s="177"/>
    </row>
    <row r="250" spans="1:29" ht="13">
      <c r="A250" s="161"/>
      <c r="B250" s="161"/>
      <c r="C250" s="177"/>
      <c r="D250" s="177"/>
      <c r="E250" s="177"/>
      <c r="F250" s="177"/>
      <c r="G250" s="206"/>
      <c r="H250" s="177"/>
      <c r="I250" s="177"/>
      <c r="J250" s="177"/>
      <c r="K250" s="177"/>
      <c r="L250" s="178"/>
      <c r="M250" s="177"/>
      <c r="N250" s="177"/>
      <c r="O250" s="177"/>
      <c r="P250" s="177"/>
      <c r="Q250" s="177"/>
      <c r="R250" s="177"/>
      <c r="S250" s="177"/>
      <c r="T250" s="177"/>
      <c r="U250" s="177"/>
      <c r="V250" s="177"/>
      <c r="W250" s="177"/>
      <c r="X250" s="177"/>
      <c r="Y250" s="177"/>
      <c r="Z250" s="177"/>
      <c r="AA250" s="177"/>
      <c r="AB250" s="177"/>
      <c r="AC250" s="177"/>
    </row>
    <row r="251" spans="1:29" ht="13">
      <c r="A251" s="161"/>
      <c r="B251" s="161"/>
      <c r="C251" s="177"/>
      <c r="D251" s="177"/>
      <c r="E251" s="177"/>
      <c r="F251" s="177"/>
      <c r="G251" s="206"/>
      <c r="H251" s="177"/>
      <c r="I251" s="177"/>
      <c r="J251" s="177"/>
      <c r="K251" s="177"/>
      <c r="L251" s="178"/>
      <c r="M251" s="177"/>
      <c r="N251" s="177"/>
      <c r="O251" s="177"/>
      <c r="P251" s="177"/>
      <c r="Q251" s="177"/>
      <c r="R251" s="177"/>
      <c r="S251" s="177"/>
      <c r="T251" s="177"/>
      <c r="U251" s="177"/>
      <c r="V251" s="177"/>
      <c r="W251" s="177"/>
      <c r="X251" s="177"/>
      <c r="Y251" s="177"/>
      <c r="Z251" s="177"/>
      <c r="AA251" s="177"/>
      <c r="AB251" s="177"/>
      <c r="AC251" s="177"/>
    </row>
    <row r="252" spans="1:29" ht="13">
      <c r="A252" s="161"/>
      <c r="B252" s="161"/>
      <c r="C252" s="177"/>
      <c r="D252" s="177"/>
      <c r="E252" s="177"/>
      <c r="F252" s="177"/>
      <c r="G252" s="206"/>
      <c r="H252" s="177"/>
      <c r="I252" s="177"/>
      <c r="J252" s="177"/>
      <c r="K252" s="177"/>
      <c r="L252" s="178"/>
      <c r="M252" s="177"/>
      <c r="N252" s="177"/>
      <c r="O252" s="177"/>
      <c r="P252" s="177"/>
      <c r="Q252" s="177"/>
      <c r="R252" s="177"/>
      <c r="S252" s="177"/>
      <c r="T252" s="177"/>
      <c r="U252" s="177"/>
      <c r="V252" s="177"/>
      <c r="W252" s="177"/>
      <c r="X252" s="177"/>
      <c r="Y252" s="177"/>
      <c r="Z252" s="177"/>
      <c r="AA252" s="177"/>
      <c r="AB252" s="177"/>
      <c r="AC252" s="177"/>
    </row>
    <row r="253" spans="1:29" ht="13">
      <c r="A253" s="161"/>
      <c r="B253" s="161"/>
      <c r="C253" s="177"/>
      <c r="D253" s="177"/>
      <c r="E253" s="177"/>
      <c r="F253" s="177"/>
      <c r="G253" s="206"/>
      <c r="H253" s="177"/>
      <c r="I253" s="177"/>
      <c r="J253" s="177"/>
      <c r="K253" s="177"/>
      <c r="L253" s="178"/>
      <c r="M253" s="177"/>
      <c r="N253" s="177"/>
      <c r="O253" s="177"/>
      <c r="P253" s="177"/>
      <c r="Q253" s="177"/>
      <c r="R253" s="177"/>
      <c r="S253" s="177"/>
      <c r="T253" s="177"/>
      <c r="U253" s="177"/>
      <c r="V253" s="177"/>
      <c r="W253" s="177"/>
      <c r="X253" s="177"/>
      <c r="Y253" s="177"/>
      <c r="Z253" s="177"/>
      <c r="AA253" s="177"/>
      <c r="AB253" s="177"/>
      <c r="AC253" s="177"/>
    </row>
    <row r="254" spans="1:29" ht="13">
      <c r="A254" s="161"/>
      <c r="B254" s="161"/>
      <c r="C254" s="177"/>
      <c r="D254" s="177"/>
      <c r="E254" s="177"/>
      <c r="F254" s="177"/>
      <c r="G254" s="206"/>
      <c r="H254" s="177"/>
      <c r="I254" s="177"/>
      <c r="J254" s="177"/>
      <c r="K254" s="177"/>
      <c r="L254" s="178"/>
      <c r="M254" s="177"/>
      <c r="N254" s="177"/>
      <c r="O254" s="177"/>
      <c r="P254" s="177"/>
      <c r="Q254" s="177"/>
      <c r="R254" s="177"/>
      <c r="S254" s="177"/>
      <c r="T254" s="177"/>
      <c r="U254" s="177"/>
      <c r="V254" s="177"/>
      <c r="W254" s="177"/>
      <c r="X254" s="177"/>
      <c r="Y254" s="177"/>
      <c r="Z254" s="177"/>
      <c r="AA254" s="177"/>
      <c r="AB254" s="177"/>
      <c r="AC254" s="177"/>
    </row>
    <row r="255" spans="1:29" ht="13">
      <c r="A255" s="161"/>
      <c r="B255" s="161"/>
      <c r="C255" s="177"/>
      <c r="D255" s="177"/>
      <c r="E255" s="177"/>
      <c r="F255" s="177"/>
      <c r="G255" s="206"/>
      <c r="H255" s="177"/>
      <c r="I255" s="177"/>
      <c r="J255" s="177"/>
      <c r="K255" s="177"/>
      <c r="L255" s="178"/>
      <c r="M255" s="177"/>
      <c r="N255" s="177"/>
      <c r="O255" s="177"/>
      <c r="P255" s="177"/>
      <c r="Q255" s="177"/>
      <c r="R255" s="177"/>
      <c r="S255" s="177"/>
      <c r="T255" s="177"/>
      <c r="U255" s="177"/>
      <c r="V255" s="177"/>
      <c r="W255" s="177"/>
      <c r="X255" s="177"/>
      <c r="Y255" s="177"/>
      <c r="Z255" s="177"/>
      <c r="AA255" s="177"/>
      <c r="AB255" s="177"/>
      <c r="AC255" s="177"/>
    </row>
    <row r="256" spans="1:29" ht="13">
      <c r="A256" s="161"/>
      <c r="B256" s="161"/>
      <c r="C256" s="177"/>
      <c r="D256" s="177"/>
      <c r="E256" s="177"/>
      <c r="F256" s="177"/>
      <c r="G256" s="206"/>
      <c r="H256" s="177"/>
      <c r="I256" s="177"/>
      <c r="J256" s="177"/>
      <c r="K256" s="177"/>
      <c r="L256" s="178"/>
      <c r="M256" s="177"/>
      <c r="N256" s="177"/>
      <c r="O256" s="177"/>
      <c r="P256" s="177"/>
      <c r="Q256" s="177"/>
      <c r="R256" s="177"/>
      <c r="S256" s="177"/>
      <c r="T256" s="177"/>
      <c r="U256" s="177"/>
      <c r="V256" s="177"/>
      <c r="W256" s="177"/>
      <c r="X256" s="177"/>
      <c r="Y256" s="177"/>
      <c r="Z256" s="177"/>
      <c r="AA256" s="177"/>
      <c r="AB256" s="177"/>
      <c r="AC256" s="177"/>
    </row>
    <row r="257" spans="1:29" ht="13">
      <c r="A257" s="161"/>
      <c r="B257" s="161"/>
      <c r="C257" s="177"/>
      <c r="D257" s="177"/>
      <c r="E257" s="177"/>
      <c r="F257" s="177"/>
      <c r="G257" s="206"/>
      <c r="H257" s="177"/>
      <c r="I257" s="177"/>
      <c r="J257" s="177"/>
      <c r="K257" s="177"/>
      <c r="L257" s="178"/>
      <c r="M257" s="177"/>
      <c r="N257" s="177"/>
      <c r="O257" s="177"/>
      <c r="P257" s="177"/>
      <c r="Q257" s="177"/>
      <c r="R257" s="177"/>
      <c r="S257" s="177"/>
      <c r="T257" s="177"/>
      <c r="U257" s="177"/>
      <c r="V257" s="177"/>
      <c r="W257" s="177"/>
      <c r="X257" s="177"/>
      <c r="Y257" s="177"/>
      <c r="Z257" s="177"/>
      <c r="AA257" s="177"/>
      <c r="AB257" s="177"/>
      <c r="AC257" s="177"/>
    </row>
    <row r="258" spans="1:29" ht="13">
      <c r="A258" s="161"/>
      <c r="B258" s="161"/>
      <c r="C258" s="177"/>
      <c r="D258" s="177"/>
      <c r="E258" s="177"/>
      <c r="F258" s="177"/>
      <c r="G258" s="206"/>
      <c r="H258" s="177"/>
      <c r="I258" s="177"/>
      <c r="J258" s="177"/>
      <c r="K258" s="177"/>
      <c r="L258" s="178"/>
      <c r="M258" s="177"/>
      <c r="N258" s="177"/>
      <c r="O258" s="177"/>
      <c r="P258" s="177"/>
      <c r="Q258" s="177"/>
      <c r="R258" s="177"/>
      <c r="S258" s="177"/>
      <c r="T258" s="177"/>
      <c r="U258" s="177"/>
      <c r="V258" s="177"/>
      <c r="W258" s="177"/>
      <c r="X258" s="177"/>
      <c r="Y258" s="177"/>
      <c r="Z258" s="177"/>
      <c r="AA258" s="177"/>
      <c r="AB258" s="177"/>
      <c r="AC258" s="177"/>
    </row>
    <row r="259" spans="1:29" ht="13">
      <c r="A259" s="161"/>
      <c r="B259" s="161"/>
      <c r="C259" s="177"/>
      <c r="D259" s="177"/>
      <c r="E259" s="177"/>
      <c r="F259" s="177"/>
      <c r="G259" s="206"/>
      <c r="H259" s="177"/>
      <c r="I259" s="177"/>
      <c r="J259" s="177"/>
      <c r="K259" s="177"/>
      <c r="L259" s="178"/>
      <c r="M259" s="177"/>
      <c r="N259" s="177"/>
      <c r="O259" s="177"/>
      <c r="P259" s="177"/>
      <c r="Q259" s="177"/>
      <c r="R259" s="177"/>
      <c r="S259" s="177"/>
      <c r="T259" s="177"/>
      <c r="U259" s="177"/>
      <c r="V259" s="177"/>
      <c r="W259" s="177"/>
      <c r="X259" s="177"/>
      <c r="Y259" s="177"/>
      <c r="Z259" s="177"/>
      <c r="AA259" s="177"/>
      <c r="AB259" s="177"/>
      <c r="AC259" s="177"/>
    </row>
    <row r="260" spans="1:29" ht="13">
      <c r="A260" s="161"/>
      <c r="B260" s="161"/>
      <c r="C260" s="177"/>
      <c r="D260" s="177"/>
      <c r="E260" s="177"/>
      <c r="F260" s="177"/>
      <c r="G260" s="206"/>
      <c r="H260" s="177"/>
      <c r="I260" s="177"/>
      <c r="J260" s="177"/>
      <c r="K260" s="177"/>
      <c r="L260" s="178"/>
      <c r="M260" s="177"/>
      <c r="N260" s="177"/>
      <c r="O260" s="177"/>
      <c r="P260" s="177"/>
      <c r="Q260" s="177"/>
      <c r="R260" s="177"/>
      <c r="S260" s="177"/>
      <c r="T260" s="177"/>
      <c r="U260" s="177"/>
      <c r="V260" s="177"/>
      <c r="W260" s="177"/>
      <c r="X260" s="177"/>
      <c r="Y260" s="177"/>
      <c r="Z260" s="177"/>
      <c r="AA260" s="177"/>
      <c r="AB260" s="177"/>
      <c r="AC260" s="177"/>
    </row>
    <row r="261" spans="1:29" ht="13">
      <c r="A261" s="161"/>
      <c r="B261" s="161"/>
      <c r="C261" s="177"/>
      <c r="D261" s="177"/>
      <c r="E261" s="177"/>
      <c r="F261" s="177"/>
      <c r="G261" s="206"/>
      <c r="H261" s="177"/>
      <c r="I261" s="177"/>
      <c r="J261" s="177"/>
      <c r="K261" s="177"/>
      <c r="L261" s="178"/>
      <c r="M261" s="177"/>
      <c r="N261" s="177"/>
      <c r="O261" s="177"/>
      <c r="P261" s="177"/>
      <c r="Q261" s="177"/>
      <c r="R261" s="177"/>
      <c r="S261" s="177"/>
      <c r="T261" s="177"/>
      <c r="U261" s="177"/>
      <c r="V261" s="177"/>
      <c r="W261" s="177"/>
      <c r="X261" s="177"/>
      <c r="Y261" s="177"/>
      <c r="Z261" s="177"/>
      <c r="AA261" s="177"/>
      <c r="AB261" s="177"/>
      <c r="AC261" s="177"/>
    </row>
    <row r="262" spans="1:29" ht="13">
      <c r="A262" s="161"/>
      <c r="B262" s="161"/>
      <c r="C262" s="177"/>
      <c r="D262" s="177"/>
      <c r="E262" s="177"/>
      <c r="F262" s="177"/>
      <c r="G262" s="206"/>
      <c r="H262" s="177"/>
      <c r="I262" s="177"/>
      <c r="J262" s="177"/>
      <c r="K262" s="177"/>
      <c r="L262" s="178"/>
      <c r="M262" s="177"/>
      <c r="N262" s="177"/>
      <c r="O262" s="177"/>
      <c r="P262" s="177"/>
      <c r="Q262" s="177"/>
      <c r="R262" s="177"/>
      <c r="S262" s="177"/>
      <c r="T262" s="177"/>
      <c r="U262" s="177"/>
      <c r="V262" s="177"/>
      <c r="W262" s="177"/>
      <c r="X262" s="177"/>
      <c r="Y262" s="177"/>
      <c r="Z262" s="177"/>
      <c r="AA262" s="177"/>
      <c r="AB262" s="177"/>
      <c r="AC262" s="177"/>
    </row>
    <row r="263" spans="1:29" ht="13">
      <c r="A263" s="161"/>
      <c r="B263" s="161"/>
      <c r="C263" s="177"/>
      <c r="D263" s="177"/>
      <c r="E263" s="177"/>
      <c r="F263" s="177"/>
      <c r="G263" s="206"/>
      <c r="H263" s="177"/>
      <c r="I263" s="177"/>
      <c r="J263" s="177"/>
      <c r="K263" s="177"/>
      <c r="L263" s="178"/>
      <c r="M263" s="177"/>
      <c r="N263" s="177"/>
      <c r="O263" s="177"/>
      <c r="P263" s="177"/>
      <c r="Q263" s="177"/>
      <c r="R263" s="177"/>
      <c r="S263" s="177"/>
      <c r="T263" s="177"/>
      <c r="U263" s="177"/>
      <c r="V263" s="177"/>
      <c r="W263" s="177"/>
      <c r="X263" s="177"/>
      <c r="Y263" s="177"/>
      <c r="Z263" s="177"/>
      <c r="AA263" s="177"/>
      <c r="AB263" s="177"/>
      <c r="AC263" s="177"/>
    </row>
    <row r="264" spans="1:29" ht="13">
      <c r="A264" s="161"/>
      <c r="B264" s="161"/>
      <c r="C264" s="177"/>
      <c r="D264" s="177"/>
      <c r="E264" s="177"/>
      <c r="F264" s="177"/>
      <c r="G264" s="206"/>
      <c r="H264" s="177"/>
      <c r="I264" s="177"/>
      <c r="J264" s="177"/>
      <c r="K264" s="177"/>
      <c r="L264" s="178"/>
      <c r="M264" s="177"/>
      <c r="N264" s="177"/>
      <c r="O264" s="177"/>
      <c r="P264" s="177"/>
      <c r="Q264" s="177"/>
      <c r="R264" s="177"/>
      <c r="S264" s="177"/>
      <c r="T264" s="177"/>
      <c r="U264" s="177"/>
      <c r="V264" s="177"/>
      <c r="W264" s="177"/>
      <c r="X264" s="177"/>
      <c r="Y264" s="177"/>
      <c r="Z264" s="177"/>
      <c r="AA264" s="177"/>
      <c r="AB264" s="177"/>
      <c r="AC264" s="177"/>
    </row>
    <row r="265" spans="1:29" ht="13">
      <c r="A265" s="161"/>
      <c r="B265" s="161"/>
      <c r="C265" s="177"/>
      <c r="D265" s="177"/>
      <c r="E265" s="177"/>
      <c r="F265" s="177"/>
      <c r="G265" s="206"/>
      <c r="H265" s="177"/>
      <c r="I265" s="177"/>
      <c r="J265" s="177"/>
      <c r="K265" s="177"/>
      <c r="L265" s="178"/>
      <c r="M265" s="177"/>
      <c r="N265" s="177"/>
      <c r="O265" s="177"/>
      <c r="P265" s="177"/>
      <c r="Q265" s="177"/>
      <c r="R265" s="177"/>
      <c r="S265" s="177"/>
      <c r="T265" s="177"/>
      <c r="U265" s="177"/>
      <c r="V265" s="177"/>
      <c r="W265" s="177"/>
      <c r="X265" s="177"/>
      <c r="Y265" s="177"/>
      <c r="Z265" s="177"/>
      <c r="AA265" s="177"/>
      <c r="AB265" s="177"/>
      <c r="AC265" s="177"/>
    </row>
    <row r="266" spans="1:29" ht="13">
      <c r="A266" s="161"/>
      <c r="B266" s="161"/>
      <c r="C266" s="177"/>
      <c r="D266" s="177"/>
      <c r="E266" s="177"/>
      <c r="F266" s="177"/>
      <c r="G266" s="206"/>
      <c r="H266" s="177"/>
      <c r="I266" s="177"/>
      <c r="J266" s="177"/>
      <c r="K266" s="177"/>
      <c r="L266" s="178"/>
      <c r="M266" s="177"/>
      <c r="N266" s="177"/>
      <c r="O266" s="177"/>
      <c r="P266" s="177"/>
      <c r="Q266" s="177"/>
      <c r="R266" s="177"/>
      <c r="S266" s="177"/>
      <c r="T266" s="177"/>
      <c r="U266" s="177"/>
      <c r="V266" s="177"/>
      <c r="W266" s="177"/>
      <c r="X266" s="177"/>
      <c r="Y266" s="177"/>
      <c r="Z266" s="177"/>
      <c r="AA266" s="177"/>
      <c r="AB266" s="177"/>
      <c r="AC266" s="177"/>
    </row>
    <row r="267" spans="1:29" ht="13">
      <c r="A267" s="161"/>
      <c r="B267" s="161"/>
      <c r="C267" s="177"/>
      <c r="D267" s="177"/>
      <c r="E267" s="177"/>
      <c r="F267" s="177"/>
      <c r="G267" s="206"/>
      <c r="H267" s="177"/>
      <c r="I267" s="177"/>
      <c r="J267" s="177"/>
      <c r="K267" s="177"/>
      <c r="L267" s="178"/>
      <c r="M267" s="177"/>
      <c r="N267" s="177"/>
      <c r="O267" s="177"/>
      <c r="P267" s="177"/>
      <c r="Q267" s="177"/>
      <c r="R267" s="177"/>
      <c r="S267" s="177"/>
      <c r="T267" s="177"/>
      <c r="U267" s="177"/>
      <c r="V267" s="177"/>
      <c r="W267" s="177"/>
      <c r="X267" s="177"/>
      <c r="Y267" s="177"/>
      <c r="Z267" s="177"/>
      <c r="AA267" s="177"/>
      <c r="AB267" s="177"/>
      <c r="AC267" s="177"/>
    </row>
    <row r="268" spans="1:29" ht="13">
      <c r="A268" s="161"/>
      <c r="B268" s="161"/>
      <c r="C268" s="177"/>
      <c r="D268" s="177"/>
      <c r="E268" s="177"/>
      <c r="F268" s="177"/>
      <c r="G268" s="206"/>
      <c r="H268" s="177"/>
      <c r="I268" s="177"/>
      <c r="J268" s="177"/>
      <c r="K268" s="177"/>
      <c r="L268" s="178"/>
      <c r="M268" s="177"/>
      <c r="N268" s="177"/>
      <c r="O268" s="177"/>
      <c r="P268" s="177"/>
      <c r="Q268" s="177"/>
      <c r="R268" s="177"/>
      <c r="S268" s="177"/>
      <c r="T268" s="177"/>
      <c r="U268" s="177"/>
      <c r="V268" s="177"/>
      <c r="W268" s="177"/>
      <c r="X268" s="177"/>
      <c r="Y268" s="177"/>
      <c r="Z268" s="177"/>
      <c r="AA268" s="177"/>
      <c r="AB268" s="177"/>
      <c r="AC268" s="177"/>
    </row>
    <row r="269" spans="1:29" ht="13">
      <c r="A269" s="161"/>
      <c r="B269" s="161"/>
      <c r="C269" s="177"/>
      <c r="D269" s="177"/>
      <c r="E269" s="177"/>
      <c r="F269" s="177"/>
      <c r="G269" s="206"/>
      <c r="H269" s="177"/>
      <c r="I269" s="177"/>
      <c r="J269" s="177"/>
      <c r="K269" s="177"/>
      <c r="L269" s="178"/>
      <c r="M269" s="177"/>
      <c r="N269" s="177"/>
      <c r="O269" s="177"/>
      <c r="P269" s="177"/>
      <c r="Q269" s="177"/>
      <c r="R269" s="177"/>
      <c r="S269" s="177"/>
      <c r="T269" s="177"/>
      <c r="U269" s="177"/>
      <c r="V269" s="177"/>
      <c r="W269" s="177"/>
      <c r="X269" s="177"/>
      <c r="Y269" s="177"/>
      <c r="Z269" s="177"/>
      <c r="AA269" s="177"/>
      <c r="AB269" s="177"/>
      <c r="AC269" s="177"/>
    </row>
    <row r="270" spans="1:29" ht="13">
      <c r="A270" s="161"/>
      <c r="B270" s="161"/>
      <c r="C270" s="177"/>
      <c r="D270" s="177"/>
      <c r="E270" s="177"/>
      <c r="F270" s="177"/>
      <c r="G270" s="206"/>
      <c r="H270" s="177"/>
      <c r="I270" s="177"/>
      <c r="J270" s="177"/>
      <c r="K270" s="177"/>
      <c r="L270" s="178"/>
      <c r="M270" s="177"/>
      <c r="N270" s="177"/>
      <c r="O270" s="177"/>
      <c r="P270" s="177"/>
      <c r="Q270" s="177"/>
      <c r="R270" s="177"/>
      <c r="S270" s="177"/>
      <c r="T270" s="177"/>
      <c r="U270" s="177"/>
      <c r="V270" s="177"/>
      <c r="W270" s="177"/>
      <c r="X270" s="177"/>
      <c r="Y270" s="177"/>
      <c r="Z270" s="177"/>
      <c r="AA270" s="177"/>
      <c r="AB270" s="177"/>
      <c r="AC270" s="177"/>
    </row>
    <row r="271" spans="1:29" ht="13">
      <c r="A271" s="161"/>
      <c r="B271" s="161"/>
      <c r="C271" s="177"/>
      <c r="D271" s="177"/>
      <c r="E271" s="177"/>
      <c r="F271" s="177"/>
      <c r="G271" s="206"/>
      <c r="H271" s="177"/>
      <c r="I271" s="177"/>
      <c r="J271" s="177"/>
      <c r="K271" s="177"/>
      <c r="L271" s="178"/>
      <c r="M271" s="177"/>
      <c r="N271" s="177"/>
      <c r="O271" s="177"/>
      <c r="P271" s="177"/>
      <c r="Q271" s="177"/>
      <c r="R271" s="177"/>
      <c r="S271" s="177"/>
      <c r="T271" s="177"/>
      <c r="U271" s="177"/>
      <c r="V271" s="177"/>
      <c r="W271" s="177"/>
      <c r="X271" s="177"/>
      <c r="Y271" s="177"/>
      <c r="Z271" s="177"/>
      <c r="AA271" s="177"/>
      <c r="AB271" s="177"/>
      <c r="AC271" s="177"/>
    </row>
    <row r="272" spans="1:29" ht="13">
      <c r="A272" s="161"/>
      <c r="B272" s="161"/>
      <c r="C272" s="177"/>
      <c r="D272" s="177"/>
      <c r="E272" s="177"/>
      <c r="F272" s="177"/>
      <c r="G272" s="206"/>
      <c r="H272" s="177"/>
      <c r="I272" s="177"/>
      <c r="J272" s="177"/>
      <c r="K272" s="177"/>
      <c r="L272" s="178"/>
      <c r="M272" s="177"/>
      <c r="N272" s="177"/>
      <c r="O272" s="177"/>
      <c r="P272" s="177"/>
      <c r="Q272" s="177"/>
      <c r="R272" s="177"/>
      <c r="S272" s="177"/>
      <c r="T272" s="177"/>
      <c r="U272" s="177"/>
      <c r="V272" s="177"/>
      <c r="W272" s="177"/>
      <c r="X272" s="177"/>
      <c r="Y272" s="177"/>
      <c r="Z272" s="177"/>
      <c r="AA272" s="177"/>
      <c r="AB272" s="177"/>
      <c r="AC272" s="177"/>
    </row>
    <row r="273" spans="1:29" ht="13">
      <c r="A273" s="161"/>
      <c r="B273" s="161"/>
      <c r="C273" s="177"/>
      <c r="D273" s="177"/>
      <c r="E273" s="177"/>
      <c r="F273" s="177"/>
      <c r="G273" s="206"/>
      <c r="H273" s="177"/>
      <c r="I273" s="177"/>
      <c r="J273" s="177"/>
      <c r="K273" s="177"/>
      <c r="L273" s="178"/>
      <c r="M273" s="177"/>
      <c r="N273" s="177"/>
      <c r="O273" s="177"/>
      <c r="P273" s="177"/>
      <c r="Q273" s="177"/>
      <c r="R273" s="177"/>
      <c r="S273" s="177"/>
      <c r="T273" s="177"/>
      <c r="U273" s="177"/>
      <c r="V273" s="177"/>
      <c r="W273" s="177"/>
      <c r="X273" s="177"/>
      <c r="Y273" s="177"/>
      <c r="Z273" s="177"/>
      <c r="AA273" s="177"/>
      <c r="AB273" s="177"/>
      <c r="AC273" s="177"/>
    </row>
    <row r="274" spans="1:29" ht="13">
      <c r="A274" s="161"/>
      <c r="B274" s="161"/>
      <c r="C274" s="177"/>
      <c r="D274" s="177"/>
      <c r="E274" s="177"/>
      <c r="F274" s="177"/>
      <c r="G274" s="206"/>
      <c r="H274" s="177"/>
      <c r="I274" s="177"/>
      <c r="J274" s="177"/>
      <c r="K274" s="177"/>
      <c r="L274" s="178"/>
      <c r="M274" s="177"/>
      <c r="N274" s="177"/>
      <c r="O274" s="177"/>
      <c r="P274" s="177"/>
      <c r="Q274" s="177"/>
      <c r="R274" s="177"/>
      <c r="S274" s="177"/>
      <c r="T274" s="177"/>
      <c r="U274" s="177"/>
      <c r="V274" s="177"/>
      <c r="W274" s="177"/>
      <c r="X274" s="177"/>
      <c r="Y274" s="177"/>
      <c r="Z274" s="177"/>
      <c r="AA274" s="177"/>
      <c r="AB274" s="177"/>
      <c r="AC274" s="177"/>
    </row>
    <row r="275" spans="1:29" ht="13">
      <c r="A275" s="161"/>
      <c r="B275" s="161"/>
      <c r="C275" s="177"/>
      <c r="D275" s="177"/>
      <c r="E275" s="177"/>
      <c r="F275" s="177"/>
      <c r="G275" s="206"/>
      <c r="H275" s="177"/>
      <c r="I275" s="177"/>
      <c r="J275" s="177"/>
      <c r="K275" s="177"/>
      <c r="L275" s="178"/>
      <c r="M275" s="177"/>
      <c r="N275" s="177"/>
      <c r="O275" s="177"/>
      <c r="P275" s="177"/>
      <c r="Q275" s="177"/>
      <c r="R275" s="177"/>
      <c r="S275" s="177"/>
      <c r="T275" s="177"/>
      <c r="U275" s="177"/>
      <c r="V275" s="177"/>
      <c r="W275" s="177"/>
      <c r="X275" s="177"/>
      <c r="Y275" s="177"/>
      <c r="Z275" s="177"/>
      <c r="AA275" s="177"/>
      <c r="AB275" s="177"/>
      <c r="AC275" s="177"/>
    </row>
    <row r="276" spans="1:29" ht="13">
      <c r="A276" s="161"/>
      <c r="B276" s="161"/>
      <c r="C276" s="177"/>
      <c r="D276" s="177"/>
      <c r="E276" s="177"/>
      <c r="F276" s="177"/>
      <c r="G276" s="206"/>
      <c r="H276" s="177"/>
      <c r="I276" s="177"/>
      <c r="J276" s="177"/>
      <c r="K276" s="177"/>
      <c r="L276" s="178"/>
      <c r="M276" s="177"/>
      <c r="N276" s="177"/>
      <c r="O276" s="177"/>
      <c r="P276" s="177"/>
      <c r="Q276" s="177"/>
      <c r="R276" s="177"/>
      <c r="S276" s="177"/>
      <c r="T276" s="177"/>
      <c r="U276" s="177"/>
      <c r="V276" s="177"/>
      <c r="W276" s="177"/>
      <c r="X276" s="177"/>
      <c r="Y276" s="177"/>
      <c r="Z276" s="177"/>
      <c r="AA276" s="177"/>
      <c r="AB276" s="177"/>
      <c r="AC276" s="177"/>
    </row>
    <row r="277" spans="1:29" ht="13">
      <c r="A277" s="161"/>
      <c r="B277" s="161"/>
      <c r="C277" s="177"/>
      <c r="D277" s="177"/>
      <c r="E277" s="177"/>
      <c r="F277" s="177"/>
      <c r="G277" s="206"/>
      <c r="H277" s="177"/>
      <c r="I277" s="177"/>
      <c r="J277" s="177"/>
      <c r="K277" s="177"/>
      <c r="L277" s="178"/>
      <c r="M277" s="177"/>
      <c r="N277" s="177"/>
      <c r="O277" s="177"/>
      <c r="P277" s="177"/>
      <c r="Q277" s="177"/>
      <c r="R277" s="177"/>
      <c r="S277" s="177"/>
      <c r="T277" s="177"/>
      <c r="U277" s="177"/>
      <c r="V277" s="177"/>
      <c r="W277" s="177"/>
      <c r="X277" s="177"/>
      <c r="Y277" s="177"/>
      <c r="Z277" s="177"/>
      <c r="AA277" s="177"/>
      <c r="AB277" s="177"/>
      <c r="AC277" s="177"/>
    </row>
    <row r="278" spans="1:29" ht="13">
      <c r="A278" s="161"/>
      <c r="B278" s="161"/>
      <c r="C278" s="177"/>
      <c r="D278" s="177"/>
      <c r="E278" s="177"/>
      <c r="F278" s="177"/>
      <c r="G278" s="206"/>
      <c r="H278" s="177"/>
      <c r="I278" s="177"/>
      <c r="J278" s="177"/>
      <c r="K278" s="177"/>
      <c r="L278" s="178"/>
      <c r="M278" s="177"/>
      <c r="N278" s="177"/>
      <c r="O278" s="177"/>
      <c r="P278" s="177"/>
      <c r="Q278" s="177"/>
      <c r="R278" s="177"/>
      <c r="S278" s="177"/>
      <c r="T278" s="177"/>
      <c r="U278" s="177"/>
      <c r="V278" s="177"/>
      <c r="W278" s="177"/>
      <c r="X278" s="177"/>
      <c r="Y278" s="177"/>
      <c r="Z278" s="177"/>
      <c r="AA278" s="177"/>
      <c r="AB278" s="177"/>
      <c r="AC278" s="177"/>
    </row>
    <row r="279" spans="1:29" ht="13">
      <c r="A279" s="161"/>
      <c r="B279" s="161"/>
      <c r="C279" s="177"/>
      <c r="D279" s="177"/>
      <c r="E279" s="177"/>
      <c r="F279" s="177"/>
      <c r="G279" s="206"/>
      <c r="H279" s="177"/>
      <c r="I279" s="177"/>
      <c r="J279" s="177"/>
      <c r="K279" s="177"/>
      <c r="L279" s="178"/>
      <c r="M279" s="177"/>
      <c r="N279" s="177"/>
      <c r="O279" s="177"/>
      <c r="P279" s="177"/>
      <c r="Q279" s="177"/>
      <c r="R279" s="177"/>
      <c r="S279" s="177"/>
      <c r="T279" s="177"/>
      <c r="U279" s="177"/>
      <c r="V279" s="177"/>
      <c r="W279" s="177"/>
      <c r="X279" s="177"/>
      <c r="Y279" s="177"/>
      <c r="Z279" s="177"/>
      <c r="AA279" s="177"/>
      <c r="AB279" s="177"/>
      <c r="AC279" s="177"/>
    </row>
    <row r="280" spans="1:29" ht="13">
      <c r="A280" s="161"/>
      <c r="B280" s="161"/>
      <c r="C280" s="177"/>
      <c r="D280" s="177"/>
      <c r="E280" s="177"/>
      <c r="F280" s="177"/>
      <c r="G280" s="206"/>
      <c r="H280" s="177"/>
      <c r="I280" s="177"/>
      <c r="J280" s="177"/>
      <c r="K280" s="177"/>
      <c r="L280" s="178"/>
      <c r="M280" s="177"/>
      <c r="N280" s="177"/>
      <c r="O280" s="177"/>
      <c r="P280" s="177"/>
      <c r="Q280" s="177"/>
      <c r="R280" s="177"/>
      <c r="S280" s="177"/>
      <c r="T280" s="177"/>
      <c r="U280" s="177"/>
      <c r="V280" s="177"/>
      <c r="W280" s="177"/>
      <c r="X280" s="177"/>
      <c r="Y280" s="177"/>
      <c r="Z280" s="177"/>
      <c r="AA280" s="177"/>
      <c r="AB280" s="177"/>
      <c r="AC280" s="177"/>
    </row>
    <row r="281" spans="1:29" ht="13">
      <c r="A281" s="161"/>
      <c r="B281" s="161"/>
      <c r="C281" s="177"/>
      <c r="D281" s="177"/>
      <c r="E281" s="177"/>
      <c r="F281" s="177"/>
      <c r="G281" s="206"/>
      <c r="H281" s="177"/>
      <c r="I281" s="177"/>
      <c r="J281" s="177"/>
      <c r="K281" s="177"/>
      <c r="L281" s="178"/>
      <c r="M281" s="177"/>
      <c r="N281" s="177"/>
      <c r="O281" s="177"/>
      <c r="P281" s="177"/>
      <c r="Q281" s="177"/>
      <c r="R281" s="177"/>
      <c r="S281" s="177"/>
      <c r="T281" s="177"/>
      <c r="U281" s="177"/>
      <c r="V281" s="177"/>
      <c r="W281" s="177"/>
      <c r="X281" s="177"/>
      <c r="Y281" s="177"/>
      <c r="Z281" s="177"/>
      <c r="AA281" s="177"/>
      <c r="AB281" s="177"/>
      <c r="AC281" s="177"/>
    </row>
    <row r="282" spans="1:29" ht="13">
      <c r="A282" s="161"/>
      <c r="B282" s="161"/>
      <c r="C282" s="177"/>
      <c r="D282" s="177"/>
      <c r="E282" s="177"/>
      <c r="F282" s="177"/>
      <c r="G282" s="206"/>
      <c r="H282" s="177"/>
      <c r="I282" s="177"/>
      <c r="J282" s="177"/>
      <c r="K282" s="177"/>
      <c r="L282" s="178"/>
      <c r="M282" s="177"/>
      <c r="N282" s="177"/>
      <c r="O282" s="177"/>
      <c r="P282" s="177"/>
      <c r="Q282" s="177"/>
      <c r="R282" s="177"/>
      <c r="S282" s="177"/>
      <c r="T282" s="177"/>
      <c r="U282" s="177"/>
      <c r="V282" s="177"/>
      <c r="W282" s="177"/>
      <c r="X282" s="177"/>
      <c r="Y282" s="177"/>
      <c r="Z282" s="177"/>
      <c r="AA282" s="177"/>
      <c r="AB282" s="177"/>
      <c r="AC282" s="177"/>
    </row>
    <row r="283" spans="1:29" ht="13">
      <c r="A283" s="161"/>
      <c r="B283" s="161"/>
      <c r="C283" s="177"/>
      <c r="D283" s="177"/>
      <c r="E283" s="177"/>
      <c r="F283" s="177"/>
      <c r="G283" s="206"/>
      <c r="H283" s="177"/>
      <c r="I283" s="177"/>
      <c r="J283" s="177"/>
      <c r="K283" s="177"/>
      <c r="L283" s="178"/>
      <c r="M283" s="177"/>
      <c r="N283" s="177"/>
      <c r="O283" s="177"/>
      <c r="P283" s="177"/>
      <c r="Q283" s="177"/>
      <c r="R283" s="177"/>
      <c r="S283" s="177"/>
      <c r="T283" s="177"/>
      <c r="U283" s="177"/>
      <c r="V283" s="177"/>
      <c r="W283" s="177"/>
      <c r="X283" s="177"/>
      <c r="Y283" s="177"/>
      <c r="Z283" s="177"/>
      <c r="AA283" s="177"/>
      <c r="AB283" s="177"/>
      <c r="AC283" s="177"/>
    </row>
    <row r="284" spans="1:29" ht="13">
      <c r="A284" s="161"/>
      <c r="B284" s="161"/>
      <c r="C284" s="177"/>
      <c r="D284" s="177"/>
      <c r="E284" s="177"/>
      <c r="F284" s="177"/>
      <c r="G284" s="206"/>
      <c r="H284" s="177"/>
      <c r="I284" s="177"/>
      <c r="J284" s="177"/>
      <c r="K284" s="177"/>
      <c r="L284" s="178"/>
      <c r="M284" s="177"/>
      <c r="N284" s="177"/>
      <c r="O284" s="177"/>
      <c r="P284" s="177"/>
      <c r="Q284" s="177"/>
      <c r="R284" s="177"/>
      <c r="S284" s="177"/>
      <c r="T284" s="177"/>
      <c r="U284" s="177"/>
      <c r="V284" s="177"/>
      <c r="W284" s="177"/>
      <c r="X284" s="177"/>
      <c r="Y284" s="177"/>
      <c r="Z284" s="177"/>
      <c r="AA284" s="177"/>
      <c r="AB284" s="177"/>
      <c r="AC284" s="177"/>
    </row>
    <row r="285" spans="1:29" ht="13">
      <c r="A285" s="161"/>
      <c r="B285" s="161"/>
      <c r="C285" s="177"/>
      <c r="D285" s="177"/>
      <c r="E285" s="177"/>
      <c r="F285" s="177"/>
      <c r="G285" s="206"/>
      <c r="H285" s="177"/>
      <c r="I285" s="177"/>
      <c r="J285" s="177"/>
      <c r="K285" s="177"/>
      <c r="L285" s="178"/>
      <c r="M285" s="177"/>
      <c r="N285" s="177"/>
      <c r="O285" s="177"/>
      <c r="P285" s="177"/>
      <c r="Q285" s="177"/>
      <c r="R285" s="177"/>
      <c r="S285" s="177"/>
      <c r="T285" s="177"/>
      <c r="U285" s="177"/>
      <c r="V285" s="177"/>
      <c r="W285" s="177"/>
      <c r="X285" s="177"/>
      <c r="Y285" s="177"/>
      <c r="Z285" s="177"/>
      <c r="AA285" s="177"/>
      <c r="AB285" s="177"/>
      <c r="AC285" s="177"/>
    </row>
    <row r="286" spans="1:29" ht="13">
      <c r="A286" s="161"/>
      <c r="B286" s="161"/>
      <c r="C286" s="177"/>
      <c r="D286" s="177"/>
      <c r="E286" s="177"/>
      <c r="F286" s="177"/>
      <c r="G286" s="206"/>
      <c r="H286" s="177"/>
      <c r="I286" s="177"/>
      <c r="J286" s="177"/>
      <c r="K286" s="177"/>
      <c r="L286" s="178"/>
      <c r="M286" s="177"/>
      <c r="N286" s="177"/>
      <c r="O286" s="177"/>
      <c r="P286" s="177"/>
      <c r="Q286" s="177"/>
      <c r="R286" s="177"/>
      <c r="S286" s="177"/>
      <c r="T286" s="177"/>
      <c r="U286" s="177"/>
      <c r="V286" s="177"/>
      <c r="W286" s="177"/>
      <c r="X286" s="177"/>
      <c r="Y286" s="177"/>
      <c r="Z286" s="177"/>
      <c r="AA286" s="177"/>
      <c r="AB286" s="177"/>
      <c r="AC286" s="177"/>
    </row>
    <row r="287" spans="1:29" ht="13">
      <c r="A287" s="161"/>
      <c r="B287" s="161"/>
      <c r="C287" s="177"/>
      <c r="D287" s="177"/>
      <c r="E287" s="177"/>
      <c r="F287" s="177"/>
      <c r="G287" s="206"/>
      <c r="H287" s="177"/>
      <c r="I287" s="177"/>
      <c r="J287" s="177"/>
      <c r="K287" s="177"/>
      <c r="L287" s="178"/>
      <c r="M287" s="177"/>
      <c r="N287" s="177"/>
      <c r="O287" s="177"/>
      <c r="P287" s="177"/>
      <c r="Q287" s="177"/>
      <c r="R287" s="177"/>
      <c r="S287" s="177"/>
      <c r="T287" s="177"/>
      <c r="U287" s="177"/>
      <c r="V287" s="177"/>
      <c r="W287" s="177"/>
      <c r="X287" s="177"/>
      <c r="Y287" s="177"/>
      <c r="Z287" s="177"/>
      <c r="AA287" s="177"/>
      <c r="AB287" s="177"/>
      <c r="AC287" s="177"/>
    </row>
    <row r="288" spans="1:29" ht="13">
      <c r="A288" s="161"/>
      <c r="B288" s="161"/>
      <c r="C288" s="177"/>
      <c r="D288" s="177"/>
      <c r="E288" s="177"/>
      <c r="F288" s="177"/>
      <c r="G288" s="206"/>
      <c r="H288" s="177"/>
      <c r="I288" s="177"/>
      <c r="J288" s="177"/>
      <c r="K288" s="177"/>
      <c r="L288" s="178"/>
      <c r="M288" s="177"/>
      <c r="N288" s="177"/>
      <c r="O288" s="177"/>
      <c r="P288" s="177"/>
      <c r="Q288" s="177"/>
      <c r="R288" s="177"/>
      <c r="S288" s="177"/>
      <c r="T288" s="177"/>
      <c r="U288" s="177"/>
      <c r="V288" s="177"/>
      <c r="W288" s="177"/>
      <c r="X288" s="177"/>
      <c r="Y288" s="177"/>
      <c r="Z288" s="177"/>
      <c r="AA288" s="177"/>
      <c r="AB288" s="177"/>
      <c r="AC288" s="177"/>
    </row>
    <row r="289" spans="1:29" ht="13">
      <c r="A289" s="161"/>
      <c r="B289" s="161"/>
      <c r="C289" s="177"/>
      <c r="D289" s="177"/>
      <c r="E289" s="177"/>
      <c r="F289" s="177"/>
      <c r="G289" s="206"/>
      <c r="H289" s="177"/>
      <c r="I289" s="177"/>
      <c r="J289" s="177"/>
      <c r="K289" s="177"/>
      <c r="L289" s="178"/>
      <c r="M289" s="177"/>
      <c r="N289" s="177"/>
      <c r="O289" s="177"/>
      <c r="P289" s="177"/>
      <c r="Q289" s="177"/>
      <c r="R289" s="177"/>
      <c r="S289" s="177"/>
      <c r="T289" s="177"/>
      <c r="U289" s="177"/>
      <c r="V289" s="177"/>
      <c r="W289" s="177"/>
      <c r="X289" s="177"/>
      <c r="Y289" s="177"/>
      <c r="Z289" s="177"/>
      <c r="AA289" s="177"/>
      <c r="AB289" s="177"/>
      <c r="AC289" s="177"/>
    </row>
    <row r="290" spans="1:29" ht="13">
      <c r="A290" s="161"/>
      <c r="B290" s="161"/>
      <c r="C290" s="177"/>
      <c r="D290" s="177"/>
      <c r="E290" s="177"/>
      <c r="F290" s="177"/>
      <c r="G290" s="206"/>
      <c r="H290" s="177"/>
      <c r="I290" s="177"/>
      <c r="J290" s="177"/>
      <c r="K290" s="177"/>
      <c r="L290" s="178"/>
      <c r="M290" s="177"/>
      <c r="N290" s="177"/>
      <c r="O290" s="177"/>
      <c r="P290" s="177"/>
      <c r="Q290" s="177"/>
      <c r="R290" s="177"/>
      <c r="S290" s="177"/>
      <c r="T290" s="177"/>
      <c r="U290" s="177"/>
      <c r="V290" s="177"/>
      <c r="W290" s="177"/>
      <c r="X290" s="177"/>
      <c r="Y290" s="177"/>
      <c r="Z290" s="177"/>
      <c r="AA290" s="177"/>
      <c r="AB290" s="177"/>
      <c r="AC290" s="177"/>
    </row>
    <row r="291" spans="1:29" ht="13">
      <c r="A291" s="161"/>
      <c r="B291" s="161"/>
      <c r="C291" s="177"/>
      <c r="D291" s="177"/>
      <c r="E291" s="177"/>
      <c r="F291" s="177"/>
      <c r="G291" s="206"/>
      <c r="H291" s="177"/>
      <c r="I291" s="177"/>
      <c r="J291" s="177"/>
      <c r="K291" s="177"/>
      <c r="L291" s="178"/>
      <c r="M291" s="177"/>
      <c r="N291" s="177"/>
      <c r="O291" s="177"/>
      <c r="P291" s="177"/>
      <c r="Q291" s="177"/>
      <c r="R291" s="177"/>
      <c r="S291" s="177"/>
      <c r="T291" s="177"/>
      <c r="U291" s="177"/>
      <c r="V291" s="177"/>
      <c r="W291" s="177"/>
      <c r="X291" s="177"/>
      <c r="Y291" s="177"/>
      <c r="Z291" s="177"/>
      <c r="AA291" s="177"/>
      <c r="AB291" s="177"/>
      <c r="AC291" s="177"/>
    </row>
    <row r="292" spans="1:29" ht="13">
      <c r="A292" s="161"/>
      <c r="B292" s="161"/>
      <c r="C292" s="177"/>
      <c r="D292" s="177"/>
      <c r="E292" s="177"/>
      <c r="F292" s="177"/>
      <c r="G292" s="206"/>
      <c r="H292" s="177"/>
      <c r="I292" s="177"/>
      <c r="J292" s="177"/>
      <c r="K292" s="177"/>
      <c r="L292" s="178"/>
      <c r="M292" s="177"/>
      <c r="N292" s="177"/>
      <c r="O292" s="177"/>
      <c r="P292" s="177"/>
      <c r="Q292" s="177"/>
      <c r="R292" s="177"/>
      <c r="S292" s="177"/>
      <c r="T292" s="177"/>
      <c r="U292" s="177"/>
      <c r="V292" s="177"/>
      <c r="W292" s="177"/>
      <c r="X292" s="177"/>
      <c r="Y292" s="177"/>
      <c r="Z292" s="177"/>
      <c r="AA292" s="177"/>
      <c r="AB292" s="177"/>
      <c r="AC292" s="177"/>
    </row>
    <row r="293" spans="1:29" ht="13">
      <c r="A293" s="161"/>
      <c r="B293" s="161"/>
      <c r="C293" s="177"/>
      <c r="D293" s="177"/>
      <c r="E293" s="177"/>
      <c r="F293" s="177"/>
      <c r="G293" s="206"/>
      <c r="H293" s="177"/>
      <c r="I293" s="177"/>
      <c r="J293" s="177"/>
      <c r="K293" s="177"/>
      <c r="L293" s="178"/>
      <c r="M293" s="177"/>
      <c r="N293" s="177"/>
      <c r="O293" s="177"/>
      <c r="P293" s="177"/>
      <c r="Q293" s="177"/>
      <c r="R293" s="177"/>
      <c r="S293" s="177"/>
      <c r="T293" s="177"/>
      <c r="U293" s="177"/>
      <c r="V293" s="177"/>
      <c r="W293" s="177"/>
      <c r="X293" s="177"/>
      <c r="Y293" s="177"/>
      <c r="Z293" s="177"/>
      <c r="AA293" s="177"/>
      <c r="AB293" s="177"/>
      <c r="AC293" s="177"/>
    </row>
    <row r="294" spans="1:29" ht="13">
      <c r="A294" s="161"/>
      <c r="B294" s="161"/>
      <c r="C294" s="177"/>
      <c r="D294" s="177"/>
      <c r="E294" s="177"/>
      <c r="F294" s="177"/>
      <c r="G294" s="206"/>
      <c r="H294" s="177"/>
      <c r="I294" s="177"/>
      <c r="J294" s="177"/>
      <c r="K294" s="177"/>
      <c r="L294" s="178"/>
      <c r="M294" s="177"/>
      <c r="N294" s="177"/>
      <c r="O294" s="177"/>
      <c r="P294" s="177"/>
      <c r="Q294" s="177"/>
      <c r="R294" s="177"/>
      <c r="S294" s="177"/>
      <c r="T294" s="177"/>
      <c r="U294" s="177"/>
      <c r="V294" s="177"/>
      <c r="W294" s="177"/>
      <c r="X294" s="177"/>
      <c r="Y294" s="177"/>
      <c r="Z294" s="177"/>
      <c r="AA294" s="177"/>
      <c r="AB294" s="177"/>
      <c r="AC294" s="177"/>
    </row>
    <row r="295" spans="1:29" ht="13">
      <c r="A295" s="161"/>
      <c r="B295" s="161"/>
      <c r="C295" s="177"/>
      <c r="D295" s="177"/>
      <c r="E295" s="177"/>
      <c r="F295" s="177"/>
      <c r="G295" s="206"/>
      <c r="H295" s="177"/>
      <c r="I295" s="177"/>
      <c r="J295" s="177"/>
      <c r="K295" s="177"/>
      <c r="L295" s="178"/>
      <c r="M295" s="177"/>
      <c r="N295" s="177"/>
      <c r="O295" s="177"/>
      <c r="P295" s="177"/>
      <c r="Q295" s="177"/>
      <c r="R295" s="177"/>
      <c r="S295" s="177"/>
      <c r="T295" s="177"/>
      <c r="U295" s="177"/>
      <c r="V295" s="177"/>
      <c r="W295" s="177"/>
      <c r="X295" s="177"/>
      <c r="Y295" s="177"/>
      <c r="Z295" s="177"/>
      <c r="AA295" s="177"/>
      <c r="AB295" s="177"/>
      <c r="AC295" s="177"/>
    </row>
    <row r="296" spans="1:29" ht="13">
      <c r="A296" s="161"/>
      <c r="B296" s="161"/>
      <c r="C296" s="177"/>
      <c r="D296" s="177"/>
      <c r="E296" s="177"/>
      <c r="F296" s="177"/>
      <c r="G296" s="206"/>
      <c r="H296" s="177"/>
      <c r="I296" s="177"/>
      <c r="J296" s="177"/>
      <c r="K296" s="177"/>
      <c r="L296" s="178"/>
      <c r="M296" s="177"/>
      <c r="N296" s="177"/>
      <c r="O296" s="177"/>
      <c r="P296" s="177"/>
      <c r="Q296" s="177"/>
      <c r="R296" s="177"/>
      <c r="S296" s="177"/>
      <c r="T296" s="177"/>
      <c r="U296" s="177"/>
      <c r="V296" s="177"/>
      <c r="W296" s="177"/>
      <c r="X296" s="177"/>
      <c r="Y296" s="177"/>
      <c r="Z296" s="177"/>
      <c r="AA296" s="177"/>
      <c r="AB296" s="177"/>
      <c r="AC296" s="177"/>
    </row>
    <row r="297" spans="1:29" ht="13">
      <c r="A297" s="161"/>
      <c r="B297" s="161"/>
      <c r="C297" s="177"/>
      <c r="D297" s="177"/>
      <c r="E297" s="177"/>
      <c r="F297" s="177"/>
      <c r="G297" s="206"/>
      <c r="H297" s="177"/>
      <c r="I297" s="177"/>
      <c r="J297" s="177"/>
      <c r="K297" s="177"/>
      <c r="L297" s="178"/>
      <c r="M297" s="177"/>
      <c r="N297" s="177"/>
      <c r="O297" s="177"/>
      <c r="P297" s="177"/>
      <c r="Q297" s="177"/>
      <c r="R297" s="177"/>
      <c r="S297" s="177"/>
      <c r="T297" s="177"/>
      <c r="U297" s="177"/>
      <c r="V297" s="177"/>
      <c r="W297" s="177"/>
      <c r="X297" s="177"/>
      <c r="Y297" s="177"/>
      <c r="Z297" s="177"/>
      <c r="AA297" s="177"/>
      <c r="AB297" s="177"/>
      <c r="AC297" s="177"/>
    </row>
    <row r="298" spans="1:29" ht="13">
      <c r="A298" s="161"/>
      <c r="B298" s="161"/>
      <c r="C298" s="177"/>
      <c r="D298" s="177"/>
      <c r="E298" s="177"/>
      <c r="F298" s="177"/>
      <c r="G298" s="206"/>
      <c r="H298" s="177"/>
      <c r="I298" s="177"/>
      <c r="J298" s="177"/>
      <c r="K298" s="177"/>
      <c r="L298" s="178"/>
      <c r="M298" s="177"/>
      <c r="N298" s="177"/>
      <c r="O298" s="177"/>
      <c r="P298" s="177"/>
      <c r="Q298" s="177"/>
      <c r="R298" s="177"/>
      <c r="S298" s="177"/>
      <c r="T298" s="177"/>
      <c r="U298" s="177"/>
      <c r="V298" s="177"/>
      <c r="W298" s="177"/>
      <c r="X298" s="177"/>
      <c r="Y298" s="177"/>
      <c r="Z298" s="177"/>
      <c r="AA298" s="177"/>
      <c r="AB298" s="177"/>
      <c r="AC298" s="177"/>
    </row>
    <row r="299" spans="1:29" ht="13">
      <c r="A299" s="161"/>
      <c r="B299" s="161"/>
      <c r="C299" s="177"/>
      <c r="D299" s="177"/>
      <c r="E299" s="177"/>
      <c r="F299" s="177"/>
      <c r="G299" s="206"/>
      <c r="H299" s="177"/>
      <c r="I299" s="177"/>
      <c r="J299" s="177"/>
      <c r="K299" s="177"/>
      <c r="L299" s="178"/>
      <c r="M299" s="177"/>
      <c r="N299" s="177"/>
      <c r="O299" s="177"/>
      <c r="P299" s="177"/>
      <c r="Q299" s="177"/>
      <c r="R299" s="177"/>
      <c r="S299" s="177"/>
      <c r="T299" s="177"/>
      <c r="U299" s="177"/>
      <c r="V299" s="177"/>
      <c r="W299" s="177"/>
      <c r="X299" s="177"/>
      <c r="Y299" s="177"/>
      <c r="Z299" s="177"/>
      <c r="AA299" s="177"/>
      <c r="AB299" s="177"/>
      <c r="AC299" s="177"/>
    </row>
    <row r="300" spans="1:29" ht="13">
      <c r="A300" s="161"/>
      <c r="B300" s="161"/>
      <c r="C300" s="177"/>
      <c r="D300" s="177"/>
      <c r="E300" s="177"/>
      <c r="F300" s="177"/>
      <c r="G300" s="206"/>
      <c r="H300" s="177"/>
      <c r="I300" s="177"/>
      <c r="J300" s="177"/>
      <c r="K300" s="177"/>
      <c r="L300" s="178"/>
      <c r="M300" s="177"/>
      <c r="N300" s="177"/>
      <c r="O300" s="177"/>
      <c r="P300" s="177"/>
      <c r="Q300" s="177"/>
      <c r="R300" s="177"/>
      <c r="S300" s="177"/>
      <c r="T300" s="177"/>
      <c r="U300" s="177"/>
      <c r="V300" s="177"/>
      <c r="W300" s="177"/>
      <c r="X300" s="177"/>
      <c r="Y300" s="177"/>
      <c r="Z300" s="177"/>
      <c r="AA300" s="177"/>
      <c r="AB300" s="177"/>
      <c r="AC300" s="177"/>
    </row>
    <row r="301" spans="1:29" ht="13">
      <c r="A301" s="161"/>
      <c r="B301" s="161"/>
      <c r="C301" s="177"/>
      <c r="D301" s="177"/>
      <c r="E301" s="177"/>
      <c r="F301" s="177"/>
      <c r="G301" s="206"/>
      <c r="H301" s="177"/>
      <c r="I301" s="177"/>
      <c r="J301" s="177"/>
      <c r="K301" s="177"/>
      <c r="L301" s="178"/>
      <c r="M301" s="177"/>
      <c r="N301" s="177"/>
      <c r="O301" s="177"/>
      <c r="P301" s="177"/>
      <c r="Q301" s="177"/>
      <c r="R301" s="177"/>
      <c r="S301" s="177"/>
      <c r="T301" s="177"/>
      <c r="U301" s="177"/>
      <c r="V301" s="177"/>
      <c r="W301" s="177"/>
      <c r="X301" s="177"/>
      <c r="Y301" s="177"/>
      <c r="Z301" s="177"/>
      <c r="AA301" s="177"/>
      <c r="AB301" s="177"/>
      <c r="AC301" s="177"/>
    </row>
    <row r="302" spans="1:29" ht="13">
      <c r="A302" s="161"/>
      <c r="B302" s="161"/>
      <c r="C302" s="177"/>
      <c r="D302" s="177"/>
      <c r="E302" s="177"/>
      <c r="F302" s="177"/>
      <c r="G302" s="206"/>
      <c r="H302" s="177"/>
      <c r="I302" s="177"/>
      <c r="J302" s="177"/>
      <c r="K302" s="177"/>
      <c r="L302" s="178"/>
      <c r="M302" s="177"/>
      <c r="N302" s="177"/>
      <c r="O302" s="177"/>
      <c r="P302" s="177"/>
      <c r="Q302" s="177"/>
      <c r="R302" s="177"/>
      <c r="S302" s="177"/>
      <c r="T302" s="177"/>
      <c r="U302" s="177"/>
      <c r="V302" s="177"/>
      <c r="W302" s="177"/>
      <c r="X302" s="177"/>
      <c r="Y302" s="177"/>
      <c r="Z302" s="177"/>
      <c r="AA302" s="177"/>
      <c r="AB302" s="177"/>
      <c r="AC302" s="177"/>
    </row>
    <row r="303" spans="1:29" ht="13">
      <c r="A303" s="161"/>
      <c r="B303" s="161"/>
      <c r="C303" s="177"/>
      <c r="D303" s="177"/>
      <c r="E303" s="177"/>
      <c r="F303" s="177"/>
      <c r="G303" s="206"/>
      <c r="H303" s="177"/>
      <c r="I303" s="177"/>
      <c r="J303" s="177"/>
      <c r="K303" s="177"/>
      <c r="L303" s="178"/>
      <c r="M303" s="177"/>
      <c r="N303" s="177"/>
      <c r="O303" s="177"/>
      <c r="P303" s="177"/>
      <c r="Q303" s="177"/>
      <c r="R303" s="177"/>
      <c r="S303" s="177"/>
      <c r="T303" s="177"/>
      <c r="U303" s="177"/>
      <c r="V303" s="177"/>
      <c r="W303" s="177"/>
      <c r="X303" s="177"/>
      <c r="Y303" s="177"/>
      <c r="Z303" s="177"/>
      <c r="AA303" s="177"/>
      <c r="AB303" s="177"/>
      <c r="AC303" s="177"/>
    </row>
    <row r="304" spans="1:29" ht="13">
      <c r="A304" s="161"/>
      <c r="B304" s="161"/>
      <c r="C304" s="177"/>
      <c r="D304" s="177"/>
      <c r="E304" s="177"/>
      <c r="F304" s="177"/>
      <c r="G304" s="206"/>
      <c r="H304" s="177"/>
      <c r="I304" s="177"/>
      <c r="J304" s="177"/>
      <c r="K304" s="177"/>
      <c r="L304" s="178"/>
      <c r="M304" s="177"/>
      <c r="N304" s="177"/>
      <c r="O304" s="177"/>
      <c r="P304" s="177"/>
      <c r="Q304" s="177"/>
      <c r="R304" s="177"/>
      <c r="S304" s="177"/>
      <c r="T304" s="177"/>
      <c r="U304" s="177"/>
      <c r="V304" s="177"/>
      <c r="W304" s="177"/>
      <c r="X304" s="177"/>
      <c r="Y304" s="177"/>
      <c r="Z304" s="177"/>
      <c r="AA304" s="177"/>
      <c r="AB304" s="177"/>
      <c r="AC304" s="177"/>
    </row>
    <row r="305" spans="1:29" ht="13">
      <c r="A305" s="161"/>
      <c r="B305" s="161"/>
      <c r="C305" s="177"/>
      <c r="D305" s="177"/>
      <c r="E305" s="177"/>
      <c r="F305" s="177"/>
      <c r="G305" s="206"/>
      <c r="H305" s="177"/>
      <c r="I305" s="177"/>
      <c r="J305" s="177"/>
      <c r="K305" s="177"/>
      <c r="L305" s="178"/>
      <c r="M305" s="177"/>
      <c r="N305" s="177"/>
      <c r="O305" s="177"/>
      <c r="P305" s="177"/>
      <c r="Q305" s="177"/>
      <c r="R305" s="177"/>
      <c r="S305" s="177"/>
      <c r="T305" s="177"/>
      <c r="U305" s="177"/>
      <c r="V305" s="177"/>
      <c r="W305" s="177"/>
      <c r="X305" s="177"/>
      <c r="Y305" s="177"/>
      <c r="Z305" s="177"/>
      <c r="AA305" s="177"/>
      <c r="AB305" s="177"/>
      <c r="AC305" s="177"/>
    </row>
    <row r="306" spans="1:29" ht="13">
      <c r="A306" s="161"/>
      <c r="B306" s="161"/>
      <c r="C306" s="177"/>
      <c r="D306" s="177"/>
      <c r="E306" s="177"/>
      <c r="F306" s="177"/>
      <c r="G306" s="206"/>
      <c r="H306" s="177"/>
      <c r="I306" s="177"/>
      <c r="J306" s="177"/>
      <c r="K306" s="177"/>
      <c r="L306" s="178"/>
      <c r="M306" s="177"/>
      <c r="N306" s="177"/>
      <c r="O306" s="177"/>
      <c r="P306" s="177"/>
      <c r="Q306" s="177"/>
      <c r="R306" s="177"/>
      <c r="S306" s="177"/>
      <c r="T306" s="177"/>
      <c r="U306" s="177"/>
      <c r="V306" s="177"/>
      <c r="W306" s="177"/>
      <c r="X306" s="177"/>
      <c r="Y306" s="177"/>
      <c r="Z306" s="177"/>
      <c r="AA306" s="177"/>
      <c r="AB306" s="177"/>
      <c r="AC306" s="177"/>
    </row>
    <row r="307" spans="1:29" ht="13">
      <c r="A307" s="161"/>
      <c r="B307" s="161"/>
      <c r="C307" s="177"/>
      <c r="D307" s="177"/>
      <c r="E307" s="177"/>
      <c r="F307" s="177"/>
      <c r="G307" s="206"/>
      <c r="H307" s="177"/>
      <c r="I307" s="177"/>
      <c r="J307" s="177"/>
      <c r="K307" s="177"/>
      <c r="L307" s="178"/>
      <c r="M307" s="177"/>
      <c r="N307" s="177"/>
      <c r="O307" s="177"/>
      <c r="P307" s="177"/>
      <c r="Q307" s="177"/>
      <c r="R307" s="177"/>
      <c r="S307" s="177"/>
      <c r="T307" s="177"/>
      <c r="U307" s="177"/>
      <c r="V307" s="177"/>
      <c r="W307" s="177"/>
      <c r="X307" s="177"/>
      <c r="Y307" s="177"/>
      <c r="Z307" s="177"/>
      <c r="AA307" s="177"/>
      <c r="AB307" s="177"/>
      <c r="AC307" s="177"/>
    </row>
    <row r="308" spans="1:29" ht="13">
      <c r="A308" s="161"/>
      <c r="B308" s="161"/>
      <c r="C308" s="177"/>
      <c r="D308" s="177"/>
      <c r="E308" s="177"/>
      <c r="F308" s="177"/>
      <c r="G308" s="206"/>
      <c r="H308" s="177"/>
      <c r="I308" s="177"/>
      <c r="J308" s="177"/>
      <c r="K308" s="177"/>
      <c r="L308" s="178"/>
      <c r="M308" s="177"/>
      <c r="N308" s="177"/>
      <c r="O308" s="177"/>
      <c r="P308" s="177"/>
      <c r="Q308" s="177"/>
      <c r="R308" s="177"/>
      <c r="S308" s="177"/>
      <c r="T308" s="177"/>
      <c r="U308" s="177"/>
      <c r="V308" s="177"/>
      <c r="W308" s="177"/>
      <c r="X308" s="177"/>
      <c r="Y308" s="177"/>
      <c r="Z308" s="177"/>
      <c r="AA308" s="177"/>
      <c r="AB308" s="177"/>
      <c r="AC308" s="177"/>
    </row>
    <row r="309" spans="1:29" ht="13">
      <c r="A309" s="161"/>
      <c r="B309" s="161"/>
      <c r="C309" s="177"/>
      <c r="D309" s="177"/>
      <c r="E309" s="177"/>
      <c r="F309" s="177"/>
      <c r="G309" s="206"/>
      <c r="H309" s="177"/>
      <c r="I309" s="177"/>
      <c r="J309" s="177"/>
      <c r="K309" s="177"/>
      <c r="L309" s="178"/>
      <c r="M309" s="177"/>
      <c r="N309" s="177"/>
      <c r="O309" s="177"/>
      <c r="P309" s="177"/>
      <c r="Q309" s="177"/>
      <c r="R309" s="177"/>
      <c r="S309" s="177"/>
      <c r="T309" s="177"/>
      <c r="U309" s="177"/>
      <c r="V309" s="177"/>
      <c r="W309" s="177"/>
      <c r="X309" s="177"/>
      <c r="Y309" s="177"/>
      <c r="Z309" s="177"/>
      <c r="AA309" s="177"/>
      <c r="AB309" s="177"/>
      <c r="AC309" s="177"/>
    </row>
    <row r="310" spans="1:29" ht="13">
      <c r="A310" s="161"/>
      <c r="B310" s="161"/>
      <c r="C310" s="177"/>
      <c r="D310" s="177"/>
      <c r="E310" s="177"/>
      <c r="F310" s="177"/>
      <c r="G310" s="206"/>
      <c r="H310" s="177"/>
      <c r="I310" s="177"/>
      <c r="J310" s="177"/>
      <c r="K310" s="177"/>
      <c r="L310" s="178"/>
      <c r="M310" s="177"/>
      <c r="N310" s="177"/>
      <c r="O310" s="177"/>
      <c r="P310" s="177"/>
      <c r="Q310" s="177"/>
      <c r="R310" s="177"/>
      <c r="S310" s="177"/>
      <c r="T310" s="177"/>
      <c r="U310" s="177"/>
      <c r="V310" s="177"/>
      <c r="W310" s="177"/>
      <c r="X310" s="177"/>
      <c r="Y310" s="177"/>
      <c r="Z310" s="177"/>
      <c r="AA310" s="177"/>
      <c r="AB310" s="177"/>
      <c r="AC310" s="177"/>
    </row>
    <row r="311" spans="1:29" ht="13">
      <c r="A311" s="161"/>
      <c r="B311" s="161"/>
      <c r="C311" s="177"/>
      <c r="D311" s="177"/>
      <c r="E311" s="177"/>
      <c r="F311" s="177"/>
      <c r="G311" s="206"/>
      <c r="H311" s="177"/>
      <c r="I311" s="177"/>
      <c r="J311" s="177"/>
      <c r="K311" s="177"/>
      <c r="L311" s="178"/>
      <c r="M311" s="177"/>
      <c r="N311" s="177"/>
      <c r="O311" s="177"/>
      <c r="P311" s="177"/>
      <c r="Q311" s="177"/>
      <c r="R311" s="177"/>
      <c r="S311" s="177"/>
      <c r="T311" s="177"/>
      <c r="U311" s="177"/>
      <c r="V311" s="177"/>
      <c r="W311" s="177"/>
      <c r="X311" s="177"/>
      <c r="Y311" s="177"/>
      <c r="Z311" s="177"/>
      <c r="AA311" s="177"/>
      <c r="AB311" s="177"/>
      <c r="AC311" s="177"/>
    </row>
    <row r="312" spans="1:29" ht="13">
      <c r="A312" s="161"/>
      <c r="B312" s="161"/>
      <c r="C312" s="177"/>
      <c r="D312" s="177"/>
      <c r="E312" s="177"/>
      <c r="F312" s="177"/>
      <c r="G312" s="206"/>
      <c r="H312" s="177"/>
      <c r="I312" s="177"/>
      <c r="J312" s="177"/>
      <c r="K312" s="177"/>
      <c r="L312" s="178"/>
      <c r="M312" s="177"/>
      <c r="N312" s="177"/>
      <c r="O312" s="177"/>
      <c r="P312" s="177"/>
      <c r="Q312" s="177"/>
      <c r="R312" s="177"/>
      <c r="S312" s="177"/>
      <c r="T312" s="177"/>
      <c r="U312" s="177"/>
      <c r="V312" s="177"/>
      <c r="W312" s="177"/>
      <c r="X312" s="177"/>
      <c r="Y312" s="177"/>
      <c r="Z312" s="177"/>
      <c r="AA312" s="177"/>
      <c r="AB312" s="177"/>
      <c r="AC312" s="177"/>
    </row>
    <row r="313" spans="1:29" ht="13">
      <c r="A313" s="161"/>
      <c r="B313" s="161"/>
      <c r="C313" s="177"/>
      <c r="D313" s="177"/>
      <c r="E313" s="177"/>
      <c r="F313" s="177"/>
      <c r="G313" s="206"/>
      <c r="H313" s="177"/>
      <c r="I313" s="177"/>
      <c r="J313" s="177"/>
      <c r="K313" s="177"/>
      <c r="L313" s="178"/>
      <c r="M313" s="177"/>
      <c r="N313" s="177"/>
      <c r="O313" s="177"/>
      <c r="P313" s="177"/>
      <c r="Q313" s="177"/>
      <c r="R313" s="177"/>
      <c r="S313" s="177"/>
      <c r="T313" s="177"/>
      <c r="U313" s="177"/>
      <c r="V313" s="177"/>
      <c r="W313" s="177"/>
      <c r="X313" s="177"/>
      <c r="Y313" s="177"/>
      <c r="Z313" s="177"/>
      <c r="AA313" s="177"/>
      <c r="AB313" s="177"/>
      <c r="AC313" s="177"/>
    </row>
    <row r="314" spans="1:29" ht="13">
      <c r="A314" s="161"/>
      <c r="B314" s="161"/>
      <c r="C314" s="177"/>
      <c r="D314" s="177"/>
      <c r="E314" s="177"/>
      <c r="F314" s="177"/>
      <c r="G314" s="206"/>
      <c r="H314" s="177"/>
      <c r="I314" s="177"/>
      <c r="J314" s="177"/>
      <c r="K314" s="177"/>
      <c r="L314" s="178"/>
      <c r="M314" s="177"/>
      <c r="N314" s="177"/>
      <c r="O314" s="177"/>
      <c r="P314" s="177"/>
      <c r="Q314" s="177"/>
      <c r="R314" s="177"/>
      <c r="S314" s="177"/>
      <c r="T314" s="177"/>
      <c r="U314" s="177"/>
      <c r="V314" s="177"/>
      <c r="W314" s="177"/>
      <c r="X314" s="177"/>
      <c r="Y314" s="177"/>
      <c r="Z314" s="177"/>
      <c r="AA314" s="177"/>
      <c r="AB314" s="177"/>
      <c r="AC314" s="177"/>
    </row>
    <row r="315" spans="1:29" ht="13">
      <c r="A315" s="161"/>
      <c r="B315" s="161"/>
      <c r="C315" s="177"/>
      <c r="D315" s="177"/>
      <c r="E315" s="177"/>
      <c r="F315" s="177"/>
      <c r="G315" s="206"/>
      <c r="H315" s="177"/>
      <c r="I315" s="177"/>
      <c r="J315" s="177"/>
      <c r="K315" s="177"/>
      <c r="L315" s="178"/>
      <c r="M315" s="177"/>
      <c r="N315" s="177"/>
      <c r="O315" s="177"/>
      <c r="P315" s="177"/>
      <c r="Q315" s="177"/>
      <c r="R315" s="177"/>
      <c r="S315" s="177"/>
      <c r="T315" s="177"/>
      <c r="U315" s="177"/>
      <c r="V315" s="177"/>
      <c r="W315" s="177"/>
      <c r="X315" s="177"/>
      <c r="Y315" s="177"/>
      <c r="Z315" s="177"/>
      <c r="AA315" s="177"/>
      <c r="AB315" s="177"/>
      <c r="AC315" s="177"/>
    </row>
    <row r="316" spans="1:29" ht="13">
      <c r="A316" s="161"/>
      <c r="B316" s="161"/>
      <c r="C316" s="177"/>
      <c r="D316" s="177"/>
      <c r="E316" s="177"/>
      <c r="F316" s="177"/>
      <c r="G316" s="206"/>
      <c r="H316" s="177"/>
      <c r="I316" s="177"/>
      <c r="J316" s="177"/>
      <c r="K316" s="177"/>
      <c r="L316" s="178"/>
      <c r="M316" s="177"/>
      <c r="N316" s="177"/>
      <c r="O316" s="177"/>
      <c r="P316" s="177"/>
      <c r="Q316" s="177"/>
      <c r="R316" s="177"/>
      <c r="S316" s="177"/>
      <c r="T316" s="177"/>
      <c r="U316" s="177"/>
      <c r="V316" s="177"/>
      <c r="W316" s="177"/>
      <c r="X316" s="177"/>
      <c r="Y316" s="177"/>
      <c r="Z316" s="177"/>
      <c r="AA316" s="177"/>
      <c r="AB316" s="177"/>
      <c r="AC316" s="177"/>
    </row>
    <row r="317" spans="1:29" ht="13">
      <c r="A317" s="161"/>
      <c r="B317" s="161"/>
      <c r="C317" s="177"/>
      <c r="D317" s="177"/>
      <c r="E317" s="177"/>
      <c r="F317" s="177"/>
      <c r="G317" s="206"/>
      <c r="H317" s="177"/>
      <c r="I317" s="177"/>
      <c r="J317" s="177"/>
      <c r="K317" s="177"/>
      <c r="L317" s="178"/>
      <c r="M317" s="177"/>
      <c r="N317" s="177"/>
      <c r="O317" s="177"/>
      <c r="P317" s="177"/>
      <c r="Q317" s="177"/>
      <c r="R317" s="177"/>
      <c r="S317" s="177"/>
      <c r="T317" s="177"/>
      <c r="U317" s="177"/>
      <c r="V317" s="177"/>
      <c r="W317" s="177"/>
      <c r="X317" s="177"/>
      <c r="Y317" s="177"/>
      <c r="Z317" s="177"/>
      <c r="AA317" s="177"/>
      <c r="AB317" s="177"/>
      <c r="AC317" s="177"/>
    </row>
    <row r="318" spans="1:29" ht="13">
      <c r="A318" s="161"/>
      <c r="B318" s="161"/>
      <c r="C318" s="177"/>
      <c r="D318" s="177"/>
      <c r="E318" s="177"/>
      <c r="F318" s="177"/>
      <c r="G318" s="206"/>
      <c r="H318" s="177"/>
      <c r="I318" s="177"/>
      <c r="J318" s="177"/>
      <c r="K318" s="177"/>
      <c r="L318" s="178"/>
      <c r="M318" s="177"/>
      <c r="N318" s="177"/>
      <c r="O318" s="177"/>
      <c r="P318" s="177"/>
      <c r="Q318" s="177"/>
      <c r="R318" s="177"/>
      <c r="S318" s="177"/>
      <c r="T318" s="177"/>
      <c r="U318" s="177"/>
      <c r="V318" s="177"/>
      <c r="W318" s="177"/>
      <c r="X318" s="177"/>
      <c r="Y318" s="177"/>
      <c r="Z318" s="177"/>
      <c r="AA318" s="177"/>
      <c r="AB318" s="177"/>
      <c r="AC318" s="177"/>
    </row>
    <row r="319" spans="1:29" ht="13">
      <c r="A319" s="161"/>
      <c r="B319" s="161"/>
      <c r="C319" s="177"/>
      <c r="D319" s="177"/>
      <c r="E319" s="177"/>
      <c r="F319" s="177"/>
      <c r="G319" s="206"/>
      <c r="H319" s="177"/>
      <c r="I319" s="177"/>
      <c r="J319" s="177"/>
      <c r="K319" s="177"/>
      <c r="L319" s="178"/>
      <c r="M319" s="177"/>
      <c r="N319" s="177"/>
      <c r="O319" s="177"/>
      <c r="P319" s="177"/>
      <c r="Q319" s="177"/>
      <c r="R319" s="177"/>
      <c r="S319" s="177"/>
      <c r="T319" s="177"/>
      <c r="U319" s="177"/>
      <c r="V319" s="177"/>
      <c r="W319" s="177"/>
      <c r="X319" s="177"/>
      <c r="Y319" s="177"/>
      <c r="Z319" s="177"/>
      <c r="AA319" s="177"/>
      <c r="AB319" s="177"/>
      <c r="AC319" s="177"/>
    </row>
    <row r="320" spans="1:29" ht="13">
      <c r="A320" s="161"/>
      <c r="B320" s="161"/>
      <c r="C320" s="177"/>
      <c r="D320" s="177"/>
      <c r="E320" s="177"/>
      <c r="F320" s="177"/>
      <c r="G320" s="206"/>
      <c r="H320" s="177"/>
      <c r="I320" s="177"/>
      <c r="J320" s="177"/>
      <c r="K320" s="177"/>
      <c r="L320" s="178"/>
      <c r="M320" s="177"/>
      <c r="N320" s="177"/>
      <c r="O320" s="177"/>
      <c r="P320" s="177"/>
      <c r="Q320" s="177"/>
      <c r="R320" s="177"/>
      <c r="S320" s="177"/>
      <c r="T320" s="177"/>
      <c r="U320" s="177"/>
      <c r="V320" s="177"/>
      <c r="W320" s="177"/>
      <c r="X320" s="177"/>
      <c r="Y320" s="177"/>
      <c r="Z320" s="177"/>
      <c r="AA320" s="177"/>
      <c r="AB320" s="177"/>
      <c r="AC320" s="177"/>
    </row>
    <row r="321" spans="1:29" ht="13">
      <c r="A321" s="161"/>
      <c r="B321" s="161"/>
      <c r="C321" s="177"/>
      <c r="D321" s="177"/>
      <c r="E321" s="177"/>
      <c r="F321" s="177"/>
      <c r="G321" s="206"/>
      <c r="H321" s="177"/>
      <c r="I321" s="177"/>
      <c r="J321" s="177"/>
      <c r="K321" s="177"/>
      <c r="L321" s="178"/>
      <c r="M321" s="177"/>
      <c r="N321" s="177"/>
      <c r="O321" s="177"/>
      <c r="P321" s="177"/>
      <c r="Q321" s="177"/>
      <c r="R321" s="177"/>
      <c r="S321" s="177"/>
      <c r="T321" s="177"/>
      <c r="U321" s="177"/>
      <c r="V321" s="177"/>
      <c r="W321" s="177"/>
      <c r="X321" s="177"/>
      <c r="Y321" s="177"/>
      <c r="Z321" s="177"/>
      <c r="AA321" s="177"/>
      <c r="AB321" s="177"/>
      <c r="AC321" s="177"/>
    </row>
    <row r="322" spans="1:29" ht="13">
      <c r="A322" s="161"/>
      <c r="B322" s="161"/>
      <c r="C322" s="177"/>
      <c r="D322" s="177"/>
      <c r="E322" s="177"/>
      <c r="F322" s="177"/>
      <c r="G322" s="206"/>
      <c r="H322" s="177"/>
      <c r="I322" s="177"/>
      <c r="J322" s="177"/>
      <c r="K322" s="177"/>
      <c r="L322" s="178"/>
      <c r="M322" s="177"/>
      <c r="N322" s="177"/>
      <c r="O322" s="177"/>
      <c r="P322" s="177"/>
      <c r="Q322" s="177"/>
      <c r="R322" s="177"/>
      <c r="S322" s="177"/>
      <c r="T322" s="177"/>
      <c r="U322" s="177"/>
      <c r="V322" s="177"/>
      <c r="W322" s="177"/>
      <c r="X322" s="177"/>
      <c r="Y322" s="177"/>
      <c r="Z322" s="177"/>
      <c r="AA322" s="177"/>
      <c r="AB322" s="177"/>
      <c r="AC322" s="177"/>
    </row>
    <row r="323" spans="1:29" ht="13">
      <c r="A323" s="161"/>
      <c r="B323" s="161"/>
      <c r="C323" s="177"/>
      <c r="D323" s="177"/>
      <c r="E323" s="177"/>
      <c r="F323" s="177"/>
      <c r="G323" s="206"/>
      <c r="H323" s="177"/>
      <c r="I323" s="177"/>
      <c r="J323" s="177"/>
      <c r="K323" s="177"/>
      <c r="L323" s="178"/>
      <c r="M323" s="177"/>
      <c r="N323" s="177"/>
      <c r="O323" s="177"/>
      <c r="P323" s="177"/>
      <c r="Q323" s="177"/>
      <c r="R323" s="177"/>
      <c r="S323" s="177"/>
      <c r="T323" s="177"/>
      <c r="U323" s="177"/>
      <c r="V323" s="177"/>
      <c r="W323" s="177"/>
      <c r="X323" s="177"/>
      <c r="Y323" s="177"/>
      <c r="Z323" s="177"/>
      <c r="AA323" s="177"/>
      <c r="AB323" s="177"/>
      <c r="AC323" s="177"/>
    </row>
    <row r="324" spans="1:29" ht="13">
      <c r="A324" s="161"/>
      <c r="B324" s="161"/>
      <c r="C324" s="177"/>
      <c r="D324" s="177"/>
      <c r="E324" s="177"/>
      <c r="F324" s="177"/>
      <c r="G324" s="206"/>
      <c r="H324" s="177"/>
      <c r="I324" s="177"/>
      <c r="J324" s="177"/>
      <c r="K324" s="177"/>
      <c r="L324" s="178"/>
      <c r="M324" s="177"/>
      <c r="N324" s="177"/>
      <c r="O324" s="177"/>
      <c r="P324" s="177"/>
      <c r="Q324" s="177"/>
      <c r="R324" s="177"/>
      <c r="S324" s="177"/>
      <c r="T324" s="177"/>
      <c r="U324" s="177"/>
      <c r="V324" s="177"/>
      <c r="W324" s="177"/>
      <c r="X324" s="177"/>
      <c r="Y324" s="177"/>
      <c r="Z324" s="177"/>
      <c r="AA324" s="177"/>
      <c r="AB324" s="177"/>
      <c r="AC324" s="177"/>
    </row>
    <row r="325" spans="1:29" ht="13">
      <c r="A325" s="161"/>
      <c r="B325" s="161"/>
      <c r="C325" s="177"/>
      <c r="D325" s="177"/>
      <c r="E325" s="177"/>
      <c r="F325" s="177"/>
      <c r="G325" s="206"/>
      <c r="H325" s="177"/>
      <c r="I325" s="177"/>
      <c r="J325" s="177"/>
      <c r="K325" s="177"/>
      <c r="L325" s="178"/>
      <c r="M325" s="177"/>
      <c r="N325" s="177"/>
      <c r="O325" s="177"/>
      <c r="P325" s="177"/>
      <c r="Q325" s="177"/>
      <c r="R325" s="177"/>
      <c r="S325" s="177"/>
      <c r="T325" s="177"/>
      <c r="U325" s="177"/>
      <c r="V325" s="177"/>
      <c r="W325" s="177"/>
      <c r="X325" s="177"/>
      <c r="Y325" s="177"/>
      <c r="Z325" s="177"/>
      <c r="AA325" s="177"/>
      <c r="AB325" s="177"/>
      <c r="AC325" s="177"/>
    </row>
    <row r="326" spans="1:29" ht="13">
      <c r="A326" s="161"/>
      <c r="B326" s="161"/>
      <c r="C326" s="177"/>
      <c r="D326" s="177"/>
      <c r="E326" s="177"/>
      <c r="F326" s="177"/>
      <c r="G326" s="206"/>
      <c r="H326" s="177"/>
      <c r="I326" s="177"/>
      <c r="J326" s="177"/>
      <c r="K326" s="177"/>
      <c r="L326" s="178"/>
      <c r="M326" s="177"/>
      <c r="N326" s="177"/>
      <c r="O326" s="177"/>
      <c r="P326" s="177"/>
      <c r="Q326" s="177"/>
      <c r="R326" s="177"/>
      <c r="S326" s="177"/>
      <c r="T326" s="177"/>
      <c r="U326" s="177"/>
      <c r="V326" s="177"/>
      <c r="W326" s="177"/>
      <c r="X326" s="177"/>
      <c r="Y326" s="177"/>
      <c r="Z326" s="177"/>
      <c r="AA326" s="177"/>
      <c r="AB326" s="177"/>
      <c r="AC326" s="177"/>
    </row>
    <row r="327" spans="1:29" ht="13">
      <c r="A327" s="161"/>
      <c r="B327" s="161"/>
      <c r="C327" s="177"/>
      <c r="D327" s="177"/>
      <c r="E327" s="177"/>
      <c r="F327" s="177"/>
      <c r="G327" s="206"/>
      <c r="H327" s="177"/>
      <c r="I327" s="177"/>
      <c r="J327" s="177"/>
      <c r="K327" s="177"/>
      <c r="L327" s="178"/>
      <c r="M327" s="177"/>
      <c r="N327" s="177"/>
      <c r="O327" s="177"/>
      <c r="P327" s="177"/>
      <c r="Q327" s="177"/>
      <c r="R327" s="177"/>
      <c r="S327" s="177"/>
      <c r="T327" s="177"/>
      <c r="U327" s="177"/>
      <c r="V327" s="177"/>
      <c r="W327" s="177"/>
      <c r="X327" s="177"/>
      <c r="Y327" s="177"/>
      <c r="Z327" s="177"/>
      <c r="AA327" s="177"/>
      <c r="AB327" s="177"/>
      <c r="AC327" s="177"/>
    </row>
    <row r="328" spans="1:29" ht="13">
      <c r="A328" s="161"/>
      <c r="B328" s="161"/>
      <c r="C328" s="177"/>
      <c r="D328" s="177"/>
      <c r="E328" s="177"/>
      <c r="F328" s="177"/>
      <c r="G328" s="206"/>
      <c r="H328" s="177"/>
      <c r="I328" s="177"/>
      <c r="J328" s="177"/>
      <c r="K328" s="177"/>
      <c r="L328" s="178"/>
      <c r="M328" s="177"/>
      <c r="N328" s="177"/>
      <c r="O328" s="177"/>
      <c r="P328" s="177"/>
      <c r="Q328" s="177"/>
      <c r="R328" s="177"/>
      <c r="S328" s="177"/>
      <c r="T328" s="177"/>
      <c r="U328" s="177"/>
      <c r="V328" s="177"/>
      <c r="W328" s="177"/>
      <c r="X328" s="177"/>
      <c r="Y328" s="177"/>
      <c r="Z328" s="177"/>
      <c r="AA328" s="177"/>
      <c r="AB328" s="177"/>
      <c r="AC328" s="177"/>
    </row>
    <row r="329" spans="1:29" ht="13">
      <c r="A329" s="161"/>
      <c r="B329" s="161"/>
      <c r="C329" s="177"/>
      <c r="D329" s="177"/>
      <c r="E329" s="177"/>
      <c r="F329" s="177"/>
      <c r="G329" s="206"/>
      <c r="H329" s="177"/>
      <c r="I329" s="177"/>
      <c r="J329" s="177"/>
      <c r="K329" s="177"/>
      <c r="L329" s="178"/>
      <c r="M329" s="177"/>
      <c r="N329" s="177"/>
      <c r="O329" s="177"/>
      <c r="P329" s="177"/>
      <c r="Q329" s="177"/>
      <c r="R329" s="177"/>
      <c r="S329" s="177"/>
      <c r="T329" s="177"/>
      <c r="U329" s="177"/>
      <c r="V329" s="177"/>
      <c r="W329" s="177"/>
      <c r="X329" s="177"/>
      <c r="Y329" s="177"/>
      <c r="Z329" s="177"/>
      <c r="AA329" s="177"/>
      <c r="AB329" s="177"/>
      <c r="AC329" s="177"/>
    </row>
    <row r="330" spans="1:29" ht="13">
      <c r="A330" s="161"/>
      <c r="B330" s="161"/>
      <c r="C330" s="177"/>
      <c r="D330" s="177"/>
      <c r="E330" s="177"/>
      <c r="F330" s="177"/>
      <c r="G330" s="206"/>
      <c r="H330" s="177"/>
      <c r="I330" s="177"/>
      <c r="J330" s="177"/>
      <c r="K330" s="177"/>
      <c r="L330" s="178"/>
      <c r="M330" s="177"/>
      <c r="N330" s="177"/>
      <c r="O330" s="177"/>
      <c r="P330" s="177"/>
      <c r="Q330" s="177"/>
      <c r="R330" s="177"/>
      <c r="S330" s="177"/>
      <c r="T330" s="177"/>
      <c r="U330" s="177"/>
      <c r="V330" s="177"/>
      <c r="W330" s="177"/>
      <c r="X330" s="177"/>
      <c r="Y330" s="177"/>
      <c r="Z330" s="177"/>
      <c r="AA330" s="177"/>
      <c r="AB330" s="177"/>
      <c r="AC330" s="177"/>
    </row>
    <row r="331" spans="1:29" ht="13">
      <c r="A331" s="161"/>
      <c r="B331" s="161"/>
      <c r="C331" s="177"/>
      <c r="D331" s="177"/>
      <c r="E331" s="177"/>
      <c r="F331" s="177"/>
      <c r="G331" s="206"/>
      <c r="H331" s="177"/>
      <c r="I331" s="177"/>
      <c r="J331" s="177"/>
      <c r="K331" s="177"/>
      <c r="L331" s="178"/>
      <c r="M331" s="177"/>
      <c r="N331" s="177"/>
      <c r="O331" s="177"/>
      <c r="P331" s="177"/>
      <c r="Q331" s="177"/>
      <c r="R331" s="177"/>
      <c r="S331" s="177"/>
      <c r="T331" s="177"/>
      <c r="U331" s="177"/>
      <c r="V331" s="177"/>
      <c r="W331" s="177"/>
      <c r="X331" s="177"/>
      <c r="Y331" s="177"/>
      <c r="Z331" s="177"/>
      <c r="AA331" s="177"/>
      <c r="AB331" s="177"/>
      <c r="AC331" s="177"/>
    </row>
    <row r="332" spans="1:29" ht="13">
      <c r="A332" s="161"/>
      <c r="B332" s="161"/>
      <c r="C332" s="177"/>
      <c r="D332" s="177"/>
      <c r="E332" s="177"/>
      <c r="F332" s="177"/>
      <c r="G332" s="206"/>
      <c r="H332" s="177"/>
      <c r="I332" s="177"/>
      <c r="J332" s="177"/>
      <c r="K332" s="177"/>
      <c r="L332" s="178"/>
      <c r="M332" s="177"/>
      <c r="N332" s="177"/>
      <c r="O332" s="177"/>
      <c r="P332" s="177"/>
      <c r="Q332" s="177"/>
      <c r="R332" s="177"/>
      <c r="S332" s="177"/>
      <c r="T332" s="177"/>
      <c r="U332" s="177"/>
      <c r="V332" s="177"/>
      <c r="W332" s="177"/>
      <c r="X332" s="177"/>
      <c r="Y332" s="177"/>
      <c r="Z332" s="177"/>
      <c r="AA332" s="177"/>
      <c r="AB332" s="177"/>
      <c r="AC332" s="177"/>
    </row>
    <row r="333" spans="1:29" ht="13">
      <c r="A333" s="161"/>
      <c r="B333" s="161"/>
      <c r="C333" s="177"/>
      <c r="D333" s="177"/>
      <c r="E333" s="177"/>
      <c r="F333" s="177"/>
      <c r="G333" s="206"/>
      <c r="H333" s="177"/>
      <c r="I333" s="177"/>
      <c r="J333" s="177"/>
      <c r="K333" s="177"/>
      <c r="L333" s="178"/>
      <c r="M333" s="177"/>
      <c r="N333" s="177"/>
      <c r="O333" s="177"/>
      <c r="P333" s="177"/>
      <c r="Q333" s="177"/>
      <c r="R333" s="177"/>
      <c r="S333" s="177"/>
      <c r="T333" s="177"/>
      <c r="U333" s="177"/>
      <c r="V333" s="177"/>
      <c r="W333" s="177"/>
      <c r="X333" s="177"/>
      <c r="Y333" s="177"/>
      <c r="Z333" s="177"/>
      <c r="AA333" s="177"/>
      <c r="AB333" s="177"/>
      <c r="AC333" s="177"/>
    </row>
    <row r="334" spans="1:29" ht="13">
      <c r="A334" s="161"/>
      <c r="B334" s="161"/>
      <c r="C334" s="177"/>
      <c r="D334" s="177"/>
      <c r="E334" s="177"/>
      <c r="F334" s="177"/>
      <c r="G334" s="206"/>
      <c r="H334" s="177"/>
      <c r="I334" s="177"/>
      <c r="J334" s="177"/>
      <c r="K334" s="177"/>
      <c r="L334" s="178"/>
      <c r="M334" s="177"/>
      <c r="N334" s="177"/>
      <c r="O334" s="177"/>
      <c r="P334" s="177"/>
      <c r="Q334" s="177"/>
      <c r="R334" s="177"/>
      <c r="S334" s="177"/>
      <c r="T334" s="177"/>
      <c r="U334" s="177"/>
      <c r="V334" s="177"/>
      <c r="W334" s="177"/>
      <c r="X334" s="177"/>
      <c r="Y334" s="177"/>
      <c r="Z334" s="177"/>
      <c r="AA334" s="177"/>
      <c r="AB334" s="177"/>
      <c r="AC334" s="177"/>
    </row>
    <row r="335" spans="1:29" ht="13">
      <c r="A335" s="161"/>
      <c r="B335" s="161"/>
      <c r="C335" s="177"/>
      <c r="D335" s="177"/>
      <c r="E335" s="177"/>
      <c r="F335" s="177"/>
      <c r="G335" s="206"/>
      <c r="H335" s="177"/>
      <c r="I335" s="177"/>
      <c r="J335" s="177"/>
      <c r="K335" s="177"/>
      <c r="L335" s="178"/>
      <c r="M335" s="177"/>
      <c r="N335" s="177"/>
      <c r="O335" s="177"/>
      <c r="P335" s="177"/>
      <c r="Q335" s="177"/>
      <c r="R335" s="177"/>
      <c r="S335" s="177"/>
      <c r="T335" s="177"/>
      <c r="U335" s="177"/>
      <c r="V335" s="177"/>
      <c r="W335" s="177"/>
      <c r="X335" s="177"/>
      <c r="Y335" s="177"/>
      <c r="Z335" s="177"/>
      <c r="AA335" s="177"/>
      <c r="AB335" s="177"/>
      <c r="AC335" s="177"/>
    </row>
    <row r="336" spans="1:29" ht="13">
      <c r="A336" s="161"/>
      <c r="B336" s="161"/>
      <c r="C336" s="177"/>
      <c r="D336" s="177"/>
      <c r="E336" s="177"/>
      <c r="F336" s="177"/>
      <c r="G336" s="206"/>
      <c r="H336" s="177"/>
      <c r="I336" s="177"/>
      <c r="J336" s="177"/>
      <c r="K336" s="177"/>
      <c r="L336" s="178"/>
      <c r="M336" s="177"/>
      <c r="N336" s="177"/>
      <c r="O336" s="177"/>
      <c r="P336" s="177"/>
      <c r="Q336" s="177"/>
      <c r="R336" s="177"/>
      <c r="S336" s="177"/>
      <c r="T336" s="177"/>
      <c r="U336" s="177"/>
      <c r="V336" s="177"/>
      <c r="W336" s="177"/>
      <c r="X336" s="177"/>
      <c r="Y336" s="177"/>
      <c r="Z336" s="177"/>
      <c r="AA336" s="177"/>
      <c r="AB336" s="177"/>
      <c r="AC336" s="177"/>
    </row>
    <row r="337" spans="1:29" ht="13">
      <c r="A337" s="161"/>
      <c r="B337" s="161"/>
      <c r="C337" s="177"/>
      <c r="D337" s="177"/>
      <c r="E337" s="177"/>
      <c r="F337" s="177"/>
      <c r="G337" s="206"/>
      <c r="H337" s="177"/>
      <c r="I337" s="177"/>
      <c r="J337" s="177"/>
      <c r="K337" s="177"/>
      <c r="L337" s="178"/>
      <c r="M337" s="177"/>
      <c r="N337" s="177"/>
      <c r="O337" s="177"/>
      <c r="P337" s="177"/>
      <c r="Q337" s="177"/>
      <c r="R337" s="177"/>
      <c r="S337" s="177"/>
      <c r="T337" s="177"/>
      <c r="U337" s="177"/>
      <c r="V337" s="177"/>
      <c r="W337" s="177"/>
      <c r="X337" s="177"/>
      <c r="Y337" s="177"/>
      <c r="Z337" s="177"/>
      <c r="AA337" s="177"/>
      <c r="AB337" s="177"/>
      <c r="AC337" s="177"/>
    </row>
    <row r="338" spans="1:29" ht="13">
      <c r="A338" s="161"/>
      <c r="B338" s="161"/>
      <c r="C338" s="177"/>
      <c r="D338" s="177"/>
      <c r="E338" s="177"/>
      <c r="F338" s="177"/>
      <c r="G338" s="206"/>
      <c r="H338" s="177"/>
      <c r="I338" s="177"/>
      <c r="J338" s="177"/>
      <c r="K338" s="177"/>
      <c r="L338" s="178"/>
      <c r="M338" s="177"/>
      <c r="N338" s="177"/>
      <c r="O338" s="177"/>
      <c r="P338" s="177"/>
      <c r="Q338" s="177"/>
      <c r="R338" s="177"/>
      <c r="S338" s="177"/>
      <c r="T338" s="177"/>
      <c r="U338" s="177"/>
      <c r="V338" s="177"/>
      <c r="W338" s="177"/>
      <c r="X338" s="177"/>
      <c r="Y338" s="177"/>
      <c r="Z338" s="177"/>
      <c r="AA338" s="177"/>
      <c r="AB338" s="177"/>
      <c r="AC338" s="177"/>
    </row>
    <row r="339" spans="1:29" ht="13">
      <c r="A339" s="161"/>
      <c r="B339" s="161"/>
      <c r="C339" s="177"/>
      <c r="D339" s="177"/>
      <c r="E339" s="177"/>
      <c r="F339" s="177"/>
      <c r="G339" s="206"/>
      <c r="H339" s="177"/>
      <c r="I339" s="177"/>
      <c r="J339" s="177"/>
      <c r="K339" s="177"/>
      <c r="L339" s="178"/>
      <c r="M339" s="177"/>
      <c r="N339" s="177"/>
      <c r="O339" s="177"/>
      <c r="P339" s="177"/>
      <c r="Q339" s="177"/>
      <c r="R339" s="177"/>
      <c r="S339" s="177"/>
      <c r="T339" s="177"/>
      <c r="U339" s="177"/>
      <c r="V339" s="177"/>
      <c r="W339" s="177"/>
      <c r="X339" s="177"/>
      <c r="Y339" s="177"/>
      <c r="Z339" s="177"/>
      <c r="AA339" s="177"/>
      <c r="AB339" s="177"/>
      <c r="AC339" s="177"/>
    </row>
    <row r="340" spans="1:29" ht="13">
      <c r="A340" s="161"/>
      <c r="B340" s="161"/>
      <c r="C340" s="177"/>
      <c r="D340" s="177"/>
      <c r="E340" s="177"/>
      <c r="F340" s="177"/>
      <c r="G340" s="206"/>
      <c r="H340" s="177"/>
      <c r="I340" s="177"/>
      <c r="J340" s="177"/>
      <c r="K340" s="177"/>
      <c r="L340" s="178"/>
      <c r="M340" s="177"/>
      <c r="N340" s="177"/>
      <c r="O340" s="177"/>
      <c r="P340" s="177"/>
      <c r="Q340" s="177"/>
      <c r="R340" s="177"/>
      <c r="S340" s="177"/>
      <c r="T340" s="177"/>
      <c r="U340" s="177"/>
      <c r="V340" s="177"/>
      <c r="W340" s="177"/>
      <c r="X340" s="177"/>
      <c r="Y340" s="177"/>
      <c r="Z340" s="177"/>
      <c r="AA340" s="177"/>
      <c r="AB340" s="177"/>
      <c r="AC340" s="177"/>
    </row>
    <row r="341" spans="1:29" ht="13">
      <c r="A341" s="161"/>
      <c r="B341" s="161"/>
      <c r="C341" s="177"/>
      <c r="D341" s="177"/>
      <c r="E341" s="177"/>
      <c r="F341" s="177"/>
      <c r="G341" s="206"/>
      <c r="H341" s="177"/>
      <c r="I341" s="177"/>
      <c r="J341" s="177"/>
      <c r="K341" s="177"/>
      <c r="L341" s="178"/>
      <c r="M341" s="177"/>
      <c r="N341" s="177"/>
      <c r="O341" s="177"/>
      <c r="P341" s="177"/>
      <c r="Q341" s="177"/>
      <c r="R341" s="177"/>
      <c r="S341" s="177"/>
      <c r="T341" s="177"/>
      <c r="U341" s="177"/>
      <c r="V341" s="177"/>
      <c r="W341" s="177"/>
      <c r="X341" s="177"/>
      <c r="Y341" s="177"/>
      <c r="Z341" s="177"/>
      <c r="AA341" s="177"/>
      <c r="AB341" s="177"/>
      <c r="AC341" s="177"/>
    </row>
    <row r="342" spans="1:29" ht="13">
      <c r="A342" s="161"/>
      <c r="B342" s="161"/>
      <c r="C342" s="177"/>
      <c r="D342" s="177"/>
      <c r="E342" s="177"/>
      <c r="F342" s="177"/>
      <c r="G342" s="206"/>
      <c r="H342" s="177"/>
      <c r="I342" s="177"/>
      <c r="J342" s="177"/>
      <c r="K342" s="177"/>
      <c r="L342" s="178"/>
      <c r="M342" s="177"/>
      <c r="N342" s="177"/>
      <c r="O342" s="177"/>
      <c r="P342" s="177"/>
      <c r="Q342" s="177"/>
      <c r="R342" s="177"/>
      <c r="S342" s="177"/>
      <c r="T342" s="177"/>
      <c r="U342" s="177"/>
      <c r="V342" s="177"/>
      <c r="W342" s="177"/>
      <c r="X342" s="177"/>
      <c r="Y342" s="177"/>
      <c r="Z342" s="177"/>
      <c r="AA342" s="177"/>
      <c r="AB342" s="177"/>
      <c r="AC342" s="177"/>
    </row>
    <row r="343" spans="1:29" ht="13">
      <c r="A343" s="161"/>
      <c r="B343" s="161"/>
      <c r="C343" s="177"/>
      <c r="D343" s="177"/>
      <c r="E343" s="177"/>
      <c r="F343" s="177"/>
      <c r="G343" s="206"/>
      <c r="H343" s="177"/>
      <c r="I343" s="177"/>
      <c r="J343" s="177"/>
      <c r="K343" s="177"/>
      <c r="L343" s="178"/>
      <c r="M343" s="177"/>
      <c r="N343" s="177"/>
      <c r="O343" s="177"/>
      <c r="P343" s="177"/>
      <c r="Q343" s="177"/>
      <c r="R343" s="177"/>
      <c r="S343" s="177"/>
      <c r="T343" s="177"/>
      <c r="U343" s="177"/>
      <c r="V343" s="177"/>
      <c r="W343" s="177"/>
      <c r="X343" s="177"/>
      <c r="Y343" s="177"/>
      <c r="Z343" s="177"/>
      <c r="AA343" s="177"/>
      <c r="AB343" s="177"/>
      <c r="AC343" s="177"/>
    </row>
    <row r="344" spans="1:29" ht="13">
      <c r="A344" s="161"/>
      <c r="B344" s="161"/>
      <c r="C344" s="177"/>
      <c r="D344" s="177"/>
      <c r="E344" s="177"/>
      <c r="F344" s="177"/>
      <c r="G344" s="206"/>
      <c r="H344" s="177"/>
      <c r="I344" s="177"/>
      <c r="J344" s="177"/>
      <c r="K344" s="177"/>
      <c r="L344" s="178"/>
      <c r="M344" s="177"/>
      <c r="N344" s="177"/>
      <c r="O344" s="177"/>
      <c r="P344" s="177"/>
      <c r="Q344" s="177"/>
      <c r="R344" s="177"/>
      <c r="S344" s="177"/>
      <c r="T344" s="177"/>
      <c r="U344" s="177"/>
      <c r="V344" s="177"/>
      <c r="W344" s="177"/>
      <c r="X344" s="177"/>
      <c r="Y344" s="177"/>
      <c r="Z344" s="177"/>
      <c r="AA344" s="177"/>
      <c r="AB344" s="177"/>
      <c r="AC344" s="177"/>
    </row>
    <row r="345" spans="1:29" ht="13">
      <c r="A345" s="161"/>
      <c r="B345" s="161"/>
      <c r="C345" s="177"/>
      <c r="D345" s="177"/>
      <c r="E345" s="177"/>
      <c r="F345" s="177"/>
      <c r="G345" s="206"/>
      <c r="H345" s="177"/>
      <c r="I345" s="177"/>
      <c r="J345" s="177"/>
      <c r="K345" s="177"/>
      <c r="L345" s="178"/>
      <c r="M345" s="177"/>
      <c r="N345" s="177"/>
      <c r="O345" s="177"/>
      <c r="P345" s="177"/>
      <c r="Q345" s="177"/>
      <c r="R345" s="177"/>
      <c r="S345" s="177"/>
      <c r="T345" s="177"/>
      <c r="U345" s="177"/>
      <c r="V345" s="177"/>
      <c r="W345" s="177"/>
      <c r="X345" s="177"/>
      <c r="Y345" s="177"/>
      <c r="Z345" s="177"/>
      <c r="AA345" s="177"/>
      <c r="AB345" s="177"/>
      <c r="AC345" s="177"/>
    </row>
    <row r="346" spans="1:29" ht="13">
      <c r="A346" s="161"/>
      <c r="B346" s="161"/>
      <c r="C346" s="177"/>
      <c r="D346" s="177"/>
      <c r="E346" s="177"/>
      <c r="F346" s="177"/>
      <c r="G346" s="206"/>
      <c r="H346" s="177"/>
      <c r="I346" s="177"/>
      <c r="J346" s="177"/>
      <c r="K346" s="177"/>
      <c r="L346" s="178"/>
      <c r="M346" s="177"/>
      <c r="N346" s="177"/>
      <c r="O346" s="177"/>
      <c r="P346" s="177"/>
      <c r="Q346" s="177"/>
      <c r="R346" s="177"/>
      <c r="S346" s="177"/>
      <c r="T346" s="177"/>
      <c r="U346" s="177"/>
      <c r="V346" s="177"/>
      <c r="W346" s="177"/>
      <c r="X346" s="177"/>
      <c r="Y346" s="177"/>
      <c r="Z346" s="177"/>
      <c r="AA346" s="177"/>
      <c r="AB346" s="177"/>
      <c r="AC346" s="177"/>
    </row>
    <row r="347" spans="1:29" ht="13">
      <c r="A347" s="161"/>
      <c r="B347" s="161"/>
      <c r="C347" s="177"/>
      <c r="D347" s="177"/>
      <c r="E347" s="177"/>
      <c r="F347" s="177"/>
      <c r="G347" s="206"/>
      <c r="H347" s="177"/>
      <c r="I347" s="177"/>
      <c r="J347" s="177"/>
      <c r="K347" s="177"/>
      <c r="L347" s="178"/>
      <c r="M347" s="177"/>
      <c r="N347" s="177"/>
      <c r="O347" s="177"/>
      <c r="P347" s="177"/>
      <c r="Q347" s="177"/>
      <c r="R347" s="177"/>
      <c r="S347" s="177"/>
      <c r="T347" s="177"/>
      <c r="U347" s="177"/>
      <c r="V347" s="177"/>
      <c r="W347" s="177"/>
      <c r="X347" s="177"/>
      <c r="Y347" s="177"/>
      <c r="Z347" s="177"/>
      <c r="AA347" s="177"/>
      <c r="AB347" s="177"/>
      <c r="AC347" s="177"/>
    </row>
    <row r="348" spans="1:29" ht="13">
      <c r="A348" s="161"/>
      <c r="B348" s="161"/>
      <c r="C348" s="177"/>
      <c r="D348" s="177"/>
      <c r="E348" s="177"/>
      <c r="F348" s="177"/>
      <c r="G348" s="206"/>
      <c r="H348" s="177"/>
      <c r="I348" s="177"/>
      <c r="J348" s="177"/>
      <c r="K348" s="177"/>
      <c r="L348" s="178"/>
      <c r="M348" s="177"/>
      <c r="N348" s="177"/>
      <c r="O348" s="177"/>
      <c r="P348" s="177"/>
      <c r="Q348" s="177"/>
      <c r="R348" s="177"/>
      <c r="S348" s="177"/>
      <c r="T348" s="177"/>
      <c r="U348" s="177"/>
      <c r="V348" s="177"/>
      <c r="W348" s="177"/>
      <c r="X348" s="177"/>
      <c r="Y348" s="177"/>
      <c r="Z348" s="177"/>
      <c r="AA348" s="177"/>
      <c r="AB348" s="177"/>
      <c r="AC348" s="177"/>
    </row>
    <row r="349" spans="1:29" ht="13">
      <c r="A349" s="161"/>
      <c r="B349" s="161"/>
      <c r="C349" s="177"/>
      <c r="D349" s="177"/>
      <c r="E349" s="177"/>
      <c r="F349" s="177"/>
      <c r="G349" s="206"/>
      <c r="H349" s="177"/>
      <c r="I349" s="177"/>
      <c r="J349" s="177"/>
      <c r="K349" s="177"/>
      <c r="L349" s="178"/>
      <c r="M349" s="177"/>
      <c r="N349" s="177"/>
      <c r="O349" s="177"/>
      <c r="P349" s="177"/>
      <c r="Q349" s="177"/>
      <c r="R349" s="177"/>
      <c r="S349" s="177"/>
      <c r="T349" s="177"/>
      <c r="U349" s="177"/>
      <c r="V349" s="177"/>
      <c r="W349" s="177"/>
      <c r="X349" s="177"/>
      <c r="Y349" s="177"/>
      <c r="Z349" s="177"/>
      <c r="AA349" s="177"/>
      <c r="AB349" s="177"/>
      <c r="AC349" s="177"/>
    </row>
    <row r="350" spans="1:29" ht="13">
      <c r="A350" s="161"/>
      <c r="B350" s="161"/>
      <c r="C350" s="177"/>
      <c r="D350" s="177"/>
      <c r="E350" s="177"/>
      <c r="F350" s="177"/>
      <c r="G350" s="206"/>
      <c r="H350" s="177"/>
      <c r="I350" s="177"/>
      <c r="J350" s="177"/>
      <c r="K350" s="177"/>
      <c r="L350" s="178"/>
      <c r="M350" s="177"/>
      <c r="N350" s="177"/>
      <c r="O350" s="177"/>
      <c r="P350" s="177"/>
      <c r="Q350" s="177"/>
      <c r="R350" s="177"/>
      <c r="S350" s="177"/>
      <c r="T350" s="177"/>
      <c r="U350" s="177"/>
      <c r="V350" s="177"/>
      <c r="W350" s="177"/>
      <c r="X350" s="177"/>
      <c r="Y350" s="177"/>
      <c r="Z350" s="177"/>
      <c r="AA350" s="177"/>
      <c r="AB350" s="177"/>
      <c r="AC350" s="177"/>
    </row>
    <row r="351" spans="1:29" ht="13">
      <c r="A351" s="161"/>
      <c r="B351" s="161"/>
      <c r="C351" s="177"/>
      <c r="D351" s="177"/>
      <c r="E351" s="177"/>
      <c r="F351" s="177"/>
      <c r="G351" s="206"/>
      <c r="H351" s="177"/>
      <c r="I351" s="177"/>
      <c r="J351" s="177"/>
      <c r="K351" s="177"/>
      <c r="L351" s="178"/>
      <c r="M351" s="177"/>
      <c r="N351" s="177"/>
      <c r="O351" s="177"/>
      <c r="P351" s="177"/>
      <c r="Q351" s="177"/>
      <c r="R351" s="177"/>
      <c r="S351" s="177"/>
      <c r="T351" s="177"/>
      <c r="U351" s="177"/>
      <c r="V351" s="177"/>
      <c r="W351" s="177"/>
      <c r="X351" s="177"/>
      <c r="Y351" s="177"/>
      <c r="Z351" s="177"/>
      <c r="AA351" s="177"/>
      <c r="AB351" s="177"/>
      <c r="AC351" s="177"/>
    </row>
    <row r="352" spans="1:29" ht="13">
      <c r="A352" s="161"/>
      <c r="B352" s="161"/>
      <c r="C352" s="177"/>
      <c r="D352" s="177"/>
      <c r="E352" s="177"/>
      <c r="F352" s="177"/>
      <c r="G352" s="206"/>
      <c r="H352" s="177"/>
      <c r="I352" s="177"/>
      <c r="J352" s="177"/>
      <c r="K352" s="177"/>
      <c r="L352" s="178"/>
      <c r="M352" s="177"/>
      <c r="N352" s="177"/>
      <c r="O352" s="177"/>
      <c r="P352" s="177"/>
      <c r="Q352" s="177"/>
      <c r="R352" s="177"/>
      <c r="S352" s="177"/>
      <c r="T352" s="177"/>
      <c r="U352" s="177"/>
      <c r="V352" s="177"/>
      <c r="W352" s="177"/>
      <c r="X352" s="177"/>
      <c r="Y352" s="177"/>
      <c r="Z352" s="177"/>
      <c r="AA352" s="177"/>
      <c r="AB352" s="177"/>
      <c r="AC352" s="177"/>
    </row>
    <row r="353" spans="1:29" ht="13">
      <c r="A353" s="161"/>
      <c r="B353" s="161"/>
      <c r="C353" s="177"/>
      <c r="D353" s="177"/>
      <c r="E353" s="177"/>
      <c r="F353" s="177"/>
      <c r="G353" s="206"/>
      <c r="H353" s="177"/>
      <c r="I353" s="177"/>
      <c r="J353" s="177"/>
      <c r="K353" s="177"/>
      <c r="L353" s="178"/>
      <c r="M353" s="177"/>
      <c r="N353" s="177"/>
      <c r="O353" s="177"/>
      <c r="P353" s="177"/>
      <c r="Q353" s="177"/>
      <c r="R353" s="177"/>
      <c r="S353" s="177"/>
      <c r="T353" s="177"/>
      <c r="U353" s="177"/>
      <c r="V353" s="177"/>
      <c r="W353" s="177"/>
      <c r="X353" s="177"/>
      <c r="Y353" s="177"/>
      <c r="Z353" s="177"/>
      <c r="AA353" s="177"/>
      <c r="AB353" s="177"/>
      <c r="AC353" s="177"/>
    </row>
    <row r="354" spans="1:29" ht="13">
      <c r="A354" s="161"/>
      <c r="B354" s="161"/>
      <c r="C354" s="177"/>
      <c r="D354" s="177"/>
      <c r="E354" s="177"/>
      <c r="F354" s="177"/>
      <c r="G354" s="206"/>
      <c r="H354" s="177"/>
      <c r="I354" s="177"/>
      <c r="J354" s="177"/>
      <c r="K354" s="177"/>
      <c r="L354" s="178"/>
      <c r="M354" s="177"/>
      <c r="N354" s="177"/>
      <c r="O354" s="177"/>
      <c r="P354" s="177"/>
      <c r="Q354" s="177"/>
      <c r="R354" s="177"/>
      <c r="S354" s="177"/>
      <c r="T354" s="177"/>
      <c r="U354" s="177"/>
      <c r="V354" s="177"/>
      <c r="W354" s="177"/>
      <c r="X354" s="177"/>
      <c r="Y354" s="177"/>
      <c r="Z354" s="177"/>
      <c r="AA354" s="177"/>
      <c r="AB354" s="177"/>
      <c r="AC354" s="177"/>
    </row>
    <row r="355" spans="1:29" ht="13">
      <c r="A355" s="161"/>
      <c r="B355" s="161"/>
      <c r="C355" s="177"/>
      <c r="D355" s="177"/>
      <c r="E355" s="177"/>
      <c r="F355" s="177"/>
      <c r="G355" s="206"/>
      <c r="H355" s="177"/>
      <c r="I355" s="177"/>
      <c r="J355" s="177"/>
      <c r="K355" s="177"/>
      <c r="L355" s="178"/>
      <c r="M355" s="177"/>
      <c r="N355" s="177"/>
      <c r="O355" s="177"/>
      <c r="P355" s="177"/>
      <c r="Q355" s="177"/>
      <c r="R355" s="177"/>
      <c r="S355" s="177"/>
      <c r="T355" s="177"/>
      <c r="U355" s="177"/>
      <c r="V355" s="177"/>
      <c r="W355" s="177"/>
      <c r="X355" s="177"/>
      <c r="Y355" s="177"/>
      <c r="Z355" s="177"/>
      <c r="AA355" s="177"/>
      <c r="AB355" s="177"/>
      <c r="AC355" s="177"/>
    </row>
    <row r="356" spans="1:29" ht="13">
      <c r="A356" s="161"/>
      <c r="B356" s="161"/>
      <c r="C356" s="177"/>
      <c r="D356" s="177"/>
      <c r="E356" s="177"/>
      <c r="F356" s="177"/>
      <c r="G356" s="206"/>
      <c r="H356" s="177"/>
      <c r="I356" s="177"/>
      <c r="J356" s="177"/>
      <c r="K356" s="177"/>
      <c r="L356" s="178"/>
      <c r="M356" s="177"/>
      <c r="N356" s="177"/>
      <c r="O356" s="177"/>
      <c r="P356" s="177"/>
      <c r="Q356" s="177"/>
      <c r="R356" s="177"/>
      <c r="S356" s="177"/>
      <c r="T356" s="177"/>
      <c r="U356" s="177"/>
      <c r="V356" s="177"/>
      <c r="W356" s="177"/>
      <c r="X356" s="177"/>
      <c r="Y356" s="177"/>
      <c r="Z356" s="177"/>
      <c r="AA356" s="177"/>
      <c r="AB356" s="177"/>
      <c r="AC356" s="177"/>
    </row>
    <row r="357" spans="1:29" ht="13">
      <c r="A357" s="161"/>
      <c r="B357" s="161"/>
      <c r="C357" s="177"/>
      <c r="D357" s="177"/>
      <c r="E357" s="177"/>
      <c r="F357" s="177"/>
      <c r="G357" s="206"/>
      <c r="H357" s="177"/>
      <c r="I357" s="177"/>
      <c r="J357" s="177"/>
      <c r="K357" s="177"/>
      <c r="L357" s="178"/>
      <c r="M357" s="177"/>
      <c r="N357" s="177"/>
      <c r="O357" s="177"/>
      <c r="P357" s="177"/>
      <c r="Q357" s="177"/>
      <c r="R357" s="177"/>
      <c r="S357" s="177"/>
      <c r="T357" s="177"/>
      <c r="U357" s="177"/>
      <c r="V357" s="177"/>
      <c r="W357" s="177"/>
      <c r="X357" s="177"/>
      <c r="Y357" s="177"/>
      <c r="Z357" s="177"/>
      <c r="AA357" s="177"/>
      <c r="AB357" s="177"/>
      <c r="AC357" s="177"/>
    </row>
    <row r="358" spans="1:29" ht="13">
      <c r="A358" s="161"/>
      <c r="B358" s="161"/>
      <c r="C358" s="177"/>
      <c r="D358" s="177"/>
      <c r="E358" s="177"/>
      <c r="F358" s="177"/>
      <c r="G358" s="206"/>
      <c r="H358" s="177"/>
      <c r="I358" s="177"/>
      <c r="J358" s="177"/>
      <c r="K358" s="177"/>
      <c r="L358" s="178"/>
      <c r="M358" s="177"/>
      <c r="N358" s="177"/>
      <c r="O358" s="177"/>
      <c r="P358" s="177"/>
      <c r="Q358" s="177"/>
      <c r="R358" s="177"/>
      <c r="S358" s="177"/>
      <c r="T358" s="177"/>
      <c r="U358" s="177"/>
      <c r="V358" s="177"/>
      <c r="W358" s="177"/>
      <c r="X358" s="177"/>
      <c r="Y358" s="177"/>
      <c r="Z358" s="177"/>
      <c r="AA358" s="177"/>
      <c r="AB358" s="177"/>
      <c r="AC358" s="177"/>
    </row>
    <row r="359" spans="1:29" ht="13">
      <c r="A359" s="161"/>
      <c r="B359" s="161"/>
      <c r="C359" s="177"/>
      <c r="D359" s="177"/>
      <c r="E359" s="177"/>
      <c r="F359" s="177"/>
      <c r="G359" s="206"/>
      <c r="H359" s="177"/>
      <c r="I359" s="177"/>
      <c r="J359" s="177"/>
      <c r="K359" s="177"/>
      <c r="L359" s="178"/>
      <c r="M359" s="177"/>
      <c r="N359" s="177"/>
      <c r="O359" s="177"/>
      <c r="P359" s="177"/>
      <c r="Q359" s="177"/>
      <c r="R359" s="177"/>
      <c r="S359" s="177"/>
      <c r="T359" s="177"/>
      <c r="U359" s="177"/>
      <c r="V359" s="177"/>
      <c r="W359" s="177"/>
      <c r="X359" s="177"/>
      <c r="Y359" s="177"/>
      <c r="Z359" s="177"/>
      <c r="AA359" s="177"/>
      <c r="AB359" s="177"/>
      <c r="AC359" s="177"/>
    </row>
    <row r="360" spans="1:29" ht="13">
      <c r="A360" s="161"/>
      <c r="B360" s="161"/>
      <c r="C360" s="177"/>
      <c r="D360" s="177"/>
      <c r="E360" s="177"/>
      <c r="F360" s="177"/>
      <c r="G360" s="206"/>
      <c r="H360" s="177"/>
      <c r="I360" s="177"/>
      <c r="J360" s="177"/>
      <c r="K360" s="177"/>
      <c r="L360" s="178"/>
      <c r="M360" s="177"/>
      <c r="N360" s="177"/>
      <c r="O360" s="177"/>
      <c r="P360" s="177"/>
      <c r="Q360" s="177"/>
      <c r="R360" s="177"/>
      <c r="S360" s="177"/>
      <c r="T360" s="177"/>
      <c r="U360" s="177"/>
      <c r="V360" s="177"/>
      <c r="W360" s="177"/>
      <c r="X360" s="177"/>
      <c r="Y360" s="177"/>
      <c r="Z360" s="177"/>
      <c r="AA360" s="177"/>
      <c r="AB360" s="177"/>
      <c r="AC360" s="177"/>
    </row>
    <row r="361" spans="1:29" ht="13">
      <c r="A361" s="161"/>
      <c r="B361" s="161"/>
      <c r="C361" s="177"/>
      <c r="D361" s="177"/>
      <c r="E361" s="177"/>
      <c r="F361" s="177"/>
      <c r="G361" s="206"/>
      <c r="H361" s="177"/>
      <c r="I361" s="177"/>
      <c r="J361" s="177"/>
      <c r="K361" s="177"/>
      <c r="L361" s="178"/>
      <c r="M361" s="177"/>
      <c r="N361" s="177"/>
      <c r="O361" s="177"/>
      <c r="P361" s="177"/>
      <c r="Q361" s="177"/>
      <c r="R361" s="177"/>
      <c r="S361" s="177"/>
      <c r="T361" s="177"/>
      <c r="U361" s="177"/>
      <c r="V361" s="177"/>
      <c r="W361" s="177"/>
      <c r="X361" s="177"/>
      <c r="Y361" s="177"/>
      <c r="Z361" s="177"/>
      <c r="AA361" s="177"/>
      <c r="AB361" s="177"/>
      <c r="AC361" s="177"/>
    </row>
    <row r="362" spans="1:29" ht="13">
      <c r="A362" s="161"/>
      <c r="B362" s="161"/>
      <c r="C362" s="177"/>
      <c r="D362" s="177"/>
      <c r="E362" s="177"/>
      <c r="F362" s="177"/>
      <c r="G362" s="206"/>
      <c r="H362" s="177"/>
      <c r="I362" s="177"/>
      <c r="J362" s="177"/>
      <c r="K362" s="177"/>
      <c r="L362" s="178"/>
      <c r="M362" s="177"/>
      <c r="N362" s="177"/>
      <c r="O362" s="177"/>
      <c r="P362" s="177"/>
      <c r="Q362" s="177"/>
      <c r="R362" s="177"/>
      <c r="S362" s="177"/>
      <c r="T362" s="177"/>
      <c r="U362" s="177"/>
      <c r="V362" s="177"/>
      <c r="W362" s="177"/>
      <c r="X362" s="177"/>
      <c r="Y362" s="177"/>
      <c r="Z362" s="177"/>
      <c r="AA362" s="177"/>
      <c r="AB362" s="177"/>
      <c r="AC362" s="177"/>
    </row>
    <row r="363" spans="1:29" ht="13">
      <c r="A363" s="161"/>
      <c r="B363" s="161"/>
      <c r="C363" s="177"/>
      <c r="D363" s="177"/>
      <c r="E363" s="177"/>
      <c r="F363" s="177"/>
      <c r="G363" s="206"/>
      <c r="H363" s="177"/>
      <c r="I363" s="177"/>
      <c r="J363" s="177"/>
      <c r="K363" s="177"/>
      <c r="L363" s="178"/>
      <c r="M363" s="177"/>
      <c r="N363" s="177"/>
      <c r="O363" s="177"/>
      <c r="P363" s="177"/>
      <c r="Q363" s="177"/>
      <c r="R363" s="177"/>
      <c r="S363" s="177"/>
      <c r="T363" s="177"/>
      <c r="U363" s="177"/>
      <c r="V363" s="177"/>
      <c r="W363" s="177"/>
      <c r="X363" s="177"/>
      <c r="Y363" s="177"/>
      <c r="Z363" s="177"/>
      <c r="AA363" s="177"/>
      <c r="AB363" s="177"/>
      <c r="AC363" s="177"/>
    </row>
    <row r="364" spans="1:29" ht="13">
      <c r="A364" s="161"/>
      <c r="B364" s="161"/>
      <c r="C364" s="177"/>
      <c r="D364" s="177"/>
      <c r="E364" s="177"/>
      <c r="F364" s="177"/>
      <c r="G364" s="206"/>
      <c r="H364" s="177"/>
      <c r="I364" s="177"/>
      <c r="J364" s="177"/>
      <c r="K364" s="177"/>
      <c r="L364" s="178"/>
      <c r="M364" s="177"/>
      <c r="N364" s="177"/>
      <c r="O364" s="177"/>
      <c r="P364" s="177"/>
      <c r="Q364" s="177"/>
      <c r="R364" s="177"/>
      <c r="S364" s="177"/>
      <c r="T364" s="177"/>
      <c r="U364" s="177"/>
      <c r="V364" s="177"/>
      <c r="W364" s="177"/>
      <c r="X364" s="177"/>
      <c r="Y364" s="177"/>
      <c r="Z364" s="177"/>
      <c r="AA364" s="177"/>
      <c r="AB364" s="177"/>
      <c r="AC364" s="177"/>
    </row>
    <row r="365" spans="1:29" ht="13">
      <c r="A365" s="161"/>
      <c r="B365" s="161"/>
      <c r="C365" s="177"/>
      <c r="D365" s="177"/>
      <c r="E365" s="177"/>
      <c r="F365" s="177"/>
      <c r="G365" s="206"/>
      <c r="H365" s="177"/>
      <c r="I365" s="177"/>
      <c r="J365" s="177"/>
      <c r="K365" s="177"/>
      <c r="L365" s="178"/>
      <c r="M365" s="177"/>
      <c r="N365" s="177"/>
      <c r="O365" s="177"/>
      <c r="P365" s="177"/>
      <c r="Q365" s="177"/>
      <c r="R365" s="177"/>
      <c r="S365" s="177"/>
      <c r="T365" s="177"/>
      <c r="U365" s="177"/>
      <c r="V365" s="177"/>
      <c r="W365" s="177"/>
      <c r="X365" s="177"/>
      <c r="Y365" s="177"/>
      <c r="Z365" s="177"/>
      <c r="AA365" s="177"/>
      <c r="AB365" s="177"/>
      <c r="AC365" s="177"/>
    </row>
    <row r="366" spans="1:29" ht="13">
      <c r="A366" s="161"/>
      <c r="B366" s="161"/>
      <c r="C366" s="177"/>
      <c r="D366" s="177"/>
      <c r="E366" s="177"/>
      <c r="F366" s="177"/>
      <c r="G366" s="206"/>
      <c r="H366" s="177"/>
      <c r="I366" s="177"/>
      <c r="J366" s="177"/>
      <c r="K366" s="177"/>
      <c r="L366" s="178"/>
      <c r="M366" s="177"/>
      <c r="N366" s="177"/>
      <c r="O366" s="177"/>
      <c r="P366" s="177"/>
      <c r="Q366" s="177"/>
      <c r="R366" s="177"/>
      <c r="S366" s="177"/>
      <c r="T366" s="177"/>
      <c r="U366" s="177"/>
      <c r="V366" s="177"/>
      <c r="W366" s="177"/>
      <c r="X366" s="177"/>
      <c r="Y366" s="177"/>
      <c r="Z366" s="177"/>
      <c r="AA366" s="177"/>
      <c r="AB366" s="177"/>
      <c r="AC366" s="177"/>
    </row>
    <row r="367" spans="1:29" ht="13">
      <c r="A367" s="161"/>
      <c r="B367" s="161"/>
      <c r="C367" s="177"/>
      <c r="D367" s="177"/>
      <c r="E367" s="177"/>
      <c r="F367" s="177"/>
      <c r="G367" s="206"/>
      <c r="H367" s="177"/>
      <c r="I367" s="177"/>
      <c r="J367" s="177"/>
      <c r="K367" s="177"/>
      <c r="L367" s="178"/>
      <c r="M367" s="177"/>
      <c r="N367" s="177"/>
      <c r="O367" s="177"/>
      <c r="P367" s="177"/>
      <c r="Q367" s="177"/>
      <c r="R367" s="177"/>
      <c r="S367" s="177"/>
      <c r="T367" s="177"/>
      <c r="U367" s="177"/>
      <c r="V367" s="177"/>
      <c r="W367" s="177"/>
      <c r="X367" s="177"/>
      <c r="Y367" s="177"/>
      <c r="Z367" s="177"/>
      <c r="AA367" s="177"/>
      <c r="AB367" s="177"/>
      <c r="AC367" s="177"/>
    </row>
    <row r="368" spans="1:29" ht="13">
      <c r="A368" s="161"/>
      <c r="B368" s="161"/>
      <c r="C368" s="177"/>
      <c r="D368" s="177"/>
      <c r="E368" s="177"/>
      <c r="F368" s="177"/>
      <c r="G368" s="206"/>
      <c r="H368" s="177"/>
      <c r="I368" s="177"/>
      <c r="J368" s="177"/>
      <c r="K368" s="177"/>
      <c r="L368" s="178"/>
      <c r="M368" s="177"/>
      <c r="N368" s="177"/>
      <c r="O368" s="177"/>
      <c r="P368" s="177"/>
      <c r="Q368" s="177"/>
      <c r="R368" s="177"/>
      <c r="S368" s="177"/>
      <c r="T368" s="177"/>
      <c r="U368" s="177"/>
      <c r="V368" s="177"/>
      <c r="W368" s="177"/>
      <c r="X368" s="177"/>
      <c r="Y368" s="177"/>
      <c r="Z368" s="177"/>
      <c r="AA368" s="177"/>
      <c r="AB368" s="177"/>
      <c r="AC368" s="177"/>
    </row>
    <row r="369" spans="1:29" ht="13">
      <c r="A369" s="161"/>
      <c r="B369" s="161"/>
      <c r="C369" s="177"/>
      <c r="D369" s="177"/>
      <c r="E369" s="177"/>
      <c r="F369" s="177"/>
      <c r="G369" s="206"/>
      <c r="H369" s="177"/>
      <c r="I369" s="177"/>
      <c r="J369" s="177"/>
      <c r="K369" s="177"/>
      <c r="L369" s="178"/>
      <c r="M369" s="177"/>
      <c r="N369" s="177"/>
      <c r="O369" s="177"/>
      <c r="P369" s="177"/>
      <c r="Q369" s="177"/>
      <c r="R369" s="177"/>
      <c r="S369" s="177"/>
      <c r="T369" s="177"/>
      <c r="U369" s="177"/>
      <c r="V369" s="177"/>
      <c r="W369" s="177"/>
      <c r="X369" s="177"/>
      <c r="Y369" s="177"/>
      <c r="Z369" s="177"/>
      <c r="AA369" s="177"/>
      <c r="AB369" s="177"/>
      <c r="AC369" s="177"/>
    </row>
    <row r="370" spans="1:29" ht="13">
      <c r="A370" s="161"/>
      <c r="B370" s="161"/>
      <c r="C370" s="177"/>
      <c r="D370" s="177"/>
      <c r="E370" s="177"/>
      <c r="F370" s="177"/>
      <c r="G370" s="206"/>
      <c r="H370" s="177"/>
      <c r="I370" s="177"/>
      <c r="J370" s="177"/>
      <c r="K370" s="177"/>
      <c r="L370" s="178"/>
      <c r="M370" s="177"/>
      <c r="N370" s="177"/>
      <c r="O370" s="177"/>
      <c r="P370" s="177"/>
      <c r="Q370" s="177"/>
      <c r="R370" s="177"/>
      <c r="S370" s="177"/>
      <c r="T370" s="177"/>
      <c r="U370" s="177"/>
      <c r="V370" s="177"/>
      <c r="W370" s="177"/>
      <c r="X370" s="177"/>
      <c r="Y370" s="177"/>
      <c r="Z370" s="177"/>
      <c r="AA370" s="177"/>
      <c r="AB370" s="177"/>
      <c r="AC370" s="177"/>
    </row>
    <row r="371" spans="1:29" ht="13">
      <c r="A371" s="161"/>
      <c r="B371" s="161"/>
      <c r="C371" s="177"/>
      <c r="D371" s="177"/>
      <c r="E371" s="177"/>
      <c r="F371" s="177"/>
      <c r="G371" s="206"/>
      <c r="H371" s="177"/>
      <c r="I371" s="177"/>
      <c r="J371" s="177"/>
      <c r="K371" s="177"/>
      <c r="L371" s="178"/>
      <c r="M371" s="177"/>
      <c r="N371" s="177"/>
      <c r="O371" s="177"/>
      <c r="P371" s="177"/>
      <c r="Q371" s="177"/>
      <c r="R371" s="177"/>
      <c r="S371" s="177"/>
      <c r="T371" s="177"/>
      <c r="U371" s="177"/>
      <c r="V371" s="177"/>
      <c r="W371" s="177"/>
      <c r="X371" s="177"/>
      <c r="Y371" s="177"/>
      <c r="Z371" s="177"/>
      <c r="AA371" s="177"/>
      <c r="AB371" s="177"/>
      <c r="AC371" s="177"/>
    </row>
    <row r="372" spans="1:29" ht="13">
      <c r="A372" s="161"/>
      <c r="B372" s="161"/>
      <c r="C372" s="177"/>
      <c r="D372" s="177"/>
      <c r="E372" s="177"/>
      <c r="F372" s="177"/>
      <c r="G372" s="206"/>
      <c r="H372" s="177"/>
      <c r="I372" s="177"/>
      <c r="J372" s="177"/>
      <c r="K372" s="177"/>
      <c r="L372" s="178"/>
      <c r="M372" s="177"/>
      <c r="N372" s="177"/>
      <c r="O372" s="177"/>
      <c r="P372" s="177"/>
      <c r="Q372" s="177"/>
      <c r="R372" s="177"/>
      <c r="S372" s="177"/>
      <c r="T372" s="177"/>
      <c r="U372" s="177"/>
      <c r="V372" s="177"/>
      <c r="W372" s="177"/>
      <c r="X372" s="177"/>
      <c r="Y372" s="177"/>
      <c r="Z372" s="177"/>
      <c r="AA372" s="177"/>
      <c r="AB372" s="177"/>
      <c r="AC372" s="177"/>
    </row>
    <row r="373" spans="1:29" ht="13">
      <c r="A373" s="161"/>
      <c r="B373" s="161"/>
      <c r="C373" s="177"/>
      <c r="D373" s="177"/>
      <c r="E373" s="177"/>
      <c r="F373" s="177"/>
      <c r="G373" s="206"/>
      <c r="H373" s="177"/>
      <c r="I373" s="177"/>
      <c r="J373" s="177"/>
      <c r="K373" s="177"/>
      <c r="L373" s="178"/>
      <c r="M373" s="177"/>
      <c r="N373" s="177"/>
      <c r="O373" s="177"/>
      <c r="P373" s="177"/>
      <c r="Q373" s="177"/>
      <c r="R373" s="177"/>
      <c r="S373" s="177"/>
      <c r="T373" s="177"/>
      <c r="U373" s="177"/>
      <c r="V373" s="177"/>
      <c r="W373" s="177"/>
      <c r="X373" s="177"/>
      <c r="Y373" s="177"/>
      <c r="Z373" s="177"/>
      <c r="AA373" s="177"/>
      <c r="AB373" s="177"/>
      <c r="AC373" s="177"/>
    </row>
    <row r="374" spans="1:29" ht="13">
      <c r="A374" s="161"/>
      <c r="B374" s="161"/>
      <c r="C374" s="177"/>
      <c r="D374" s="177"/>
      <c r="E374" s="177"/>
      <c r="F374" s="177"/>
      <c r="G374" s="206"/>
      <c r="H374" s="177"/>
      <c r="I374" s="177"/>
      <c r="J374" s="177"/>
      <c r="K374" s="177"/>
      <c r="L374" s="178"/>
      <c r="M374" s="177"/>
      <c r="N374" s="177"/>
      <c r="O374" s="177"/>
      <c r="P374" s="177"/>
      <c r="Q374" s="177"/>
      <c r="R374" s="177"/>
      <c r="S374" s="177"/>
      <c r="T374" s="177"/>
      <c r="U374" s="177"/>
      <c r="V374" s="177"/>
      <c r="W374" s="177"/>
      <c r="X374" s="177"/>
      <c r="Y374" s="177"/>
      <c r="Z374" s="177"/>
      <c r="AA374" s="177"/>
      <c r="AB374" s="177"/>
      <c r="AC374" s="177"/>
    </row>
    <row r="375" spans="1:29" ht="13">
      <c r="A375" s="161"/>
      <c r="B375" s="161"/>
      <c r="C375" s="177"/>
      <c r="D375" s="177"/>
      <c r="E375" s="177"/>
      <c r="F375" s="177"/>
      <c r="G375" s="206"/>
      <c r="H375" s="177"/>
      <c r="I375" s="177"/>
      <c r="J375" s="177"/>
      <c r="K375" s="177"/>
      <c r="L375" s="178"/>
      <c r="M375" s="177"/>
      <c r="N375" s="177"/>
      <c r="O375" s="177"/>
      <c r="P375" s="177"/>
      <c r="Q375" s="177"/>
      <c r="R375" s="177"/>
      <c r="S375" s="177"/>
      <c r="T375" s="177"/>
      <c r="U375" s="177"/>
      <c r="V375" s="177"/>
      <c r="W375" s="177"/>
      <c r="X375" s="177"/>
      <c r="Y375" s="177"/>
      <c r="Z375" s="177"/>
      <c r="AA375" s="177"/>
      <c r="AB375" s="177"/>
      <c r="AC375" s="177"/>
    </row>
    <row r="376" spans="1:29" ht="13">
      <c r="A376" s="161"/>
      <c r="B376" s="161"/>
      <c r="C376" s="177"/>
      <c r="D376" s="177"/>
      <c r="E376" s="177"/>
      <c r="F376" s="177"/>
      <c r="G376" s="206"/>
      <c r="H376" s="177"/>
      <c r="I376" s="177"/>
      <c r="J376" s="177"/>
      <c r="K376" s="177"/>
      <c r="L376" s="178"/>
      <c r="M376" s="177"/>
      <c r="N376" s="177"/>
      <c r="O376" s="177"/>
      <c r="P376" s="177"/>
      <c r="Q376" s="177"/>
      <c r="R376" s="177"/>
      <c r="S376" s="177"/>
      <c r="T376" s="177"/>
      <c r="U376" s="177"/>
      <c r="V376" s="177"/>
      <c r="W376" s="177"/>
      <c r="X376" s="177"/>
      <c r="Y376" s="177"/>
      <c r="Z376" s="177"/>
      <c r="AA376" s="177"/>
      <c r="AB376" s="177"/>
      <c r="AC376" s="177"/>
    </row>
    <row r="377" spans="1:29" ht="13">
      <c r="A377" s="161"/>
      <c r="B377" s="161"/>
      <c r="C377" s="177"/>
      <c r="D377" s="177"/>
      <c r="E377" s="177"/>
      <c r="F377" s="177"/>
      <c r="G377" s="206"/>
      <c r="H377" s="177"/>
      <c r="I377" s="177"/>
      <c r="J377" s="177"/>
      <c r="K377" s="177"/>
      <c r="L377" s="178"/>
      <c r="M377" s="177"/>
      <c r="N377" s="177"/>
      <c r="O377" s="177"/>
      <c r="P377" s="177"/>
      <c r="Q377" s="177"/>
      <c r="R377" s="177"/>
      <c r="S377" s="177"/>
      <c r="T377" s="177"/>
      <c r="U377" s="177"/>
      <c r="V377" s="177"/>
      <c r="W377" s="177"/>
      <c r="X377" s="177"/>
      <c r="Y377" s="177"/>
      <c r="Z377" s="177"/>
      <c r="AA377" s="177"/>
      <c r="AB377" s="177"/>
      <c r="AC377" s="177"/>
    </row>
    <row r="378" spans="1:29" ht="13">
      <c r="A378" s="161"/>
      <c r="B378" s="161"/>
      <c r="C378" s="177"/>
      <c r="D378" s="177"/>
      <c r="E378" s="177"/>
      <c r="F378" s="177"/>
      <c r="G378" s="206"/>
      <c r="H378" s="177"/>
      <c r="I378" s="177"/>
      <c r="J378" s="177"/>
      <c r="K378" s="177"/>
      <c r="L378" s="178"/>
      <c r="M378" s="177"/>
      <c r="N378" s="177"/>
      <c r="O378" s="177"/>
      <c r="P378" s="177"/>
      <c r="Q378" s="177"/>
      <c r="R378" s="177"/>
      <c r="S378" s="177"/>
      <c r="T378" s="177"/>
      <c r="U378" s="177"/>
      <c r="V378" s="177"/>
      <c r="W378" s="177"/>
      <c r="X378" s="177"/>
      <c r="Y378" s="177"/>
      <c r="Z378" s="177"/>
      <c r="AA378" s="177"/>
      <c r="AB378" s="177"/>
      <c r="AC378" s="177"/>
    </row>
    <row r="379" spans="1:29" ht="13">
      <c r="A379" s="161"/>
      <c r="B379" s="161"/>
      <c r="C379" s="177"/>
      <c r="D379" s="177"/>
      <c r="E379" s="177"/>
      <c r="F379" s="177"/>
      <c r="G379" s="206"/>
      <c r="H379" s="177"/>
      <c r="I379" s="177"/>
      <c r="J379" s="177"/>
      <c r="K379" s="177"/>
      <c r="L379" s="178"/>
      <c r="M379" s="177"/>
      <c r="N379" s="177"/>
      <c r="O379" s="177"/>
      <c r="P379" s="177"/>
      <c r="Q379" s="177"/>
      <c r="R379" s="177"/>
      <c r="S379" s="177"/>
      <c r="T379" s="177"/>
      <c r="U379" s="177"/>
      <c r="V379" s="177"/>
      <c r="W379" s="177"/>
      <c r="X379" s="177"/>
      <c r="Y379" s="177"/>
      <c r="Z379" s="177"/>
      <c r="AA379" s="177"/>
      <c r="AB379" s="177"/>
      <c r="AC379" s="177"/>
    </row>
    <row r="380" spans="1:29" ht="13">
      <c r="A380" s="161"/>
      <c r="B380" s="161"/>
      <c r="C380" s="177"/>
      <c r="D380" s="177"/>
      <c r="E380" s="177"/>
      <c r="F380" s="177"/>
      <c r="G380" s="206"/>
      <c r="H380" s="177"/>
      <c r="I380" s="177"/>
      <c r="J380" s="177"/>
      <c r="K380" s="177"/>
      <c r="L380" s="178"/>
      <c r="M380" s="177"/>
      <c r="N380" s="177"/>
      <c r="O380" s="177"/>
      <c r="P380" s="177"/>
      <c r="Q380" s="177"/>
      <c r="R380" s="177"/>
      <c r="S380" s="177"/>
      <c r="T380" s="177"/>
      <c r="U380" s="177"/>
      <c r="V380" s="177"/>
      <c r="W380" s="177"/>
      <c r="X380" s="177"/>
      <c r="Y380" s="177"/>
      <c r="Z380" s="177"/>
      <c r="AA380" s="177"/>
      <c r="AB380" s="177"/>
      <c r="AC380" s="177"/>
    </row>
    <row r="381" spans="1:29" ht="13">
      <c r="A381" s="161"/>
      <c r="B381" s="161"/>
      <c r="C381" s="177"/>
      <c r="D381" s="177"/>
      <c r="E381" s="177"/>
      <c r="F381" s="177"/>
      <c r="G381" s="206"/>
      <c r="H381" s="177"/>
      <c r="I381" s="177"/>
      <c r="J381" s="177"/>
      <c r="K381" s="177"/>
      <c r="L381" s="178"/>
      <c r="M381" s="177"/>
      <c r="N381" s="177"/>
      <c r="O381" s="177"/>
      <c r="P381" s="177"/>
      <c r="Q381" s="177"/>
      <c r="R381" s="177"/>
      <c r="S381" s="177"/>
      <c r="T381" s="177"/>
      <c r="U381" s="177"/>
      <c r="V381" s="177"/>
      <c r="W381" s="177"/>
      <c r="X381" s="177"/>
      <c r="Y381" s="177"/>
      <c r="Z381" s="177"/>
      <c r="AA381" s="177"/>
      <c r="AB381" s="177"/>
      <c r="AC381" s="177"/>
    </row>
    <row r="382" spans="1:29" ht="13">
      <c r="A382" s="161"/>
      <c r="B382" s="161"/>
      <c r="C382" s="177"/>
      <c r="D382" s="177"/>
      <c r="E382" s="177"/>
      <c r="F382" s="177"/>
      <c r="G382" s="206"/>
      <c r="H382" s="177"/>
      <c r="I382" s="177"/>
      <c r="J382" s="177"/>
      <c r="K382" s="177"/>
      <c r="L382" s="178"/>
      <c r="M382" s="177"/>
      <c r="N382" s="177"/>
      <c r="O382" s="177"/>
      <c r="P382" s="177"/>
      <c r="Q382" s="177"/>
      <c r="R382" s="177"/>
      <c r="S382" s="177"/>
      <c r="T382" s="177"/>
      <c r="U382" s="177"/>
      <c r="V382" s="177"/>
      <c r="W382" s="177"/>
      <c r="X382" s="177"/>
      <c r="Y382" s="177"/>
      <c r="Z382" s="177"/>
      <c r="AA382" s="177"/>
      <c r="AB382" s="177"/>
      <c r="AC382" s="177"/>
    </row>
    <row r="383" spans="1:29" ht="13">
      <c r="A383" s="161"/>
      <c r="B383" s="161"/>
      <c r="C383" s="177"/>
      <c r="D383" s="177"/>
      <c r="E383" s="177"/>
      <c r="F383" s="177"/>
      <c r="G383" s="206"/>
      <c r="H383" s="177"/>
      <c r="I383" s="177"/>
      <c r="J383" s="177"/>
      <c r="K383" s="177"/>
      <c r="L383" s="178"/>
      <c r="M383" s="177"/>
      <c r="N383" s="177"/>
      <c r="O383" s="177"/>
      <c r="P383" s="177"/>
      <c r="Q383" s="177"/>
      <c r="R383" s="177"/>
      <c r="S383" s="177"/>
      <c r="T383" s="177"/>
      <c r="U383" s="177"/>
      <c r="V383" s="177"/>
      <c r="W383" s="177"/>
      <c r="X383" s="177"/>
      <c r="Y383" s="177"/>
      <c r="Z383" s="177"/>
      <c r="AA383" s="177"/>
      <c r="AB383" s="177"/>
      <c r="AC383" s="177"/>
    </row>
    <row r="384" spans="1:29" ht="13">
      <c r="A384" s="161"/>
      <c r="B384" s="161"/>
      <c r="C384" s="177"/>
      <c r="D384" s="177"/>
      <c r="E384" s="177"/>
      <c r="F384" s="177"/>
      <c r="G384" s="206"/>
      <c r="H384" s="177"/>
      <c r="I384" s="177"/>
      <c r="J384" s="177"/>
      <c r="K384" s="177"/>
      <c r="L384" s="178"/>
      <c r="M384" s="177"/>
      <c r="N384" s="177"/>
      <c r="O384" s="177"/>
      <c r="P384" s="177"/>
      <c r="Q384" s="177"/>
      <c r="R384" s="177"/>
      <c r="S384" s="177"/>
      <c r="T384" s="177"/>
      <c r="U384" s="177"/>
      <c r="V384" s="177"/>
      <c r="W384" s="177"/>
      <c r="X384" s="177"/>
      <c r="Y384" s="177"/>
      <c r="Z384" s="177"/>
      <c r="AA384" s="177"/>
      <c r="AB384" s="177"/>
      <c r="AC384" s="177"/>
    </row>
    <row r="385" spans="1:29" ht="13">
      <c r="A385" s="161"/>
      <c r="B385" s="161"/>
      <c r="C385" s="177"/>
      <c r="D385" s="177"/>
      <c r="E385" s="177"/>
      <c r="F385" s="177"/>
      <c r="G385" s="206"/>
      <c r="H385" s="177"/>
      <c r="I385" s="177"/>
      <c r="J385" s="177"/>
      <c r="K385" s="177"/>
      <c r="L385" s="178"/>
      <c r="M385" s="177"/>
      <c r="N385" s="177"/>
      <c r="O385" s="177"/>
      <c r="P385" s="177"/>
      <c r="Q385" s="177"/>
      <c r="R385" s="177"/>
      <c r="S385" s="177"/>
      <c r="T385" s="177"/>
      <c r="U385" s="177"/>
      <c r="V385" s="177"/>
      <c r="W385" s="177"/>
      <c r="X385" s="177"/>
      <c r="Y385" s="177"/>
      <c r="Z385" s="177"/>
      <c r="AA385" s="177"/>
      <c r="AB385" s="177"/>
      <c r="AC385" s="177"/>
    </row>
    <row r="386" spans="1:29" ht="13">
      <c r="A386" s="161"/>
      <c r="B386" s="161"/>
      <c r="C386" s="177"/>
      <c r="D386" s="177"/>
      <c r="E386" s="177"/>
      <c r="F386" s="177"/>
      <c r="G386" s="206"/>
      <c r="H386" s="177"/>
      <c r="I386" s="177"/>
      <c r="J386" s="177"/>
      <c r="K386" s="177"/>
      <c r="L386" s="178"/>
      <c r="M386" s="177"/>
      <c r="N386" s="177"/>
      <c r="O386" s="177"/>
      <c r="P386" s="177"/>
      <c r="Q386" s="177"/>
      <c r="R386" s="177"/>
      <c r="S386" s="177"/>
      <c r="T386" s="177"/>
      <c r="U386" s="177"/>
      <c r="V386" s="177"/>
      <c r="W386" s="177"/>
      <c r="X386" s="177"/>
      <c r="Y386" s="177"/>
      <c r="Z386" s="177"/>
      <c r="AA386" s="177"/>
      <c r="AB386" s="177"/>
      <c r="AC386" s="177"/>
    </row>
    <row r="387" spans="1:29" ht="13">
      <c r="A387" s="161"/>
      <c r="B387" s="161"/>
      <c r="C387" s="177"/>
      <c r="D387" s="177"/>
      <c r="E387" s="177"/>
      <c r="F387" s="177"/>
      <c r="G387" s="206"/>
      <c r="H387" s="177"/>
      <c r="I387" s="177"/>
      <c r="J387" s="177"/>
      <c r="K387" s="177"/>
      <c r="L387" s="178"/>
      <c r="M387" s="177"/>
      <c r="N387" s="177"/>
      <c r="O387" s="177"/>
      <c r="P387" s="177"/>
      <c r="Q387" s="177"/>
      <c r="R387" s="177"/>
      <c r="S387" s="177"/>
      <c r="T387" s="177"/>
      <c r="U387" s="177"/>
      <c r="V387" s="177"/>
      <c r="W387" s="177"/>
      <c r="X387" s="177"/>
      <c r="Y387" s="177"/>
      <c r="Z387" s="177"/>
      <c r="AA387" s="177"/>
      <c r="AB387" s="177"/>
      <c r="AC387" s="177"/>
    </row>
    <row r="388" spans="1:29" ht="13">
      <c r="A388" s="161"/>
      <c r="B388" s="161"/>
      <c r="C388" s="177"/>
      <c r="D388" s="177"/>
      <c r="E388" s="177"/>
      <c r="F388" s="177"/>
      <c r="G388" s="206"/>
      <c r="H388" s="177"/>
      <c r="I388" s="177"/>
      <c r="J388" s="177"/>
      <c r="K388" s="177"/>
      <c r="L388" s="178"/>
      <c r="M388" s="177"/>
      <c r="N388" s="177"/>
      <c r="O388" s="177"/>
      <c r="P388" s="177"/>
      <c r="Q388" s="177"/>
      <c r="R388" s="177"/>
      <c r="S388" s="177"/>
      <c r="T388" s="177"/>
      <c r="U388" s="177"/>
      <c r="V388" s="177"/>
      <c r="W388" s="177"/>
      <c r="X388" s="177"/>
      <c r="Y388" s="177"/>
      <c r="Z388" s="177"/>
      <c r="AA388" s="177"/>
      <c r="AB388" s="177"/>
      <c r="AC388" s="177"/>
    </row>
    <row r="389" spans="1:29" ht="13">
      <c r="A389" s="161"/>
      <c r="B389" s="161"/>
      <c r="C389" s="177"/>
      <c r="D389" s="177"/>
      <c r="E389" s="177"/>
      <c r="F389" s="177"/>
      <c r="G389" s="206"/>
      <c r="H389" s="177"/>
      <c r="I389" s="177"/>
      <c r="J389" s="177"/>
      <c r="K389" s="177"/>
      <c r="L389" s="178"/>
      <c r="M389" s="177"/>
      <c r="N389" s="177"/>
      <c r="O389" s="177"/>
      <c r="P389" s="177"/>
      <c r="Q389" s="177"/>
      <c r="R389" s="177"/>
      <c r="S389" s="177"/>
      <c r="T389" s="177"/>
      <c r="U389" s="177"/>
      <c r="V389" s="177"/>
      <c r="W389" s="177"/>
      <c r="X389" s="177"/>
      <c r="Y389" s="177"/>
      <c r="Z389" s="177"/>
      <c r="AA389" s="177"/>
      <c r="AB389" s="177"/>
      <c r="AC389" s="177"/>
    </row>
    <row r="390" spans="1:29" ht="13">
      <c r="A390" s="161"/>
      <c r="B390" s="161"/>
      <c r="C390" s="177"/>
      <c r="D390" s="177"/>
      <c r="E390" s="177"/>
      <c r="F390" s="177"/>
      <c r="G390" s="206"/>
      <c r="H390" s="177"/>
      <c r="I390" s="177"/>
      <c r="J390" s="177"/>
      <c r="K390" s="177"/>
      <c r="L390" s="178"/>
      <c r="M390" s="177"/>
      <c r="N390" s="177"/>
      <c r="O390" s="177"/>
      <c r="P390" s="177"/>
      <c r="Q390" s="177"/>
      <c r="R390" s="177"/>
      <c r="S390" s="177"/>
      <c r="T390" s="177"/>
      <c r="U390" s="177"/>
      <c r="V390" s="177"/>
      <c r="W390" s="177"/>
      <c r="X390" s="177"/>
      <c r="Y390" s="177"/>
      <c r="Z390" s="177"/>
      <c r="AA390" s="177"/>
      <c r="AB390" s="177"/>
      <c r="AC390" s="177"/>
    </row>
    <row r="391" spans="1:29" ht="13">
      <c r="A391" s="161"/>
      <c r="B391" s="161"/>
      <c r="C391" s="177"/>
      <c r="D391" s="177"/>
      <c r="E391" s="177"/>
      <c r="F391" s="177"/>
      <c r="G391" s="206"/>
      <c r="H391" s="177"/>
      <c r="I391" s="177"/>
      <c r="J391" s="177"/>
      <c r="K391" s="177"/>
      <c r="L391" s="178"/>
      <c r="M391" s="177"/>
      <c r="N391" s="177"/>
      <c r="O391" s="177"/>
      <c r="P391" s="177"/>
      <c r="Q391" s="177"/>
      <c r="R391" s="177"/>
      <c r="S391" s="177"/>
      <c r="T391" s="177"/>
      <c r="U391" s="177"/>
      <c r="V391" s="177"/>
      <c r="W391" s="177"/>
      <c r="X391" s="177"/>
      <c r="Y391" s="177"/>
      <c r="Z391" s="177"/>
      <c r="AA391" s="177"/>
      <c r="AB391" s="177"/>
      <c r="AC391" s="177"/>
    </row>
    <row r="392" spans="1:29" ht="13">
      <c r="A392" s="161"/>
      <c r="B392" s="161"/>
      <c r="C392" s="177"/>
      <c r="D392" s="177"/>
      <c r="E392" s="177"/>
      <c r="F392" s="177"/>
      <c r="G392" s="206"/>
      <c r="H392" s="177"/>
      <c r="I392" s="177"/>
      <c r="J392" s="177"/>
      <c r="K392" s="177"/>
      <c r="L392" s="178"/>
      <c r="M392" s="177"/>
      <c r="N392" s="177"/>
      <c r="O392" s="177"/>
      <c r="P392" s="177"/>
      <c r="Q392" s="177"/>
      <c r="R392" s="177"/>
      <c r="S392" s="177"/>
      <c r="T392" s="177"/>
      <c r="U392" s="177"/>
      <c r="V392" s="177"/>
      <c r="W392" s="177"/>
      <c r="X392" s="177"/>
      <c r="Y392" s="177"/>
      <c r="Z392" s="177"/>
      <c r="AA392" s="177"/>
      <c r="AB392" s="177"/>
      <c r="AC392" s="177"/>
    </row>
    <row r="393" spans="1:29" ht="13">
      <c r="A393" s="161"/>
      <c r="B393" s="161"/>
      <c r="C393" s="177"/>
      <c r="D393" s="177"/>
      <c r="E393" s="177"/>
      <c r="F393" s="177"/>
      <c r="G393" s="206"/>
      <c r="H393" s="177"/>
      <c r="I393" s="177"/>
      <c r="J393" s="177"/>
      <c r="K393" s="177"/>
      <c r="L393" s="178"/>
      <c r="M393" s="177"/>
      <c r="N393" s="177"/>
      <c r="O393" s="177"/>
      <c r="P393" s="177"/>
      <c r="Q393" s="177"/>
      <c r="R393" s="177"/>
      <c r="S393" s="177"/>
      <c r="T393" s="177"/>
      <c r="U393" s="177"/>
      <c r="V393" s="177"/>
      <c r="W393" s="177"/>
      <c r="X393" s="177"/>
      <c r="Y393" s="177"/>
      <c r="Z393" s="177"/>
      <c r="AA393" s="177"/>
      <c r="AB393" s="177"/>
      <c r="AC393" s="177"/>
    </row>
    <row r="394" spans="1:29" ht="13">
      <c r="A394" s="161"/>
      <c r="B394" s="161"/>
      <c r="C394" s="177"/>
      <c r="D394" s="177"/>
      <c r="E394" s="177"/>
      <c r="F394" s="177"/>
      <c r="G394" s="206"/>
      <c r="H394" s="177"/>
      <c r="I394" s="177"/>
      <c r="J394" s="177"/>
      <c r="K394" s="177"/>
      <c r="L394" s="178"/>
      <c r="M394" s="177"/>
      <c r="N394" s="177"/>
      <c r="O394" s="177"/>
      <c r="P394" s="177"/>
      <c r="Q394" s="177"/>
      <c r="R394" s="177"/>
      <c r="S394" s="177"/>
      <c r="T394" s="177"/>
      <c r="U394" s="177"/>
      <c r="V394" s="177"/>
      <c r="W394" s="177"/>
      <c r="X394" s="177"/>
      <c r="Y394" s="177"/>
      <c r="Z394" s="177"/>
      <c r="AA394" s="177"/>
      <c r="AB394" s="177"/>
      <c r="AC394" s="177"/>
    </row>
    <row r="395" spans="1:29" ht="13">
      <c r="A395" s="161"/>
      <c r="B395" s="161"/>
      <c r="C395" s="177"/>
      <c r="D395" s="177"/>
      <c r="E395" s="177"/>
      <c r="F395" s="177"/>
      <c r="G395" s="206"/>
      <c r="H395" s="177"/>
      <c r="I395" s="177"/>
      <c r="J395" s="177"/>
      <c r="K395" s="177"/>
      <c r="L395" s="178"/>
      <c r="M395" s="177"/>
      <c r="N395" s="177"/>
      <c r="O395" s="177"/>
      <c r="P395" s="177"/>
      <c r="Q395" s="177"/>
      <c r="R395" s="177"/>
      <c r="S395" s="177"/>
      <c r="T395" s="177"/>
      <c r="U395" s="177"/>
      <c r="V395" s="177"/>
      <c r="W395" s="177"/>
      <c r="X395" s="177"/>
      <c r="Y395" s="177"/>
      <c r="Z395" s="177"/>
      <c r="AA395" s="177"/>
      <c r="AB395" s="177"/>
      <c r="AC395" s="177"/>
    </row>
    <row r="396" spans="1:29" ht="13">
      <c r="A396" s="161"/>
      <c r="B396" s="161"/>
      <c r="C396" s="177"/>
      <c r="D396" s="177"/>
      <c r="E396" s="177"/>
      <c r="F396" s="177"/>
      <c r="G396" s="206"/>
      <c r="H396" s="177"/>
      <c r="I396" s="177"/>
      <c r="J396" s="177"/>
      <c r="K396" s="177"/>
      <c r="L396" s="178"/>
      <c r="M396" s="177"/>
      <c r="N396" s="177"/>
      <c r="O396" s="177"/>
      <c r="P396" s="177"/>
      <c r="Q396" s="177"/>
      <c r="R396" s="177"/>
      <c r="S396" s="177"/>
      <c r="T396" s="177"/>
      <c r="U396" s="177"/>
      <c r="V396" s="177"/>
      <c r="W396" s="177"/>
      <c r="X396" s="177"/>
      <c r="Y396" s="177"/>
      <c r="Z396" s="177"/>
      <c r="AA396" s="177"/>
      <c r="AB396" s="177"/>
      <c r="AC396" s="177"/>
    </row>
    <row r="397" spans="1:29" ht="13">
      <c r="A397" s="161"/>
      <c r="B397" s="161"/>
      <c r="C397" s="177"/>
      <c r="D397" s="177"/>
      <c r="E397" s="177"/>
      <c r="F397" s="177"/>
      <c r="G397" s="206"/>
      <c r="H397" s="177"/>
      <c r="I397" s="177"/>
      <c r="J397" s="177"/>
      <c r="K397" s="177"/>
      <c r="L397" s="178"/>
      <c r="M397" s="177"/>
      <c r="N397" s="177"/>
      <c r="O397" s="177"/>
      <c r="P397" s="177"/>
      <c r="Q397" s="177"/>
      <c r="R397" s="177"/>
      <c r="S397" s="177"/>
      <c r="T397" s="177"/>
      <c r="U397" s="177"/>
      <c r="V397" s="177"/>
      <c r="W397" s="177"/>
      <c r="X397" s="177"/>
      <c r="Y397" s="177"/>
      <c r="Z397" s="177"/>
      <c r="AA397" s="177"/>
      <c r="AB397" s="177"/>
      <c r="AC397" s="177"/>
    </row>
    <row r="398" spans="1:29" ht="13">
      <c r="A398" s="161"/>
      <c r="B398" s="161"/>
      <c r="C398" s="177"/>
      <c r="D398" s="177"/>
      <c r="E398" s="177"/>
      <c r="F398" s="177"/>
      <c r="G398" s="206"/>
      <c r="H398" s="177"/>
      <c r="I398" s="177"/>
      <c r="J398" s="177"/>
      <c r="K398" s="177"/>
      <c r="L398" s="178"/>
      <c r="M398" s="177"/>
      <c r="N398" s="177"/>
      <c r="O398" s="177"/>
      <c r="P398" s="177"/>
      <c r="Q398" s="177"/>
      <c r="R398" s="177"/>
      <c r="S398" s="177"/>
      <c r="T398" s="177"/>
      <c r="U398" s="177"/>
      <c r="V398" s="177"/>
      <c r="W398" s="177"/>
      <c r="X398" s="177"/>
      <c r="Y398" s="177"/>
      <c r="Z398" s="177"/>
      <c r="AA398" s="177"/>
      <c r="AB398" s="177"/>
      <c r="AC398" s="177"/>
    </row>
    <row r="399" spans="1:29" ht="13">
      <c r="A399" s="161"/>
      <c r="B399" s="161"/>
      <c r="C399" s="177"/>
      <c r="D399" s="177"/>
      <c r="E399" s="177"/>
      <c r="F399" s="177"/>
      <c r="G399" s="206"/>
      <c r="H399" s="177"/>
      <c r="I399" s="177"/>
      <c r="J399" s="177"/>
      <c r="K399" s="177"/>
      <c r="L399" s="178"/>
      <c r="M399" s="177"/>
      <c r="N399" s="177"/>
      <c r="O399" s="177"/>
      <c r="P399" s="177"/>
      <c r="Q399" s="177"/>
      <c r="R399" s="177"/>
      <c r="S399" s="177"/>
      <c r="T399" s="177"/>
      <c r="U399" s="177"/>
      <c r="V399" s="177"/>
      <c r="W399" s="177"/>
      <c r="X399" s="177"/>
      <c r="Y399" s="177"/>
      <c r="Z399" s="177"/>
      <c r="AA399" s="177"/>
      <c r="AB399" s="177"/>
      <c r="AC399" s="177"/>
    </row>
    <row r="400" spans="1:29" ht="13">
      <c r="A400" s="161"/>
      <c r="B400" s="161"/>
      <c r="C400" s="177"/>
      <c r="D400" s="177"/>
      <c r="E400" s="177"/>
      <c r="F400" s="177"/>
      <c r="G400" s="206"/>
      <c r="H400" s="177"/>
      <c r="I400" s="177"/>
      <c r="J400" s="177"/>
      <c r="K400" s="177"/>
      <c r="L400" s="178"/>
      <c r="M400" s="177"/>
      <c r="N400" s="177"/>
      <c r="O400" s="177"/>
      <c r="P400" s="177"/>
      <c r="Q400" s="177"/>
      <c r="R400" s="177"/>
      <c r="S400" s="177"/>
      <c r="T400" s="177"/>
      <c r="U400" s="177"/>
      <c r="V400" s="177"/>
      <c r="W400" s="177"/>
      <c r="X400" s="177"/>
      <c r="Y400" s="177"/>
      <c r="Z400" s="177"/>
      <c r="AA400" s="177"/>
      <c r="AB400" s="177"/>
      <c r="AC400" s="177"/>
    </row>
    <row r="401" spans="1:29" ht="13">
      <c r="A401" s="161"/>
      <c r="B401" s="161"/>
      <c r="C401" s="177"/>
      <c r="D401" s="177"/>
      <c r="E401" s="177"/>
      <c r="F401" s="177"/>
      <c r="G401" s="206"/>
      <c r="H401" s="177"/>
      <c r="I401" s="177"/>
      <c r="J401" s="177"/>
      <c r="K401" s="177"/>
      <c r="L401" s="178"/>
      <c r="M401" s="177"/>
      <c r="N401" s="177"/>
      <c r="O401" s="177"/>
      <c r="P401" s="177"/>
      <c r="Q401" s="177"/>
      <c r="R401" s="177"/>
      <c r="S401" s="177"/>
      <c r="T401" s="177"/>
      <c r="U401" s="177"/>
      <c r="V401" s="177"/>
      <c r="W401" s="177"/>
      <c r="X401" s="177"/>
      <c r="Y401" s="177"/>
      <c r="Z401" s="177"/>
      <c r="AA401" s="177"/>
      <c r="AB401" s="177"/>
      <c r="AC401" s="177"/>
    </row>
    <row r="402" spans="1:29" ht="13">
      <c r="A402" s="161"/>
      <c r="B402" s="161"/>
      <c r="C402" s="177"/>
      <c r="D402" s="177"/>
      <c r="E402" s="177"/>
      <c r="F402" s="177"/>
      <c r="G402" s="206"/>
      <c r="H402" s="177"/>
      <c r="I402" s="177"/>
      <c r="J402" s="177"/>
      <c r="K402" s="177"/>
      <c r="L402" s="178"/>
      <c r="M402" s="177"/>
      <c r="N402" s="177"/>
      <c r="O402" s="177"/>
      <c r="P402" s="177"/>
      <c r="Q402" s="177"/>
      <c r="R402" s="177"/>
      <c r="S402" s="177"/>
      <c r="T402" s="177"/>
      <c r="U402" s="177"/>
      <c r="V402" s="177"/>
      <c r="W402" s="177"/>
      <c r="X402" s="177"/>
      <c r="Y402" s="177"/>
      <c r="Z402" s="177"/>
      <c r="AA402" s="177"/>
      <c r="AB402" s="177"/>
      <c r="AC402" s="177"/>
    </row>
    <row r="403" spans="1:29" ht="13">
      <c r="A403" s="161"/>
      <c r="B403" s="161"/>
      <c r="C403" s="177"/>
      <c r="D403" s="177"/>
      <c r="E403" s="177"/>
      <c r="F403" s="177"/>
      <c r="G403" s="206"/>
      <c r="H403" s="177"/>
      <c r="I403" s="177"/>
      <c r="J403" s="177"/>
      <c r="K403" s="177"/>
      <c r="L403" s="178"/>
      <c r="M403" s="177"/>
      <c r="N403" s="177"/>
      <c r="O403" s="177"/>
      <c r="P403" s="177"/>
      <c r="Q403" s="177"/>
      <c r="R403" s="177"/>
      <c r="S403" s="177"/>
      <c r="T403" s="177"/>
      <c r="U403" s="177"/>
      <c r="V403" s="177"/>
      <c r="W403" s="177"/>
      <c r="X403" s="177"/>
      <c r="Y403" s="177"/>
      <c r="Z403" s="177"/>
      <c r="AA403" s="177"/>
      <c r="AB403" s="177"/>
      <c r="AC403" s="177"/>
    </row>
    <row r="404" spans="1:29" ht="13">
      <c r="A404" s="161"/>
      <c r="B404" s="161"/>
      <c r="C404" s="177"/>
      <c r="D404" s="177"/>
      <c r="E404" s="177"/>
      <c r="F404" s="177"/>
      <c r="G404" s="206"/>
      <c r="H404" s="177"/>
      <c r="I404" s="177"/>
      <c r="J404" s="177"/>
      <c r="K404" s="177"/>
      <c r="L404" s="178"/>
      <c r="M404" s="177"/>
      <c r="N404" s="177"/>
      <c r="O404" s="177"/>
      <c r="P404" s="177"/>
      <c r="Q404" s="177"/>
      <c r="R404" s="177"/>
      <c r="S404" s="177"/>
      <c r="T404" s="177"/>
      <c r="U404" s="177"/>
      <c r="V404" s="177"/>
      <c r="W404" s="177"/>
      <c r="X404" s="177"/>
      <c r="Y404" s="177"/>
      <c r="Z404" s="177"/>
      <c r="AA404" s="177"/>
      <c r="AB404" s="177"/>
      <c r="AC404" s="177"/>
    </row>
    <row r="405" spans="1:29" ht="13">
      <c r="A405" s="161"/>
      <c r="B405" s="161"/>
      <c r="C405" s="177"/>
      <c r="D405" s="177"/>
      <c r="E405" s="177"/>
      <c r="F405" s="177"/>
      <c r="G405" s="206"/>
      <c r="H405" s="177"/>
      <c r="I405" s="177"/>
      <c r="J405" s="177"/>
      <c r="K405" s="177"/>
      <c r="L405" s="178"/>
      <c r="M405" s="177"/>
      <c r="N405" s="177"/>
      <c r="O405" s="177"/>
      <c r="P405" s="177"/>
      <c r="Q405" s="177"/>
      <c r="R405" s="177"/>
      <c r="S405" s="177"/>
      <c r="T405" s="177"/>
      <c r="U405" s="177"/>
      <c r="V405" s="177"/>
      <c r="W405" s="177"/>
      <c r="X405" s="177"/>
      <c r="Y405" s="177"/>
      <c r="Z405" s="177"/>
      <c r="AA405" s="177"/>
      <c r="AB405" s="177"/>
      <c r="AC405" s="177"/>
    </row>
    <row r="406" spans="1:29" ht="13">
      <c r="A406" s="161"/>
      <c r="B406" s="161"/>
      <c r="C406" s="177"/>
      <c r="D406" s="177"/>
      <c r="E406" s="177"/>
      <c r="F406" s="177"/>
      <c r="G406" s="206"/>
      <c r="H406" s="177"/>
      <c r="I406" s="177"/>
      <c r="J406" s="177"/>
      <c r="K406" s="177"/>
      <c r="L406" s="178"/>
      <c r="M406" s="177"/>
      <c r="N406" s="177"/>
      <c r="O406" s="177"/>
      <c r="P406" s="177"/>
      <c r="Q406" s="177"/>
      <c r="R406" s="177"/>
      <c r="S406" s="177"/>
      <c r="T406" s="177"/>
      <c r="U406" s="177"/>
      <c r="V406" s="177"/>
      <c r="W406" s="177"/>
      <c r="X406" s="177"/>
      <c r="Y406" s="177"/>
      <c r="Z406" s="177"/>
      <c r="AA406" s="177"/>
      <c r="AB406" s="177"/>
      <c r="AC406" s="177"/>
    </row>
    <row r="407" spans="1:29" ht="13">
      <c r="A407" s="161"/>
      <c r="B407" s="161"/>
      <c r="C407" s="177"/>
      <c r="D407" s="177"/>
      <c r="E407" s="177"/>
      <c r="F407" s="177"/>
      <c r="G407" s="206"/>
      <c r="H407" s="177"/>
      <c r="I407" s="177"/>
      <c r="J407" s="177"/>
      <c r="K407" s="177"/>
      <c r="L407" s="178"/>
      <c r="M407" s="177"/>
      <c r="N407" s="177"/>
      <c r="O407" s="177"/>
      <c r="P407" s="177"/>
      <c r="Q407" s="177"/>
      <c r="R407" s="177"/>
      <c r="S407" s="177"/>
      <c r="T407" s="177"/>
      <c r="U407" s="177"/>
      <c r="V407" s="177"/>
      <c r="W407" s="177"/>
      <c r="X407" s="177"/>
      <c r="Y407" s="177"/>
      <c r="Z407" s="177"/>
      <c r="AA407" s="177"/>
      <c r="AB407" s="177"/>
      <c r="AC407" s="177"/>
    </row>
    <row r="408" spans="1:29" ht="13">
      <c r="A408" s="161"/>
      <c r="B408" s="161"/>
      <c r="C408" s="177"/>
      <c r="D408" s="177"/>
      <c r="E408" s="177"/>
      <c r="F408" s="177"/>
      <c r="G408" s="206"/>
      <c r="H408" s="177"/>
      <c r="I408" s="177"/>
      <c r="J408" s="177"/>
      <c r="K408" s="177"/>
      <c r="L408" s="178"/>
      <c r="M408" s="177"/>
      <c r="N408" s="177"/>
      <c r="O408" s="177"/>
      <c r="P408" s="177"/>
      <c r="Q408" s="177"/>
      <c r="R408" s="177"/>
      <c r="S408" s="177"/>
      <c r="T408" s="177"/>
      <c r="U408" s="177"/>
      <c r="V408" s="177"/>
      <c r="W408" s="177"/>
      <c r="X408" s="177"/>
      <c r="Y408" s="177"/>
      <c r="Z408" s="177"/>
      <c r="AA408" s="177"/>
      <c r="AB408" s="177"/>
      <c r="AC408" s="177"/>
    </row>
    <row r="409" spans="1:29" ht="13">
      <c r="A409" s="161"/>
      <c r="B409" s="161"/>
      <c r="C409" s="177"/>
      <c r="D409" s="177"/>
      <c r="E409" s="177"/>
      <c r="F409" s="177"/>
      <c r="G409" s="206"/>
      <c r="H409" s="177"/>
      <c r="I409" s="177"/>
      <c r="J409" s="177"/>
      <c r="K409" s="177"/>
      <c r="L409" s="178"/>
      <c r="M409" s="177"/>
      <c r="N409" s="177"/>
      <c r="O409" s="177"/>
      <c r="P409" s="177"/>
      <c r="Q409" s="177"/>
      <c r="R409" s="177"/>
      <c r="S409" s="177"/>
      <c r="T409" s="177"/>
      <c r="U409" s="177"/>
      <c r="V409" s="177"/>
      <c r="W409" s="177"/>
      <c r="X409" s="177"/>
      <c r="Y409" s="177"/>
      <c r="Z409" s="177"/>
      <c r="AA409" s="177"/>
      <c r="AB409" s="177"/>
      <c r="AC409" s="177"/>
    </row>
    <row r="410" spans="1:29" ht="13">
      <c r="A410" s="161"/>
      <c r="B410" s="161"/>
      <c r="C410" s="177"/>
      <c r="D410" s="177"/>
      <c r="E410" s="177"/>
      <c r="F410" s="177"/>
      <c r="G410" s="206"/>
      <c r="H410" s="177"/>
      <c r="I410" s="177"/>
      <c r="J410" s="177"/>
      <c r="K410" s="177"/>
      <c r="L410" s="178"/>
      <c r="M410" s="177"/>
      <c r="N410" s="177"/>
      <c r="O410" s="177"/>
      <c r="P410" s="177"/>
      <c r="Q410" s="177"/>
      <c r="R410" s="177"/>
      <c r="S410" s="177"/>
      <c r="T410" s="177"/>
      <c r="U410" s="177"/>
      <c r="V410" s="177"/>
      <c r="W410" s="177"/>
      <c r="X410" s="177"/>
      <c r="Y410" s="177"/>
      <c r="Z410" s="177"/>
      <c r="AA410" s="177"/>
      <c r="AB410" s="177"/>
      <c r="AC410" s="177"/>
    </row>
    <row r="411" spans="1:29" ht="13">
      <c r="A411" s="161"/>
      <c r="B411" s="161"/>
      <c r="C411" s="177"/>
      <c r="D411" s="177"/>
      <c r="E411" s="177"/>
      <c r="F411" s="177"/>
      <c r="G411" s="206"/>
      <c r="H411" s="177"/>
      <c r="I411" s="177"/>
      <c r="J411" s="177"/>
      <c r="K411" s="177"/>
      <c r="L411" s="178"/>
      <c r="M411" s="177"/>
      <c r="N411" s="177"/>
      <c r="O411" s="177"/>
      <c r="P411" s="177"/>
      <c r="Q411" s="177"/>
      <c r="R411" s="177"/>
      <c r="S411" s="177"/>
      <c r="T411" s="177"/>
      <c r="U411" s="177"/>
      <c r="V411" s="177"/>
      <c r="W411" s="177"/>
      <c r="X411" s="177"/>
      <c r="Y411" s="177"/>
      <c r="Z411" s="177"/>
      <c r="AA411" s="177"/>
      <c r="AB411" s="177"/>
      <c r="AC411" s="177"/>
    </row>
    <row r="412" spans="1:29" ht="13">
      <c r="A412" s="161"/>
      <c r="B412" s="161"/>
      <c r="C412" s="177"/>
      <c r="D412" s="177"/>
      <c r="E412" s="177"/>
      <c r="F412" s="177"/>
      <c r="G412" s="206"/>
      <c r="H412" s="177"/>
      <c r="I412" s="177"/>
      <c r="J412" s="177"/>
      <c r="K412" s="177"/>
      <c r="L412" s="178"/>
      <c r="M412" s="177"/>
      <c r="N412" s="177"/>
      <c r="O412" s="177"/>
      <c r="P412" s="177"/>
      <c r="Q412" s="177"/>
      <c r="R412" s="177"/>
      <c r="S412" s="177"/>
      <c r="T412" s="177"/>
      <c r="U412" s="177"/>
      <c r="V412" s="177"/>
      <c r="W412" s="177"/>
      <c r="X412" s="177"/>
      <c r="Y412" s="177"/>
      <c r="Z412" s="177"/>
      <c r="AA412" s="177"/>
      <c r="AB412" s="177"/>
      <c r="AC412" s="177"/>
    </row>
    <row r="413" spans="1:29" ht="13">
      <c r="A413" s="161"/>
      <c r="B413" s="161"/>
      <c r="C413" s="177"/>
      <c r="D413" s="177"/>
      <c r="E413" s="177"/>
      <c r="F413" s="177"/>
      <c r="G413" s="206"/>
      <c r="H413" s="177"/>
      <c r="I413" s="177"/>
      <c r="J413" s="177"/>
      <c r="K413" s="177"/>
      <c r="L413" s="178"/>
      <c r="M413" s="177"/>
      <c r="N413" s="177"/>
      <c r="O413" s="177"/>
      <c r="P413" s="177"/>
      <c r="Q413" s="177"/>
      <c r="R413" s="177"/>
      <c r="S413" s="177"/>
      <c r="T413" s="177"/>
      <c r="U413" s="177"/>
      <c r="V413" s="177"/>
      <c r="W413" s="177"/>
      <c r="X413" s="177"/>
      <c r="Y413" s="177"/>
      <c r="Z413" s="177"/>
      <c r="AA413" s="177"/>
      <c r="AB413" s="177"/>
      <c r="AC413" s="177"/>
    </row>
    <row r="414" spans="1:29" ht="13">
      <c r="A414" s="161"/>
      <c r="B414" s="161"/>
      <c r="C414" s="177"/>
      <c r="D414" s="177"/>
      <c r="E414" s="177"/>
      <c r="F414" s="177"/>
      <c r="G414" s="206"/>
      <c r="H414" s="177"/>
      <c r="I414" s="177"/>
      <c r="J414" s="177"/>
      <c r="K414" s="177"/>
      <c r="L414" s="178"/>
      <c r="M414" s="177"/>
      <c r="N414" s="177"/>
      <c r="O414" s="177"/>
      <c r="P414" s="177"/>
      <c r="Q414" s="177"/>
      <c r="R414" s="177"/>
      <c r="S414" s="177"/>
      <c r="T414" s="177"/>
      <c r="U414" s="177"/>
      <c r="V414" s="177"/>
      <c r="W414" s="177"/>
      <c r="X414" s="177"/>
      <c r="Y414" s="177"/>
      <c r="Z414" s="177"/>
      <c r="AA414" s="177"/>
      <c r="AB414" s="177"/>
      <c r="AC414" s="177"/>
    </row>
    <row r="415" spans="1:29" ht="13">
      <c r="A415" s="161"/>
      <c r="B415" s="161"/>
      <c r="C415" s="177"/>
      <c r="D415" s="177"/>
      <c r="E415" s="177"/>
      <c r="F415" s="177"/>
      <c r="G415" s="206"/>
      <c r="H415" s="177"/>
      <c r="I415" s="177"/>
      <c r="J415" s="177"/>
      <c r="K415" s="177"/>
      <c r="L415" s="178"/>
      <c r="M415" s="177"/>
      <c r="N415" s="177"/>
      <c r="O415" s="177"/>
      <c r="P415" s="177"/>
      <c r="Q415" s="177"/>
      <c r="R415" s="177"/>
      <c r="S415" s="177"/>
      <c r="T415" s="177"/>
      <c r="U415" s="177"/>
      <c r="V415" s="177"/>
      <c r="W415" s="177"/>
      <c r="X415" s="177"/>
      <c r="Y415" s="177"/>
      <c r="Z415" s="177"/>
      <c r="AA415" s="177"/>
      <c r="AB415" s="177"/>
      <c r="AC415" s="177"/>
    </row>
    <row r="416" spans="1:29" ht="13">
      <c r="A416" s="161"/>
      <c r="B416" s="161"/>
      <c r="C416" s="177"/>
      <c r="D416" s="177"/>
      <c r="E416" s="177"/>
      <c r="F416" s="177"/>
      <c r="G416" s="206"/>
      <c r="H416" s="177"/>
      <c r="I416" s="177"/>
      <c r="J416" s="177"/>
      <c r="K416" s="177"/>
      <c r="L416" s="178"/>
      <c r="M416" s="177"/>
      <c r="N416" s="177"/>
      <c r="O416" s="177"/>
      <c r="P416" s="177"/>
      <c r="Q416" s="177"/>
      <c r="R416" s="177"/>
      <c r="S416" s="177"/>
      <c r="T416" s="177"/>
      <c r="U416" s="177"/>
      <c r="V416" s="177"/>
      <c r="W416" s="177"/>
      <c r="X416" s="177"/>
      <c r="Y416" s="177"/>
      <c r="Z416" s="177"/>
      <c r="AA416" s="177"/>
      <c r="AB416" s="177"/>
      <c r="AC416" s="177"/>
    </row>
    <row r="417" spans="1:29" ht="13">
      <c r="A417" s="161"/>
      <c r="B417" s="161"/>
      <c r="C417" s="177"/>
      <c r="D417" s="177"/>
      <c r="E417" s="177"/>
      <c r="F417" s="177"/>
      <c r="G417" s="206"/>
      <c r="H417" s="177"/>
      <c r="I417" s="177"/>
      <c r="J417" s="177"/>
      <c r="K417" s="177"/>
      <c r="L417" s="178"/>
      <c r="M417" s="177"/>
      <c r="N417" s="177"/>
      <c r="O417" s="177"/>
      <c r="P417" s="177"/>
      <c r="Q417" s="177"/>
      <c r="R417" s="177"/>
      <c r="S417" s="177"/>
      <c r="T417" s="177"/>
      <c r="U417" s="177"/>
      <c r="V417" s="177"/>
      <c r="W417" s="177"/>
      <c r="X417" s="177"/>
      <c r="Y417" s="177"/>
      <c r="Z417" s="177"/>
      <c r="AA417" s="177"/>
      <c r="AB417" s="177"/>
      <c r="AC417" s="177"/>
    </row>
    <row r="418" spans="1:29" ht="13">
      <c r="A418" s="161"/>
      <c r="B418" s="161"/>
      <c r="C418" s="177"/>
      <c r="D418" s="177"/>
      <c r="E418" s="177"/>
      <c r="F418" s="177"/>
      <c r="G418" s="206"/>
      <c r="H418" s="177"/>
      <c r="I418" s="177"/>
      <c r="J418" s="177"/>
      <c r="K418" s="177"/>
      <c r="L418" s="178"/>
      <c r="M418" s="177"/>
      <c r="N418" s="177"/>
      <c r="O418" s="177"/>
      <c r="P418" s="177"/>
      <c r="Q418" s="177"/>
      <c r="R418" s="177"/>
      <c r="S418" s="177"/>
      <c r="T418" s="177"/>
      <c r="U418" s="177"/>
      <c r="V418" s="177"/>
      <c r="W418" s="177"/>
      <c r="X418" s="177"/>
      <c r="Y418" s="177"/>
      <c r="Z418" s="177"/>
      <c r="AA418" s="177"/>
      <c r="AB418" s="177"/>
      <c r="AC418" s="177"/>
    </row>
    <row r="419" spans="1:29" ht="13">
      <c r="A419" s="161"/>
      <c r="B419" s="161"/>
      <c r="C419" s="177"/>
      <c r="D419" s="177"/>
      <c r="E419" s="177"/>
      <c r="F419" s="177"/>
      <c r="G419" s="206"/>
      <c r="H419" s="177"/>
      <c r="I419" s="177"/>
      <c r="J419" s="177"/>
      <c r="K419" s="177"/>
      <c r="L419" s="178"/>
      <c r="M419" s="177"/>
      <c r="N419" s="177"/>
      <c r="O419" s="177"/>
      <c r="P419" s="177"/>
      <c r="Q419" s="177"/>
      <c r="R419" s="177"/>
      <c r="S419" s="177"/>
      <c r="T419" s="177"/>
      <c r="U419" s="177"/>
      <c r="V419" s="177"/>
      <c r="W419" s="177"/>
      <c r="X419" s="177"/>
      <c r="Y419" s="177"/>
      <c r="Z419" s="177"/>
      <c r="AA419" s="177"/>
      <c r="AB419" s="177"/>
      <c r="AC419" s="177"/>
    </row>
    <row r="420" spans="1:29" ht="13">
      <c r="A420" s="161"/>
      <c r="B420" s="161"/>
      <c r="C420" s="177"/>
      <c r="D420" s="177"/>
      <c r="E420" s="177"/>
      <c r="F420" s="177"/>
      <c r="G420" s="206"/>
      <c r="H420" s="177"/>
      <c r="I420" s="177"/>
      <c r="J420" s="177"/>
      <c r="K420" s="177"/>
      <c r="L420" s="178"/>
      <c r="M420" s="177"/>
      <c r="N420" s="177"/>
      <c r="O420" s="177"/>
      <c r="P420" s="177"/>
      <c r="Q420" s="177"/>
      <c r="R420" s="177"/>
      <c r="S420" s="177"/>
      <c r="T420" s="177"/>
      <c r="U420" s="177"/>
      <c r="V420" s="177"/>
      <c r="W420" s="177"/>
      <c r="X420" s="177"/>
      <c r="Y420" s="177"/>
      <c r="Z420" s="177"/>
      <c r="AA420" s="177"/>
      <c r="AB420" s="177"/>
      <c r="AC420" s="177"/>
    </row>
    <row r="421" spans="1:29" ht="13">
      <c r="A421" s="161"/>
      <c r="B421" s="161"/>
      <c r="C421" s="177"/>
      <c r="D421" s="177"/>
      <c r="E421" s="177"/>
      <c r="F421" s="177"/>
      <c r="G421" s="206"/>
      <c r="H421" s="177"/>
      <c r="I421" s="177"/>
      <c r="J421" s="177"/>
      <c r="K421" s="177"/>
      <c r="L421" s="178"/>
      <c r="M421" s="177"/>
      <c r="N421" s="177"/>
      <c r="O421" s="177"/>
      <c r="P421" s="177"/>
      <c r="Q421" s="177"/>
      <c r="R421" s="177"/>
      <c r="S421" s="177"/>
      <c r="T421" s="177"/>
      <c r="U421" s="177"/>
      <c r="V421" s="177"/>
      <c r="W421" s="177"/>
      <c r="X421" s="177"/>
      <c r="Y421" s="177"/>
      <c r="Z421" s="177"/>
      <c r="AA421" s="177"/>
      <c r="AB421" s="177"/>
      <c r="AC421" s="177"/>
    </row>
    <row r="422" spans="1:29" ht="13">
      <c r="A422" s="161"/>
      <c r="B422" s="161"/>
      <c r="C422" s="177"/>
      <c r="D422" s="177"/>
      <c r="E422" s="177"/>
      <c r="F422" s="177"/>
      <c r="G422" s="206"/>
      <c r="H422" s="177"/>
      <c r="I422" s="177"/>
      <c r="J422" s="177"/>
      <c r="K422" s="177"/>
      <c r="L422" s="178"/>
      <c r="M422" s="177"/>
      <c r="N422" s="177"/>
      <c r="O422" s="177"/>
      <c r="P422" s="177"/>
      <c r="Q422" s="177"/>
      <c r="R422" s="177"/>
      <c r="S422" s="177"/>
      <c r="T422" s="177"/>
      <c r="U422" s="177"/>
      <c r="V422" s="177"/>
      <c r="W422" s="177"/>
      <c r="X422" s="177"/>
      <c r="Y422" s="177"/>
      <c r="Z422" s="177"/>
      <c r="AA422" s="177"/>
      <c r="AB422" s="177"/>
      <c r="AC422" s="177"/>
    </row>
    <row r="423" spans="1:29" ht="13">
      <c r="A423" s="161"/>
      <c r="B423" s="161"/>
      <c r="C423" s="177"/>
      <c r="D423" s="177"/>
      <c r="E423" s="177"/>
      <c r="F423" s="177"/>
      <c r="G423" s="206"/>
      <c r="H423" s="177"/>
      <c r="I423" s="177"/>
      <c r="J423" s="177"/>
      <c r="K423" s="177"/>
      <c r="L423" s="178"/>
      <c r="M423" s="177"/>
      <c r="N423" s="177"/>
      <c r="O423" s="177"/>
      <c r="P423" s="177"/>
      <c r="Q423" s="177"/>
      <c r="R423" s="177"/>
      <c r="S423" s="177"/>
      <c r="T423" s="177"/>
      <c r="U423" s="177"/>
      <c r="V423" s="177"/>
      <c r="W423" s="177"/>
      <c r="X423" s="177"/>
      <c r="Y423" s="177"/>
      <c r="Z423" s="177"/>
      <c r="AA423" s="177"/>
      <c r="AB423" s="177"/>
      <c r="AC423" s="177"/>
    </row>
    <row r="424" spans="1:29" ht="13">
      <c r="A424" s="161"/>
      <c r="B424" s="161"/>
      <c r="C424" s="177"/>
      <c r="D424" s="177"/>
      <c r="E424" s="177"/>
      <c r="F424" s="177"/>
      <c r="G424" s="206"/>
      <c r="H424" s="177"/>
      <c r="I424" s="177"/>
      <c r="J424" s="177"/>
      <c r="K424" s="177"/>
      <c r="L424" s="178"/>
      <c r="M424" s="177"/>
      <c r="N424" s="177"/>
      <c r="O424" s="177"/>
      <c r="P424" s="177"/>
      <c r="Q424" s="177"/>
      <c r="R424" s="177"/>
      <c r="S424" s="177"/>
      <c r="T424" s="177"/>
      <c r="U424" s="177"/>
      <c r="V424" s="177"/>
      <c r="W424" s="177"/>
      <c r="X424" s="177"/>
      <c r="Y424" s="177"/>
      <c r="Z424" s="177"/>
      <c r="AA424" s="177"/>
      <c r="AB424" s="177"/>
      <c r="AC424" s="177"/>
    </row>
    <row r="425" spans="1:29" ht="13">
      <c r="A425" s="161"/>
      <c r="B425" s="161"/>
      <c r="C425" s="177"/>
      <c r="D425" s="177"/>
      <c r="E425" s="177"/>
      <c r="F425" s="177"/>
      <c r="G425" s="206"/>
      <c r="H425" s="177"/>
      <c r="I425" s="177"/>
      <c r="J425" s="177"/>
      <c r="K425" s="177"/>
      <c r="L425" s="178"/>
      <c r="M425" s="177"/>
      <c r="N425" s="177"/>
      <c r="O425" s="177"/>
      <c r="P425" s="177"/>
      <c r="Q425" s="177"/>
      <c r="R425" s="177"/>
      <c r="S425" s="177"/>
      <c r="T425" s="177"/>
      <c r="U425" s="177"/>
      <c r="V425" s="177"/>
      <c r="W425" s="177"/>
      <c r="X425" s="177"/>
      <c r="Y425" s="177"/>
      <c r="Z425" s="177"/>
      <c r="AA425" s="177"/>
      <c r="AB425" s="177"/>
      <c r="AC425" s="177"/>
    </row>
    <row r="426" spans="1:29" ht="13">
      <c r="A426" s="161"/>
      <c r="B426" s="161"/>
      <c r="C426" s="177"/>
      <c r="D426" s="177"/>
      <c r="E426" s="177"/>
      <c r="F426" s="177"/>
      <c r="G426" s="206"/>
      <c r="H426" s="177"/>
      <c r="I426" s="177"/>
      <c r="J426" s="177"/>
      <c r="K426" s="177"/>
      <c r="L426" s="178"/>
      <c r="M426" s="177"/>
      <c r="N426" s="177"/>
      <c r="O426" s="177"/>
      <c r="P426" s="177"/>
      <c r="Q426" s="177"/>
      <c r="R426" s="177"/>
      <c r="S426" s="177"/>
      <c r="T426" s="177"/>
      <c r="U426" s="177"/>
      <c r="V426" s="177"/>
      <c r="W426" s="177"/>
      <c r="X426" s="177"/>
      <c r="Y426" s="177"/>
      <c r="Z426" s="177"/>
      <c r="AA426" s="177"/>
      <c r="AB426" s="177"/>
      <c r="AC426" s="177"/>
    </row>
    <row r="427" spans="1:29" ht="13">
      <c r="A427" s="161"/>
      <c r="B427" s="161"/>
      <c r="C427" s="177"/>
      <c r="D427" s="177"/>
      <c r="E427" s="177"/>
      <c r="F427" s="177"/>
      <c r="G427" s="206"/>
      <c r="H427" s="177"/>
      <c r="I427" s="177"/>
      <c r="J427" s="177"/>
      <c r="K427" s="177"/>
      <c r="L427" s="178"/>
      <c r="M427" s="177"/>
      <c r="N427" s="177"/>
      <c r="O427" s="177"/>
      <c r="P427" s="177"/>
      <c r="Q427" s="177"/>
      <c r="R427" s="177"/>
      <c r="S427" s="177"/>
      <c r="T427" s="177"/>
      <c r="U427" s="177"/>
      <c r="V427" s="177"/>
      <c r="W427" s="177"/>
      <c r="X427" s="177"/>
      <c r="Y427" s="177"/>
      <c r="Z427" s="177"/>
      <c r="AA427" s="177"/>
      <c r="AB427" s="177"/>
      <c r="AC427" s="177"/>
    </row>
    <row r="428" spans="1:29" ht="13">
      <c r="A428" s="161"/>
      <c r="B428" s="161"/>
      <c r="C428" s="177"/>
      <c r="D428" s="177"/>
      <c r="E428" s="177"/>
      <c r="F428" s="177"/>
      <c r="G428" s="206"/>
      <c r="H428" s="177"/>
      <c r="I428" s="177"/>
      <c r="J428" s="177"/>
      <c r="K428" s="177"/>
      <c r="L428" s="178"/>
      <c r="M428" s="177"/>
      <c r="N428" s="177"/>
      <c r="O428" s="177"/>
      <c r="P428" s="177"/>
      <c r="Q428" s="177"/>
      <c r="R428" s="177"/>
      <c r="S428" s="177"/>
      <c r="T428" s="177"/>
      <c r="U428" s="177"/>
      <c r="V428" s="177"/>
      <c r="W428" s="177"/>
      <c r="X428" s="177"/>
      <c r="Y428" s="177"/>
      <c r="Z428" s="177"/>
      <c r="AA428" s="177"/>
      <c r="AB428" s="177"/>
      <c r="AC428" s="177"/>
    </row>
    <row r="429" spans="1:29" ht="13">
      <c r="A429" s="161"/>
      <c r="B429" s="161"/>
      <c r="C429" s="177"/>
      <c r="D429" s="177"/>
      <c r="E429" s="177"/>
      <c r="F429" s="177"/>
      <c r="G429" s="206"/>
      <c r="H429" s="177"/>
      <c r="I429" s="177"/>
      <c r="J429" s="177"/>
      <c r="K429" s="177"/>
      <c r="L429" s="178"/>
      <c r="M429" s="177"/>
      <c r="N429" s="177"/>
      <c r="O429" s="177"/>
      <c r="P429" s="177"/>
      <c r="Q429" s="177"/>
      <c r="R429" s="177"/>
      <c r="S429" s="177"/>
      <c r="T429" s="177"/>
      <c r="U429" s="177"/>
      <c r="V429" s="177"/>
      <c r="W429" s="177"/>
      <c r="X429" s="177"/>
      <c r="Y429" s="177"/>
      <c r="Z429" s="177"/>
      <c r="AA429" s="177"/>
      <c r="AB429" s="177"/>
      <c r="AC429" s="177"/>
    </row>
    <row r="430" spans="1:29" ht="13">
      <c r="A430" s="161"/>
      <c r="B430" s="161"/>
      <c r="C430" s="177"/>
      <c r="D430" s="177"/>
      <c r="E430" s="177"/>
      <c r="F430" s="177"/>
      <c r="G430" s="206"/>
      <c r="H430" s="177"/>
      <c r="I430" s="177"/>
      <c r="J430" s="177"/>
      <c r="K430" s="177"/>
      <c r="L430" s="178"/>
      <c r="M430" s="177"/>
      <c r="N430" s="177"/>
      <c r="O430" s="177"/>
      <c r="P430" s="177"/>
      <c r="Q430" s="177"/>
      <c r="R430" s="177"/>
      <c r="S430" s="177"/>
      <c r="T430" s="177"/>
      <c r="U430" s="177"/>
      <c r="V430" s="177"/>
      <c r="W430" s="177"/>
      <c r="X430" s="177"/>
      <c r="Y430" s="177"/>
      <c r="Z430" s="177"/>
      <c r="AA430" s="177"/>
      <c r="AB430" s="177"/>
      <c r="AC430" s="177"/>
    </row>
    <row r="431" spans="1:29" ht="13">
      <c r="A431" s="161"/>
      <c r="B431" s="161"/>
      <c r="C431" s="177"/>
      <c r="D431" s="177"/>
      <c r="E431" s="177"/>
      <c r="F431" s="177"/>
      <c r="G431" s="206"/>
      <c r="H431" s="177"/>
      <c r="I431" s="177"/>
      <c r="J431" s="177"/>
      <c r="K431" s="177"/>
      <c r="L431" s="178"/>
      <c r="M431" s="177"/>
      <c r="N431" s="177"/>
      <c r="O431" s="177"/>
      <c r="P431" s="177"/>
      <c r="Q431" s="177"/>
      <c r="R431" s="177"/>
      <c r="S431" s="177"/>
      <c r="T431" s="177"/>
      <c r="U431" s="177"/>
      <c r="V431" s="177"/>
      <c r="W431" s="177"/>
      <c r="X431" s="177"/>
      <c r="Y431" s="177"/>
      <c r="Z431" s="177"/>
      <c r="AA431" s="177"/>
      <c r="AB431" s="177"/>
      <c r="AC431" s="177"/>
    </row>
    <row r="432" spans="1:29" ht="13">
      <c r="A432" s="161"/>
      <c r="B432" s="161"/>
      <c r="C432" s="177"/>
      <c r="D432" s="177"/>
      <c r="E432" s="177"/>
      <c r="F432" s="177"/>
      <c r="G432" s="206"/>
      <c r="H432" s="177"/>
      <c r="I432" s="177"/>
      <c r="J432" s="177"/>
      <c r="K432" s="177"/>
      <c r="L432" s="178"/>
      <c r="M432" s="177"/>
      <c r="N432" s="177"/>
      <c r="O432" s="177"/>
      <c r="P432" s="177"/>
      <c r="Q432" s="177"/>
      <c r="R432" s="177"/>
      <c r="S432" s="177"/>
      <c r="T432" s="177"/>
      <c r="U432" s="177"/>
      <c r="V432" s="177"/>
      <c r="W432" s="177"/>
      <c r="X432" s="177"/>
      <c r="Y432" s="177"/>
      <c r="Z432" s="177"/>
      <c r="AA432" s="177"/>
      <c r="AB432" s="177"/>
      <c r="AC432" s="177"/>
    </row>
    <row r="433" spans="1:29" ht="13">
      <c r="A433" s="161"/>
      <c r="B433" s="161"/>
      <c r="C433" s="177"/>
      <c r="D433" s="177"/>
      <c r="E433" s="177"/>
      <c r="F433" s="177"/>
      <c r="G433" s="206"/>
      <c r="H433" s="177"/>
      <c r="I433" s="177"/>
      <c r="J433" s="177"/>
      <c r="K433" s="177"/>
      <c r="L433" s="178"/>
      <c r="M433" s="177"/>
      <c r="N433" s="177"/>
      <c r="O433" s="177"/>
      <c r="P433" s="177"/>
      <c r="Q433" s="177"/>
      <c r="R433" s="177"/>
      <c r="S433" s="177"/>
      <c r="T433" s="177"/>
      <c r="U433" s="177"/>
      <c r="V433" s="177"/>
      <c r="W433" s="177"/>
      <c r="X433" s="177"/>
      <c r="Y433" s="177"/>
      <c r="Z433" s="177"/>
      <c r="AA433" s="177"/>
      <c r="AB433" s="177"/>
      <c r="AC433" s="177"/>
    </row>
    <row r="434" spans="1:29" ht="13">
      <c r="A434" s="161"/>
      <c r="B434" s="161"/>
      <c r="C434" s="177"/>
      <c r="D434" s="177"/>
      <c r="E434" s="177"/>
      <c r="F434" s="177"/>
      <c r="G434" s="206"/>
      <c r="H434" s="177"/>
      <c r="I434" s="177"/>
      <c r="J434" s="177"/>
      <c r="K434" s="177"/>
      <c r="L434" s="178"/>
      <c r="M434" s="177"/>
      <c r="N434" s="177"/>
      <c r="O434" s="177"/>
      <c r="P434" s="177"/>
      <c r="Q434" s="177"/>
      <c r="R434" s="177"/>
      <c r="S434" s="177"/>
      <c r="T434" s="177"/>
      <c r="U434" s="177"/>
      <c r="V434" s="177"/>
      <c r="W434" s="177"/>
      <c r="X434" s="177"/>
      <c r="Y434" s="177"/>
      <c r="Z434" s="177"/>
      <c r="AA434" s="177"/>
      <c r="AB434" s="177"/>
      <c r="AC434" s="177"/>
    </row>
    <row r="435" spans="1:29" ht="13">
      <c r="A435" s="161"/>
      <c r="B435" s="161"/>
      <c r="C435" s="177"/>
      <c r="D435" s="177"/>
      <c r="E435" s="177"/>
      <c r="F435" s="177"/>
      <c r="G435" s="206"/>
      <c r="H435" s="177"/>
      <c r="I435" s="177"/>
      <c r="J435" s="177"/>
      <c r="K435" s="177"/>
      <c r="L435" s="178"/>
      <c r="M435" s="177"/>
      <c r="N435" s="177"/>
      <c r="O435" s="177"/>
      <c r="P435" s="177"/>
      <c r="Q435" s="177"/>
      <c r="R435" s="177"/>
      <c r="S435" s="177"/>
      <c r="T435" s="177"/>
      <c r="U435" s="177"/>
      <c r="V435" s="177"/>
      <c r="W435" s="177"/>
      <c r="X435" s="177"/>
      <c r="Y435" s="177"/>
      <c r="Z435" s="177"/>
      <c r="AA435" s="177"/>
      <c r="AB435" s="177"/>
      <c r="AC435" s="177"/>
    </row>
    <row r="436" spans="1:29" ht="13">
      <c r="A436" s="161"/>
      <c r="B436" s="161"/>
      <c r="C436" s="177"/>
      <c r="D436" s="177"/>
      <c r="E436" s="177"/>
      <c r="F436" s="177"/>
      <c r="G436" s="206"/>
      <c r="H436" s="177"/>
      <c r="I436" s="177"/>
      <c r="J436" s="177"/>
      <c r="K436" s="177"/>
      <c r="L436" s="178"/>
      <c r="M436" s="177"/>
      <c r="N436" s="177"/>
      <c r="O436" s="177"/>
      <c r="P436" s="177"/>
      <c r="Q436" s="177"/>
      <c r="R436" s="177"/>
      <c r="S436" s="177"/>
      <c r="T436" s="177"/>
      <c r="U436" s="177"/>
      <c r="V436" s="177"/>
      <c r="W436" s="177"/>
      <c r="X436" s="177"/>
      <c r="Y436" s="177"/>
      <c r="Z436" s="177"/>
      <c r="AA436" s="177"/>
      <c r="AB436" s="177"/>
      <c r="AC436" s="177"/>
    </row>
    <row r="437" spans="1:29" ht="13">
      <c r="A437" s="161"/>
      <c r="B437" s="161"/>
      <c r="C437" s="177"/>
      <c r="D437" s="177"/>
      <c r="E437" s="177"/>
      <c r="F437" s="177"/>
      <c r="G437" s="206"/>
      <c r="H437" s="177"/>
      <c r="I437" s="177"/>
      <c r="J437" s="177"/>
      <c r="K437" s="177"/>
      <c r="L437" s="178"/>
      <c r="M437" s="177"/>
      <c r="N437" s="177"/>
      <c r="O437" s="177"/>
      <c r="P437" s="177"/>
      <c r="Q437" s="177"/>
      <c r="R437" s="177"/>
      <c r="S437" s="177"/>
      <c r="T437" s="177"/>
      <c r="U437" s="177"/>
      <c r="V437" s="177"/>
      <c r="W437" s="177"/>
      <c r="X437" s="177"/>
      <c r="Y437" s="177"/>
      <c r="Z437" s="177"/>
      <c r="AA437" s="177"/>
      <c r="AB437" s="177"/>
      <c r="AC437" s="177"/>
    </row>
    <row r="438" spans="1:29" ht="13">
      <c r="A438" s="161"/>
      <c r="B438" s="161"/>
      <c r="C438" s="177"/>
      <c r="D438" s="177"/>
      <c r="E438" s="177"/>
      <c r="F438" s="177"/>
      <c r="G438" s="206"/>
      <c r="H438" s="177"/>
      <c r="I438" s="177"/>
      <c r="J438" s="177"/>
      <c r="K438" s="177"/>
      <c r="L438" s="178"/>
      <c r="M438" s="177"/>
      <c r="N438" s="177"/>
      <c r="O438" s="177"/>
      <c r="P438" s="177"/>
      <c r="Q438" s="177"/>
      <c r="R438" s="177"/>
      <c r="S438" s="177"/>
      <c r="T438" s="177"/>
      <c r="U438" s="177"/>
      <c r="V438" s="177"/>
      <c r="W438" s="177"/>
      <c r="X438" s="177"/>
      <c r="Y438" s="177"/>
      <c r="Z438" s="177"/>
      <c r="AA438" s="177"/>
      <c r="AB438" s="177"/>
      <c r="AC438" s="177"/>
    </row>
    <row r="439" spans="1:29" ht="13">
      <c r="A439" s="161"/>
      <c r="B439" s="161"/>
      <c r="C439" s="177"/>
      <c r="D439" s="177"/>
      <c r="E439" s="177"/>
      <c r="F439" s="177"/>
      <c r="G439" s="206"/>
      <c r="H439" s="177"/>
      <c r="I439" s="177"/>
      <c r="J439" s="177"/>
      <c r="K439" s="177"/>
      <c r="L439" s="178"/>
      <c r="M439" s="177"/>
      <c r="N439" s="177"/>
      <c r="O439" s="177"/>
      <c r="P439" s="177"/>
      <c r="Q439" s="177"/>
      <c r="R439" s="177"/>
      <c r="S439" s="177"/>
      <c r="T439" s="177"/>
      <c r="U439" s="177"/>
      <c r="V439" s="177"/>
      <c r="W439" s="177"/>
      <c r="X439" s="177"/>
      <c r="Y439" s="177"/>
      <c r="Z439" s="177"/>
      <c r="AA439" s="177"/>
      <c r="AB439" s="177"/>
      <c r="AC439" s="177"/>
    </row>
    <row r="440" spans="1:29" ht="13">
      <c r="A440" s="161"/>
      <c r="B440" s="161"/>
      <c r="C440" s="177"/>
      <c r="D440" s="177"/>
      <c r="E440" s="177"/>
      <c r="F440" s="177"/>
      <c r="G440" s="206"/>
      <c r="H440" s="177"/>
      <c r="I440" s="177"/>
      <c r="J440" s="177"/>
      <c r="K440" s="177"/>
      <c r="L440" s="178"/>
      <c r="M440" s="177"/>
      <c r="N440" s="177"/>
      <c r="O440" s="177"/>
      <c r="P440" s="177"/>
      <c r="Q440" s="177"/>
      <c r="R440" s="177"/>
      <c r="S440" s="177"/>
      <c r="T440" s="177"/>
      <c r="U440" s="177"/>
      <c r="V440" s="177"/>
      <c r="W440" s="177"/>
      <c r="X440" s="177"/>
      <c r="Y440" s="177"/>
      <c r="Z440" s="177"/>
      <c r="AA440" s="177"/>
      <c r="AB440" s="177"/>
      <c r="AC440" s="177"/>
    </row>
    <row r="441" spans="1:29" ht="13">
      <c r="A441" s="161"/>
      <c r="B441" s="161"/>
      <c r="C441" s="177"/>
      <c r="D441" s="177"/>
      <c r="E441" s="177"/>
      <c r="F441" s="177"/>
      <c r="G441" s="206"/>
      <c r="H441" s="177"/>
      <c r="I441" s="177"/>
      <c r="J441" s="177"/>
      <c r="K441" s="177"/>
      <c r="L441" s="178"/>
      <c r="M441" s="177"/>
      <c r="N441" s="177"/>
      <c r="O441" s="177"/>
      <c r="P441" s="177"/>
      <c r="Q441" s="177"/>
      <c r="R441" s="177"/>
      <c r="S441" s="177"/>
      <c r="T441" s="177"/>
      <c r="U441" s="177"/>
      <c r="V441" s="177"/>
      <c r="W441" s="177"/>
      <c r="X441" s="177"/>
      <c r="Y441" s="177"/>
      <c r="Z441" s="177"/>
      <c r="AA441" s="177"/>
      <c r="AB441" s="177"/>
      <c r="AC441" s="177"/>
    </row>
    <row r="442" spans="1:29" ht="13">
      <c r="A442" s="161"/>
      <c r="B442" s="161"/>
      <c r="C442" s="177"/>
      <c r="D442" s="177"/>
      <c r="E442" s="177"/>
      <c r="F442" s="177"/>
      <c r="G442" s="206"/>
      <c r="H442" s="177"/>
      <c r="I442" s="177"/>
      <c r="J442" s="177"/>
      <c r="K442" s="177"/>
      <c r="L442" s="178"/>
      <c r="M442" s="177"/>
      <c r="N442" s="177"/>
      <c r="O442" s="177"/>
      <c r="P442" s="177"/>
      <c r="Q442" s="177"/>
      <c r="R442" s="177"/>
      <c r="S442" s="177"/>
      <c r="T442" s="177"/>
      <c r="U442" s="177"/>
      <c r="V442" s="177"/>
      <c r="W442" s="177"/>
      <c r="X442" s="177"/>
      <c r="Y442" s="177"/>
      <c r="Z442" s="177"/>
      <c r="AA442" s="177"/>
      <c r="AB442" s="177"/>
      <c r="AC442" s="177"/>
    </row>
    <row r="443" spans="1:29" ht="13">
      <c r="A443" s="161"/>
      <c r="B443" s="161"/>
      <c r="C443" s="177"/>
      <c r="D443" s="177"/>
      <c r="E443" s="177"/>
      <c r="F443" s="177"/>
      <c r="G443" s="206"/>
      <c r="H443" s="177"/>
      <c r="I443" s="177"/>
      <c r="J443" s="177"/>
      <c r="K443" s="177"/>
      <c r="L443" s="178"/>
      <c r="M443" s="177"/>
      <c r="N443" s="177"/>
      <c r="O443" s="177"/>
      <c r="P443" s="177"/>
      <c r="Q443" s="177"/>
      <c r="R443" s="177"/>
      <c r="S443" s="177"/>
      <c r="T443" s="177"/>
      <c r="U443" s="177"/>
      <c r="V443" s="177"/>
      <c r="W443" s="177"/>
      <c r="X443" s="177"/>
      <c r="Y443" s="177"/>
      <c r="Z443" s="177"/>
      <c r="AA443" s="177"/>
      <c r="AB443" s="177"/>
      <c r="AC443" s="177"/>
    </row>
    <row r="444" spans="1:29" ht="13">
      <c r="A444" s="161"/>
      <c r="B444" s="161"/>
      <c r="C444" s="177"/>
      <c r="D444" s="177"/>
      <c r="E444" s="177"/>
      <c r="F444" s="177"/>
      <c r="G444" s="206"/>
      <c r="H444" s="177"/>
      <c r="I444" s="177"/>
      <c r="J444" s="177"/>
      <c r="K444" s="177"/>
      <c r="L444" s="178"/>
      <c r="M444" s="177"/>
      <c r="N444" s="177"/>
      <c r="O444" s="177"/>
      <c r="P444" s="177"/>
      <c r="Q444" s="177"/>
      <c r="R444" s="177"/>
      <c r="S444" s="177"/>
      <c r="T444" s="177"/>
      <c r="U444" s="177"/>
      <c r="V444" s="177"/>
      <c r="W444" s="177"/>
      <c r="X444" s="177"/>
      <c r="Y444" s="177"/>
      <c r="Z444" s="177"/>
      <c r="AA444" s="177"/>
      <c r="AB444" s="177"/>
      <c r="AC444" s="177"/>
    </row>
    <row r="445" spans="1:29" ht="13">
      <c r="A445" s="161"/>
      <c r="B445" s="161"/>
      <c r="C445" s="177"/>
      <c r="D445" s="177"/>
      <c r="E445" s="177"/>
      <c r="F445" s="177"/>
      <c r="G445" s="206"/>
      <c r="H445" s="177"/>
      <c r="I445" s="177"/>
      <c r="J445" s="177"/>
      <c r="K445" s="177"/>
      <c r="L445" s="178"/>
      <c r="M445" s="177"/>
      <c r="N445" s="177"/>
      <c r="O445" s="177"/>
      <c r="P445" s="177"/>
      <c r="Q445" s="177"/>
      <c r="R445" s="177"/>
      <c r="S445" s="177"/>
      <c r="T445" s="177"/>
      <c r="U445" s="177"/>
      <c r="V445" s="177"/>
      <c r="W445" s="177"/>
      <c r="X445" s="177"/>
      <c r="Y445" s="177"/>
      <c r="Z445" s="177"/>
      <c r="AA445" s="177"/>
      <c r="AB445" s="177"/>
      <c r="AC445" s="177"/>
    </row>
    <row r="446" spans="1:29" ht="13">
      <c r="A446" s="161"/>
      <c r="B446" s="161"/>
      <c r="C446" s="177"/>
      <c r="D446" s="177"/>
      <c r="E446" s="177"/>
      <c r="F446" s="177"/>
      <c r="G446" s="206"/>
      <c r="H446" s="177"/>
      <c r="I446" s="177"/>
      <c r="J446" s="177"/>
      <c r="K446" s="177"/>
      <c r="L446" s="178"/>
      <c r="M446" s="177"/>
      <c r="N446" s="177"/>
      <c r="O446" s="177"/>
      <c r="P446" s="177"/>
      <c r="Q446" s="177"/>
      <c r="R446" s="177"/>
      <c r="S446" s="177"/>
      <c r="T446" s="177"/>
      <c r="U446" s="177"/>
      <c r="V446" s="177"/>
      <c r="W446" s="177"/>
      <c r="X446" s="177"/>
      <c r="Y446" s="177"/>
      <c r="Z446" s="177"/>
      <c r="AA446" s="177"/>
      <c r="AB446" s="177"/>
      <c r="AC446" s="177"/>
    </row>
    <row r="447" spans="1:29" ht="13">
      <c r="A447" s="161"/>
      <c r="B447" s="161"/>
      <c r="C447" s="177"/>
      <c r="D447" s="177"/>
      <c r="E447" s="177"/>
      <c r="F447" s="177"/>
      <c r="G447" s="206"/>
      <c r="H447" s="177"/>
      <c r="I447" s="177"/>
      <c r="J447" s="177"/>
      <c r="K447" s="177"/>
      <c r="L447" s="178"/>
      <c r="M447" s="177"/>
      <c r="N447" s="177"/>
      <c r="O447" s="177"/>
      <c r="P447" s="177"/>
      <c r="Q447" s="177"/>
      <c r="R447" s="177"/>
      <c r="S447" s="177"/>
      <c r="T447" s="177"/>
      <c r="U447" s="177"/>
      <c r="V447" s="177"/>
      <c r="W447" s="177"/>
      <c r="X447" s="177"/>
      <c r="Y447" s="177"/>
      <c r="Z447" s="177"/>
      <c r="AA447" s="177"/>
      <c r="AB447" s="177"/>
      <c r="AC447" s="177"/>
    </row>
    <row r="448" spans="1:29" ht="13">
      <c r="A448" s="161"/>
      <c r="B448" s="161"/>
      <c r="C448" s="177"/>
      <c r="D448" s="177"/>
      <c r="E448" s="177"/>
      <c r="F448" s="177"/>
      <c r="G448" s="206"/>
      <c r="H448" s="177"/>
      <c r="I448" s="177"/>
      <c r="J448" s="177"/>
      <c r="K448" s="177"/>
      <c r="L448" s="178"/>
      <c r="M448" s="177"/>
      <c r="N448" s="177"/>
      <c r="O448" s="177"/>
      <c r="P448" s="177"/>
      <c r="Q448" s="177"/>
      <c r="R448" s="177"/>
      <c r="S448" s="177"/>
      <c r="T448" s="177"/>
      <c r="U448" s="177"/>
      <c r="V448" s="177"/>
      <c r="W448" s="177"/>
      <c r="X448" s="177"/>
      <c r="Y448" s="177"/>
      <c r="Z448" s="177"/>
      <c r="AA448" s="177"/>
      <c r="AB448" s="177"/>
      <c r="AC448" s="177"/>
    </row>
    <row r="449" spans="1:29" ht="13">
      <c r="A449" s="161"/>
      <c r="B449" s="161"/>
      <c r="C449" s="177"/>
      <c r="D449" s="177"/>
      <c r="E449" s="177"/>
      <c r="F449" s="177"/>
      <c r="G449" s="206"/>
      <c r="H449" s="177"/>
      <c r="I449" s="177"/>
      <c r="J449" s="177"/>
      <c r="K449" s="177"/>
      <c r="L449" s="178"/>
      <c r="M449" s="177"/>
      <c r="N449" s="177"/>
      <c r="O449" s="177"/>
      <c r="P449" s="177"/>
      <c r="Q449" s="177"/>
      <c r="R449" s="177"/>
      <c r="S449" s="177"/>
      <c r="T449" s="177"/>
      <c r="U449" s="177"/>
      <c r="V449" s="177"/>
      <c r="W449" s="177"/>
      <c r="X449" s="177"/>
      <c r="Y449" s="177"/>
      <c r="Z449" s="177"/>
      <c r="AA449" s="177"/>
      <c r="AB449" s="177"/>
      <c r="AC449" s="177"/>
    </row>
    <row r="450" spans="1:29" ht="13">
      <c r="A450" s="161"/>
      <c r="B450" s="161"/>
      <c r="C450" s="177"/>
      <c r="D450" s="177"/>
      <c r="E450" s="177"/>
      <c r="F450" s="177"/>
      <c r="G450" s="206"/>
      <c r="H450" s="177"/>
      <c r="I450" s="177"/>
      <c r="J450" s="177"/>
      <c r="K450" s="177"/>
      <c r="L450" s="178"/>
      <c r="M450" s="177"/>
      <c r="N450" s="177"/>
      <c r="O450" s="177"/>
      <c r="P450" s="177"/>
      <c r="Q450" s="177"/>
      <c r="R450" s="177"/>
      <c r="S450" s="177"/>
      <c r="T450" s="177"/>
      <c r="U450" s="177"/>
      <c r="V450" s="177"/>
      <c r="W450" s="177"/>
      <c r="X450" s="177"/>
      <c r="Y450" s="177"/>
      <c r="Z450" s="177"/>
      <c r="AA450" s="177"/>
      <c r="AB450" s="177"/>
      <c r="AC450" s="177"/>
    </row>
    <row r="451" spans="1:29" ht="13">
      <c r="A451" s="161"/>
      <c r="B451" s="161"/>
      <c r="C451" s="177"/>
      <c r="D451" s="177"/>
      <c r="E451" s="177"/>
      <c r="F451" s="177"/>
      <c r="G451" s="206"/>
      <c r="H451" s="177"/>
      <c r="I451" s="177"/>
      <c r="J451" s="177"/>
      <c r="K451" s="177"/>
      <c r="L451" s="178"/>
      <c r="M451" s="177"/>
      <c r="N451" s="177"/>
      <c r="O451" s="177"/>
      <c r="P451" s="177"/>
      <c r="Q451" s="177"/>
      <c r="R451" s="177"/>
      <c r="S451" s="177"/>
      <c r="T451" s="177"/>
      <c r="U451" s="177"/>
      <c r="V451" s="177"/>
      <c r="W451" s="177"/>
      <c r="X451" s="177"/>
      <c r="Y451" s="177"/>
      <c r="Z451" s="177"/>
      <c r="AA451" s="177"/>
      <c r="AB451" s="177"/>
      <c r="AC451" s="177"/>
    </row>
    <row r="452" spans="1:29" ht="13">
      <c r="A452" s="161"/>
      <c r="B452" s="161"/>
      <c r="C452" s="177"/>
      <c r="D452" s="177"/>
      <c r="E452" s="177"/>
      <c r="F452" s="177"/>
      <c r="G452" s="206"/>
      <c r="H452" s="177"/>
      <c r="I452" s="177"/>
      <c r="J452" s="177"/>
      <c r="K452" s="177"/>
      <c r="L452" s="178"/>
      <c r="M452" s="177"/>
      <c r="N452" s="177"/>
      <c r="O452" s="177"/>
      <c r="P452" s="177"/>
      <c r="Q452" s="177"/>
      <c r="R452" s="177"/>
      <c r="S452" s="177"/>
      <c r="T452" s="177"/>
      <c r="U452" s="177"/>
      <c r="V452" s="177"/>
      <c r="W452" s="177"/>
      <c r="X452" s="177"/>
      <c r="Y452" s="177"/>
      <c r="Z452" s="177"/>
      <c r="AA452" s="177"/>
      <c r="AB452" s="177"/>
      <c r="AC452" s="177"/>
    </row>
    <row r="453" spans="1:29" ht="13">
      <c r="A453" s="161"/>
      <c r="B453" s="161"/>
      <c r="C453" s="177"/>
      <c r="D453" s="177"/>
      <c r="E453" s="177"/>
      <c r="F453" s="177"/>
      <c r="G453" s="206"/>
      <c r="H453" s="177"/>
      <c r="I453" s="177"/>
      <c r="J453" s="177"/>
      <c r="K453" s="177"/>
      <c r="L453" s="178"/>
      <c r="M453" s="177"/>
      <c r="N453" s="177"/>
      <c r="O453" s="177"/>
      <c r="P453" s="177"/>
      <c r="Q453" s="177"/>
      <c r="R453" s="177"/>
      <c r="S453" s="177"/>
      <c r="T453" s="177"/>
      <c r="U453" s="177"/>
      <c r="V453" s="177"/>
      <c r="W453" s="177"/>
      <c r="X453" s="177"/>
      <c r="Y453" s="177"/>
      <c r="Z453" s="177"/>
      <c r="AA453" s="177"/>
      <c r="AB453" s="177"/>
      <c r="AC453" s="177"/>
    </row>
    <row r="454" spans="1:29" ht="13">
      <c r="A454" s="161"/>
      <c r="B454" s="161"/>
      <c r="C454" s="177"/>
      <c r="D454" s="177"/>
      <c r="E454" s="177"/>
      <c r="F454" s="177"/>
      <c r="G454" s="206"/>
      <c r="H454" s="177"/>
      <c r="I454" s="177"/>
      <c r="J454" s="177"/>
      <c r="K454" s="177"/>
      <c r="L454" s="178"/>
      <c r="M454" s="177"/>
      <c r="N454" s="177"/>
      <c r="O454" s="177"/>
      <c r="P454" s="177"/>
      <c r="Q454" s="177"/>
      <c r="R454" s="177"/>
      <c r="S454" s="177"/>
      <c r="T454" s="177"/>
      <c r="U454" s="177"/>
      <c r="V454" s="177"/>
      <c r="W454" s="177"/>
      <c r="X454" s="177"/>
      <c r="Y454" s="177"/>
      <c r="Z454" s="177"/>
      <c r="AA454" s="177"/>
      <c r="AB454" s="177"/>
      <c r="AC454" s="177"/>
    </row>
    <row r="455" spans="1:29" ht="13">
      <c r="A455" s="161"/>
      <c r="B455" s="161"/>
      <c r="C455" s="177"/>
      <c r="D455" s="177"/>
      <c r="E455" s="177"/>
      <c r="F455" s="177"/>
      <c r="G455" s="206"/>
      <c r="H455" s="177"/>
      <c r="I455" s="177"/>
      <c r="J455" s="177"/>
      <c r="K455" s="177"/>
      <c r="L455" s="178"/>
      <c r="M455" s="177"/>
      <c r="N455" s="177"/>
      <c r="O455" s="177"/>
      <c r="P455" s="177"/>
      <c r="Q455" s="177"/>
      <c r="R455" s="177"/>
      <c r="S455" s="177"/>
      <c r="T455" s="177"/>
      <c r="U455" s="177"/>
      <c r="V455" s="177"/>
      <c r="W455" s="177"/>
      <c r="X455" s="177"/>
      <c r="Y455" s="177"/>
      <c r="Z455" s="177"/>
      <c r="AA455" s="177"/>
      <c r="AB455" s="177"/>
      <c r="AC455" s="177"/>
    </row>
    <row r="456" spans="1:29" ht="13">
      <c r="A456" s="161"/>
      <c r="B456" s="161"/>
      <c r="C456" s="177"/>
      <c r="D456" s="177"/>
      <c r="E456" s="177"/>
      <c r="F456" s="177"/>
      <c r="G456" s="206"/>
      <c r="H456" s="177"/>
      <c r="I456" s="177"/>
      <c r="J456" s="177"/>
      <c r="K456" s="177"/>
      <c r="L456" s="178"/>
      <c r="M456" s="177"/>
      <c r="N456" s="177"/>
      <c r="O456" s="177"/>
      <c r="P456" s="177"/>
      <c r="Q456" s="177"/>
      <c r="R456" s="177"/>
      <c r="S456" s="177"/>
      <c r="T456" s="177"/>
      <c r="U456" s="177"/>
      <c r="V456" s="177"/>
      <c r="W456" s="177"/>
      <c r="X456" s="177"/>
      <c r="Y456" s="177"/>
      <c r="Z456" s="177"/>
      <c r="AA456" s="177"/>
      <c r="AB456" s="177"/>
      <c r="AC456" s="177"/>
    </row>
    <row r="457" spans="1:29" ht="13">
      <c r="A457" s="161"/>
      <c r="B457" s="161"/>
      <c r="C457" s="177"/>
      <c r="D457" s="177"/>
      <c r="E457" s="177"/>
      <c r="F457" s="177"/>
      <c r="G457" s="206"/>
      <c r="H457" s="177"/>
      <c r="I457" s="177"/>
      <c r="J457" s="177"/>
      <c r="K457" s="177"/>
      <c r="L457" s="178"/>
      <c r="M457" s="177"/>
      <c r="N457" s="177"/>
      <c r="O457" s="177"/>
      <c r="P457" s="177"/>
      <c r="Q457" s="177"/>
      <c r="R457" s="177"/>
      <c r="S457" s="177"/>
      <c r="T457" s="177"/>
      <c r="U457" s="177"/>
      <c r="V457" s="177"/>
      <c r="W457" s="177"/>
      <c r="X457" s="177"/>
      <c r="Y457" s="177"/>
      <c r="Z457" s="177"/>
      <c r="AA457" s="177"/>
      <c r="AB457" s="177"/>
      <c r="AC457" s="177"/>
    </row>
    <row r="458" spans="1:29" ht="13">
      <c r="A458" s="161"/>
      <c r="B458" s="161"/>
      <c r="C458" s="177"/>
      <c r="D458" s="177"/>
      <c r="E458" s="177"/>
      <c r="F458" s="177"/>
      <c r="G458" s="206"/>
      <c r="H458" s="177"/>
      <c r="I458" s="177"/>
      <c r="J458" s="177"/>
      <c r="K458" s="177"/>
      <c r="L458" s="178"/>
      <c r="M458" s="177"/>
      <c r="N458" s="177"/>
      <c r="O458" s="177"/>
      <c r="P458" s="177"/>
      <c r="Q458" s="177"/>
      <c r="R458" s="177"/>
      <c r="S458" s="177"/>
      <c r="T458" s="177"/>
      <c r="U458" s="177"/>
      <c r="V458" s="177"/>
      <c r="W458" s="177"/>
      <c r="X458" s="177"/>
      <c r="Y458" s="177"/>
      <c r="Z458" s="177"/>
      <c r="AA458" s="177"/>
      <c r="AB458" s="177"/>
      <c r="AC458" s="177"/>
    </row>
    <row r="459" spans="1:29" ht="13">
      <c r="A459" s="161"/>
      <c r="B459" s="161"/>
      <c r="C459" s="177"/>
      <c r="D459" s="177"/>
      <c r="E459" s="177"/>
      <c r="F459" s="177"/>
      <c r="G459" s="206"/>
      <c r="H459" s="177"/>
      <c r="I459" s="177"/>
      <c r="J459" s="177"/>
      <c r="K459" s="177"/>
      <c r="L459" s="178"/>
      <c r="M459" s="177"/>
      <c r="N459" s="177"/>
      <c r="O459" s="177"/>
      <c r="P459" s="177"/>
      <c r="Q459" s="177"/>
      <c r="R459" s="177"/>
      <c r="S459" s="177"/>
      <c r="T459" s="177"/>
      <c r="U459" s="177"/>
      <c r="V459" s="177"/>
      <c r="W459" s="177"/>
      <c r="X459" s="177"/>
      <c r="Y459" s="177"/>
      <c r="Z459" s="177"/>
      <c r="AA459" s="177"/>
      <c r="AB459" s="177"/>
      <c r="AC459" s="177"/>
    </row>
    <row r="460" spans="1:29" ht="13">
      <c r="A460" s="161"/>
      <c r="B460" s="161"/>
      <c r="C460" s="177"/>
      <c r="D460" s="177"/>
      <c r="E460" s="177"/>
      <c r="F460" s="177"/>
      <c r="G460" s="206"/>
      <c r="H460" s="177"/>
      <c r="I460" s="177"/>
      <c r="J460" s="177"/>
      <c r="K460" s="177"/>
      <c r="L460" s="178"/>
      <c r="M460" s="177"/>
      <c r="N460" s="177"/>
      <c r="O460" s="177"/>
      <c r="P460" s="177"/>
      <c r="Q460" s="177"/>
      <c r="R460" s="177"/>
      <c r="S460" s="177"/>
      <c r="T460" s="177"/>
      <c r="U460" s="177"/>
      <c r="V460" s="177"/>
      <c r="W460" s="177"/>
      <c r="X460" s="177"/>
      <c r="Y460" s="177"/>
      <c r="Z460" s="177"/>
      <c r="AA460" s="177"/>
      <c r="AB460" s="177"/>
      <c r="AC460" s="177"/>
    </row>
    <row r="461" spans="1:29" ht="13">
      <c r="A461" s="161"/>
      <c r="B461" s="161"/>
      <c r="C461" s="177"/>
      <c r="D461" s="177"/>
      <c r="E461" s="177"/>
      <c r="F461" s="177"/>
      <c r="G461" s="206"/>
      <c r="H461" s="177"/>
      <c r="I461" s="177"/>
      <c r="J461" s="177"/>
      <c r="K461" s="177"/>
      <c r="L461" s="178"/>
      <c r="M461" s="177"/>
      <c r="N461" s="177"/>
      <c r="O461" s="177"/>
      <c r="P461" s="177"/>
      <c r="Q461" s="177"/>
      <c r="R461" s="177"/>
      <c r="S461" s="177"/>
      <c r="T461" s="177"/>
      <c r="U461" s="177"/>
      <c r="V461" s="177"/>
      <c r="W461" s="177"/>
      <c r="X461" s="177"/>
      <c r="Y461" s="177"/>
      <c r="Z461" s="177"/>
      <c r="AA461" s="177"/>
      <c r="AB461" s="177"/>
      <c r="AC461" s="177"/>
    </row>
    <row r="462" spans="1:29" ht="13">
      <c r="A462" s="161"/>
      <c r="B462" s="161"/>
      <c r="C462" s="177"/>
      <c r="D462" s="177"/>
      <c r="E462" s="177"/>
      <c r="F462" s="177"/>
      <c r="G462" s="206"/>
      <c r="H462" s="177"/>
      <c r="I462" s="177"/>
      <c r="J462" s="177"/>
      <c r="K462" s="177"/>
      <c r="L462" s="178"/>
      <c r="M462" s="177"/>
      <c r="N462" s="177"/>
      <c r="O462" s="177"/>
      <c r="P462" s="177"/>
      <c r="Q462" s="177"/>
      <c r="R462" s="177"/>
      <c r="S462" s="177"/>
      <c r="T462" s="177"/>
      <c r="U462" s="177"/>
      <c r="V462" s="177"/>
      <c r="W462" s="177"/>
      <c r="X462" s="177"/>
      <c r="Y462" s="177"/>
      <c r="Z462" s="177"/>
      <c r="AA462" s="177"/>
      <c r="AB462" s="177"/>
      <c r="AC462" s="177"/>
    </row>
    <row r="463" spans="1:29" ht="13">
      <c r="A463" s="161"/>
      <c r="B463" s="161"/>
      <c r="C463" s="177"/>
      <c r="D463" s="177"/>
      <c r="E463" s="177"/>
      <c r="F463" s="177"/>
      <c r="G463" s="206"/>
      <c r="H463" s="177"/>
      <c r="I463" s="177"/>
      <c r="J463" s="177"/>
      <c r="K463" s="177"/>
      <c r="L463" s="178"/>
      <c r="M463" s="177"/>
      <c r="N463" s="177"/>
      <c r="O463" s="177"/>
      <c r="P463" s="177"/>
      <c r="Q463" s="177"/>
      <c r="R463" s="177"/>
      <c r="S463" s="177"/>
      <c r="T463" s="177"/>
      <c r="U463" s="177"/>
      <c r="V463" s="177"/>
      <c r="W463" s="177"/>
      <c r="X463" s="177"/>
      <c r="Y463" s="177"/>
      <c r="Z463" s="177"/>
      <c r="AA463" s="177"/>
      <c r="AB463" s="177"/>
      <c r="AC463" s="177"/>
    </row>
    <row r="464" spans="1:29" ht="13">
      <c r="A464" s="161"/>
      <c r="B464" s="161"/>
      <c r="C464" s="177"/>
      <c r="D464" s="177"/>
      <c r="E464" s="177"/>
      <c r="F464" s="177"/>
      <c r="G464" s="206"/>
      <c r="H464" s="177"/>
      <c r="I464" s="177"/>
      <c r="J464" s="177"/>
      <c r="K464" s="177"/>
      <c r="L464" s="178"/>
      <c r="M464" s="177"/>
      <c r="N464" s="177"/>
      <c r="O464" s="177"/>
      <c r="P464" s="177"/>
      <c r="Q464" s="177"/>
      <c r="R464" s="177"/>
      <c r="S464" s="177"/>
      <c r="T464" s="177"/>
      <c r="U464" s="177"/>
      <c r="V464" s="177"/>
      <c r="W464" s="177"/>
      <c r="X464" s="177"/>
      <c r="Y464" s="177"/>
      <c r="Z464" s="177"/>
      <c r="AA464" s="177"/>
      <c r="AB464" s="177"/>
      <c r="AC464" s="177"/>
    </row>
    <row r="465" spans="1:29" ht="13">
      <c r="A465" s="161"/>
      <c r="B465" s="161"/>
      <c r="C465" s="177"/>
      <c r="D465" s="177"/>
      <c r="E465" s="177"/>
      <c r="F465" s="177"/>
      <c r="G465" s="206"/>
      <c r="H465" s="177"/>
      <c r="I465" s="177"/>
      <c r="J465" s="177"/>
      <c r="K465" s="177"/>
      <c r="L465" s="178"/>
      <c r="M465" s="177"/>
      <c r="N465" s="177"/>
      <c r="O465" s="177"/>
      <c r="P465" s="177"/>
      <c r="Q465" s="177"/>
      <c r="R465" s="177"/>
      <c r="S465" s="177"/>
      <c r="T465" s="177"/>
      <c r="U465" s="177"/>
      <c r="V465" s="177"/>
      <c r="W465" s="177"/>
      <c r="X465" s="177"/>
      <c r="Y465" s="177"/>
      <c r="Z465" s="177"/>
      <c r="AA465" s="177"/>
      <c r="AB465" s="177"/>
      <c r="AC465" s="177"/>
    </row>
    <row r="466" spans="1:29" ht="13">
      <c r="A466" s="161"/>
      <c r="B466" s="161"/>
      <c r="C466" s="177"/>
      <c r="D466" s="177"/>
      <c r="E466" s="177"/>
      <c r="F466" s="177"/>
      <c r="G466" s="206"/>
      <c r="H466" s="177"/>
      <c r="I466" s="177"/>
      <c r="J466" s="177"/>
      <c r="K466" s="177"/>
      <c r="L466" s="178"/>
      <c r="M466" s="177"/>
      <c r="N466" s="177"/>
      <c r="O466" s="177"/>
      <c r="P466" s="177"/>
      <c r="Q466" s="177"/>
      <c r="R466" s="177"/>
      <c r="S466" s="177"/>
      <c r="T466" s="177"/>
      <c r="U466" s="177"/>
      <c r="V466" s="177"/>
      <c r="W466" s="177"/>
      <c r="X466" s="177"/>
      <c r="Y466" s="177"/>
      <c r="Z466" s="177"/>
      <c r="AA466" s="177"/>
      <c r="AB466" s="177"/>
      <c r="AC466" s="177"/>
    </row>
    <row r="467" spans="1:29" ht="13">
      <c r="A467" s="161"/>
      <c r="B467" s="161"/>
      <c r="C467" s="177"/>
      <c r="D467" s="177"/>
      <c r="E467" s="177"/>
      <c r="F467" s="177"/>
      <c r="G467" s="206"/>
      <c r="H467" s="177"/>
      <c r="I467" s="177"/>
      <c r="J467" s="177"/>
      <c r="K467" s="177"/>
      <c r="L467" s="178"/>
      <c r="M467" s="177"/>
      <c r="N467" s="177"/>
      <c r="O467" s="177"/>
      <c r="P467" s="177"/>
      <c r="Q467" s="177"/>
      <c r="R467" s="177"/>
      <c r="S467" s="177"/>
      <c r="T467" s="177"/>
      <c r="U467" s="177"/>
      <c r="V467" s="177"/>
      <c r="W467" s="177"/>
      <c r="X467" s="177"/>
      <c r="Y467" s="177"/>
      <c r="Z467" s="177"/>
      <c r="AA467" s="177"/>
      <c r="AB467" s="177"/>
      <c r="AC467" s="177"/>
    </row>
    <row r="468" spans="1:29" ht="13">
      <c r="A468" s="161"/>
      <c r="B468" s="161"/>
      <c r="C468" s="177"/>
      <c r="D468" s="177"/>
      <c r="E468" s="177"/>
      <c r="F468" s="177"/>
      <c r="G468" s="206"/>
      <c r="H468" s="177"/>
      <c r="I468" s="177"/>
      <c r="J468" s="177"/>
      <c r="K468" s="177"/>
      <c r="L468" s="178"/>
      <c r="M468" s="177"/>
      <c r="N468" s="177"/>
      <c r="O468" s="177"/>
      <c r="P468" s="177"/>
      <c r="Q468" s="177"/>
      <c r="R468" s="177"/>
      <c r="S468" s="177"/>
      <c r="T468" s="177"/>
      <c r="U468" s="177"/>
      <c r="V468" s="177"/>
      <c r="W468" s="177"/>
      <c r="X468" s="177"/>
      <c r="Y468" s="177"/>
      <c r="Z468" s="177"/>
      <c r="AA468" s="177"/>
      <c r="AB468" s="177"/>
      <c r="AC468" s="177"/>
    </row>
    <row r="469" spans="1:29" ht="13">
      <c r="A469" s="161"/>
      <c r="B469" s="161"/>
      <c r="C469" s="177"/>
      <c r="D469" s="177"/>
      <c r="E469" s="177"/>
      <c r="F469" s="177"/>
      <c r="G469" s="206"/>
      <c r="H469" s="177"/>
      <c r="I469" s="177"/>
      <c r="J469" s="177"/>
      <c r="K469" s="177"/>
      <c r="L469" s="178"/>
      <c r="M469" s="177"/>
      <c r="N469" s="177"/>
      <c r="O469" s="177"/>
      <c r="P469" s="177"/>
      <c r="Q469" s="177"/>
      <c r="R469" s="177"/>
      <c r="S469" s="177"/>
      <c r="T469" s="177"/>
      <c r="U469" s="177"/>
      <c r="V469" s="177"/>
      <c r="W469" s="177"/>
      <c r="X469" s="177"/>
      <c r="Y469" s="177"/>
      <c r="Z469" s="177"/>
      <c r="AA469" s="177"/>
      <c r="AB469" s="177"/>
      <c r="AC469" s="177"/>
    </row>
    <row r="470" spans="1:29" ht="13">
      <c r="A470" s="161"/>
      <c r="B470" s="161"/>
      <c r="C470" s="177"/>
      <c r="D470" s="177"/>
      <c r="E470" s="177"/>
      <c r="F470" s="177"/>
      <c r="G470" s="206"/>
      <c r="H470" s="177"/>
      <c r="I470" s="177"/>
      <c r="J470" s="177"/>
      <c r="K470" s="177"/>
      <c r="L470" s="178"/>
      <c r="M470" s="177"/>
      <c r="N470" s="177"/>
      <c r="O470" s="177"/>
      <c r="P470" s="177"/>
      <c r="Q470" s="177"/>
      <c r="R470" s="177"/>
      <c r="S470" s="177"/>
      <c r="T470" s="177"/>
      <c r="U470" s="177"/>
      <c r="V470" s="177"/>
      <c r="W470" s="177"/>
      <c r="X470" s="177"/>
      <c r="Y470" s="177"/>
      <c r="Z470" s="177"/>
      <c r="AA470" s="177"/>
      <c r="AB470" s="177"/>
      <c r="AC470" s="177"/>
    </row>
    <row r="471" spans="1:29" ht="13">
      <c r="A471" s="161"/>
      <c r="B471" s="161"/>
      <c r="C471" s="177"/>
      <c r="D471" s="177"/>
      <c r="E471" s="177"/>
      <c r="F471" s="177"/>
      <c r="G471" s="206"/>
      <c r="H471" s="177"/>
      <c r="I471" s="177"/>
      <c r="J471" s="177"/>
      <c r="K471" s="177"/>
      <c r="L471" s="178"/>
      <c r="M471" s="177"/>
      <c r="N471" s="177"/>
      <c r="O471" s="177"/>
      <c r="P471" s="177"/>
      <c r="Q471" s="177"/>
      <c r="R471" s="177"/>
      <c r="S471" s="177"/>
      <c r="T471" s="177"/>
      <c r="U471" s="177"/>
      <c r="V471" s="177"/>
      <c r="W471" s="177"/>
      <c r="X471" s="177"/>
      <c r="Y471" s="177"/>
      <c r="Z471" s="177"/>
      <c r="AA471" s="177"/>
      <c r="AB471" s="177"/>
      <c r="AC471" s="177"/>
    </row>
    <row r="472" spans="1:29" ht="13">
      <c r="A472" s="161"/>
      <c r="B472" s="161"/>
      <c r="C472" s="177"/>
      <c r="D472" s="177"/>
      <c r="E472" s="177"/>
      <c r="F472" s="177"/>
      <c r="G472" s="206"/>
      <c r="H472" s="177"/>
      <c r="I472" s="177"/>
      <c r="J472" s="177"/>
      <c r="K472" s="177"/>
      <c r="L472" s="178"/>
      <c r="M472" s="177"/>
      <c r="N472" s="177"/>
      <c r="O472" s="177"/>
      <c r="P472" s="177"/>
      <c r="Q472" s="177"/>
      <c r="R472" s="177"/>
      <c r="S472" s="177"/>
      <c r="T472" s="177"/>
      <c r="U472" s="177"/>
      <c r="V472" s="177"/>
      <c r="W472" s="177"/>
      <c r="X472" s="177"/>
      <c r="Y472" s="177"/>
      <c r="Z472" s="177"/>
      <c r="AA472" s="177"/>
      <c r="AB472" s="177"/>
      <c r="AC472" s="177"/>
    </row>
    <row r="473" spans="1:29" ht="13">
      <c r="A473" s="161"/>
      <c r="B473" s="161"/>
      <c r="C473" s="177"/>
      <c r="D473" s="177"/>
      <c r="E473" s="177"/>
      <c r="F473" s="177"/>
      <c r="G473" s="206"/>
      <c r="H473" s="177"/>
      <c r="I473" s="177"/>
      <c r="J473" s="177"/>
      <c r="K473" s="177"/>
      <c r="L473" s="178"/>
      <c r="M473" s="177"/>
      <c r="N473" s="177"/>
      <c r="O473" s="177"/>
      <c r="P473" s="177"/>
      <c r="Q473" s="177"/>
      <c r="R473" s="177"/>
      <c r="S473" s="177"/>
      <c r="T473" s="177"/>
      <c r="U473" s="177"/>
      <c r="V473" s="177"/>
      <c r="W473" s="177"/>
      <c r="X473" s="177"/>
      <c r="Y473" s="177"/>
      <c r="Z473" s="177"/>
      <c r="AA473" s="177"/>
      <c r="AB473" s="177"/>
      <c r="AC473" s="177"/>
    </row>
    <row r="474" spans="1:29" ht="13">
      <c r="A474" s="161"/>
      <c r="B474" s="161"/>
      <c r="C474" s="177"/>
      <c r="D474" s="177"/>
      <c r="E474" s="177"/>
      <c r="F474" s="177"/>
      <c r="G474" s="206"/>
      <c r="H474" s="177"/>
      <c r="I474" s="177"/>
      <c r="J474" s="177"/>
      <c r="K474" s="177"/>
      <c r="L474" s="178"/>
      <c r="M474" s="177"/>
      <c r="N474" s="177"/>
      <c r="O474" s="177"/>
      <c r="P474" s="177"/>
      <c r="Q474" s="177"/>
      <c r="R474" s="177"/>
      <c r="S474" s="177"/>
      <c r="T474" s="177"/>
      <c r="U474" s="177"/>
      <c r="V474" s="177"/>
      <c r="W474" s="177"/>
      <c r="X474" s="177"/>
      <c r="Y474" s="177"/>
      <c r="Z474" s="177"/>
      <c r="AA474" s="177"/>
      <c r="AB474" s="177"/>
      <c r="AC474" s="177"/>
    </row>
    <row r="475" spans="1:29" ht="13">
      <c r="A475" s="161"/>
      <c r="B475" s="161"/>
      <c r="C475" s="177"/>
      <c r="D475" s="177"/>
      <c r="E475" s="177"/>
      <c r="F475" s="177"/>
      <c r="G475" s="206"/>
      <c r="H475" s="177"/>
      <c r="I475" s="177"/>
      <c r="J475" s="177"/>
      <c r="K475" s="177"/>
      <c r="L475" s="178"/>
      <c r="M475" s="177"/>
      <c r="N475" s="177"/>
      <c r="O475" s="177"/>
      <c r="P475" s="177"/>
      <c r="Q475" s="177"/>
      <c r="R475" s="177"/>
      <c r="S475" s="177"/>
      <c r="T475" s="177"/>
      <c r="U475" s="177"/>
      <c r="V475" s="177"/>
      <c r="W475" s="177"/>
      <c r="X475" s="177"/>
      <c r="Y475" s="177"/>
      <c r="Z475" s="177"/>
      <c r="AA475" s="177"/>
      <c r="AB475" s="177"/>
      <c r="AC475" s="177"/>
    </row>
    <row r="476" spans="1:29" ht="13">
      <c r="A476" s="161"/>
      <c r="B476" s="161"/>
      <c r="C476" s="177"/>
      <c r="D476" s="177"/>
      <c r="E476" s="177"/>
      <c r="F476" s="177"/>
      <c r="G476" s="206"/>
      <c r="H476" s="177"/>
      <c r="I476" s="177"/>
      <c r="J476" s="177"/>
      <c r="K476" s="177"/>
      <c r="L476" s="178"/>
      <c r="M476" s="177"/>
      <c r="N476" s="177"/>
      <c r="O476" s="177"/>
      <c r="P476" s="177"/>
      <c r="Q476" s="177"/>
      <c r="R476" s="177"/>
      <c r="S476" s="177"/>
      <c r="T476" s="177"/>
      <c r="U476" s="177"/>
      <c r="V476" s="177"/>
      <c r="W476" s="177"/>
      <c r="X476" s="177"/>
      <c r="Y476" s="177"/>
      <c r="Z476" s="177"/>
      <c r="AA476" s="177"/>
      <c r="AB476" s="177"/>
      <c r="AC476" s="177"/>
    </row>
    <row r="477" spans="1:29" ht="13">
      <c r="A477" s="161"/>
      <c r="B477" s="161"/>
      <c r="C477" s="177"/>
      <c r="D477" s="177"/>
      <c r="E477" s="177"/>
      <c r="F477" s="177"/>
      <c r="G477" s="206"/>
      <c r="H477" s="177"/>
      <c r="I477" s="177"/>
      <c r="J477" s="177"/>
      <c r="K477" s="177"/>
      <c r="L477" s="178"/>
      <c r="M477" s="177"/>
      <c r="N477" s="177"/>
      <c r="O477" s="177"/>
      <c r="P477" s="177"/>
      <c r="Q477" s="177"/>
      <c r="R477" s="177"/>
      <c r="S477" s="177"/>
      <c r="T477" s="177"/>
      <c r="U477" s="177"/>
      <c r="V477" s="177"/>
      <c r="W477" s="177"/>
      <c r="X477" s="177"/>
      <c r="Y477" s="177"/>
      <c r="Z477" s="177"/>
      <c r="AA477" s="177"/>
      <c r="AB477" s="177"/>
      <c r="AC477" s="177"/>
    </row>
    <row r="478" spans="1:29" ht="13">
      <c r="A478" s="161"/>
      <c r="B478" s="161"/>
      <c r="C478" s="177"/>
      <c r="D478" s="177"/>
      <c r="E478" s="177"/>
      <c r="F478" s="177"/>
      <c r="G478" s="206"/>
      <c r="H478" s="177"/>
      <c r="I478" s="177"/>
      <c r="J478" s="177"/>
      <c r="K478" s="177"/>
      <c r="L478" s="178"/>
      <c r="M478" s="177"/>
      <c r="N478" s="177"/>
      <c r="O478" s="177"/>
      <c r="P478" s="177"/>
      <c r="Q478" s="177"/>
      <c r="R478" s="177"/>
      <c r="S478" s="177"/>
      <c r="T478" s="177"/>
      <c r="U478" s="177"/>
      <c r="V478" s="177"/>
      <c r="W478" s="177"/>
      <c r="X478" s="177"/>
      <c r="Y478" s="177"/>
      <c r="Z478" s="177"/>
      <c r="AA478" s="177"/>
      <c r="AB478" s="177"/>
      <c r="AC478" s="177"/>
    </row>
    <row r="479" spans="1:29" ht="13">
      <c r="A479" s="161"/>
      <c r="B479" s="161"/>
      <c r="C479" s="177"/>
      <c r="D479" s="177"/>
      <c r="E479" s="177"/>
      <c r="F479" s="177"/>
      <c r="G479" s="206"/>
      <c r="H479" s="177"/>
      <c r="I479" s="177"/>
      <c r="J479" s="177"/>
      <c r="K479" s="177"/>
      <c r="L479" s="178"/>
      <c r="M479" s="177"/>
      <c r="N479" s="177"/>
      <c r="O479" s="177"/>
      <c r="P479" s="177"/>
      <c r="Q479" s="177"/>
      <c r="R479" s="177"/>
      <c r="S479" s="177"/>
      <c r="T479" s="177"/>
      <c r="U479" s="177"/>
      <c r="V479" s="177"/>
      <c r="W479" s="177"/>
      <c r="X479" s="177"/>
      <c r="Y479" s="177"/>
      <c r="Z479" s="177"/>
      <c r="AA479" s="177"/>
      <c r="AB479" s="177"/>
      <c r="AC479" s="177"/>
    </row>
    <row r="480" spans="1:29" ht="13">
      <c r="A480" s="161"/>
      <c r="B480" s="161"/>
      <c r="C480" s="177"/>
      <c r="D480" s="177"/>
      <c r="E480" s="177"/>
      <c r="F480" s="177"/>
      <c r="G480" s="206"/>
      <c r="H480" s="177"/>
      <c r="I480" s="177"/>
      <c r="J480" s="177"/>
      <c r="K480" s="177"/>
      <c r="L480" s="178"/>
      <c r="M480" s="177"/>
      <c r="N480" s="177"/>
      <c r="O480" s="177"/>
      <c r="P480" s="177"/>
      <c r="Q480" s="177"/>
      <c r="R480" s="177"/>
      <c r="S480" s="177"/>
      <c r="T480" s="177"/>
      <c r="U480" s="177"/>
      <c r="V480" s="177"/>
      <c r="W480" s="177"/>
      <c r="X480" s="177"/>
      <c r="Y480" s="177"/>
      <c r="Z480" s="177"/>
      <c r="AA480" s="177"/>
      <c r="AB480" s="177"/>
      <c r="AC480" s="177"/>
    </row>
    <row r="481" spans="1:29" ht="13">
      <c r="A481" s="161"/>
      <c r="B481" s="161"/>
      <c r="C481" s="177"/>
      <c r="D481" s="177"/>
      <c r="E481" s="177"/>
      <c r="F481" s="177"/>
      <c r="G481" s="206"/>
      <c r="H481" s="177"/>
      <c r="I481" s="177"/>
      <c r="J481" s="177"/>
      <c r="K481" s="177"/>
      <c r="L481" s="178"/>
      <c r="M481" s="177"/>
      <c r="N481" s="177"/>
      <c r="O481" s="177"/>
      <c r="P481" s="177"/>
      <c r="Q481" s="177"/>
      <c r="R481" s="177"/>
      <c r="S481" s="177"/>
      <c r="T481" s="177"/>
      <c r="U481" s="177"/>
      <c r="V481" s="177"/>
      <c r="W481" s="177"/>
      <c r="X481" s="177"/>
      <c r="Y481" s="177"/>
      <c r="Z481" s="177"/>
      <c r="AA481" s="177"/>
      <c r="AB481" s="177"/>
      <c r="AC481" s="177"/>
    </row>
    <row r="482" spans="1:29" ht="13">
      <c r="A482" s="161"/>
      <c r="B482" s="161"/>
      <c r="C482" s="177"/>
      <c r="D482" s="177"/>
      <c r="E482" s="177"/>
      <c r="F482" s="177"/>
      <c r="G482" s="206"/>
      <c r="H482" s="177"/>
      <c r="I482" s="177"/>
      <c r="J482" s="177"/>
      <c r="K482" s="177"/>
      <c r="L482" s="178"/>
      <c r="M482" s="177"/>
      <c r="N482" s="177"/>
      <c r="O482" s="177"/>
      <c r="P482" s="177"/>
      <c r="Q482" s="177"/>
      <c r="R482" s="177"/>
      <c r="S482" s="177"/>
      <c r="T482" s="177"/>
      <c r="U482" s="177"/>
      <c r="V482" s="177"/>
      <c r="W482" s="177"/>
      <c r="X482" s="177"/>
      <c r="Y482" s="177"/>
      <c r="Z482" s="177"/>
      <c r="AA482" s="177"/>
      <c r="AB482" s="177"/>
      <c r="AC482" s="177"/>
    </row>
    <row r="483" spans="1:29" ht="13">
      <c r="A483" s="161"/>
      <c r="B483" s="161"/>
      <c r="C483" s="177"/>
      <c r="D483" s="177"/>
      <c r="E483" s="177"/>
      <c r="F483" s="177"/>
      <c r="G483" s="206"/>
      <c r="H483" s="177"/>
      <c r="I483" s="177"/>
      <c r="J483" s="177"/>
      <c r="K483" s="177"/>
      <c r="L483" s="178"/>
      <c r="M483" s="177"/>
      <c r="N483" s="177"/>
      <c r="O483" s="177"/>
      <c r="P483" s="177"/>
      <c r="Q483" s="177"/>
      <c r="R483" s="177"/>
      <c r="S483" s="177"/>
      <c r="T483" s="177"/>
      <c r="U483" s="177"/>
      <c r="V483" s="177"/>
      <c r="W483" s="177"/>
      <c r="X483" s="177"/>
      <c r="Y483" s="177"/>
      <c r="Z483" s="177"/>
      <c r="AA483" s="177"/>
      <c r="AB483" s="177"/>
      <c r="AC483" s="177"/>
    </row>
    <row r="484" spans="1:29" ht="13">
      <c r="A484" s="161"/>
      <c r="B484" s="161"/>
      <c r="C484" s="177"/>
      <c r="D484" s="177"/>
      <c r="E484" s="177"/>
      <c r="F484" s="177"/>
      <c r="G484" s="206"/>
      <c r="H484" s="177"/>
      <c r="I484" s="177"/>
      <c r="J484" s="177"/>
      <c r="K484" s="177"/>
      <c r="L484" s="178"/>
      <c r="M484" s="177"/>
      <c r="N484" s="177"/>
      <c r="O484" s="177"/>
      <c r="P484" s="177"/>
      <c r="Q484" s="177"/>
      <c r="R484" s="177"/>
      <c r="S484" s="177"/>
      <c r="T484" s="177"/>
      <c r="U484" s="177"/>
      <c r="V484" s="177"/>
      <c r="W484" s="177"/>
      <c r="X484" s="177"/>
      <c r="Y484" s="177"/>
      <c r="Z484" s="177"/>
      <c r="AA484" s="177"/>
      <c r="AB484" s="177"/>
      <c r="AC484" s="177"/>
    </row>
    <row r="485" spans="1:29" ht="13">
      <c r="A485" s="161"/>
      <c r="B485" s="161"/>
      <c r="C485" s="177"/>
      <c r="D485" s="177"/>
      <c r="E485" s="177"/>
      <c r="F485" s="177"/>
      <c r="G485" s="206"/>
      <c r="H485" s="177"/>
      <c r="I485" s="177"/>
      <c r="J485" s="177"/>
      <c r="K485" s="177"/>
      <c r="L485" s="178"/>
      <c r="M485" s="177"/>
      <c r="N485" s="177"/>
      <c r="O485" s="177"/>
      <c r="P485" s="177"/>
      <c r="Q485" s="177"/>
      <c r="R485" s="177"/>
      <c r="S485" s="177"/>
      <c r="T485" s="177"/>
      <c r="U485" s="177"/>
      <c r="V485" s="177"/>
      <c r="W485" s="177"/>
      <c r="X485" s="177"/>
      <c r="Y485" s="177"/>
      <c r="Z485" s="177"/>
      <c r="AA485" s="177"/>
      <c r="AB485" s="177"/>
      <c r="AC485" s="177"/>
    </row>
    <row r="486" spans="1:29" ht="13">
      <c r="A486" s="161"/>
      <c r="B486" s="161"/>
      <c r="C486" s="177"/>
      <c r="D486" s="177"/>
      <c r="E486" s="177"/>
      <c r="F486" s="177"/>
      <c r="G486" s="206"/>
      <c r="H486" s="177"/>
      <c r="I486" s="177"/>
      <c r="J486" s="177"/>
      <c r="K486" s="177"/>
      <c r="L486" s="178"/>
      <c r="M486" s="177"/>
      <c r="N486" s="177"/>
      <c r="O486" s="177"/>
      <c r="P486" s="177"/>
      <c r="Q486" s="177"/>
      <c r="R486" s="177"/>
      <c r="S486" s="177"/>
      <c r="T486" s="177"/>
      <c r="U486" s="177"/>
      <c r="V486" s="177"/>
      <c r="W486" s="177"/>
      <c r="X486" s="177"/>
      <c r="Y486" s="177"/>
      <c r="Z486" s="177"/>
      <c r="AA486" s="177"/>
      <c r="AB486" s="177"/>
      <c r="AC486" s="177"/>
    </row>
    <row r="487" spans="1:29" ht="13">
      <c r="A487" s="161"/>
      <c r="B487" s="161"/>
      <c r="C487" s="177"/>
      <c r="D487" s="177"/>
      <c r="E487" s="177"/>
      <c r="F487" s="177"/>
      <c r="G487" s="206"/>
      <c r="H487" s="177"/>
      <c r="I487" s="177"/>
      <c r="J487" s="177"/>
      <c r="K487" s="177"/>
      <c r="L487" s="178"/>
      <c r="M487" s="177"/>
      <c r="N487" s="177"/>
      <c r="O487" s="177"/>
      <c r="P487" s="177"/>
      <c r="Q487" s="177"/>
      <c r="R487" s="177"/>
      <c r="S487" s="177"/>
      <c r="T487" s="177"/>
      <c r="U487" s="177"/>
      <c r="V487" s="177"/>
      <c r="W487" s="177"/>
      <c r="X487" s="177"/>
      <c r="Y487" s="177"/>
      <c r="Z487" s="177"/>
      <c r="AA487" s="177"/>
      <c r="AB487" s="177"/>
      <c r="AC487" s="177"/>
    </row>
    <row r="488" spans="1:29" ht="13">
      <c r="A488" s="161"/>
      <c r="B488" s="161"/>
      <c r="C488" s="177"/>
      <c r="D488" s="177"/>
      <c r="E488" s="177"/>
      <c r="F488" s="177"/>
      <c r="G488" s="206"/>
      <c r="H488" s="177"/>
      <c r="I488" s="177"/>
      <c r="J488" s="177"/>
      <c r="K488" s="177"/>
      <c r="L488" s="178"/>
      <c r="M488" s="177"/>
      <c r="N488" s="177"/>
      <c r="O488" s="177"/>
      <c r="P488" s="177"/>
      <c r="Q488" s="177"/>
      <c r="R488" s="177"/>
      <c r="S488" s="177"/>
      <c r="T488" s="177"/>
      <c r="U488" s="177"/>
      <c r="V488" s="177"/>
      <c r="W488" s="177"/>
      <c r="X488" s="177"/>
      <c r="Y488" s="177"/>
      <c r="Z488" s="177"/>
      <c r="AA488" s="177"/>
      <c r="AB488" s="177"/>
      <c r="AC488" s="177"/>
    </row>
    <row r="489" spans="1:29" ht="13">
      <c r="A489" s="161"/>
      <c r="B489" s="161"/>
      <c r="C489" s="177"/>
      <c r="D489" s="177"/>
      <c r="E489" s="177"/>
      <c r="F489" s="177"/>
      <c r="G489" s="206"/>
      <c r="H489" s="177"/>
      <c r="I489" s="177"/>
      <c r="J489" s="177"/>
      <c r="K489" s="177"/>
      <c r="L489" s="178"/>
      <c r="M489" s="177"/>
      <c r="N489" s="177"/>
      <c r="O489" s="177"/>
      <c r="P489" s="177"/>
      <c r="Q489" s="177"/>
      <c r="R489" s="177"/>
      <c r="S489" s="177"/>
      <c r="T489" s="177"/>
      <c r="U489" s="177"/>
      <c r="V489" s="177"/>
      <c r="W489" s="177"/>
      <c r="X489" s="177"/>
      <c r="Y489" s="177"/>
      <c r="Z489" s="177"/>
      <c r="AA489" s="177"/>
      <c r="AB489" s="177"/>
      <c r="AC489" s="177"/>
    </row>
    <row r="490" spans="1:29" ht="13">
      <c r="A490" s="161"/>
      <c r="B490" s="161"/>
      <c r="C490" s="177"/>
      <c r="D490" s="177"/>
      <c r="E490" s="177"/>
      <c r="F490" s="177"/>
      <c r="G490" s="206"/>
      <c r="H490" s="177"/>
      <c r="I490" s="177"/>
      <c r="J490" s="177"/>
      <c r="K490" s="177"/>
      <c r="L490" s="178"/>
      <c r="M490" s="177"/>
      <c r="N490" s="177"/>
      <c r="O490" s="177"/>
      <c r="P490" s="177"/>
      <c r="Q490" s="177"/>
      <c r="R490" s="177"/>
      <c r="S490" s="177"/>
      <c r="T490" s="177"/>
      <c r="U490" s="177"/>
      <c r="V490" s="177"/>
      <c r="W490" s="177"/>
      <c r="X490" s="177"/>
      <c r="Y490" s="177"/>
      <c r="Z490" s="177"/>
      <c r="AA490" s="177"/>
      <c r="AB490" s="177"/>
      <c r="AC490" s="177"/>
    </row>
    <row r="491" spans="1:29" ht="13">
      <c r="A491" s="161"/>
      <c r="B491" s="161"/>
      <c r="C491" s="177"/>
      <c r="D491" s="177"/>
      <c r="E491" s="177"/>
      <c r="F491" s="177"/>
      <c r="G491" s="206"/>
      <c r="H491" s="177"/>
      <c r="I491" s="177"/>
      <c r="J491" s="177"/>
      <c r="K491" s="177"/>
      <c r="L491" s="178"/>
      <c r="M491" s="177"/>
      <c r="N491" s="177"/>
      <c r="O491" s="177"/>
      <c r="P491" s="177"/>
      <c r="Q491" s="177"/>
      <c r="R491" s="177"/>
      <c r="S491" s="177"/>
      <c r="T491" s="177"/>
      <c r="U491" s="177"/>
      <c r="V491" s="177"/>
      <c r="W491" s="177"/>
      <c r="X491" s="177"/>
      <c r="Y491" s="177"/>
      <c r="Z491" s="177"/>
      <c r="AA491" s="177"/>
      <c r="AB491" s="177"/>
      <c r="AC491" s="177"/>
    </row>
    <row r="492" spans="1:29" ht="13">
      <c r="A492" s="161"/>
      <c r="B492" s="161"/>
      <c r="C492" s="177"/>
      <c r="D492" s="177"/>
      <c r="E492" s="177"/>
      <c r="F492" s="177"/>
      <c r="G492" s="206"/>
      <c r="H492" s="177"/>
      <c r="I492" s="177"/>
      <c r="J492" s="177"/>
      <c r="K492" s="177"/>
      <c r="L492" s="178"/>
      <c r="M492" s="177"/>
      <c r="N492" s="177"/>
      <c r="O492" s="177"/>
      <c r="P492" s="177"/>
      <c r="Q492" s="177"/>
      <c r="R492" s="177"/>
      <c r="S492" s="177"/>
      <c r="T492" s="177"/>
      <c r="U492" s="177"/>
      <c r="V492" s="177"/>
      <c r="W492" s="177"/>
      <c r="X492" s="177"/>
      <c r="Y492" s="177"/>
      <c r="Z492" s="177"/>
      <c r="AA492" s="177"/>
      <c r="AB492" s="177"/>
      <c r="AC492" s="177"/>
    </row>
    <row r="493" spans="1:29" ht="13">
      <c r="A493" s="161"/>
      <c r="B493" s="161"/>
      <c r="C493" s="177"/>
      <c r="D493" s="177"/>
      <c r="E493" s="177"/>
      <c r="F493" s="177"/>
      <c r="G493" s="206"/>
      <c r="H493" s="177"/>
      <c r="I493" s="177"/>
      <c r="J493" s="177"/>
      <c r="K493" s="177"/>
      <c r="L493" s="178"/>
      <c r="M493" s="177"/>
      <c r="N493" s="177"/>
      <c r="O493" s="177"/>
      <c r="P493" s="177"/>
      <c r="Q493" s="177"/>
      <c r="R493" s="177"/>
      <c r="S493" s="177"/>
      <c r="T493" s="177"/>
      <c r="U493" s="177"/>
      <c r="V493" s="177"/>
      <c r="W493" s="177"/>
      <c r="X493" s="177"/>
      <c r="Y493" s="177"/>
      <c r="Z493" s="177"/>
      <c r="AA493" s="177"/>
      <c r="AB493" s="177"/>
      <c r="AC493" s="177"/>
    </row>
    <row r="494" spans="1:29" ht="13">
      <c r="A494" s="161"/>
      <c r="B494" s="161"/>
      <c r="C494" s="177"/>
      <c r="D494" s="177"/>
      <c r="E494" s="177"/>
      <c r="F494" s="177"/>
      <c r="G494" s="206"/>
      <c r="H494" s="177"/>
      <c r="I494" s="177"/>
      <c r="J494" s="177"/>
      <c r="K494" s="177"/>
      <c r="L494" s="178"/>
      <c r="M494" s="177"/>
      <c r="N494" s="177"/>
      <c r="O494" s="177"/>
      <c r="P494" s="177"/>
      <c r="Q494" s="177"/>
      <c r="R494" s="177"/>
      <c r="S494" s="177"/>
      <c r="T494" s="177"/>
      <c r="U494" s="177"/>
      <c r="V494" s="177"/>
      <c r="W494" s="177"/>
      <c r="X494" s="177"/>
      <c r="Y494" s="177"/>
      <c r="Z494" s="177"/>
      <c r="AA494" s="177"/>
      <c r="AB494" s="177"/>
      <c r="AC494" s="177"/>
    </row>
    <row r="495" spans="1:29" ht="13">
      <c r="A495" s="161"/>
      <c r="B495" s="161"/>
      <c r="C495" s="177"/>
      <c r="D495" s="177"/>
      <c r="E495" s="177"/>
      <c r="F495" s="177"/>
      <c r="G495" s="206"/>
      <c r="H495" s="177"/>
      <c r="I495" s="177"/>
      <c r="J495" s="177"/>
      <c r="K495" s="177"/>
      <c r="L495" s="178"/>
      <c r="M495" s="177"/>
      <c r="N495" s="177"/>
      <c r="O495" s="177"/>
      <c r="P495" s="177"/>
      <c r="Q495" s="177"/>
      <c r="R495" s="177"/>
      <c r="S495" s="177"/>
      <c r="T495" s="177"/>
      <c r="U495" s="177"/>
      <c r="V495" s="177"/>
      <c r="W495" s="177"/>
      <c r="X495" s="177"/>
      <c r="Y495" s="177"/>
      <c r="Z495" s="177"/>
      <c r="AA495" s="177"/>
      <c r="AB495" s="177"/>
      <c r="AC495" s="177"/>
    </row>
    <row r="496" spans="1:29" ht="13">
      <c r="A496" s="161"/>
      <c r="B496" s="161"/>
      <c r="C496" s="177"/>
      <c r="D496" s="177"/>
      <c r="E496" s="177"/>
      <c r="F496" s="177"/>
      <c r="G496" s="206"/>
      <c r="H496" s="177"/>
      <c r="I496" s="177"/>
      <c r="J496" s="177"/>
      <c r="K496" s="177"/>
      <c r="L496" s="178"/>
      <c r="M496" s="177"/>
      <c r="N496" s="177"/>
      <c r="O496" s="177"/>
      <c r="P496" s="177"/>
      <c r="Q496" s="177"/>
      <c r="R496" s="177"/>
      <c r="S496" s="177"/>
      <c r="T496" s="177"/>
      <c r="U496" s="177"/>
      <c r="V496" s="177"/>
      <c r="W496" s="177"/>
      <c r="X496" s="177"/>
      <c r="Y496" s="177"/>
      <c r="Z496" s="177"/>
      <c r="AA496" s="177"/>
      <c r="AB496" s="177"/>
      <c r="AC496" s="177"/>
    </row>
    <row r="497" spans="1:29" ht="13">
      <c r="A497" s="161"/>
      <c r="B497" s="161"/>
      <c r="C497" s="177"/>
      <c r="D497" s="177"/>
      <c r="E497" s="177"/>
      <c r="F497" s="177"/>
      <c r="G497" s="206"/>
      <c r="H497" s="177"/>
      <c r="I497" s="177"/>
      <c r="J497" s="177"/>
      <c r="K497" s="177"/>
      <c r="L497" s="178"/>
      <c r="M497" s="177"/>
      <c r="N497" s="177"/>
      <c r="O497" s="177"/>
      <c r="P497" s="177"/>
      <c r="Q497" s="177"/>
      <c r="R497" s="177"/>
      <c r="S497" s="177"/>
      <c r="T497" s="177"/>
      <c r="U497" s="177"/>
      <c r="V497" s="177"/>
      <c r="W497" s="177"/>
      <c r="X497" s="177"/>
      <c r="Y497" s="177"/>
      <c r="Z497" s="177"/>
      <c r="AA497" s="177"/>
      <c r="AB497" s="177"/>
      <c r="AC497" s="177"/>
    </row>
    <row r="498" spans="1:29" ht="13">
      <c r="A498" s="161"/>
      <c r="B498" s="161"/>
      <c r="C498" s="177"/>
      <c r="D498" s="177"/>
      <c r="E498" s="177"/>
      <c r="F498" s="177"/>
      <c r="G498" s="206"/>
      <c r="H498" s="177"/>
      <c r="I498" s="177"/>
      <c r="J498" s="177"/>
      <c r="K498" s="177"/>
      <c r="L498" s="178"/>
      <c r="M498" s="177"/>
      <c r="N498" s="177"/>
      <c r="O498" s="177"/>
      <c r="P498" s="177"/>
      <c r="Q498" s="177"/>
      <c r="R498" s="177"/>
      <c r="S498" s="177"/>
      <c r="T498" s="177"/>
      <c r="U498" s="177"/>
      <c r="V498" s="177"/>
      <c r="W498" s="177"/>
      <c r="X498" s="177"/>
      <c r="Y498" s="177"/>
      <c r="Z498" s="177"/>
      <c r="AA498" s="177"/>
      <c r="AB498" s="177"/>
      <c r="AC498" s="177"/>
    </row>
    <row r="499" spans="1:29" ht="13">
      <c r="A499" s="161"/>
      <c r="B499" s="161"/>
      <c r="C499" s="177"/>
      <c r="D499" s="177"/>
      <c r="E499" s="177"/>
      <c r="F499" s="177"/>
      <c r="G499" s="206"/>
      <c r="H499" s="177"/>
      <c r="I499" s="177"/>
      <c r="J499" s="177"/>
      <c r="K499" s="177"/>
      <c r="L499" s="178"/>
      <c r="M499" s="177"/>
      <c r="N499" s="177"/>
      <c r="O499" s="177"/>
      <c r="P499" s="177"/>
      <c r="Q499" s="177"/>
      <c r="R499" s="177"/>
      <c r="S499" s="177"/>
      <c r="T499" s="177"/>
      <c r="U499" s="177"/>
      <c r="V499" s="177"/>
      <c r="W499" s="177"/>
      <c r="X499" s="177"/>
      <c r="Y499" s="177"/>
      <c r="Z499" s="177"/>
      <c r="AA499" s="177"/>
      <c r="AB499" s="177"/>
      <c r="AC499" s="177"/>
    </row>
    <row r="500" spans="1:29" ht="13">
      <c r="A500" s="161"/>
      <c r="B500" s="161"/>
      <c r="C500" s="177"/>
      <c r="D500" s="177"/>
      <c r="E500" s="177"/>
      <c r="F500" s="177"/>
      <c r="G500" s="206"/>
      <c r="H500" s="177"/>
      <c r="I500" s="177"/>
      <c r="J500" s="177"/>
      <c r="K500" s="177"/>
      <c r="L500" s="178"/>
      <c r="M500" s="177"/>
      <c r="N500" s="177"/>
      <c r="O500" s="177"/>
      <c r="P500" s="177"/>
      <c r="Q500" s="177"/>
      <c r="R500" s="177"/>
      <c r="S500" s="177"/>
      <c r="T500" s="177"/>
      <c r="U500" s="177"/>
      <c r="V500" s="177"/>
      <c r="W500" s="177"/>
      <c r="X500" s="177"/>
      <c r="Y500" s="177"/>
      <c r="Z500" s="177"/>
      <c r="AA500" s="177"/>
      <c r="AB500" s="177"/>
      <c r="AC500" s="177"/>
    </row>
    <row r="501" spans="1:29" ht="13">
      <c r="A501" s="161"/>
      <c r="B501" s="161"/>
      <c r="C501" s="177"/>
      <c r="D501" s="177"/>
      <c r="E501" s="177"/>
      <c r="F501" s="177"/>
      <c r="G501" s="206"/>
      <c r="H501" s="177"/>
      <c r="I501" s="177"/>
      <c r="J501" s="177"/>
      <c r="K501" s="177"/>
      <c r="L501" s="178"/>
      <c r="M501" s="177"/>
      <c r="N501" s="177"/>
      <c r="O501" s="177"/>
      <c r="P501" s="177"/>
      <c r="Q501" s="177"/>
      <c r="R501" s="177"/>
      <c r="S501" s="177"/>
      <c r="T501" s="177"/>
      <c r="U501" s="177"/>
      <c r="V501" s="177"/>
      <c r="W501" s="177"/>
      <c r="X501" s="177"/>
      <c r="Y501" s="177"/>
      <c r="Z501" s="177"/>
      <c r="AA501" s="177"/>
      <c r="AB501" s="177"/>
      <c r="AC501" s="177"/>
    </row>
    <row r="502" spans="1:29" ht="13">
      <c r="A502" s="161"/>
      <c r="B502" s="161"/>
      <c r="C502" s="177"/>
      <c r="D502" s="177"/>
      <c r="E502" s="177"/>
      <c r="F502" s="177"/>
      <c r="G502" s="206"/>
      <c r="H502" s="177"/>
      <c r="I502" s="177"/>
      <c r="J502" s="177"/>
      <c r="K502" s="177"/>
      <c r="L502" s="178"/>
      <c r="M502" s="177"/>
      <c r="N502" s="177"/>
      <c r="O502" s="177"/>
      <c r="P502" s="177"/>
      <c r="Q502" s="177"/>
      <c r="R502" s="177"/>
      <c r="S502" s="177"/>
      <c r="T502" s="177"/>
      <c r="U502" s="177"/>
      <c r="V502" s="177"/>
      <c r="W502" s="177"/>
      <c r="X502" s="177"/>
      <c r="Y502" s="177"/>
      <c r="Z502" s="177"/>
      <c r="AA502" s="177"/>
      <c r="AB502" s="177"/>
      <c r="AC502" s="177"/>
    </row>
    <row r="503" spans="1:29" ht="13">
      <c r="A503" s="161"/>
      <c r="B503" s="161"/>
      <c r="C503" s="177"/>
      <c r="D503" s="177"/>
      <c r="E503" s="177"/>
      <c r="F503" s="177"/>
      <c r="G503" s="206"/>
      <c r="H503" s="177"/>
      <c r="I503" s="177"/>
      <c r="J503" s="177"/>
      <c r="K503" s="177"/>
      <c r="L503" s="178"/>
      <c r="M503" s="177"/>
      <c r="N503" s="177"/>
      <c r="O503" s="177"/>
      <c r="P503" s="177"/>
      <c r="Q503" s="177"/>
      <c r="R503" s="177"/>
      <c r="S503" s="177"/>
      <c r="T503" s="177"/>
      <c r="U503" s="177"/>
      <c r="V503" s="177"/>
      <c r="W503" s="177"/>
      <c r="X503" s="177"/>
      <c r="Y503" s="177"/>
      <c r="Z503" s="177"/>
      <c r="AA503" s="177"/>
      <c r="AB503" s="177"/>
      <c r="AC503" s="177"/>
    </row>
    <row r="504" spans="1:29" ht="13">
      <c r="A504" s="161"/>
      <c r="B504" s="161"/>
      <c r="C504" s="177"/>
      <c r="D504" s="177"/>
      <c r="E504" s="177"/>
      <c r="F504" s="177"/>
      <c r="G504" s="206"/>
      <c r="H504" s="177"/>
      <c r="I504" s="177"/>
      <c r="J504" s="177"/>
      <c r="K504" s="177"/>
      <c r="L504" s="178"/>
      <c r="M504" s="177"/>
      <c r="N504" s="177"/>
      <c r="O504" s="177"/>
      <c r="P504" s="177"/>
      <c r="Q504" s="177"/>
      <c r="R504" s="177"/>
      <c r="S504" s="177"/>
      <c r="T504" s="177"/>
      <c r="U504" s="177"/>
      <c r="V504" s="177"/>
      <c r="W504" s="177"/>
      <c r="X504" s="177"/>
      <c r="Y504" s="177"/>
      <c r="Z504" s="177"/>
      <c r="AA504" s="177"/>
      <c r="AB504" s="177"/>
      <c r="AC504" s="177"/>
    </row>
    <row r="505" spans="1:29" ht="13">
      <c r="A505" s="161"/>
      <c r="B505" s="161"/>
      <c r="C505" s="177"/>
      <c r="D505" s="177"/>
      <c r="E505" s="177"/>
      <c r="F505" s="177"/>
      <c r="G505" s="206"/>
      <c r="H505" s="177"/>
      <c r="I505" s="177"/>
      <c r="J505" s="177"/>
      <c r="K505" s="177"/>
      <c r="L505" s="178"/>
      <c r="M505" s="177"/>
      <c r="N505" s="177"/>
      <c r="O505" s="177"/>
      <c r="P505" s="177"/>
      <c r="Q505" s="177"/>
      <c r="R505" s="177"/>
      <c r="S505" s="177"/>
      <c r="T505" s="177"/>
      <c r="U505" s="177"/>
      <c r="V505" s="177"/>
      <c r="W505" s="177"/>
      <c r="X505" s="177"/>
      <c r="Y505" s="177"/>
      <c r="Z505" s="177"/>
      <c r="AA505" s="177"/>
      <c r="AB505" s="177"/>
      <c r="AC505" s="177"/>
    </row>
    <row r="506" spans="1:29" ht="13">
      <c r="A506" s="161"/>
      <c r="B506" s="161"/>
      <c r="C506" s="177"/>
      <c r="D506" s="177"/>
      <c r="E506" s="177"/>
      <c r="F506" s="177"/>
      <c r="G506" s="206"/>
      <c r="H506" s="177"/>
      <c r="I506" s="177"/>
      <c r="J506" s="177"/>
      <c r="K506" s="177"/>
      <c r="L506" s="178"/>
      <c r="M506" s="177"/>
      <c r="N506" s="177"/>
      <c r="O506" s="177"/>
      <c r="P506" s="177"/>
      <c r="Q506" s="177"/>
      <c r="R506" s="177"/>
      <c r="S506" s="177"/>
      <c r="T506" s="177"/>
      <c r="U506" s="177"/>
      <c r="V506" s="177"/>
      <c r="W506" s="177"/>
      <c r="X506" s="177"/>
      <c r="Y506" s="177"/>
      <c r="Z506" s="177"/>
      <c r="AA506" s="177"/>
      <c r="AB506" s="177"/>
      <c r="AC506" s="177"/>
    </row>
    <row r="507" spans="1:29" ht="13">
      <c r="A507" s="161"/>
      <c r="B507" s="161"/>
      <c r="C507" s="177"/>
      <c r="D507" s="177"/>
      <c r="E507" s="177"/>
      <c r="F507" s="177"/>
      <c r="G507" s="206"/>
      <c r="H507" s="177"/>
      <c r="I507" s="177"/>
      <c r="J507" s="177"/>
      <c r="K507" s="177"/>
      <c r="L507" s="178"/>
      <c r="M507" s="177"/>
      <c r="N507" s="177"/>
      <c r="O507" s="177"/>
      <c r="P507" s="177"/>
      <c r="Q507" s="177"/>
      <c r="R507" s="177"/>
      <c r="S507" s="177"/>
      <c r="T507" s="177"/>
      <c r="U507" s="177"/>
      <c r="V507" s="177"/>
      <c r="W507" s="177"/>
      <c r="X507" s="177"/>
      <c r="Y507" s="177"/>
      <c r="Z507" s="177"/>
      <c r="AA507" s="177"/>
      <c r="AB507" s="177"/>
      <c r="AC507" s="177"/>
    </row>
    <row r="508" spans="1:29" ht="13">
      <c r="A508" s="161"/>
      <c r="B508" s="161"/>
      <c r="C508" s="177"/>
      <c r="D508" s="177"/>
      <c r="E508" s="177"/>
      <c r="F508" s="177"/>
      <c r="G508" s="206"/>
      <c r="H508" s="177"/>
      <c r="I508" s="177"/>
      <c r="J508" s="177"/>
      <c r="K508" s="177"/>
      <c r="L508" s="178"/>
      <c r="M508" s="177"/>
      <c r="N508" s="177"/>
      <c r="O508" s="177"/>
      <c r="P508" s="177"/>
      <c r="Q508" s="177"/>
      <c r="R508" s="177"/>
      <c r="S508" s="177"/>
      <c r="T508" s="177"/>
      <c r="U508" s="177"/>
      <c r="V508" s="177"/>
      <c r="W508" s="177"/>
      <c r="X508" s="177"/>
      <c r="Y508" s="177"/>
      <c r="Z508" s="177"/>
      <c r="AA508" s="177"/>
      <c r="AB508" s="177"/>
      <c r="AC508" s="177"/>
    </row>
    <row r="509" spans="1:29" ht="13">
      <c r="A509" s="161"/>
      <c r="B509" s="161"/>
      <c r="C509" s="177"/>
      <c r="D509" s="177"/>
      <c r="E509" s="177"/>
      <c r="F509" s="177"/>
      <c r="G509" s="206"/>
      <c r="H509" s="177"/>
      <c r="I509" s="177"/>
      <c r="J509" s="177"/>
      <c r="K509" s="177"/>
      <c r="L509" s="178"/>
      <c r="M509" s="177"/>
      <c r="N509" s="177"/>
      <c r="O509" s="177"/>
      <c r="P509" s="177"/>
      <c r="Q509" s="177"/>
      <c r="R509" s="177"/>
      <c r="S509" s="177"/>
      <c r="T509" s="177"/>
      <c r="U509" s="177"/>
      <c r="V509" s="177"/>
      <c r="W509" s="177"/>
      <c r="X509" s="177"/>
      <c r="Y509" s="177"/>
      <c r="Z509" s="177"/>
      <c r="AA509" s="177"/>
      <c r="AB509" s="177"/>
      <c r="AC509" s="177"/>
    </row>
    <row r="510" spans="1:29" ht="13">
      <c r="A510" s="161"/>
      <c r="B510" s="161"/>
      <c r="C510" s="177"/>
      <c r="D510" s="177"/>
      <c r="E510" s="177"/>
      <c r="F510" s="177"/>
      <c r="G510" s="206"/>
      <c r="H510" s="177"/>
      <c r="I510" s="177"/>
      <c r="J510" s="177"/>
      <c r="K510" s="177"/>
      <c r="L510" s="178"/>
      <c r="M510" s="177"/>
      <c r="N510" s="177"/>
      <c r="O510" s="177"/>
      <c r="P510" s="177"/>
      <c r="Q510" s="177"/>
      <c r="R510" s="177"/>
      <c r="S510" s="177"/>
      <c r="T510" s="177"/>
      <c r="U510" s="177"/>
      <c r="V510" s="177"/>
      <c r="W510" s="177"/>
      <c r="X510" s="177"/>
      <c r="Y510" s="177"/>
      <c r="Z510" s="177"/>
      <c r="AA510" s="177"/>
      <c r="AB510" s="177"/>
      <c r="AC510" s="177"/>
    </row>
    <row r="511" spans="1:29" ht="13">
      <c r="A511" s="161"/>
      <c r="B511" s="161"/>
      <c r="C511" s="177"/>
      <c r="D511" s="177"/>
      <c r="E511" s="177"/>
      <c r="F511" s="177"/>
      <c r="G511" s="206"/>
      <c r="H511" s="177"/>
      <c r="I511" s="177"/>
      <c r="J511" s="177"/>
      <c r="K511" s="177"/>
      <c r="L511" s="178"/>
      <c r="M511" s="177"/>
      <c r="N511" s="177"/>
      <c r="O511" s="177"/>
      <c r="P511" s="177"/>
      <c r="Q511" s="177"/>
      <c r="R511" s="177"/>
      <c r="S511" s="177"/>
      <c r="T511" s="177"/>
      <c r="U511" s="177"/>
      <c r="V511" s="177"/>
      <c r="W511" s="177"/>
      <c r="X511" s="177"/>
      <c r="Y511" s="177"/>
      <c r="Z511" s="177"/>
      <c r="AA511" s="177"/>
      <c r="AB511" s="177"/>
      <c r="AC511" s="177"/>
    </row>
    <row r="512" spans="1:29" ht="13">
      <c r="A512" s="161"/>
      <c r="B512" s="161"/>
      <c r="C512" s="177"/>
      <c r="D512" s="177"/>
      <c r="E512" s="177"/>
      <c r="F512" s="177"/>
      <c r="G512" s="206"/>
      <c r="H512" s="177"/>
      <c r="I512" s="177"/>
      <c r="J512" s="177"/>
      <c r="K512" s="177"/>
      <c r="L512" s="178"/>
      <c r="M512" s="177"/>
      <c r="N512" s="177"/>
      <c r="O512" s="177"/>
      <c r="P512" s="177"/>
      <c r="Q512" s="177"/>
      <c r="R512" s="177"/>
      <c r="S512" s="177"/>
      <c r="T512" s="177"/>
      <c r="U512" s="177"/>
      <c r="V512" s="177"/>
      <c r="W512" s="177"/>
      <c r="X512" s="177"/>
      <c r="Y512" s="177"/>
      <c r="Z512" s="177"/>
      <c r="AA512" s="177"/>
      <c r="AB512" s="177"/>
      <c r="AC512" s="177"/>
    </row>
    <row r="513" spans="1:29" ht="13">
      <c r="A513" s="161"/>
      <c r="B513" s="161"/>
      <c r="C513" s="177"/>
      <c r="D513" s="177"/>
      <c r="E513" s="177"/>
      <c r="F513" s="177"/>
      <c r="G513" s="206"/>
      <c r="H513" s="177"/>
      <c r="I513" s="177"/>
      <c r="J513" s="177"/>
      <c r="K513" s="177"/>
      <c r="L513" s="178"/>
      <c r="M513" s="177"/>
      <c r="N513" s="177"/>
      <c r="O513" s="177"/>
      <c r="P513" s="177"/>
      <c r="Q513" s="177"/>
      <c r="R513" s="177"/>
      <c r="S513" s="177"/>
      <c r="T513" s="177"/>
      <c r="U513" s="177"/>
      <c r="V513" s="177"/>
      <c r="W513" s="177"/>
      <c r="X513" s="177"/>
      <c r="Y513" s="177"/>
      <c r="Z513" s="177"/>
      <c r="AA513" s="177"/>
      <c r="AB513" s="177"/>
      <c r="AC513" s="177"/>
    </row>
    <row r="514" spans="1:29" ht="13">
      <c r="A514" s="161"/>
      <c r="B514" s="161"/>
      <c r="C514" s="177"/>
      <c r="D514" s="177"/>
      <c r="E514" s="177"/>
      <c r="F514" s="177"/>
      <c r="G514" s="206"/>
      <c r="H514" s="177"/>
      <c r="I514" s="177"/>
      <c r="J514" s="177"/>
      <c r="K514" s="177"/>
      <c r="L514" s="178"/>
      <c r="M514" s="177"/>
      <c r="N514" s="177"/>
      <c r="O514" s="177"/>
      <c r="P514" s="177"/>
      <c r="Q514" s="177"/>
      <c r="R514" s="177"/>
      <c r="S514" s="177"/>
      <c r="T514" s="177"/>
      <c r="U514" s="177"/>
      <c r="V514" s="177"/>
      <c r="W514" s="177"/>
      <c r="X514" s="177"/>
      <c r="Y514" s="177"/>
      <c r="Z514" s="177"/>
      <c r="AA514" s="177"/>
      <c r="AB514" s="177"/>
      <c r="AC514" s="177"/>
    </row>
    <row r="515" spans="1:29" ht="13">
      <c r="A515" s="161"/>
      <c r="B515" s="161"/>
      <c r="C515" s="177"/>
      <c r="D515" s="177"/>
      <c r="E515" s="177"/>
      <c r="F515" s="177"/>
      <c r="G515" s="206"/>
      <c r="H515" s="177"/>
      <c r="I515" s="177"/>
      <c r="J515" s="177"/>
      <c r="K515" s="177"/>
      <c r="L515" s="178"/>
      <c r="M515" s="177"/>
      <c r="N515" s="177"/>
      <c r="O515" s="177"/>
      <c r="P515" s="177"/>
      <c r="Q515" s="177"/>
      <c r="R515" s="177"/>
      <c r="S515" s="177"/>
      <c r="T515" s="177"/>
      <c r="U515" s="177"/>
      <c r="V515" s="177"/>
      <c r="W515" s="177"/>
      <c r="X515" s="177"/>
      <c r="Y515" s="177"/>
      <c r="Z515" s="177"/>
      <c r="AA515" s="177"/>
      <c r="AB515" s="177"/>
      <c r="AC515" s="177"/>
    </row>
    <row r="516" spans="1:29" ht="13">
      <c r="A516" s="161"/>
      <c r="B516" s="161"/>
      <c r="C516" s="177"/>
      <c r="D516" s="177"/>
      <c r="E516" s="177"/>
      <c r="F516" s="177"/>
      <c r="G516" s="206"/>
      <c r="H516" s="177"/>
      <c r="I516" s="177"/>
      <c r="J516" s="177"/>
      <c r="K516" s="177"/>
      <c r="L516" s="178"/>
      <c r="M516" s="177"/>
      <c r="N516" s="177"/>
      <c r="O516" s="177"/>
      <c r="P516" s="177"/>
      <c r="Q516" s="177"/>
      <c r="R516" s="177"/>
      <c r="S516" s="177"/>
      <c r="T516" s="177"/>
      <c r="U516" s="177"/>
      <c r="V516" s="177"/>
      <c r="W516" s="177"/>
      <c r="X516" s="177"/>
      <c r="Y516" s="177"/>
      <c r="Z516" s="177"/>
      <c r="AA516" s="177"/>
      <c r="AB516" s="177"/>
      <c r="AC516" s="177"/>
    </row>
    <row r="517" spans="1:29" ht="13">
      <c r="A517" s="161"/>
      <c r="B517" s="161"/>
      <c r="C517" s="177"/>
      <c r="D517" s="177"/>
      <c r="E517" s="177"/>
      <c r="F517" s="177"/>
      <c r="G517" s="206"/>
      <c r="H517" s="177"/>
      <c r="I517" s="177"/>
      <c r="J517" s="177"/>
      <c r="K517" s="177"/>
      <c r="L517" s="178"/>
      <c r="M517" s="177"/>
      <c r="N517" s="177"/>
      <c r="O517" s="177"/>
      <c r="P517" s="177"/>
      <c r="Q517" s="177"/>
      <c r="R517" s="177"/>
      <c r="S517" s="177"/>
      <c r="T517" s="177"/>
      <c r="U517" s="177"/>
      <c r="V517" s="177"/>
      <c r="W517" s="177"/>
      <c r="X517" s="177"/>
      <c r="Y517" s="177"/>
      <c r="Z517" s="177"/>
      <c r="AA517" s="177"/>
      <c r="AB517" s="177"/>
      <c r="AC517" s="177"/>
    </row>
    <row r="518" spans="1:29" ht="13">
      <c r="A518" s="161"/>
      <c r="B518" s="161"/>
      <c r="C518" s="177"/>
      <c r="D518" s="177"/>
      <c r="E518" s="177"/>
      <c r="F518" s="177"/>
      <c r="G518" s="206"/>
      <c r="H518" s="177"/>
      <c r="I518" s="177"/>
      <c r="J518" s="177"/>
      <c r="K518" s="177"/>
      <c r="L518" s="178"/>
      <c r="M518" s="177"/>
      <c r="N518" s="177"/>
      <c r="O518" s="177"/>
      <c r="P518" s="177"/>
      <c r="Q518" s="177"/>
      <c r="R518" s="177"/>
      <c r="S518" s="177"/>
      <c r="T518" s="177"/>
      <c r="U518" s="177"/>
      <c r="V518" s="177"/>
      <c r="W518" s="177"/>
      <c r="X518" s="177"/>
      <c r="Y518" s="177"/>
      <c r="Z518" s="177"/>
      <c r="AA518" s="177"/>
      <c r="AB518" s="177"/>
      <c r="AC518" s="177"/>
    </row>
    <row r="519" spans="1:29" ht="13">
      <c r="A519" s="161"/>
      <c r="B519" s="161"/>
      <c r="C519" s="177"/>
      <c r="D519" s="177"/>
      <c r="E519" s="177"/>
      <c r="F519" s="177"/>
      <c r="G519" s="206"/>
      <c r="H519" s="177"/>
      <c r="I519" s="177"/>
      <c r="J519" s="177"/>
      <c r="K519" s="177"/>
      <c r="L519" s="178"/>
      <c r="M519" s="177"/>
      <c r="N519" s="177"/>
      <c r="O519" s="177"/>
      <c r="P519" s="177"/>
      <c r="Q519" s="177"/>
      <c r="R519" s="177"/>
      <c r="S519" s="177"/>
      <c r="T519" s="177"/>
      <c r="U519" s="177"/>
      <c r="V519" s="177"/>
      <c r="W519" s="177"/>
      <c r="X519" s="177"/>
      <c r="Y519" s="177"/>
      <c r="Z519" s="177"/>
      <c r="AA519" s="177"/>
      <c r="AB519" s="177"/>
      <c r="AC519" s="177"/>
    </row>
    <row r="520" spans="1:29" ht="13">
      <c r="A520" s="161"/>
      <c r="B520" s="161"/>
      <c r="C520" s="177"/>
      <c r="D520" s="177"/>
      <c r="E520" s="177"/>
      <c r="F520" s="177"/>
      <c r="G520" s="206"/>
      <c r="H520" s="177"/>
      <c r="I520" s="177"/>
      <c r="J520" s="177"/>
      <c r="K520" s="177"/>
      <c r="L520" s="178"/>
      <c r="M520" s="177"/>
      <c r="N520" s="177"/>
      <c r="O520" s="177"/>
      <c r="P520" s="177"/>
      <c r="Q520" s="177"/>
      <c r="R520" s="177"/>
      <c r="S520" s="177"/>
      <c r="T520" s="177"/>
      <c r="U520" s="177"/>
      <c r="V520" s="177"/>
      <c r="W520" s="177"/>
      <c r="X520" s="177"/>
      <c r="Y520" s="177"/>
      <c r="Z520" s="177"/>
      <c r="AA520" s="177"/>
      <c r="AB520" s="177"/>
      <c r="AC520" s="177"/>
    </row>
    <row r="521" spans="1:29" ht="13">
      <c r="A521" s="161"/>
      <c r="B521" s="161"/>
      <c r="C521" s="177"/>
      <c r="D521" s="177"/>
      <c r="E521" s="177"/>
      <c r="F521" s="177"/>
      <c r="G521" s="206"/>
      <c r="H521" s="177"/>
      <c r="I521" s="177"/>
      <c r="J521" s="177"/>
      <c r="K521" s="177"/>
      <c r="L521" s="178"/>
      <c r="M521" s="177"/>
      <c r="N521" s="177"/>
      <c r="O521" s="177"/>
      <c r="P521" s="177"/>
      <c r="Q521" s="177"/>
      <c r="R521" s="177"/>
      <c r="S521" s="177"/>
      <c r="T521" s="177"/>
      <c r="U521" s="177"/>
      <c r="V521" s="177"/>
      <c r="W521" s="177"/>
      <c r="X521" s="177"/>
      <c r="Y521" s="177"/>
      <c r="Z521" s="177"/>
      <c r="AA521" s="177"/>
      <c r="AB521" s="177"/>
      <c r="AC521" s="177"/>
    </row>
    <row r="522" spans="1:29" ht="13">
      <c r="A522" s="161"/>
      <c r="B522" s="161"/>
      <c r="C522" s="177"/>
      <c r="D522" s="177"/>
      <c r="E522" s="177"/>
      <c r="F522" s="177"/>
      <c r="G522" s="206"/>
      <c r="H522" s="177"/>
      <c r="I522" s="177"/>
      <c r="J522" s="177"/>
      <c r="K522" s="177"/>
      <c r="L522" s="178"/>
      <c r="M522" s="177"/>
      <c r="N522" s="177"/>
      <c r="O522" s="177"/>
      <c r="P522" s="177"/>
      <c r="Q522" s="177"/>
      <c r="R522" s="177"/>
      <c r="S522" s="177"/>
      <c r="T522" s="177"/>
      <c r="U522" s="177"/>
      <c r="V522" s="177"/>
      <c r="W522" s="177"/>
      <c r="X522" s="177"/>
      <c r="Y522" s="177"/>
      <c r="Z522" s="177"/>
      <c r="AA522" s="177"/>
      <c r="AB522" s="177"/>
      <c r="AC522" s="177"/>
    </row>
    <row r="523" spans="1:29" ht="13">
      <c r="A523" s="161"/>
      <c r="B523" s="161"/>
      <c r="C523" s="177"/>
      <c r="D523" s="177"/>
      <c r="E523" s="177"/>
      <c r="F523" s="177"/>
      <c r="G523" s="206"/>
      <c r="H523" s="177"/>
      <c r="I523" s="177"/>
      <c r="J523" s="177"/>
      <c r="K523" s="177"/>
      <c r="L523" s="178"/>
      <c r="M523" s="177"/>
      <c r="N523" s="177"/>
      <c r="O523" s="177"/>
      <c r="P523" s="177"/>
      <c r="Q523" s="177"/>
      <c r="R523" s="177"/>
      <c r="S523" s="177"/>
      <c r="T523" s="177"/>
      <c r="U523" s="177"/>
      <c r="V523" s="177"/>
      <c r="W523" s="177"/>
      <c r="X523" s="177"/>
      <c r="Y523" s="177"/>
      <c r="Z523" s="177"/>
      <c r="AA523" s="177"/>
      <c r="AB523" s="177"/>
      <c r="AC523" s="177"/>
    </row>
    <row r="524" spans="1:29" ht="13">
      <c r="A524" s="161"/>
      <c r="B524" s="161"/>
      <c r="C524" s="177"/>
      <c r="D524" s="177"/>
      <c r="E524" s="177"/>
      <c r="F524" s="177"/>
      <c r="G524" s="206"/>
      <c r="H524" s="177"/>
      <c r="I524" s="177"/>
      <c r="J524" s="177"/>
      <c r="K524" s="177"/>
      <c r="L524" s="178"/>
      <c r="M524" s="177"/>
      <c r="N524" s="177"/>
      <c r="O524" s="177"/>
      <c r="P524" s="177"/>
      <c r="Q524" s="177"/>
      <c r="R524" s="177"/>
      <c r="S524" s="177"/>
      <c r="T524" s="177"/>
      <c r="U524" s="177"/>
      <c r="V524" s="177"/>
      <c r="W524" s="177"/>
      <c r="X524" s="177"/>
      <c r="Y524" s="177"/>
      <c r="Z524" s="177"/>
      <c r="AA524" s="177"/>
      <c r="AB524" s="177"/>
      <c r="AC524" s="177"/>
    </row>
    <row r="525" spans="1:29" ht="13">
      <c r="A525" s="161"/>
      <c r="B525" s="161"/>
      <c r="C525" s="177"/>
      <c r="D525" s="177"/>
      <c r="E525" s="177"/>
      <c r="F525" s="177"/>
      <c r="G525" s="206"/>
      <c r="H525" s="177"/>
      <c r="I525" s="177"/>
      <c r="J525" s="177"/>
      <c r="K525" s="177"/>
      <c r="L525" s="178"/>
      <c r="M525" s="177"/>
      <c r="N525" s="177"/>
      <c r="O525" s="177"/>
      <c r="P525" s="177"/>
      <c r="Q525" s="177"/>
      <c r="R525" s="177"/>
      <c r="S525" s="177"/>
      <c r="T525" s="177"/>
      <c r="U525" s="177"/>
      <c r="V525" s="177"/>
      <c r="W525" s="177"/>
      <c r="X525" s="177"/>
      <c r="Y525" s="177"/>
      <c r="Z525" s="177"/>
      <c r="AA525" s="177"/>
      <c r="AB525" s="177"/>
      <c r="AC525" s="177"/>
    </row>
    <row r="526" spans="1:29" ht="13">
      <c r="A526" s="161"/>
      <c r="B526" s="161"/>
      <c r="C526" s="177"/>
      <c r="D526" s="177"/>
      <c r="E526" s="177"/>
      <c r="F526" s="177"/>
      <c r="G526" s="206"/>
      <c r="H526" s="177"/>
      <c r="I526" s="177"/>
      <c r="J526" s="177"/>
      <c r="K526" s="177"/>
      <c r="L526" s="178"/>
      <c r="M526" s="177"/>
      <c r="N526" s="177"/>
      <c r="O526" s="177"/>
      <c r="P526" s="177"/>
      <c r="Q526" s="177"/>
      <c r="R526" s="177"/>
      <c r="S526" s="177"/>
      <c r="T526" s="177"/>
      <c r="U526" s="177"/>
      <c r="V526" s="177"/>
      <c r="W526" s="177"/>
      <c r="X526" s="177"/>
      <c r="Y526" s="177"/>
      <c r="Z526" s="177"/>
      <c r="AA526" s="177"/>
      <c r="AB526" s="177"/>
      <c r="AC526" s="177"/>
    </row>
    <row r="527" spans="1:29" ht="13">
      <c r="A527" s="161"/>
      <c r="B527" s="161"/>
      <c r="C527" s="177"/>
      <c r="D527" s="177"/>
      <c r="E527" s="177"/>
      <c r="F527" s="177"/>
      <c r="G527" s="206"/>
      <c r="H527" s="177"/>
      <c r="I527" s="177"/>
      <c r="J527" s="177"/>
      <c r="K527" s="177"/>
      <c r="L527" s="178"/>
      <c r="M527" s="177"/>
      <c r="N527" s="177"/>
      <c r="O527" s="177"/>
      <c r="P527" s="177"/>
      <c r="Q527" s="177"/>
      <c r="R527" s="177"/>
      <c r="S527" s="177"/>
      <c r="T527" s="177"/>
      <c r="U527" s="177"/>
      <c r="V527" s="177"/>
      <c r="W527" s="177"/>
      <c r="X527" s="177"/>
      <c r="Y527" s="177"/>
      <c r="Z527" s="177"/>
      <c r="AA527" s="177"/>
      <c r="AB527" s="177"/>
      <c r="AC527" s="177"/>
    </row>
    <row r="528" spans="1:29" ht="13">
      <c r="A528" s="161"/>
      <c r="B528" s="161"/>
      <c r="C528" s="177"/>
      <c r="D528" s="177"/>
      <c r="E528" s="177"/>
      <c r="F528" s="177"/>
      <c r="G528" s="206"/>
      <c r="H528" s="177"/>
      <c r="I528" s="177"/>
      <c r="J528" s="177"/>
      <c r="K528" s="177"/>
      <c r="L528" s="178"/>
      <c r="M528" s="177"/>
      <c r="N528" s="177"/>
      <c r="O528" s="177"/>
      <c r="P528" s="177"/>
      <c r="Q528" s="177"/>
      <c r="R528" s="177"/>
      <c r="S528" s="177"/>
      <c r="T528" s="177"/>
      <c r="U528" s="177"/>
      <c r="V528" s="177"/>
      <c r="W528" s="177"/>
      <c r="X528" s="177"/>
      <c r="Y528" s="177"/>
      <c r="Z528" s="177"/>
      <c r="AA528" s="177"/>
      <c r="AB528" s="177"/>
      <c r="AC528" s="177"/>
    </row>
    <row r="529" spans="1:29" ht="13">
      <c r="A529" s="161"/>
      <c r="B529" s="161"/>
      <c r="C529" s="177"/>
      <c r="D529" s="177"/>
      <c r="E529" s="177"/>
      <c r="F529" s="177"/>
      <c r="G529" s="206"/>
      <c r="H529" s="177"/>
      <c r="I529" s="177"/>
      <c r="J529" s="177"/>
      <c r="K529" s="177"/>
      <c r="L529" s="178"/>
      <c r="M529" s="177"/>
      <c r="N529" s="177"/>
      <c r="O529" s="177"/>
      <c r="P529" s="177"/>
      <c r="Q529" s="177"/>
      <c r="R529" s="177"/>
      <c r="S529" s="177"/>
      <c r="T529" s="177"/>
      <c r="U529" s="177"/>
      <c r="V529" s="177"/>
      <c r="W529" s="177"/>
      <c r="X529" s="177"/>
      <c r="Y529" s="177"/>
      <c r="Z529" s="177"/>
      <c r="AA529" s="177"/>
      <c r="AB529" s="177"/>
      <c r="AC529" s="177"/>
    </row>
    <row r="530" spans="1:29" ht="13">
      <c r="A530" s="161"/>
      <c r="B530" s="161"/>
      <c r="C530" s="177"/>
      <c r="D530" s="177"/>
      <c r="E530" s="177"/>
      <c r="F530" s="177"/>
      <c r="G530" s="206"/>
      <c r="H530" s="177"/>
      <c r="I530" s="177"/>
      <c r="J530" s="177"/>
      <c r="K530" s="177"/>
      <c r="L530" s="178"/>
      <c r="M530" s="177"/>
      <c r="N530" s="177"/>
      <c r="O530" s="177"/>
      <c r="P530" s="177"/>
      <c r="Q530" s="177"/>
      <c r="R530" s="177"/>
      <c r="S530" s="177"/>
      <c r="T530" s="177"/>
      <c r="U530" s="177"/>
      <c r="V530" s="177"/>
      <c r="W530" s="177"/>
      <c r="X530" s="177"/>
      <c r="Y530" s="177"/>
      <c r="Z530" s="177"/>
      <c r="AA530" s="177"/>
      <c r="AB530" s="177"/>
      <c r="AC530" s="177"/>
    </row>
    <row r="531" spans="1:29" ht="13">
      <c r="A531" s="161"/>
      <c r="B531" s="161"/>
      <c r="C531" s="177"/>
      <c r="D531" s="177"/>
      <c r="E531" s="177"/>
      <c r="F531" s="177"/>
      <c r="G531" s="206"/>
      <c r="H531" s="177"/>
      <c r="I531" s="177"/>
      <c r="J531" s="177"/>
      <c r="K531" s="177"/>
      <c r="L531" s="178"/>
      <c r="M531" s="177"/>
      <c r="N531" s="177"/>
      <c r="O531" s="177"/>
      <c r="P531" s="177"/>
      <c r="Q531" s="177"/>
      <c r="R531" s="177"/>
      <c r="S531" s="177"/>
      <c r="T531" s="177"/>
      <c r="U531" s="177"/>
      <c r="V531" s="177"/>
      <c r="W531" s="177"/>
      <c r="X531" s="177"/>
      <c r="Y531" s="177"/>
      <c r="Z531" s="177"/>
      <c r="AA531" s="177"/>
      <c r="AB531" s="177"/>
      <c r="AC531" s="177"/>
    </row>
    <row r="532" spans="1:29" ht="13">
      <c r="A532" s="161"/>
      <c r="B532" s="161"/>
      <c r="C532" s="177"/>
      <c r="D532" s="177"/>
      <c r="E532" s="177"/>
      <c r="F532" s="177"/>
      <c r="G532" s="206"/>
      <c r="H532" s="177"/>
      <c r="I532" s="177"/>
      <c r="J532" s="177"/>
      <c r="K532" s="177"/>
      <c r="L532" s="178"/>
      <c r="M532" s="177"/>
      <c r="N532" s="177"/>
      <c r="O532" s="177"/>
      <c r="P532" s="177"/>
      <c r="Q532" s="177"/>
      <c r="R532" s="177"/>
      <c r="S532" s="177"/>
      <c r="T532" s="177"/>
      <c r="U532" s="177"/>
      <c r="V532" s="177"/>
      <c r="W532" s="177"/>
      <c r="X532" s="177"/>
      <c r="Y532" s="177"/>
      <c r="Z532" s="177"/>
      <c r="AA532" s="177"/>
      <c r="AB532" s="177"/>
      <c r="AC532" s="177"/>
    </row>
    <row r="533" spans="1:29" ht="13">
      <c r="A533" s="161"/>
      <c r="B533" s="161"/>
      <c r="C533" s="177"/>
      <c r="D533" s="177"/>
      <c r="E533" s="177"/>
      <c r="F533" s="177"/>
      <c r="G533" s="206"/>
      <c r="H533" s="177"/>
      <c r="I533" s="177"/>
      <c r="J533" s="177"/>
      <c r="K533" s="177"/>
      <c r="L533" s="178"/>
      <c r="M533" s="177"/>
      <c r="N533" s="177"/>
      <c r="O533" s="177"/>
      <c r="P533" s="177"/>
      <c r="Q533" s="177"/>
      <c r="R533" s="177"/>
      <c r="S533" s="177"/>
      <c r="T533" s="177"/>
      <c r="U533" s="177"/>
      <c r="V533" s="177"/>
      <c r="W533" s="177"/>
      <c r="X533" s="177"/>
      <c r="Y533" s="177"/>
      <c r="Z533" s="177"/>
      <c r="AA533" s="177"/>
      <c r="AB533" s="177"/>
      <c r="AC533" s="177"/>
    </row>
    <row r="534" spans="1:29" ht="13">
      <c r="A534" s="161"/>
      <c r="B534" s="161"/>
      <c r="C534" s="177"/>
      <c r="D534" s="177"/>
      <c r="E534" s="177"/>
      <c r="F534" s="177"/>
      <c r="G534" s="206"/>
      <c r="H534" s="177"/>
      <c r="I534" s="177"/>
      <c r="J534" s="177"/>
      <c r="K534" s="177"/>
      <c r="L534" s="178"/>
      <c r="M534" s="177"/>
      <c r="N534" s="177"/>
      <c r="O534" s="177"/>
      <c r="P534" s="177"/>
      <c r="Q534" s="177"/>
      <c r="R534" s="177"/>
      <c r="S534" s="177"/>
      <c r="T534" s="177"/>
      <c r="U534" s="177"/>
      <c r="V534" s="177"/>
      <c r="W534" s="177"/>
      <c r="X534" s="177"/>
      <c r="Y534" s="177"/>
      <c r="Z534" s="177"/>
      <c r="AA534" s="177"/>
      <c r="AB534" s="177"/>
      <c r="AC534" s="177"/>
    </row>
    <row r="535" spans="1:29" ht="13">
      <c r="A535" s="161"/>
      <c r="B535" s="161"/>
      <c r="C535" s="177"/>
      <c r="D535" s="177"/>
      <c r="E535" s="177"/>
      <c r="F535" s="177"/>
      <c r="G535" s="206"/>
      <c r="H535" s="177"/>
      <c r="I535" s="177"/>
      <c r="J535" s="177"/>
      <c r="K535" s="177"/>
      <c r="L535" s="178"/>
      <c r="M535" s="177"/>
      <c r="N535" s="177"/>
      <c r="O535" s="177"/>
      <c r="P535" s="177"/>
      <c r="Q535" s="177"/>
      <c r="R535" s="177"/>
      <c r="S535" s="177"/>
      <c r="T535" s="177"/>
      <c r="U535" s="177"/>
      <c r="V535" s="177"/>
      <c r="W535" s="177"/>
      <c r="X535" s="177"/>
      <c r="Y535" s="177"/>
      <c r="Z535" s="177"/>
      <c r="AA535" s="177"/>
      <c r="AB535" s="177"/>
      <c r="AC535" s="177"/>
    </row>
    <row r="536" spans="1:29" ht="13">
      <c r="A536" s="161"/>
      <c r="B536" s="161"/>
      <c r="C536" s="177"/>
      <c r="D536" s="177"/>
      <c r="E536" s="177"/>
      <c r="F536" s="177"/>
      <c r="G536" s="206"/>
      <c r="H536" s="177"/>
      <c r="I536" s="177"/>
      <c r="J536" s="177"/>
      <c r="K536" s="177"/>
      <c r="L536" s="178"/>
      <c r="M536" s="177"/>
      <c r="N536" s="177"/>
      <c r="O536" s="177"/>
      <c r="P536" s="177"/>
      <c r="Q536" s="177"/>
      <c r="R536" s="177"/>
      <c r="S536" s="177"/>
      <c r="T536" s="177"/>
      <c r="U536" s="177"/>
      <c r="V536" s="177"/>
      <c r="W536" s="177"/>
      <c r="X536" s="177"/>
      <c r="Y536" s="177"/>
      <c r="Z536" s="177"/>
      <c r="AA536" s="177"/>
      <c r="AB536" s="177"/>
      <c r="AC536" s="177"/>
    </row>
    <row r="537" spans="1:29" ht="13">
      <c r="A537" s="161"/>
      <c r="B537" s="161"/>
      <c r="C537" s="177"/>
      <c r="D537" s="177"/>
      <c r="E537" s="177"/>
      <c r="F537" s="177"/>
      <c r="G537" s="206"/>
      <c r="H537" s="177"/>
      <c r="I537" s="177"/>
      <c r="J537" s="177"/>
      <c r="K537" s="177"/>
      <c r="L537" s="178"/>
      <c r="M537" s="177"/>
      <c r="N537" s="177"/>
      <c r="O537" s="177"/>
      <c r="P537" s="177"/>
      <c r="Q537" s="177"/>
      <c r="R537" s="177"/>
      <c r="S537" s="177"/>
      <c r="T537" s="177"/>
      <c r="U537" s="177"/>
      <c r="V537" s="177"/>
      <c r="W537" s="177"/>
      <c r="X537" s="177"/>
      <c r="Y537" s="177"/>
      <c r="Z537" s="177"/>
      <c r="AA537" s="177"/>
      <c r="AB537" s="177"/>
      <c r="AC537" s="177"/>
    </row>
    <row r="538" spans="1:29" ht="13">
      <c r="A538" s="161"/>
      <c r="B538" s="161"/>
      <c r="C538" s="177"/>
      <c r="D538" s="177"/>
      <c r="E538" s="177"/>
      <c r="F538" s="177"/>
      <c r="G538" s="206"/>
      <c r="H538" s="177"/>
      <c r="I538" s="177"/>
      <c r="J538" s="177"/>
      <c r="K538" s="177"/>
      <c r="L538" s="178"/>
      <c r="M538" s="177"/>
      <c r="N538" s="177"/>
      <c r="O538" s="177"/>
      <c r="P538" s="177"/>
      <c r="Q538" s="177"/>
      <c r="R538" s="177"/>
      <c r="S538" s="177"/>
      <c r="T538" s="177"/>
      <c r="U538" s="177"/>
      <c r="V538" s="177"/>
      <c r="W538" s="177"/>
      <c r="X538" s="177"/>
      <c r="Y538" s="177"/>
      <c r="Z538" s="177"/>
      <c r="AA538" s="177"/>
      <c r="AB538" s="177"/>
      <c r="AC538" s="177"/>
    </row>
    <row r="539" spans="1:29" ht="13">
      <c r="A539" s="161"/>
      <c r="B539" s="161"/>
      <c r="C539" s="177"/>
      <c r="D539" s="177"/>
      <c r="E539" s="177"/>
      <c r="F539" s="177"/>
      <c r="G539" s="206"/>
      <c r="H539" s="177"/>
      <c r="I539" s="177"/>
      <c r="J539" s="177"/>
      <c r="K539" s="177"/>
      <c r="L539" s="178"/>
      <c r="M539" s="177"/>
      <c r="N539" s="177"/>
      <c r="O539" s="177"/>
      <c r="P539" s="177"/>
      <c r="Q539" s="177"/>
      <c r="R539" s="177"/>
      <c r="S539" s="177"/>
      <c r="T539" s="177"/>
      <c r="U539" s="177"/>
      <c r="V539" s="177"/>
      <c r="W539" s="177"/>
      <c r="X539" s="177"/>
      <c r="Y539" s="177"/>
      <c r="Z539" s="177"/>
      <c r="AA539" s="177"/>
      <c r="AB539" s="177"/>
      <c r="AC539" s="177"/>
    </row>
    <row r="540" spans="1:29" ht="13">
      <c r="A540" s="161"/>
      <c r="B540" s="161"/>
      <c r="C540" s="177"/>
      <c r="D540" s="177"/>
      <c r="E540" s="177"/>
      <c r="F540" s="177"/>
      <c r="G540" s="206"/>
      <c r="H540" s="177"/>
      <c r="I540" s="177"/>
      <c r="J540" s="177"/>
      <c r="K540" s="177"/>
      <c r="L540" s="178"/>
      <c r="M540" s="177"/>
      <c r="N540" s="177"/>
      <c r="O540" s="177"/>
      <c r="P540" s="177"/>
      <c r="Q540" s="177"/>
      <c r="R540" s="177"/>
      <c r="S540" s="177"/>
      <c r="T540" s="177"/>
      <c r="U540" s="177"/>
      <c r="V540" s="177"/>
      <c r="W540" s="177"/>
      <c r="X540" s="177"/>
      <c r="Y540" s="177"/>
      <c r="Z540" s="177"/>
      <c r="AA540" s="177"/>
      <c r="AB540" s="177"/>
      <c r="AC540" s="177"/>
    </row>
    <row r="541" spans="1:29" ht="13">
      <c r="A541" s="161"/>
      <c r="B541" s="161"/>
      <c r="C541" s="177"/>
      <c r="D541" s="177"/>
      <c r="E541" s="177"/>
      <c r="F541" s="177"/>
      <c r="G541" s="206"/>
      <c r="H541" s="177"/>
      <c r="I541" s="177"/>
      <c r="J541" s="177"/>
      <c r="K541" s="177"/>
      <c r="L541" s="178"/>
      <c r="M541" s="177"/>
      <c r="N541" s="177"/>
      <c r="O541" s="177"/>
      <c r="P541" s="177"/>
      <c r="Q541" s="177"/>
      <c r="R541" s="177"/>
      <c r="S541" s="177"/>
      <c r="T541" s="177"/>
      <c r="U541" s="177"/>
      <c r="V541" s="177"/>
      <c r="W541" s="177"/>
      <c r="X541" s="177"/>
      <c r="Y541" s="177"/>
      <c r="Z541" s="177"/>
      <c r="AA541" s="177"/>
      <c r="AB541" s="177"/>
      <c r="AC541" s="177"/>
    </row>
    <row r="542" spans="1:29" ht="13">
      <c r="A542" s="161"/>
      <c r="B542" s="161"/>
      <c r="C542" s="177"/>
      <c r="D542" s="177"/>
      <c r="E542" s="177"/>
      <c r="F542" s="177"/>
      <c r="G542" s="206"/>
      <c r="H542" s="177"/>
      <c r="I542" s="177"/>
      <c r="J542" s="177"/>
      <c r="K542" s="177"/>
      <c r="L542" s="178"/>
      <c r="M542" s="177"/>
      <c r="N542" s="177"/>
      <c r="O542" s="177"/>
      <c r="P542" s="177"/>
      <c r="Q542" s="177"/>
      <c r="R542" s="177"/>
      <c r="S542" s="177"/>
      <c r="T542" s="177"/>
      <c r="U542" s="177"/>
      <c r="V542" s="177"/>
      <c r="W542" s="177"/>
      <c r="X542" s="177"/>
      <c r="Y542" s="177"/>
      <c r="Z542" s="177"/>
      <c r="AA542" s="177"/>
      <c r="AB542" s="177"/>
      <c r="AC542" s="177"/>
    </row>
    <row r="543" spans="1:29" ht="13">
      <c r="A543" s="161"/>
      <c r="B543" s="161"/>
      <c r="C543" s="177"/>
      <c r="D543" s="177"/>
      <c r="E543" s="177"/>
      <c r="F543" s="177"/>
      <c r="G543" s="206"/>
      <c r="H543" s="177"/>
      <c r="I543" s="177"/>
      <c r="J543" s="177"/>
      <c r="K543" s="177"/>
      <c r="L543" s="178"/>
      <c r="M543" s="177"/>
      <c r="N543" s="177"/>
      <c r="O543" s="177"/>
      <c r="P543" s="177"/>
      <c r="Q543" s="177"/>
      <c r="R543" s="177"/>
      <c r="S543" s="177"/>
      <c r="T543" s="177"/>
      <c r="U543" s="177"/>
      <c r="V543" s="177"/>
      <c r="W543" s="177"/>
      <c r="X543" s="177"/>
      <c r="Y543" s="177"/>
      <c r="Z543" s="177"/>
      <c r="AA543" s="177"/>
      <c r="AB543" s="177"/>
      <c r="AC543" s="177"/>
    </row>
    <row r="544" spans="1:29" ht="13">
      <c r="A544" s="161"/>
      <c r="B544" s="161"/>
      <c r="C544" s="177"/>
      <c r="D544" s="177"/>
      <c r="E544" s="177"/>
      <c r="F544" s="177"/>
      <c r="G544" s="206"/>
      <c r="H544" s="177"/>
      <c r="I544" s="177"/>
      <c r="J544" s="177"/>
      <c r="K544" s="177"/>
      <c r="L544" s="178"/>
      <c r="M544" s="177"/>
      <c r="N544" s="177"/>
      <c r="O544" s="177"/>
      <c r="P544" s="177"/>
      <c r="Q544" s="177"/>
      <c r="R544" s="177"/>
      <c r="S544" s="177"/>
      <c r="T544" s="177"/>
      <c r="U544" s="177"/>
      <c r="V544" s="177"/>
      <c r="W544" s="177"/>
      <c r="X544" s="177"/>
      <c r="Y544" s="177"/>
      <c r="Z544" s="177"/>
      <c r="AA544" s="177"/>
      <c r="AB544" s="177"/>
      <c r="AC544" s="177"/>
    </row>
    <row r="545" spans="1:29" ht="13">
      <c r="A545" s="161"/>
      <c r="B545" s="161"/>
      <c r="C545" s="177"/>
      <c r="D545" s="177"/>
      <c r="E545" s="177"/>
      <c r="F545" s="177"/>
      <c r="G545" s="206"/>
      <c r="H545" s="177"/>
      <c r="I545" s="177"/>
      <c r="J545" s="177"/>
      <c r="K545" s="177"/>
      <c r="L545" s="178"/>
      <c r="M545" s="177"/>
      <c r="N545" s="177"/>
      <c r="O545" s="177"/>
      <c r="P545" s="177"/>
      <c r="Q545" s="177"/>
      <c r="R545" s="177"/>
      <c r="S545" s="177"/>
      <c r="T545" s="177"/>
      <c r="U545" s="177"/>
      <c r="V545" s="177"/>
      <c r="W545" s="177"/>
      <c r="X545" s="177"/>
      <c r="Y545" s="177"/>
      <c r="Z545" s="177"/>
      <c r="AA545" s="177"/>
      <c r="AB545" s="177"/>
      <c r="AC545" s="177"/>
    </row>
    <row r="546" spans="1:29" ht="13">
      <c r="A546" s="161"/>
      <c r="B546" s="161"/>
      <c r="C546" s="177"/>
      <c r="D546" s="177"/>
      <c r="E546" s="177"/>
      <c r="F546" s="177"/>
      <c r="G546" s="206"/>
      <c r="H546" s="177"/>
      <c r="I546" s="177"/>
      <c r="J546" s="177"/>
      <c r="K546" s="177"/>
      <c r="L546" s="178"/>
      <c r="M546" s="177"/>
      <c r="N546" s="177"/>
      <c r="O546" s="177"/>
      <c r="P546" s="177"/>
      <c r="Q546" s="177"/>
      <c r="R546" s="177"/>
      <c r="S546" s="177"/>
      <c r="T546" s="177"/>
      <c r="U546" s="177"/>
      <c r="V546" s="177"/>
      <c r="W546" s="177"/>
      <c r="X546" s="177"/>
      <c r="Y546" s="177"/>
      <c r="Z546" s="177"/>
      <c r="AA546" s="177"/>
      <c r="AB546" s="177"/>
      <c r="AC546" s="177"/>
    </row>
    <row r="547" spans="1:29" ht="13">
      <c r="A547" s="161"/>
      <c r="B547" s="161"/>
      <c r="C547" s="177"/>
      <c r="D547" s="177"/>
      <c r="E547" s="177"/>
      <c r="F547" s="177"/>
      <c r="G547" s="206"/>
      <c r="H547" s="177"/>
      <c r="I547" s="177"/>
      <c r="J547" s="177"/>
      <c r="K547" s="177"/>
      <c r="L547" s="178"/>
      <c r="M547" s="177"/>
      <c r="N547" s="177"/>
      <c r="O547" s="177"/>
      <c r="P547" s="177"/>
      <c r="Q547" s="177"/>
      <c r="R547" s="177"/>
      <c r="S547" s="177"/>
      <c r="T547" s="177"/>
      <c r="U547" s="177"/>
      <c r="V547" s="177"/>
      <c r="W547" s="177"/>
      <c r="X547" s="177"/>
      <c r="Y547" s="177"/>
      <c r="Z547" s="177"/>
      <c r="AA547" s="177"/>
      <c r="AB547" s="177"/>
      <c r="AC547" s="177"/>
    </row>
    <row r="548" spans="1:29" ht="13">
      <c r="A548" s="161"/>
      <c r="B548" s="161"/>
      <c r="C548" s="177"/>
      <c r="D548" s="177"/>
      <c r="E548" s="177"/>
      <c r="F548" s="177"/>
      <c r="G548" s="206"/>
      <c r="H548" s="177"/>
      <c r="I548" s="177"/>
      <c r="J548" s="177"/>
      <c r="K548" s="177"/>
      <c r="L548" s="178"/>
      <c r="M548" s="177"/>
      <c r="N548" s="177"/>
      <c r="O548" s="177"/>
      <c r="P548" s="177"/>
      <c r="Q548" s="177"/>
      <c r="R548" s="177"/>
      <c r="S548" s="177"/>
      <c r="T548" s="177"/>
      <c r="U548" s="177"/>
      <c r="V548" s="177"/>
      <c r="W548" s="177"/>
      <c r="X548" s="177"/>
      <c r="Y548" s="177"/>
      <c r="Z548" s="177"/>
      <c r="AA548" s="177"/>
      <c r="AB548" s="177"/>
      <c r="AC548" s="177"/>
    </row>
    <row r="549" spans="1:29" ht="13">
      <c r="A549" s="161"/>
      <c r="B549" s="161"/>
      <c r="C549" s="177"/>
      <c r="D549" s="177"/>
      <c r="E549" s="177"/>
      <c r="F549" s="177"/>
      <c r="G549" s="206"/>
      <c r="H549" s="177"/>
      <c r="I549" s="177"/>
      <c r="J549" s="177"/>
      <c r="K549" s="177"/>
      <c r="L549" s="178"/>
      <c r="M549" s="177"/>
      <c r="N549" s="177"/>
      <c r="O549" s="177"/>
      <c r="P549" s="177"/>
      <c r="Q549" s="177"/>
      <c r="R549" s="177"/>
      <c r="S549" s="177"/>
      <c r="T549" s="177"/>
      <c r="U549" s="177"/>
      <c r="V549" s="177"/>
      <c r="W549" s="177"/>
      <c r="X549" s="177"/>
      <c r="Y549" s="177"/>
      <c r="Z549" s="177"/>
      <c r="AA549" s="177"/>
      <c r="AB549" s="177"/>
      <c r="AC549" s="177"/>
    </row>
    <row r="550" spans="1:29" ht="13">
      <c r="A550" s="161"/>
      <c r="B550" s="161"/>
      <c r="C550" s="177"/>
      <c r="D550" s="177"/>
      <c r="E550" s="177"/>
      <c r="F550" s="177"/>
      <c r="G550" s="206"/>
      <c r="H550" s="177"/>
      <c r="I550" s="177"/>
      <c r="J550" s="177"/>
      <c r="K550" s="177"/>
      <c r="L550" s="178"/>
      <c r="M550" s="177"/>
      <c r="N550" s="177"/>
      <c r="O550" s="177"/>
      <c r="P550" s="177"/>
      <c r="Q550" s="177"/>
      <c r="R550" s="177"/>
      <c r="S550" s="177"/>
      <c r="T550" s="177"/>
      <c r="U550" s="177"/>
      <c r="V550" s="177"/>
      <c r="W550" s="177"/>
      <c r="X550" s="177"/>
      <c r="Y550" s="177"/>
      <c r="Z550" s="177"/>
      <c r="AA550" s="177"/>
      <c r="AB550" s="177"/>
      <c r="AC550" s="177"/>
    </row>
    <row r="551" spans="1:29" ht="13">
      <c r="A551" s="161"/>
      <c r="B551" s="161"/>
      <c r="C551" s="177"/>
      <c r="D551" s="177"/>
      <c r="E551" s="177"/>
      <c r="F551" s="177"/>
      <c r="G551" s="206"/>
      <c r="H551" s="177"/>
      <c r="I551" s="177"/>
      <c r="J551" s="177"/>
      <c r="K551" s="177"/>
      <c r="L551" s="178"/>
      <c r="M551" s="177"/>
      <c r="N551" s="177"/>
      <c r="O551" s="177"/>
      <c r="P551" s="177"/>
      <c r="Q551" s="177"/>
      <c r="R551" s="177"/>
      <c r="S551" s="177"/>
      <c r="T551" s="177"/>
      <c r="U551" s="177"/>
      <c r="V551" s="177"/>
      <c r="W551" s="177"/>
      <c r="X551" s="177"/>
      <c r="Y551" s="177"/>
      <c r="Z551" s="177"/>
      <c r="AA551" s="177"/>
      <c r="AB551" s="177"/>
      <c r="AC551" s="177"/>
    </row>
    <row r="552" spans="1:29" ht="13">
      <c r="A552" s="161"/>
      <c r="B552" s="161"/>
      <c r="C552" s="177"/>
      <c r="D552" s="177"/>
      <c r="E552" s="177"/>
      <c r="F552" s="177"/>
      <c r="G552" s="206"/>
      <c r="H552" s="177"/>
      <c r="I552" s="177"/>
      <c r="J552" s="177"/>
      <c r="K552" s="177"/>
      <c r="L552" s="178"/>
      <c r="M552" s="177"/>
      <c r="N552" s="177"/>
      <c r="O552" s="177"/>
      <c r="P552" s="177"/>
      <c r="Q552" s="177"/>
      <c r="R552" s="177"/>
      <c r="S552" s="177"/>
      <c r="T552" s="177"/>
      <c r="U552" s="177"/>
      <c r="V552" s="177"/>
      <c r="W552" s="177"/>
      <c r="X552" s="177"/>
      <c r="Y552" s="177"/>
      <c r="Z552" s="177"/>
      <c r="AA552" s="177"/>
      <c r="AB552" s="177"/>
      <c r="AC552" s="177"/>
    </row>
    <row r="553" spans="1:29" ht="13">
      <c r="A553" s="161"/>
      <c r="B553" s="161"/>
      <c r="C553" s="177"/>
      <c r="D553" s="177"/>
      <c r="E553" s="177"/>
      <c r="F553" s="177"/>
      <c r="G553" s="206"/>
      <c r="H553" s="177"/>
      <c r="I553" s="177"/>
      <c r="J553" s="177"/>
      <c r="K553" s="177"/>
      <c r="L553" s="178"/>
      <c r="M553" s="177"/>
      <c r="N553" s="177"/>
      <c r="O553" s="177"/>
      <c r="P553" s="177"/>
      <c r="Q553" s="177"/>
      <c r="R553" s="177"/>
      <c r="S553" s="177"/>
      <c r="T553" s="177"/>
      <c r="U553" s="177"/>
      <c r="V553" s="177"/>
      <c r="W553" s="177"/>
      <c r="X553" s="177"/>
      <c r="Y553" s="177"/>
      <c r="Z553" s="177"/>
      <c r="AA553" s="177"/>
      <c r="AB553" s="177"/>
      <c r="AC553" s="177"/>
    </row>
    <row r="554" spans="1:29" ht="13">
      <c r="A554" s="161"/>
      <c r="B554" s="161"/>
      <c r="C554" s="177"/>
      <c r="D554" s="177"/>
      <c r="E554" s="177"/>
      <c r="F554" s="177"/>
      <c r="G554" s="206"/>
      <c r="H554" s="177"/>
      <c r="I554" s="177"/>
      <c r="J554" s="177"/>
      <c r="K554" s="177"/>
      <c r="L554" s="178"/>
      <c r="M554" s="177"/>
      <c r="N554" s="177"/>
      <c r="O554" s="177"/>
      <c r="P554" s="177"/>
      <c r="Q554" s="177"/>
      <c r="R554" s="177"/>
      <c r="S554" s="177"/>
      <c r="T554" s="177"/>
      <c r="U554" s="177"/>
      <c r="V554" s="177"/>
      <c r="W554" s="177"/>
      <c r="X554" s="177"/>
      <c r="Y554" s="177"/>
      <c r="Z554" s="177"/>
      <c r="AA554" s="177"/>
      <c r="AB554" s="177"/>
      <c r="AC554" s="177"/>
    </row>
    <row r="555" spans="1:29" ht="13">
      <c r="A555" s="161"/>
      <c r="B555" s="161"/>
      <c r="C555" s="177"/>
      <c r="D555" s="177"/>
      <c r="E555" s="177"/>
      <c r="F555" s="177"/>
      <c r="G555" s="206"/>
      <c r="H555" s="177"/>
      <c r="I555" s="177"/>
      <c r="J555" s="177"/>
      <c r="K555" s="177"/>
      <c r="L555" s="178"/>
      <c r="M555" s="177"/>
      <c r="N555" s="177"/>
      <c r="O555" s="177"/>
      <c r="P555" s="177"/>
      <c r="Q555" s="177"/>
      <c r="R555" s="177"/>
      <c r="S555" s="177"/>
      <c r="T555" s="177"/>
      <c r="U555" s="177"/>
      <c r="V555" s="177"/>
      <c r="W555" s="177"/>
      <c r="X555" s="177"/>
      <c r="Y555" s="177"/>
      <c r="Z555" s="177"/>
      <c r="AA555" s="177"/>
      <c r="AB555" s="177"/>
      <c r="AC555" s="177"/>
    </row>
    <row r="556" spans="1:29" ht="13">
      <c r="A556" s="161"/>
      <c r="B556" s="161"/>
      <c r="C556" s="177"/>
      <c r="D556" s="177"/>
      <c r="E556" s="177"/>
      <c r="F556" s="177"/>
      <c r="G556" s="206"/>
      <c r="H556" s="177"/>
      <c r="I556" s="177"/>
      <c r="J556" s="177"/>
      <c r="K556" s="177"/>
      <c r="L556" s="178"/>
      <c r="M556" s="177"/>
      <c r="N556" s="177"/>
      <c r="O556" s="177"/>
      <c r="P556" s="177"/>
      <c r="Q556" s="177"/>
      <c r="R556" s="177"/>
      <c r="S556" s="177"/>
      <c r="T556" s="177"/>
      <c r="U556" s="177"/>
      <c r="V556" s="177"/>
      <c r="W556" s="177"/>
      <c r="X556" s="177"/>
      <c r="Y556" s="177"/>
      <c r="Z556" s="177"/>
      <c r="AA556" s="177"/>
      <c r="AB556" s="177"/>
      <c r="AC556" s="177"/>
    </row>
    <row r="557" spans="1:29" ht="13">
      <c r="A557" s="161"/>
      <c r="B557" s="161"/>
      <c r="C557" s="177"/>
      <c r="D557" s="177"/>
      <c r="E557" s="177"/>
      <c r="F557" s="177"/>
      <c r="G557" s="206"/>
      <c r="H557" s="177"/>
      <c r="I557" s="177"/>
      <c r="J557" s="177"/>
      <c r="K557" s="177"/>
      <c r="L557" s="178"/>
      <c r="M557" s="177"/>
      <c r="N557" s="177"/>
      <c r="O557" s="177"/>
      <c r="P557" s="177"/>
      <c r="Q557" s="177"/>
      <c r="R557" s="177"/>
      <c r="S557" s="177"/>
      <c r="T557" s="177"/>
      <c r="U557" s="177"/>
      <c r="V557" s="177"/>
      <c r="W557" s="177"/>
      <c r="X557" s="177"/>
      <c r="Y557" s="177"/>
      <c r="Z557" s="177"/>
      <c r="AA557" s="177"/>
      <c r="AB557" s="177"/>
      <c r="AC557" s="177"/>
    </row>
    <row r="558" spans="1:29" ht="13">
      <c r="A558" s="161"/>
      <c r="B558" s="161"/>
      <c r="C558" s="177"/>
      <c r="D558" s="177"/>
      <c r="E558" s="177"/>
      <c r="F558" s="177"/>
      <c r="G558" s="206"/>
      <c r="H558" s="177"/>
      <c r="I558" s="177"/>
      <c r="J558" s="177"/>
      <c r="K558" s="177"/>
      <c r="L558" s="178"/>
      <c r="M558" s="177"/>
      <c r="N558" s="177"/>
      <c r="O558" s="177"/>
      <c r="P558" s="177"/>
      <c r="Q558" s="177"/>
      <c r="R558" s="177"/>
      <c r="S558" s="177"/>
      <c r="T558" s="177"/>
      <c r="U558" s="177"/>
      <c r="V558" s="177"/>
      <c r="W558" s="177"/>
      <c r="X558" s="177"/>
      <c r="Y558" s="177"/>
      <c r="Z558" s="177"/>
      <c r="AA558" s="177"/>
      <c r="AB558" s="177"/>
      <c r="AC558" s="177"/>
    </row>
    <row r="559" spans="1:29" ht="13">
      <c r="A559" s="161"/>
      <c r="B559" s="161"/>
      <c r="C559" s="177"/>
      <c r="D559" s="177"/>
      <c r="E559" s="177"/>
      <c r="F559" s="177"/>
      <c r="G559" s="206"/>
      <c r="H559" s="177"/>
      <c r="I559" s="177"/>
      <c r="J559" s="177"/>
      <c r="K559" s="177"/>
      <c r="L559" s="178"/>
      <c r="M559" s="177"/>
      <c r="N559" s="177"/>
      <c r="O559" s="177"/>
      <c r="P559" s="177"/>
      <c r="Q559" s="177"/>
      <c r="R559" s="177"/>
      <c r="S559" s="177"/>
      <c r="T559" s="177"/>
      <c r="U559" s="177"/>
      <c r="V559" s="177"/>
      <c r="W559" s="177"/>
      <c r="X559" s="177"/>
      <c r="Y559" s="177"/>
      <c r="Z559" s="177"/>
      <c r="AA559" s="177"/>
      <c r="AB559" s="177"/>
      <c r="AC559" s="177"/>
    </row>
    <row r="560" spans="1:29" ht="13">
      <c r="A560" s="161"/>
      <c r="B560" s="161"/>
      <c r="C560" s="177"/>
      <c r="D560" s="177"/>
      <c r="E560" s="177"/>
      <c r="F560" s="177"/>
      <c r="G560" s="206"/>
      <c r="H560" s="177"/>
      <c r="I560" s="177"/>
      <c r="J560" s="177"/>
      <c r="K560" s="177"/>
      <c r="L560" s="178"/>
      <c r="M560" s="177"/>
      <c r="N560" s="177"/>
      <c r="O560" s="177"/>
      <c r="P560" s="177"/>
      <c r="Q560" s="177"/>
      <c r="R560" s="177"/>
      <c r="S560" s="177"/>
      <c r="T560" s="177"/>
      <c r="U560" s="177"/>
      <c r="V560" s="177"/>
      <c r="W560" s="177"/>
      <c r="X560" s="177"/>
      <c r="Y560" s="177"/>
      <c r="Z560" s="177"/>
      <c r="AA560" s="177"/>
      <c r="AB560" s="177"/>
      <c r="AC560" s="177"/>
    </row>
    <row r="561" spans="1:29" ht="13">
      <c r="A561" s="161"/>
      <c r="B561" s="161"/>
      <c r="C561" s="177"/>
      <c r="D561" s="177"/>
      <c r="E561" s="177"/>
      <c r="F561" s="177"/>
      <c r="G561" s="206"/>
      <c r="H561" s="177"/>
      <c r="I561" s="177"/>
      <c r="J561" s="177"/>
      <c r="K561" s="177"/>
      <c r="L561" s="178"/>
      <c r="M561" s="177"/>
      <c r="N561" s="177"/>
      <c r="O561" s="177"/>
      <c r="P561" s="177"/>
      <c r="Q561" s="177"/>
      <c r="R561" s="177"/>
      <c r="S561" s="177"/>
      <c r="T561" s="177"/>
      <c r="U561" s="177"/>
      <c r="V561" s="177"/>
      <c r="W561" s="177"/>
      <c r="X561" s="177"/>
      <c r="Y561" s="177"/>
      <c r="Z561" s="177"/>
      <c r="AA561" s="177"/>
      <c r="AB561" s="177"/>
      <c r="AC561" s="177"/>
    </row>
    <row r="562" spans="1:29" ht="13">
      <c r="A562" s="161"/>
      <c r="B562" s="161"/>
      <c r="C562" s="177"/>
      <c r="D562" s="177"/>
      <c r="E562" s="177"/>
      <c r="F562" s="177"/>
      <c r="G562" s="206"/>
      <c r="H562" s="177"/>
      <c r="I562" s="177"/>
      <c r="J562" s="177"/>
      <c r="K562" s="177"/>
      <c r="L562" s="178"/>
      <c r="M562" s="177"/>
      <c r="N562" s="177"/>
      <c r="O562" s="177"/>
      <c r="P562" s="177"/>
      <c r="Q562" s="177"/>
      <c r="R562" s="177"/>
      <c r="S562" s="177"/>
      <c r="T562" s="177"/>
      <c r="U562" s="177"/>
      <c r="V562" s="177"/>
      <c r="W562" s="177"/>
      <c r="X562" s="177"/>
      <c r="Y562" s="177"/>
      <c r="Z562" s="177"/>
      <c r="AA562" s="177"/>
      <c r="AB562" s="177"/>
      <c r="AC562" s="177"/>
    </row>
    <row r="563" spans="1:29" ht="13">
      <c r="A563" s="161"/>
      <c r="B563" s="161"/>
      <c r="C563" s="177"/>
      <c r="D563" s="177"/>
      <c r="E563" s="177"/>
      <c r="F563" s="177"/>
      <c r="G563" s="206"/>
      <c r="H563" s="177"/>
      <c r="I563" s="177"/>
      <c r="J563" s="177"/>
      <c r="K563" s="177"/>
      <c r="L563" s="178"/>
      <c r="M563" s="177"/>
      <c r="N563" s="177"/>
      <c r="O563" s="177"/>
      <c r="P563" s="177"/>
      <c r="Q563" s="177"/>
      <c r="R563" s="177"/>
      <c r="S563" s="177"/>
      <c r="T563" s="177"/>
      <c r="U563" s="177"/>
      <c r="V563" s="177"/>
      <c r="W563" s="177"/>
      <c r="X563" s="177"/>
      <c r="Y563" s="177"/>
      <c r="Z563" s="177"/>
      <c r="AA563" s="177"/>
      <c r="AB563" s="177"/>
      <c r="AC563" s="177"/>
    </row>
    <row r="564" spans="1:29" ht="13">
      <c r="A564" s="161"/>
      <c r="B564" s="161"/>
      <c r="C564" s="177"/>
      <c r="D564" s="177"/>
      <c r="E564" s="177"/>
      <c r="F564" s="177"/>
      <c r="G564" s="206"/>
      <c r="H564" s="177"/>
      <c r="I564" s="177"/>
      <c r="J564" s="177"/>
      <c r="K564" s="177"/>
      <c r="L564" s="178"/>
      <c r="M564" s="177"/>
      <c r="N564" s="177"/>
      <c r="O564" s="177"/>
      <c r="P564" s="177"/>
      <c r="Q564" s="177"/>
      <c r="R564" s="177"/>
      <c r="S564" s="177"/>
      <c r="T564" s="177"/>
      <c r="U564" s="177"/>
      <c r="V564" s="177"/>
      <c r="W564" s="177"/>
      <c r="X564" s="177"/>
      <c r="Y564" s="177"/>
      <c r="Z564" s="177"/>
      <c r="AA564" s="177"/>
      <c r="AB564" s="177"/>
      <c r="AC564" s="177"/>
    </row>
    <row r="565" spans="1:29" ht="13">
      <c r="A565" s="161"/>
      <c r="B565" s="161"/>
      <c r="C565" s="177"/>
      <c r="D565" s="177"/>
      <c r="E565" s="177"/>
      <c r="F565" s="177"/>
      <c r="G565" s="206"/>
      <c r="H565" s="177"/>
      <c r="I565" s="177"/>
      <c r="J565" s="177"/>
      <c r="K565" s="177"/>
      <c r="L565" s="178"/>
      <c r="M565" s="177"/>
      <c r="N565" s="177"/>
      <c r="O565" s="177"/>
      <c r="P565" s="177"/>
      <c r="Q565" s="177"/>
      <c r="R565" s="177"/>
      <c r="S565" s="177"/>
      <c r="T565" s="177"/>
      <c r="U565" s="177"/>
      <c r="V565" s="177"/>
      <c r="W565" s="177"/>
      <c r="X565" s="177"/>
      <c r="Y565" s="177"/>
      <c r="Z565" s="177"/>
      <c r="AA565" s="177"/>
      <c r="AB565" s="177"/>
      <c r="AC565" s="177"/>
    </row>
    <row r="566" spans="1:29" ht="13">
      <c r="A566" s="161"/>
      <c r="B566" s="161"/>
      <c r="C566" s="177"/>
      <c r="D566" s="177"/>
      <c r="E566" s="177"/>
      <c r="F566" s="177"/>
      <c r="G566" s="206"/>
      <c r="H566" s="177"/>
      <c r="I566" s="177"/>
      <c r="J566" s="177"/>
      <c r="K566" s="177"/>
      <c r="L566" s="178"/>
      <c r="M566" s="177"/>
      <c r="N566" s="177"/>
      <c r="O566" s="177"/>
      <c r="P566" s="177"/>
      <c r="Q566" s="177"/>
      <c r="R566" s="177"/>
      <c r="S566" s="177"/>
      <c r="T566" s="177"/>
      <c r="U566" s="177"/>
      <c r="V566" s="177"/>
      <c r="W566" s="177"/>
      <c r="X566" s="177"/>
      <c r="Y566" s="177"/>
      <c r="Z566" s="177"/>
      <c r="AA566" s="177"/>
      <c r="AB566" s="177"/>
      <c r="AC566" s="177"/>
    </row>
    <row r="567" spans="1:29" ht="13">
      <c r="A567" s="161"/>
      <c r="B567" s="161"/>
      <c r="C567" s="177"/>
      <c r="D567" s="177"/>
      <c r="E567" s="177"/>
      <c r="F567" s="177"/>
      <c r="G567" s="206"/>
      <c r="H567" s="177"/>
      <c r="I567" s="177"/>
      <c r="J567" s="177"/>
      <c r="K567" s="177"/>
      <c r="L567" s="178"/>
      <c r="M567" s="177"/>
      <c r="N567" s="177"/>
      <c r="O567" s="177"/>
      <c r="P567" s="177"/>
      <c r="Q567" s="177"/>
      <c r="R567" s="177"/>
      <c r="S567" s="177"/>
      <c r="T567" s="177"/>
      <c r="U567" s="177"/>
      <c r="V567" s="177"/>
      <c r="W567" s="177"/>
      <c r="X567" s="177"/>
      <c r="Y567" s="177"/>
      <c r="Z567" s="177"/>
      <c r="AA567" s="177"/>
      <c r="AB567" s="177"/>
      <c r="AC567" s="177"/>
    </row>
    <row r="568" spans="1:29" ht="13">
      <c r="A568" s="161"/>
      <c r="B568" s="161"/>
      <c r="C568" s="177"/>
      <c r="D568" s="177"/>
      <c r="E568" s="177"/>
      <c r="F568" s="177"/>
      <c r="G568" s="206"/>
      <c r="H568" s="177"/>
      <c r="I568" s="177"/>
      <c r="J568" s="177"/>
      <c r="K568" s="177"/>
      <c r="L568" s="178"/>
      <c r="M568" s="177"/>
      <c r="N568" s="177"/>
      <c r="O568" s="177"/>
      <c r="P568" s="177"/>
      <c r="Q568" s="177"/>
      <c r="R568" s="177"/>
      <c r="S568" s="177"/>
      <c r="T568" s="177"/>
      <c r="U568" s="177"/>
      <c r="V568" s="177"/>
      <c r="W568" s="177"/>
      <c r="X568" s="177"/>
      <c r="Y568" s="177"/>
      <c r="Z568" s="177"/>
      <c r="AA568" s="177"/>
      <c r="AB568" s="177"/>
      <c r="AC568" s="177"/>
    </row>
    <row r="569" spans="1:29" ht="13">
      <c r="A569" s="161"/>
      <c r="B569" s="161"/>
      <c r="C569" s="177"/>
      <c r="D569" s="177"/>
      <c r="E569" s="177"/>
      <c r="F569" s="177"/>
      <c r="G569" s="206"/>
      <c r="H569" s="177"/>
      <c r="I569" s="177"/>
      <c r="J569" s="177"/>
      <c r="K569" s="177"/>
      <c r="L569" s="178"/>
      <c r="M569" s="177"/>
      <c r="N569" s="177"/>
      <c r="O569" s="177"/>
      <c r="P569" s="177"/>
      <c r="Q569" s="177"/>
      <c r="R569" s="177"/>
      <c r="S569" s="177"/>
      <c r="T569" s="177"/>
      <c r="U569" s="177"/>
      <c r="V569" s="177"/>
      <c r="W569" s="177"/>
      <c r="X569" s="177"/>
      <c r="Y569" s="177"/>
      <c r="Z569" s="177"/>
      <c r="AA569" s="177"/>
      <c r="AB569" s="177"/>
      <c r="AC569" s="177"/>
    </row>
    <row r="570" spans="1:29" ht="13">
      <c r="A570" s="161"/>
      <c r="B570" s="161"/>
      <c r="C570" s="177"/>
      <c r="D570" s="177"/>
      <c r="E570" s="177"/>
      <c r="F570" s="177"/>
      <c r="G570" s="206"/>
      <c r="H570" s="177"/>
      <c r="I570" s="177"/>
      <c r="J570" s="177"/>
      <c r="K570" s="177"/>
      <c r="L570" s="178"/>
      <c r="M570" s="177"/>
      <c r="N570" s="177"/>
      <c r="O570" s="177"/>
      <c r="P570" s="177"/>
      <c r="Q570" s="177"/>
      <c r="R570" s="177"/>
      <c r="S570" s="177"/>
      <c r="T570" s="177"/>
      <c r="U570" s="177"/>
      <c r="V570" s="177"/>
      <c r="W570" s="177"/>
      <c r="X570" s="177"/>
      <c r="Y570" s="177"/>
      <c r="Z570" s="177"/>
      <c r="AA570" s="177"/>
      <c r="AB570" s="177"/>
      <c r="AC570" s="177"/>
    </row>
    <row r="571" spans="1:29" ht="13">
      <c r="A571" s="161"/>
      <c r="B571" s="161"/>
      <c r="C571" s="177"/>
      <c r="D571" s="177"/>
      <c r="E571" s="177"/>
      <c r="F571" s="177"/>
      <c r="G571" s="206"/>
      <c r="H571" s="177"/>
      <c r="I571" s="177"/>
      <c r="J571" s="177"/>
      <c r="K571" s="177"/>
      <c r="L571" s="178"/>
      <c r="M571" s="177"/>
      <c r="N571" s="177"/>
      <c r="O571" s="177"/>
      <c r="P571" s="177"/>
      <c r="Q571" s="177"/>
      <c r="R571" s="177"/>
      <c r="S571" s="177"/>
      <c r="T571" s="177"/>
      <c r="U571" s="177"/>
      <c r="V571" s="177"/>
      <c r="W571" s="177"/>
      <c r="X571" s="177"/>
      <c r="Y571" s="177"/>
      <c r="Z571" s="177"/>
      <c r="AA571" s="177"/>
      <c r="AB571" s="177"/>
      <c r="AC571" s="177"/>
    </row>
    <row r="572" spans="1:29" ht="13">
      <c r="A572" s="161"/>
      <c r="B572" s="161"/>
      <c r="C572" s="177"/>
      <c r="D572" s="177"/>
      <c r="E572" s="177"/>
      <c r="F572" s="177"/>
      <c r="G572" s="206"/>
      <c r="H572" s="177"/>
      <c r="I572" s="177"/>
      <c r="J572" s="177"/>
      <c r="K572" s="177"/>
      <c r="L572" s="178"/>
      <c r="M572" s="177"/>
      <c r="N572" s="177"/>
      <c r="O572" s="177"/>
      <c r="P572" s="177"/>
      <c r="Q572" s="177"/>
      <c r="R572" s="177"/>
      <c r="S572" s="177"/>
      <c r="T572" s="177"/>
      <c r="U572" s="177"/>
      <c r="V572" s="177"/>
      <c r="W572" s="177"/>
      <c r="X572" s="177"/>
      <c r="Y572" s="177"/>
      <c r="Z572" s="177"/>
      <c r="AA572" s="177"/>
      <c r="AB572" s="177"/>
      <c r="AC572" s="177"/>
    </row>
    <row r="573" spans="1:29" ht="13">
      <c r="A573" s="161"/>
      <c r="B573" s="161"/>
      <c r="C573" s="177"/>
      <c r="D573" s="177"/>
      <c r="E573" s="177"/>
      <c r="F573" s="177"/>
      <c r="G573" s="206"/>
      <c r="H573" s="177"/>
      <c r="I573" s="177"/>
      <c r="J573" s="177"/>
      <c r="K573" s="177"/>
      <c r="L573" s="178"/>
      <c r="M573" s="177"/>
      <c r="N573" s="177"/>
      <c r="O573" s="177"/>
      <c r="P573" s="177"/>
      <c r="Q573" s="177"/>
      <c r="R573" s="177"/>
      <c r="S573" s="177"/>
      <c r="T573" s="177"/>
      <c r="U573" s="177"/>
      <c r="V573" s="177"/>
      <c r="W573" s="177"/>
      <c r="X573" s="177"/>
      <c r="Y573" s="177"/>
      <c r="Z573" s="177"/>
      <c r="AA573" s="177"/>
      <c r="AB573" s="177"/>
      <c r="AC573" s="177"/>
    </row>
    <row r="574" spans="1:29" ht="13">
      <c r="A574" s="161"/>
      <c r="B574" s="161"/>
      <c r="C574" s="177"/>
      <c r="D574" s="177"/>
      <c r="E574" s="177"/>
      <c r="F574" s="177"/>
      <c r="G574" s="206"/>
      <c r="H574" s="177"/>
      <c r="I574" s="177"/>
      <c r="J574" s="177"/>
      <c r="K574" s="177"/>
      <c r="L574" s="178"/>
      <c r="M574" s="177"/>
      <c r="N574" s="177"/>
      <c r="O574" s="177"/>
      <c r="P574" s="177"/>
      <c r="Q574" s="177"/>
      <c r="R574" s="177"/>
      <c r="S574" s="177"/>
      <c r="T574" s="177"/>
      <c r="U574" s="177"/>
      <c r="V574" s="177"/>
      <c r="W574" s="177"/>
      <c r="X574" s="177"/>
      <c r="Y574" s="177"/>
      <c r="Z574" s="177"/>
      <c r="AA574" s="177"/>
      <c r="AB574" s="177"/>
      <c r="AC574" s="177"/>
    </row>
    <row r="575" spans="1:29" ht="13">
      <c r="A575" s="161"/>
      <c r="B575" s="161"/>
      <c r="C575" s="177"/>
      <c r="D575" s="177"/>
      <c r="E575" s="177"/>
      <c r="F575" s="177"/>
      <c r="G575" s="206"/>
      <c r="H575" s="177"/>
      <c r="I575" s="177"/>
      <c r="J575" s="177"/>
      <c r="K575" s="177"/>
      <c r="L575" s="178"/>
      <c r="M575" s="177"/>
      <c r="N575" s="177"/>
      <c r="O575" s="177"/>
      <c r="P575" s="177"/>
      <c r="Q575" s="177"/>
      <c r="R575" s="177"/>
      <c r="S575" s="177"/>
      <c r="T575" s="177"/>
      <c r="U575" s="177"/>
      <c r="V575" s="177"/>
      <c r="W575" s="177"/>
      <c r="X575" s="177"/>
      <c r="Y575" s="177"/>
      <c r="Z575" s="177"/>
      <c r="AA575" s="177"/>
      <c r="AB575" s="177"/>
      <c r="AC575" s="177"/>
    </row>
    <row r="576" spans="1:29" ht="13">
      <c r="A576" s="161"/>
      <c r="B576" s="161"/>
      <c r="C576" s="177"/>
      <c r="D576" s="177"/>
      <c r="E576" s="177"/>
      <c r="F576" s="177"/>
      <c r="G576" s="206"/>
      <c r="H576" s="177"/>
      <c r="I576" s="177"/>
      <c r="J576" s="177"/>
      <c r="K576" s="177"/>
      <c r="L576" s="178"/>
      <c r="M576" s="177"/>
      <c r="N576" s="177"/>
      <c r="O576" s="177"/>
      <c r="P576" s="177"/>
      <c r="Q576" s="177"/>
      <c r="R576" s="177"/>
      <c r="S576" s="177"/>
      <c r="T576" s="177"/>
      <c r="U576" s="177"/>
      <c r="V576" s="177"/>
      <c r="W576" s="177"/>
      <c r="X576" s="177"/>
      <c r="Y576" s="177"/>
      <c r="Z576" s="177"/>
      <c r="AA576" s="177"/>
      <c r="AB576" s="177"/>
      <c r="AC576" s="177"/>
    </row>
    <row r="577" spans="1:29" ht="13">
      <c r="A577" s="161"/>
      <c r="B577" s="161"/>
      <c r="C577" s="177"/>
      <c r="D577" s="177"/>
      <c r="E577" s="177"/>
      <c r="F577" s="177"/>
      <c r="G577" s="206"/>
      <c r="H577" s="177"/>
      <c r="I577" s="177"/>
      <c r="J577" s="177"/>
      <c r="K577" s="177"/>
      <c r="L577" s="178"/>
      <c r="M577" s="177"/>
      <c r="N577" s="177"/>
      <c r="O577" s="177"/>
      <c r="P577" s="177"/>
      <c r="Q577" s="177"/>
      <c r="R577" s="177"/>
      <c r="S577" s="177"/>
      <c r="T577" s="177"/>
      <c r="U577" s="177"/>
      <c r="V577" s="177"/>
      <c r="W577" s="177"/>
      <c r="X577" s="177"/>
      <c r="Y577" s="177"/>
      <c r="Z577" s="177"/>
      <c r="AA577" s="177"/>
      <c r="AB577" s="177"/>
      <c r="AC577" s="177"/>
    </row>
    <row r="578" spans="1:29" ht="13">
      <c r="A578" s="161"/>
      <c r="B578" s="161"/>
      <c r="C578" s="177"/>
      <c r="D578" s="177"/>
      <c r="E578" s="177"/>
      <c r="F578" s="177"/>
      <c r="G578" s="206"/>
      <c r="H578" s="177"/>
      <c r="I578" s="177"/>
      <c r="J578" s="177"/>
      <c r="K578" s="177"/>
      <c r="L578" s="178"/>
      <c r="M578" s="177"/>
      <c r="N578" s="177"/>
      <c r="O578" s="177"/>
      <c r="P578" s="177"/>
      <c r="Q578" s="177"/>
      <c r="R578" s="177"/>
      <c r="S578" s="177"/>
      <c r="T578" s="177"/>
      <c r="U578" s="177"/>
      <c r="V578" s="177"/>
      <c r="W578" s="177"/>
      <c r="X578" s="177"/>
      <c r="Y578" s="177"/>
      <c r="Z578" s="177"/>
      <c r="AA578" s="177"/>
      <c r="AB578" s="177"/>
      <c r="AC578" s="177"/>
    </row>
    <row r="579" spans="1:29" ht="13">
      <c r="A579" s="161"/>
      <c r="B579" s="161"/>
      <c r="C579" s="177"/>
      <c r="D579" s="177"/>
      <c r="E579" s="177"/>
      <c r="F579" s="177"/>
      <c r="G579" s="206"/>
      <c r="H579" s="177"/>
      <c r="I579" s="177"/>
      <c r="J579" s="177"/>
      <c r="K579" s="177"/>
      <c r="L579" s="178"/>
      <c r="M579" s="177"/>
      <c r="N579" s="177"/>
      <c r="O579" s="177"/>
      <c r="P579" s="177"/>
      <c r="Q579" s="177"/>
      <c r="R579" s="177"/>
      <c r="S579" s="177"/>
      <c r="T579" s="177"/>
      <c r="U579" s="177"/>
      <c r="V579" s="177"/>
      <c r="W579" s="177"/>
      <c r="X579" s="177"/>
      <c r="Y579" s="177"/>
      <c r="Z579" s="177"/>
      <c r="AA579" s="177"/>
      <c r="AB579" s="177"/>
      <c r="AC579" s="177"/>
    </row>
    <row r="580" spans="1:29" ht="13">
      <c r="A580" s="161"/>
      <c r="B580" s="161"/>
      <c r="C580" s="177"/>
      <c r="D580" s="177"/>
      <c r="E580" s="177"/>
      <c r="F580" s="177"/>
      <c r="G580" s="206"/>
      <c r="H580" s="177"/>
      <c r="I580" s="177"/>
      <c r="J580" s="177"/>
      <c r="K580" s="177"/>
      <c r="L580" s="178"/>
      <c r="M580" s="177"/>
      <c r="N580" s="177"/>
      <c r="O580" s="177"/>
      <c r="P580" s="177"/>
      <c r="Q580" s="177"/>
      <c r="R580" s="177"/>
      <c r="S580" s="177"/>
      <c r="T580" s="177"/>
      <c r="U580" s="177"/>
      <c r="V580" s="177"/>
      <c r="W580" s="177"/>
      <c r="X580" s="177"/>
      <c r="Y580" s="177"/>
      <c r="Z580" s="177"/>
      <c r="AA580" s="177"/>
      <c r="AB580" s="177"/>
      <c r="AC580" s="177"/>
    </row>
    <row r="581" spans="1:29" ht="13">
      <c r="A581" s="161"/>
      <c r="B581" s="161"/>
      <c r="C581" s="177"/>
      <c r="D581" s="177"/>
      <c r="E581" s="177"/>
      <c r="F581" s="177"/>
      <c r="G581" s="206"/>
      <c r="H581" s="177"/>
      <c r="I581" s="177"/>
      <c r="J581" s="177"/>
      <c r="K581" s="177"/>
      <c r="L581" s="178"/>
      <c r="M581" s="177"/>
      <c r="N581" s="177"/>
      <c r="O581" s="177"/>
      <c r="P581" s="177"/>
      <c r="Q581" s="177"/>
      <c r="R581" s="177"/>
      <c r="S581" s="177"/>
      <c r="T581" s="177"/>
      <c r="U581" s="177"/>
      <c r="V581" s="177"/>
      <c r="W581" s="177"/>
      <c r="X581" s="177"/>
      <c r="Y581" s="177"/>
      <c r="Z581" s="177"/>
      <c r="AA581" s="177"/>
      <c r="AB581" s="177"/>
      <c r="AC581" s="177"/>
    </row>
    <row r="582" spans="1:29" ht="13">
      <c r="A582" s="161"/>
      <c r="B582" s="161"/>
      <c r="C582" s="177"/>
      <c r="D582" s="177"/>
      <c r="E582" s="177"/>
      <c r="F582" s="177"/>
      <c r="G582" s="206"/>
      <c r="H582" s="177"/>
      <c r="I582" s="177"/>
      <c r="J582" s="177"/>
      <c r="K582" s="177"/>
      <c r="L582" s="178"/>
      <c r="M582" s="177"/>
      <c r="N582" s="177"/>
      <c r="O582" s="177"/>
      <c r="P582" s="177"/>
      <c r="Q582" s="177"/>
      <c r="R582" s="177"/>
      <c r="S582" s="177"/>
      <c r="T582" s="177"/>
      <c r="U582" s="177"/>
      <c r="V582" s="177"/>
      <c r="W582" s="177"/>
      <c r="X582" s="177"/>
      <c r="Y582" s="177"/>
      <c r="Z582" s="177"/>
      <c r="AA582" s="177"/>
      <c r="AB582" s="177"/>
      <c r="AC582" s="177"/>
    </row>
    <row r="583" spans="1:29" ht="13">
      <c r="A583" s="161"/>
      <c r="B583" s="161"/>
      <c r="C583" s="177"/>
      <c r="D583" s="177"/>
      <c r="E583" s="177"/>
      <c r="F583" s="177"/>
      <c r="G583" s="206"/>
      <c r="H583" s="177"/>
      <c r="I583" s="177"/>
      <c r="J583" s="177"/>
      <c r="K583" s="177"/>
      <c r="L583" s="178"/>
      <c r="M583" s="177"/>
      <c r="N583" s="177"/>
      <c r="O583" s="177"/>
      <c r="P583" s="177"/>
      <c r="Q583" s="177"/>
      <c r="R583" s="177"/>
      <c r="S583" s="177"/>
      <c r="T583" s="177"/>
      <c r="U583" s="177"/>
      <c r="V583" s="177"/>
      <c r="W583" s="177"/>
      <c r="X583" s="177"/>
      <c r="Y583" s="177"/>
      <c r="Z583" s="177"/>
      <c r="AA583" s="177"/>
      <c r="AB583" s="177"/>
      <c r="AC583" s="177"/>
    </row>
    <row r="584" spans="1:29" ht="13">
      <c r="A584" s="161"/>
      <c r="B584" s="161"/>
      <c r="C584" s="177"/>
      <c r="D584" s="177"/>
      <c r="E584" s="177"/>
      <c r="F584" s="177"/>
      <c r="G584" s="206"/>
      <c r="H584" s="177"/>
      <c r="I584" s="177"/>
      <c r="J584" s="177"/>
      <c r="K584" s="177"/>
      <c r="L584" s="178"/>
      <c r="M584" s="177"/>
      <c r="N584" s="177"/>
      <c r="O584" s="177"/>
      <c r="P584" s="177"/>
      <c r="Q584" s="177"/>
      <c r="R584" s="177"/>
      <c r="S584" s="177"/>
      <c r="T584" s="177"/>
      <c r="U584" s="177"/>
      <c r="V584" s="177"/>
      <c r="W584" s="177"/>
      <c r="X584" s="177"/>
      <c r="Y584" s="177"/>
      <c r="Z584" s="177"/>
      <c r="AA584" s="177"/>
      <c r="AB584" s="177"/>
      <c r="AC584" s="177"/>
    </row>
    <row r="585" spans="1:29" ht="13">
      <c r="A585" s="161"/>
      <c r="B585" s="161"/>
      <c r="C585" s="177"/>
      <c r="D585" s="177"/>
      <c r="E585" s="177"/>
      <c r="F585" s="177"/>
      <c r="G585" s="206"/>
      <c r="H585" s="177"/>
      <c r="I585" s="177"/>
      <c r="J585" s="177"/>
      <c r="K585" s="177"/>
      <c r="L585" s="178"/>
      <c r="M585" s="177"/>
      <c r="N585" s="177"/>
      <c r="O585" s="177"/>
      <c r="P585" s="177"/>
      <c r="Q585" s="177"/>
      <c r="R585" s="177"/>
      <c r="S585" s="177"/>
      <c r="T585" s="177"/>
      <c r="U585" s="177"/>
      <c r="V585" s="177"/>
      <c r="W585" s="177"/>
      <c r="X585" s="177"/>
      <c r="Y585" s="177"/>
      <c r="Z585" s="177"/>
      <c r="AA585" s="177"/>
      <c r="AB585" s="177"/>
      <c r="AC585" s="177"/>
    </row>
    <row r="586" spans="1:29" ht="13">
      <c r="A586" s="161"/>
      <c r="B586" s="161"/>
      <c r="C586" s="177"/>
      <c r="D586" s="177"/>
      <c r="E586" s="177"/>
      <c r="F586" s="177"/>
      <c r="G586" s="206"/>
      <c r="H586" s="177"/>
      <c r="I586" s="177"/>
      <c r="J586" s="177"/>
      <c r="K586" s="177"/>
      <c r="L586" s="178"/>
      <c r="M586" s="177"/>
      <c r="N586" s="177"/>
      <c r="O586" s="177"/>
      <c r="P586" s="177"/>
      <c r="Q586" s="177"/>
      <c r="R586" s="177"/>
      <c r="S586" s="177"/>
      <c r="T586" s="177"/>
      <c r="U586" s="177"/>
      <c r="V586" s="177"/>
      <c r="W586" s="177"/>
      <c r="X586" s="177"/>
      <c r="Y586" s="177"/>
      <c r="Z586" s="177"/>
      <c r="AA586" s="177"/>
      <c r="AB586" s="177"/>
      <c r="AC586" s="177"/>
    </row>
    <row r="587" spans="1:29" ht="13">
      <c r="A587" s="161"/>
      <c r="B587" s="161"/>
      <c r="C587" s="177"/>
      <c r="D587" s="177"/>
      <c r="E587" s="177"/>
      <c r="F587" s="177"/>
      <c r="G587" s="206"/>
      <c r="H587" s="177"/>
      <c r="I587" s="177"/>
      <c r="J587" s="177"/>
      <c r="K587" s="177"/>
      <c r="L587" s="178"/>
      <c r="M587" s="177"/>
      <c r="N587" s="177"/>
      <c r="O587" s="177"/>
      <c r="P587" s="177"/>
      <c r="Q587" s="177"/>
      <c r="R587" s="177"/>
      <c r="S587" s="177"/>
      <c r="T587" s="177"/>
      <c r="U587" s="177"/>
      <c r="V587" s="177"/>
      <c r="W587" s="177"/>
      <c r="X587" s="177"/>
      <c r="Y587" s="177"/>
      <c r="Z587" s="177"/>
      <c r="AA587" s="177"/>
      <c r="AB587" s="177"/>
      <c r="AC587" s="177"/>
    </row>
    <row r="588" spans="1:29" ht="13">
      <c r="A588" s="161"/>
      <c r="B588" s="161"/>
      <c r="C588" s="177"/>
      <c r="D588" s="177"/>
      <c r="E588" s="177"/>
      <c r="F588" s="177"/>
      <c r="G588" s="206"/>
      <c r="H588" s="177"/>
      <c r="I588" s="177"/>
      <c r="J588" s="177"/>
      <c r="K588" s="177"/>
      <c r="L588" s="178"/>
      <c r="M588" s="177"/>
      <c r="N588" s="177"/>
      <c r="O588" s="177"/>
      <c r="P588" s="177"/>
      <c r="Q588" s="177"/>
      <c r="R588" s="177"/>
      <c r="S588" s="177"/>
      <c r="T588" s="177"/>
      <c r="U588" s="177"/>
      <c r="V588" s="177"/>
      <c r="W588" s="177"/>
      <c r="X588" s="177"/>
      <c r="Y588" s="177"/>
      <c r="Z588" s="177"/>
      <c r="AA588" s="177"/>
      <c r="AB588" s="177"/>
      <c r="AC588" s="177"/>
    </row>
    <row r="589" spans="1:29" ht="13">
      <c r="A589" s="161"/>
      <c r="B589" s="161"/>
      <c r="C589" s="177"/>
      <c r="D589" s="177"/>
      <c r="E589" s="177"/>
      <c r="F589" s="177"/>
      <c r="G589" s="206"/>
      <c r="H589" s="177"/>
      <c r="I589" s="177"/>
      <c r="J589" s="177"/>
      <c r="K589" s="177"/>
      <c r="L589" s="178"/>
      <c r="M589" s="177"/>
      <c r="N589" s="177"/>
      <c r="O589" s="177"/>
      <c r="P589" s="177"/>
      <c r="Q589" s="177"/>
      <c r="R589" s="177"/>
      <c r="S589" s="177"/>
      <c r="T589" s="177"/>
      <c r="U589" s="177"/>
      <c r="V589" s="177"/>
      <c r="W589" s="177"/>
      <c r="X589" s="177"/>
      <c r="Y589" s="177"/>
      <c r="Z589" s="177"/>
      <c r="AA589" s="177"/>
      <c r="AB589" s="177"/>
      <c r="AC589" s="177"/>
    </row>
    <row r="590" spans="1:29" ht="13">
      <c r="A590" s="161"/>
      <c r="B590" s="161"/>
      <c r="C590" s="177"/>
      <c r="D590" s="177"/>
      <c r="E590" s="177"/>
      <c r="F590" s="177"/>
      <c r="G590" s="206"/>
      <c r="H590" s="177"/>
      <c r="I590" s="177"/>
      <c r="J590" s="177"/>
      <c r="K590" s="177"/>
      <c r="L590" s="178"/>
      <c r="M590" s="177"/>
      <c r="N590" s="177"/>
      <c r="O590" s="177"/>
      <c r="P590" s="177"/>
      <c r="Q590" s="177"/>
      <c r="R590" s="177"/>
      <c r="S590" s="177"/>
      <c r="T590" s="177"/>
      <c r="U590" s="177"/>
      <c r="V590" s="177"/>
      <c r="W590" s="177"/>
      <c r="X590" s="177"/>
      <c r="Y590" s="177"/>
      <c r="Z590" s="177"/>
      <c r="AA590" s="177"/>
      <c r="AB590" s="177"/>
      <c r="AC590" s="177"/>
    </row>
    <row r="591" spans="1:29" ht="13">
      <c r="A591" s="161"/>
      <c r="B591" s="161"/>
      <c r="C591" s="177"/>
      <c r="D591" s="177"/>
      <c r="E591" s="177"/>
      <c r="F591" s="177"/>
      <c r="G591" s="206"/>
      <c r="H591" s="177"/>
      <c r="I591" s="177"/>
      <c r="J591" s="177"/>
      <c r="K591" s="177"/>
      <c r="L591" s="178"/>
      <c r="M591" s="177"/>
      <c r="N591" s="177"/>
      <c r="O591" s="177"/>
      <c r="P591" s="177"/>
      <c r="Q591" s="177"/>
      <c r="R591" s="177"/>
      <c r="S591" s="177"/>
      <c r="T591" s="177"/>
      <c r="U591" s="177"/>
      <c r="V591" s="177"/>
      <c r="W591" s="177"/>
      <c r="X591" s="177"/>
      <c r="Y591" s="177"/>
      <c r="Z591" s="177"/>
      <c r="AA591" s="177"/>
      <c r="AB591" s="177"/>
      <c r="AC591" s="177"/>
    </row>
    <row r="592" spans="1:29" ht="13">
      <c r="A592" s="161"/>
      <c r="B592" s="161"/>
      <c r="C592" s="177"/>
      <c r="D592" s="177"/>
      <c r="E592" s="177"/>
      <c r="F592" s="177"/>
      <c r="G592" s="206"/>
      <c r="H592" s="177"/>
      <c r="I592" s="177"/>
      <c r="J592" s="177"/>
      <c r="K592" s="177"/>
      <c r="L592" s="178"/>
      <c r="M592" s="177"/>
      <c r="N592" s="177"/>
      <c r="O592" s="177"/>
      <c r="P592" s="177"/>
      <c r="Q592" s="177"/>
      <c r="R592" s="177"/>
      <c r="S592" s="177"/>
      <c r="T592" s="177"/>
      <c r="U592" s="177"/>
      <c r="V592" s="177"/>
      <c r="W592" s="177"/>
      <c r="X592" s="177"/>
      <c r="Y592" s="177"/>
      <c r="Z592" s="177"/>
      <c r="AA592" s="177"/>
      <c r="AB592" s="177"/>
      <c r="AC592" s="177"/>
    </row>
    <row r="593" spans="1:29" ht="13">
      <c r="A593" s="161"/>
      <c r="B593" s="161"/>
      <c r="C593" s="177"/>
      <c r="D593" s="177"/>
      <c r="E593" s="177"/>
      <c r="F593" s="177"/>
      <c r="G593" s="206"/>
      <c r="H593" s="177"/>
      <c r="I593" s="177"/>
      <c r="J593" s="177"/>
      <c r="K593" s="177"/>
      <c r="L593" s="178"/>
      <c r="M593" s="177"/>
      <c r="N593" s="177"/>
      <c r="O593" s="177"/>
      <c r="P593" s="177"/>
      <c r="Q593" s="177"/>
      <c r="R593" s="177"/>
      <c r="S593" s="177"/>
      <c r="T593" s="177"/>
      <c r="U593" s="177"/>
      <c r="V593" s="177"/>
      <c r="W593" s="177"/>
      <c r="X593" s="177"/>
      <c r="Y593" s="177"/>
      <c r="Z593" s="177"/>
      <c r="AA593" s="177"/>
      <c r="AB593" s="177"/>
      <c r="AC593" s="177"/>
    </row>
    <row r="594" spans="1:29" ht="13">
      <c r="A594" s="161"/>
      <c r="B594" s="161"/>
      <c r="C594" s="177"/>
      <c r="D594" s="177"/>
      <c r="E594" s="177"/>
      <c r="F594" s="177"/>
      <c r="G594" s="206"/>
      <c r="H594" s="177"/>
      <c r="I594" s="177"/>
      <c r="J594" s="177"/>
      <c r="K594" s="177"/>
      <c r="L594" s="178"/>
      <c r="M594" s="177"/>
      <c r="N594" s="177"/>
      <c r="O594" s="177"/>
      <c r="P594" s="177"/>
      <c r="Q594" s="177"/>
      <c r="R594" s="177"/>
      <c r="S594" s="177"/>
      <c r="T594" s="177"/>
      <c r="U594" s="177"/>
      <c r="V594" s="177"/>
      <c r="W594" s="177"/>
      <c r="X594" s="177"/>
      <c r="Y594" s="177"/>
      <c r="Z594" s="177"/>
      <c r="AA594" s="177"/>
      <c r="AB594" s="177"/>
      <c r="AC594" s="177"/>
    </row>
    <row r="595" spans="1:29" ht="13">
      <c r="A595" s="161"/>
      <c r="B595" s="161"/>
      <c r="C595" s="177"/>
      <c r="D595" s="177"/>
      <c r="E595" s="177"/>
      <c r="F595" s="177"/>
      <c r="G595" s="206"/>
      <c r="H595" s="177"/>
      <c r="I595" s="177"/>
      <c r="J595" s="177"/>
      <c r="K595" s="177"/>
      <c r="L595" s="178"/>
      <c r="M595" s="177"/>
      <c r="N595" s="177"/>
      <c r="O595" s="177"/>
      <c r="P595" s="177"/>
      <c r="Q595" s="177"/>
      <c r="R595" s="177"/>
      <c r="S595" s="177"/>
      <c r="T595" s="177"/>
      <c r="U595" s="177"/>
      <c r="V595" s="177"/>
      <c r="W595" s="177"/>
      <c r="X595" s="177"/>
      <c r="Y595" s="177"/>
      <c r="Z595" s="177"/>
      <c r="AA595" s="177"/>
      <c r="AB595" s="177"/>
      <c r="AC595" s="177"/>
    </row>
    <row r="596" spans="1:29" ht="13">
      <c r="A596" s="161"/>
      <c r="B596" s="161"/>
      <c r="C596" s="177"/>
      <c r="D596" s="177"/>
      <c r="E596" s="177"/>
      <c r="F596" s="177"/>
      <c r="G596" s="206"/>
      <c r="H596" s="177"/>
      <c r="I596" s="177"/>
      <c r="J596" s="177"/>
      <c r="K596" s="177"/>
      <c r="L596" s="178"/>
      <c r="M596" s="177"/>
      <c r="N596" s="177"/>
      <c r="O596" s="177"/>
      <c r="P596" s="177"/>
      <c r="Q596" s="177"/>
      <c r="R596" s="177"/>
      <c r="S596" s="177"/>
      <c r="T596" s="177"/>
      <c r="U596" s="177"/>
      <c r="V596" s="177"/>
      <c r="W596" s="177"/>
      <c r="X596" s="177"/>
      <c r="Y596" s="177"/>
      <c r="Z596" s="177"/>
      <c r="AA596" s="177"/>
      <c r="AB596" s="177"/>
      <c r="AC596" s="177"/>
    </row>
    <row r="597" spans="1:29" ht="13">
      <c r="A597" s="161"/>
      <c r="B597" s="161"/>
      <c r="C597" s="177"/>
      <c r="D597" s="177"/>
      <c r="E597" s="177"/>
      <c r="F597" s="177"/>
      <c r="G597" s="206"/>
      <c r="H597" s="177"/>
      <c r="I597" s="177"/>
      <c r="J597" s="177"/>
      <c r="K597" s="177"/>
      <c r="L597" s="178"/>
      <c r="M597" s="177"/>
      <c r="N597" s="177"/>
      <c r="O597" s="177"/>
      <c r="P597" s="177"/>
      <c r="Q597" s="177"/>
      <c r="R597" s="177"/>
      <c r="S597" s="177"/>
      <c r="T597" s="177"/>
      <c r="U597" s="177"/>
      <c r="V597" s="177"/>
      <c r="W597" s="177"/>
      <c r="X597" s="177"/>
      <c r="Y597" s="177"/>
      <c r="Z597" s="177"/>
      <c r="AA597" s="177"/>
      <c r="AB597" s="177"/>
      <c r="AC597" s="177"/>
    </row>
    <row r="598" spans="1:29" ht="13">
      <c r="A598" s="161"/>
      <c r="B598" s="161"/>
      <c r="C598" s="177"/>
      <c r="D598" s="177"/>
      <c r="E598" s="177"/>
      <c r="F598" s="177"/>
      <c r="G598" s="206"/>
      <c r="H598" s="177"/>
      <c r="I598" s="177"/>
      <c r="J598" s="177"/>
      <c r="K598" s="177"/>
      <c r="L598" s="178"/>
      <c r="M598" s="177"/>
      <c r="N598" s="177"/>
      <c r="O598" s="177"/>
      <c r="P598" s="177"/>
      <c r="Q598" s="177"/>
      <c r="R598" s="177"/>
      <c r="S598" s="177"/>
      <c r="T598" s="177"/>
      <c r="U598" s="177"/>
      <c r="V598" s="177"/>
      <c r="W598" s="177"/>
      <c r="X598" s="177"/>
      <c r="Y598" s="177"/>
      <c r="Z598" s="177"/>
      <c r="AA598" s="177"/>
      <c r="AB598" s="177"/>
      <c r="AC598" s="177"/>
    </row>
    <row r="599" spans="1:29" ht="13">
      <c r="A599" s="161"/>
      <c r="B599" s="161"/>
      <c r="C599" s="177"/>
      <c r="D599" s="177"/>
      <c r="E599" s="177"/>
      <c r="F599" s="177"/>
      <c r="G599" s="206"/>
      <c r="H599" s="177"/>
      <c r="I599" s="177"/>
      <c r="J599" s="177"/>
      <c r="K599" s="177"/>
      <c r="L599" s="178"/>
      <c r="M599" s="177"/>
      <c r="N599" s="177"/>
      <c r="O599" s="177"/>
      <c r="P599" s="177"/>
      <c r="Q599" s="177"/>
      <c r="R599" s="177"/>
      <c r="S599" s="177"/>
      <c r="T599" s="177"/>
      <c r="U599" s="177"/>
      <c r="V599" s="177"/>
      <c r="W599" s="177"/>
      <c r="X599" s="177"/>
      <c r="Y599" s="177"/>
      <c r="Z599" s="177"/>
      <c r="AA599" s="177"/>
      <c r="AB599" s="177"/>
      <c r="AC599" s="177"/>
    </row>
    <row r="600" spans="1:29" ht="13">
      <c r="A600" s="161"/>
      <c r="B600" s="161"/>
      <c r="C600" s="177"/>
      <c r="D600" s="177"/>
      <c r="E600" s="177"/>
      <c r="F600" s="177"/>
      <c r="G600" s="206"/>
      <c r="H600" s="177"/>
      <c r="I600" s="177"/>
      <c r="J600" s="177"/>
      <c r="K600" s="177"/>
      <c r="L600" s="178"/>
      <c r="M600" s="177"/>
      <c r="N600" s="177"/>
      <c r="O600" s="177"/>
      <c r="P600" s="177"/>
      <c r="Q600" s="177"/>
      <c r="R600" s="177"/>
      <c r="S600" s="177"/>
      <c r="T600" s="177"/>
      <c r="U600" s="177"/>
      <c r="V600" s="177"/>
      <c r="W600" s="177"/>
      <c r="X600" s="177"/>
      <c r="Y600" s="177"/>
      <c r="Z600" s="177"/>
      <c r="AA600" s="177"/>
      <c r="AB600" s="177"/>
      <c r="AC600" s="177"/>
    </row>
    <row r="601" spans="1:29" ht="13">
      <c r="A601" s="161"/>
      <c r="B601" s="161"/>
      <c r="C601" s="177"/>
      <c r="D601" s="177"/>
      <c r="E601" s="177"/>
      <c r="F601" s="177"/>
      <c r="G601" s="206"/>
      <c r="H601" s="177"/>
      <c r="I601" s="177"/>
      <c r="J601" s="177"/>
      <c r="K601" s="177"/>
      <c r="L601" s="178"/>
      <c r="M601" s="177"/>
      <c r="N601" s="177"/>
      <c r="O601" s="177"/>
      <c r="P601" s="177"/>
      <c r="Q601" s="177"/>
      <c r="R601" s="177"/>
      <c r="S601" s="177"/>
      <c r="T601" s="177"/>
      <c r="U601" s="177"/>
      <c r="V601" s="177"/>
      <c r="W601" s="177"/>
      <c r="X601" s="177"/>
      <c r="Y601" s="177"/>
      <c r="Z601" s="177"/>
      <c r="AA601" s="177"/>
      <c r="AB601" s="177"/>
      <c r="AC601" s="177"/>
    </row>
    <row r="602" spans="1:29" ht="13">
      <c r="A602" s="161"/>
      <c r="B602" s="161"/>
      <c r="C602" s="177"/>
      <c r="D602" s="177"/>
      <c r="E602" s="177"/>
      <c r="F602" s="177"/>
      <c r="G602" s="206"/>
      <c r="H602" s="177"/>
      <c r="I602" s="177"/>
      <c r="J602" s="177"/>
      <c r="K602" s="177"/>
      <c r="L602" s="178"/>
      <c r="M602" s="177"/>
      <c r="N602" s="177"/>
      <c r="O602" s="177"/>
      <c r="P602" s="177"/>
      <c r="Q602" s="177"/>
      <c r="R602" s="177"/>
      <c r="S602" s="177"/>
      <c r="T602" s="177"/>
      <c r="U602" s="177"/>
      <c r="V602" s="177"/>
      <c r="W602" s="177"/>
      <c r="X602" s="177"/>
      <c r="Y602" s="177"/>
      <c r="Z602" s="177"/>
      <c r="AA602" s="177"/>
      <c r="AB602" s="177"/>
      <c r="AC602" s="177"/>
    </row>
    <row r="603" spans="1:29" ht="13">
      <c r="A603" s="161"/>
      <c r="B603" s="161"/>
      <c r="C603" s="177"/>
      <c r="D603" s="177"/>
      <c r="E603" s="177"/>
      <c r="F603" s="177"/>
      <c r="G603" s="206"/>
      <c r="H603" s="177"/>
      <c r="I603" s="177"/>
      <c r="J603" s="177"/>
      <c r="K603" s="177"/>
      <c r="L603" s="178"/>
      <c r="M603" s="177"/>
      <c r="N603" s="177"/>
      <c r="O603" s="177"/>
      <c r="P603" s="177"/>
      <c r="Q603" s="177"/>
      <c r="R603" s="177"/>
      <c r="S603" s="177"/>
      <c r="T603" s="177"/>
      <c r="U603" s="177"/>
      <c r="V603" s="177"/>
      <c r="W603" s="177"/>
      <c r="X603" s="177"/>
      <c r="Y603" s="177"/>
      <c r="Z603" s="177"/>
      <c r="AA603" s="177"/>
      <c r="AB603" s="177"/>
      <c r="AC603" s="177"/>
    </row>
    <row r="604" spans="1:29" ht="13">
      <c r="A604" s="161"/>
      <c r="B604" s="161"/>
      <c r="C604" s="177"/>
      <c r="D604" s="177"/>
      <c r="E604" s="177"/>
      <c r="F604" s="177"/>
      <c r="G604" s="206"/>
      <c r="H604" s="177"/>
      <c r="I604" s="177"/>
      <c r="J604" s="177"/>
      <c r="K604" s="177"/>
      <c r="L604" s="178"/>
      <c r="M604" s="177"/>
      <c r="N604" s="177"/>
      <c r="O604" s="177"/>
      <c r="P604" s="177"/>
      <c r="Q604" s="177"/>
      <c r="R604" s="177"/>
      <c r="S604" s="177"/>
      <c r="T604" s="177"/>
      <c r="U604" s="177"/>
      <c r="V604" s="177"/>
      <c r="W604" s="177"/>
      <c r="X604" s="177"/>
      <c r="Y604" s="177"/>
      <c r="Z604" s="177"/>
      <c r="AA604" s="177"/>
      <c r="AB604" s="177"/>
      <c r="AC604" s="177"/>
    </row>
    <row r="605" spans="1:29" ht="13">
      <c r="A605" s="161"/>
      <c r="B605" s="161"/>
      <c r="C605" s="177"/>
      <c r="D605" s="177"/>
      <c r="E605" s="177"/>
      <c r="F605" s="177"/>
      <c r="G605" s="206"/>
      <c r="H605" s="177"/>
      <c r="I605" s="177"/>
      <c r="J605" s="177"/>
      <c r="K605" s="177"/>
      <c r="L605" s="178"/>
      <c r="M605" s="177"/>
      <c r="N605" s="177"/>
      <c r="O605" s="177"/>
      <c r="P605" s="177"/>
      <c r="Q605" s="177"/>
      <c r="R605" s="177"/>
      <c r="S605" s="177"/>
      <c r="T605" s="177"/>
      <c r="U605" s="177"/>
      <c r="V605" s="177"/>
      <c r="W605" s="177"/>
      <c r="X605" s="177"/>
      <c r="Y605" s="177"/>
      <c r="Z605" s="177"/>
      <c r="AA605" s="177"/>
      <c r="AB605" s="177"/>
      <c r="AC605" s="177"/>
    </row>
    <row r="606" spans="1:29" ht="13">
      <c r="A606" s="161"/>
      <c r="B606" s="161"/>
      <c r="C606" s="177"/>
      <c r="D606" s="177"/>
      <c r="E606" s="177"/>
      <c r="F606" s="177"/>
      <c r="G606" s="206"/>
      <c r="H606" s="177"/>
      <c r="I606" s="177"/>
      <c r="J606" s="177"/>
      <c r="K606" s="177"/>
      <c r="L606" s="178"/>
      <c r="M606" s="177"/>
      <c r="N606" s="177"/>
      <c r="O606" s="177"/>
      <c r="P606" s="177"/>
      <c r="Q606" s="177"/>
      <c r="R606" s="177"/>
      <c r="S606" s="177"/>
      <c r="T606" s="177"/>
      <c r="U606" s="177"/>
      <c r="V606" s="177"/>
      <c r="W606" s="177"/>
      <c r="X606" s="177"/>
      <c r="Y606" s="177"/>
      <c r="Z606" s="177"/>
      <c r="AA606" s="177"/>
      <c r="AB606" s="177"/>
      <c r="AC606" s="177"/>
    </row>
    <row r="607" spans="1:29" ht="13">
      <c r="A607" s="161"/>
      <c r="B607" s="161"/>
      <c r="C607" s="177"/>
      <c r="D607" s="177"/>
      <c r="E607" s="177"/>
      <c r="F607" s="177"/>
      <c r="G607" s="206"/>
      <c r="H607" s="177"/>
      <c r="I607" s="177"/>
      <c r="J607" s="177"/>
      <c r="K607" s="177"/>
      <c r="L607" s="178"/>
      <c r="M607" s="177"/>
      <c r="N607" s="177"/>
      <c r="O607" s="177"/>
      <c r="P607" s="177"/>
      <c r="Q607" s="177"/>
      <c r="R607" s="177"/>
      <c r="S607" s="177"/>
      <c r="T607" s="177"/>
      <c r="U607" s="177"/>
      <c r="V607" s="177"/>
      <c r="W607" s="177"/>
      <c r="X607" s="177"/>
      <c r="Y607" s="177"/>
      <c r="Z607" s="177"/>
      <c r="AA607" s="177"/>
      <c r="AB607" s="177"/>
      <c r="AC607" s="177"/>
    </row>
    <row r="608" spans="1:29" ht="13">
      <c r="A608" s="161"/>
      <c r="B608" s="161"/>
      <c r="C608" s="177"/>
      <c r="D608" s="177"/>
      <c r="E608" s="177"/>
      <c r="F608" s="177"/>
      <c r="G608" s="206"/>
      <c r="H608" s="177"/>
      <c r="I608" s="177"/>
      <c r="J608" s="177"/>
      <c r="K608" s="177"/>
      <c r="L608" s="178"/>
      <c r="M608" s="177"/>
      <c r="N608" s="177"/>
      <c r="O608" s="177"/>
      <c r="P608" s="177"/>
      <c r="Q608" s="177"/>
      <c r="R608" s="177"/>
      <c r="S608" s="177"/>
      <c r="T608" s="177"/>
      <c r="U608" s="177"/>
      <c r="V608" s="177"/>
      <c r="W608" s="177"/>
      <c r="X608" s="177"/>
      <c r="Y608" s="177"/>
      <c r="Z608" s="177"/>
      <c r="AA608" s="177"/>
      <c r="AB608" s="177"/>
      <c r="AC608" s="177"/>
    </row>
    <row r="609" spans="1:29" ht="13">
      <c r="A609" s="161"/>
      <c r="B609" s="161"/>
      <c r="C609" s="177"/>
      <c r="D609" s="177"/>
      <c r="E609" s="177"/>
      <c r="F609" s="177"/>
      <c r="G609" s="206"/>
      <c r="H609" s="177"/>
      <c r="I609" s="177"/>
      <c r="J609" s="177"/>
      <c r="K609" s="177"/>
      <c r="L609" s="178"/>
      <c r="M609" s="177"/>
      <c r="N609" s="177"/>
      <c r="O609" s="177"/>
      <c r="P609" s="177"/>
      <c r="Q609" s="177"/>
      <c r="R609" s="177"/>
      <c r="S609" s="177"/>
      <c r="T609" s="177"/>
      <c r="U609" s="177"/>
      <c r="V609" s="177"/>
      <c r="W609" s="177"/>
      <c r="X609" s="177"/>
      <c r="Y609" s="177"/>
      <c r="Z609" s="177"/>
      <c r="AA609" s="177"/>
      <c r="AB609" s="177"/>
      <c r="AC609" s="177"/>
    </row>
    <row r="610" spans="1:29" ht="13">
      <c r="A610" s="161"/>
      <c r="B610" s="161"/>
      <c r="C610" s="177"/>
      <c r="D610" s="177"/>
      <c r="E610" s="177"/>
      <c r="F610" s="177"/>
      <c r="G610" s="206"/>
      <c r="H610" s="177"/>
      <c r="I610" s="177"/>
      <c r="J610" s="177"/>
      <c r="K610" s="177"/>
      <c r="L610" s="178"/>
      <c r="M610" s="177"/>
      <c r="N610" s="177"/>
      <c r="O610" s="177"/>
      <c r="P610" s="177"/>
      <c r="Q610" s="177"/>
      <c r="R610" s="177"/>
      <c r="S610" s="177"/>
      <c r="T610" s="177"/>
      <c r="U610" s="177"/>
      <c r="V610" s="177"/>
      <c r="W610" s="177"/>
      <c r="X610" s="177"/>
      <c r="Y610" s="177"/>
      <c r="Z610" s="177"/>
      <c r="AA610" s="177"/>
      <c r="AB610" s="177"/>
      <c r="AC610" s="177"/>
    </row>
    <row r="611" spans="1:29" ht="13">
      <c r="A611" s="161"/>
      <c r="B611" s="161"/>
      <c r="C611" s="177"/>
      <c r="D611" s="177"/>
      <c r="E611" s="177"/>
      <c r="F611" s="177"/>
      <c r="G611" s="206"/>
      <c r="H611" s="177"/>
      <c r="I611" s="177"/>
      <c r="J611" s="177"/>
      <c r="K611" s="177"/>
      <c r="L611" s="178"/>
      <c r="M611" s="177"/>
      <c r="N611" s="177"/>
      <c r="O611" s="177"/>
      <c r="P611" s="177"/>
      <c r="Q611" s="177"/>
      <c r="R611" s="177"/>
      <c r="S611" s="177"/>
      <c r="T611" s="177"/>
      <c r="U611" s="177"/>
      <c r="V611" s="177"/>
      <c r="W611" s="177"/>
      <c r="X611" s="177"/>
      <c r="Y611" s="177"/>
      <c r="Z611" s="177"/>
      <c r="AA611" s="177"/>
      <c r="AB611" s="177"/>
      <c r="AC611" s="177"/>
    </row>
    <row r="612" spans="1:29" ht="13">
      <c r="A612" s="161"/>
      <c r="B612" s="161"/>
      <c r="C612" s="177"/>
      <c r="D612" s="177"/>
      <c r="E612" s="177"/>
      <c r="F612" s="177"/>
      <c r="G612" s="206"/>
      <c r="H612" s="177"/>
      <c r="I612" s="177"/>
      <c r="J612" s="177"/>
      <c r="K612" s="177"/>
      <c r="L612" s="178"/>
      <c r="M612" s="177"/>
      <c r="N612" s="177"/>
      <c r="O612" s="177"/>
      <c r="P612" s="177"/>
      <c r="Q612" s="177"/>
      <c r="R612" s="177"/>
      <c r="S612" s="177"/>
      <c r="T612" s="177"/>
      <c r="U612" s="177"/>
      <c r="V612" s="177"/>
      <c r="W612" s="177"/>
      <c r="X612" s="177"/>
      <c r="Y612" s="177"/>
      <c r="Z612" s="177"/>
      <c r="AA612" s="177"/>
      <c r="AB612" s="177"/>
      <c r="AC612" s="177"/>
    </row>
    <row r="613" spans="1:29" ht="13">
      <c r="A613" s="161"/>
      <c r="B613" s="161"/>
      <c r="C613" s="177"/>
      <c r="D613" s="177"/>
      <c r="E613" s="177"/>
      <c r="F613" s="177"/>
      <c r="G613" s="206"/>
      <c r="H613" s="177"/>
      <c r="I613" s="177"/>
      <c r="J613" s="177"/>
      <c r="K613" s="177"/>
      <c r="L613" s="178"/>
      <c r="M613" s="177"/>
      <c r="N613" s="177"/>
      <c r="O613" s="177"/>
      <c r="P613" s="177"/>
      <c r="Q613" s="177"/>
      <c r="R613" s="177"/>
      <c r="S613" s="177"/>
      <c r="T613" s="177"/>
      <c r="U613" s="177"/>
      <c r="V613" s="177"/>
      <c r="W613" s="177"/>
      <c r="X613" s="177"/>
      <c r="Y613" s="177"/>
      <c r="Z613" s="177"/>
      <c r="AA613" s="177"/>
      <c r="AB613" s="177"/>
      <c r="AC613" s="177"/>
    </row>
    <row r="614" spans="1:29" ht="13">
      <c r="A614" s="161"/>
      <c r="B614" s="161"/>
      <c r="C614" s="177"/>
      <c r="D614" s="177"/>
      <c r="E614" s="177"/>
      <c r="F614" s="177"/>
      <c r="G614" s="206"/>
      <c r="H614" s="177"/>
      <c r="I614" s="177"/>
      <c r="J614" s="177"/>
      <c r="K614" s="177"/>
      <c r="L614" s="178"/>
      <c r="M614" s="177"/>
      <c r="N614" s="177"/>
      <c r="O614" s="177"/>
      <c r="P614" s="177"/>
      <c r="Q614" s="177"/>
      <c r="R614" s="177"/>
      <c r="S614" s="177"/>
      <c r="T614" s="177"/>
      <c r="U614" s="177"/>
      <c r="V614" s="177"/>
      <c r="W614" s="177"/>
      <c r="X614" s="177"/>
      <c r="Y614" s="177"/>
      <c r="Z614" s="177"/>
      <c r="AA614" s="177"/>
      <c r="AB614" s="177"/>
      <c r="AC614" s="177"/>
    </row>
    <row r="615" spans="1:29" ht="13">
      <c r="A615" s="161"/>
      <c r="B615" s="161"/>
      <c r="C615" s="177"/>
      <c r="D615" s="177"/>
      <c r="E615" s="177"/>
      <c r="F615" s="177"/>
      <c r="G615" s="206"/>
      <c r="H615" s="177"/>
      <c r="I615" s="177"/>
      <c r="J615" s="177"/>
      <c r="K615" s="177"/>
      <c r="L615" s="178"/>
      <c r="M615" s="177"/>
      <c r="N615" s="177"/>
      <c r="O615" s="177"/>
      <c r="P615" s="177"/>
      <c r="Q615" s="177"/>
      <c r="R615" s="177"/>
      <c r="S615" s="177"/>
      <c r="T615" s="177"/>
      <c r="U615" s="177"/>
      <c r="V615" s="177"/>
      <c r="W615" s="177"/>
      <c r="X615" s="177"/>
      <c r="Y615" s="177"/>
      <c r="Z615" s="177"/>
      <c r="AA615" s="177"/>
      <c r="AB615" s="177"/>
      <c r="AC615" s="177"/>
    </row>
    <row r="616" spans="1:29" ht="13">
      <c r="A616" s="161"/>
      <c r="B616" s="161"/>
      <c r="C616" s="177"/>
      <c r="D616" s="177"/>
      <c r="E616" s="177"/>
      <c r="F616" s="177"/>
      <c r="G616" s="206"/>
      <c r="H616" s="177"/>
      <c r="I616" s="177"/>
      <c r="J616" s="177"/>
      <c r="K616" s="177"/>
      <c r="L616" s="178"/>
      <c r="M616" s="177"/>
      <c r="N616" s="177"/>
      <c r="O616" s="177"/>
      <c r="P616" s="177"/>
      <c r="Q616" s="177"/>
      <c r="R616" s="177"/>
      <c r="S616" s="177"/>
      <c r="T616" s="177"/>
      <c r="U616" s="177"/>
      <c r="V616" s="177"/>
      <c r="W616" s="177"/>
      <c r="X616" s="177"/>
      <c r="Y616" s="177"/>
      <c r="Z616" s="177"/>
      <c r="AA616" s="177"/>
      <c r="AB616" s="177"/>
      <c r="AC616" s="177"/>
    </row>
    <row r="617" spans="1:29" ht="13">
      <c r="A617" s="161"/>
      <c r="B617" s="161"/>
      <c r="C617" s="177"/>
      <c r="D617" s="177"/>
      <c r="E617" s="177"/>
      <c r="F617" s="177"/>
      <c r="G617" s="206"/>
      <c r="H617" s="177"/>
      <c r="I617" s="177"/>
      <c r="J617" s="177"/>
      <c r="K617" s="177"/>
      <c r="L617" s="178"/>
      <c r="M617" s="177"/>
      <c r="N617" s="177"/>
      <c r="O617" s="177"/>
      <c r="P617" s="177"/>
      <c r="Q617" s="177"/>
      <c r="R617" s="177"/>
      <c r="S617" s="177"/>
      <c r="T617" s="177"/>
      <c r="U617" s="177"/>
      <c r="V617" s="177"/>
      <c r="W617" s="177"/>
      <c r="X617" s="177"/>
      <c r="Y617" s="177"/>
      <c r="Z617" s="177"/>
      <c r="AA617" s="177"/>
      <c r="AB617" s="177"/>
      <c r="AC617" s="177"/>
    </row>
    <row r="618" spans="1:29" ht="13">
      <c r="A618" s="161"/>
      <c r="B618" s="161"/>
      <c r="C618" s="177"/>
      <c r="D618" s="177"/>
      <c r="E618" s="177"/>
      <c r="F618" s="177"/>
      <c r="G618" s="206"/>
      <c r="H618" s="177"/>
      <c r="I618" s="177"/>
      <c r="J618" s="177"/>
      <c r="K618" s="177"/>
      <c r="L618" s="178"/>
      <c r="M618" s="177"/>
      <c r="N618" s="177"/>
      <c r="O618" s="177"/>
      <c r="P618" s="177"/>
      <c r="Q618" s="177"/>
      <c r="R618" s="177"/>
      <c r="S618" s="177"/>
      <c r="T618" s="177"/>
      <c r="U618" s="177"/>
      <c r="V618" s="177"/>
      <c r="W618" s="177"/>
      <c r="X618" s="177"/>
      <c r="Y618" s="177"/>
      <c r="Z618" s="177"/>
      <c r="AA618" s="177"/>
      <c r="AB618" s="177"/>
      <c r="AC618" s="177"/>
    </row>
    <row r="619" spans="1:29" ht="13">
      <c r="A619" s="161"/>
      <c r="B619" s="161"/>
      <c r="C619" s="177"/>
      <c r="D619" s="177"/>
      <c r="E619" s="177"/>
      <c r="F619" s="177"/>
      <c r="G619" s="206"/>
      <c r="H619" s="177"/>
      <c r="I619" s="177"/>
      <c r="J619" s="177"/>
      <c r="K619" s="177"/>
      <c r="L619" s="178"/>
      <c r="M619" s="177"/>
      <c r="N619" s="177"/>
      <c r="O619" s="177"/>
      <c r="P619" s="177"/>
      <c r="Q619" s="177"/>
      <c r="R619" s="177"/>
      <c r="S619" s="177"/>
      <c r="T619" s="177"/>
      <c r="U619" s="177"/>
      <c r="V619" s="177"/>
      <c r="W619" s="177"/>
      <c r="X619" s="177"/>
      <c r="Y619" s="177"/>
      <c r="Z619" s="177"/>
      <c r="AA619" s="177"/>
      <c r="AB619" s="177"/>
      <c r="AC619" s="177"/>
    </row>
    <row r="620" spans="1:29" ht="13">
      <c r="A620" s="161"/>
      <c r="B620" s="161"/>
      <c r="C620" s="177"/>
      <c r="D620" s="177"/>
      <c r="E620" s="177"/>
      <c r="F620" s="177"/>
      <c r="G620" s="206"/>
      <c r="H620" s="177"/>
      <c r="I620" s="177"/>
      <c r="J620" s="177"/>
      <c r="K620" s="177"/>
      <c r="L620" s="178"/>
      <c r="M620" s="177"/>
      <c r="N620" s="177"/>
      <c r="O620" s="177"/>
      <c r="P620" s="177"/>
      <c r="Q620" s="177"/>
      <c r="R620" s="177"/>
      <c r="S620" s="177"/>
      <c r="T620" s="177"/>
      <c r="U620" s="177"/>
      <c r="V620" s="177"/>
      <c r="W620" s="177"/>
      <c r="X620" s="177"/>
      <c r="Y620" s="177"/>
      <c r="Z620" s="177"/>
      <c r="AA620" s="177"/>
      <c r="AB620" s="177"/>
      <c r="AC620" s="177"/>
    </row>
    <row r="621" spans="1:29" ht="13">
      <c r="A621" s="161"/>
      <c r="B621" s="161"/>
      <c r="C621" s="177"/>
      <c r="D621" s="177"/>
      <c r="E621" s="177"/>
      <c r="F621" s="177"/>
      <c r="G621" s="206"/>
      <c r="H621" s="177"/>
      <c r="I621" s="177"/>
      <c r="J621" s="177"/>
      <c r="K621" s="177"/>
      <c r="L621" s="178"/>
      <c r="M621" s="177"/>
      <c r="N621" s="177"/>
      <c r="O621" s="177"/>
      <c r="P621" s="177"/>
      <c r="Q621" s="177"/>
      <c r="R621" s="177"/>
      <c r="S621" s="177"/>
      <c r="T621" s="177"/>
      <c r="U621" s="177"/>
      <c r="V621" s="177"/>
      <c r="W621" s="177"/>
      <c r="X621" s="177"/>
      <c r="Y621" s="177"/>
      <c r="Z621" s="177"/>
      <c r="AA621" s="177"/>
      <c r="AB621" s="177"/>
      <c r="AC621" s="177"/>
    </row>
    <row r="622" spans="1:29" ht="13">
      <c r="A622" s="161"/>
      <c r="B622" s="161"/>
      <c r="C622" s="177"/>
      <c r="D622" s="177"/>
      <c r="E622" s="177"/>
      <c r="F622" s="177"/>
      <c r="G622" s="206"/>
      <c r="H622" s="177"/>
      <c r="I622" s="177"/>
      <c r="J622" s="177"/>
      <c r="K622" s="177"/>
      <c r="L622" s="178"/>
      <c r="M622" s="177"/>
      <c r="N622" s="177"/>
      <c r="O622" s="177"/>
      <c r="P622" s="177"/>
      <c r="Q622" s="177"/>
      <c r="R622" s="177"/>
      <c r="S622" s="177"/>
      <c r="T622" s="177"/>
      <c r="U622" s="177"/>
      <c r="V622" s="177"/>
      <c r="W622" s="177"/>
      <c r="X622" s="177"/>
      <c r="Y622" s="177"/>
      <c r="Z622" s="177"/>
      <c r="AA622" s="177"/>
      <c r="AB622" s="177"/>
      <c r="AC622" s="177"/>
    </row>
    <row r="623" spans="1:29" ht="13">
      <c r="A623" s="161"/>
      <c r="B623" s="161"/>
      <c r="C623" s="177"/>
      <c r="D623" s="177"/>
      <c r="E623" s="177"/>
      <c r="F623" s="177"/>
      <c r="G623" s="206"/>
      <c r="H623" s="177"/>
      <c r="I623" s="177"/>
      <c r="J623" s="177"/>
      <c r="K623" s="177"/>
      <c r="L623" s="178"/>
      <c r="M623" s="177"/>
      <c r="N623" s="177"/>
      <c r="O623" s="177"/>
      <c r="P623" s="177"/>
      <c r="Q623" s="177"/>
      <c r="R623" s="177"/>
      <c r="S623" s="177"/>
      <c r="T623" s="177"/>
      <c r="U623" s="177"/>
      <c r="V623" s="177"/>
      <c r="W623" s="177"/>
      <c r="X623" s="177"/>
      <c r="Y623" s="177"/>
      <c r="Z623" s="177"/>
      <c r="AA623" s="177"/>
      <c r="AB623" s="177"/>
      <c r="AC623" s="177"/>
    </row>
    <row r="624" spans="1:29" ht="13">
      <c r="A624" s="161"/>
      <c r="B624" s="161"/>
      <c r="C624" s="177"/>
      <c r="D624" s="177"/>
      <c r="E624" s="177"/>
      <c r="F624" s="177"/>
      <c r="G624" s="206"/>
      <c r="H624" s="177"/>
      <c r="I624" s="177"/>
      <c r="J624" s="177"/>
      <c r="K624" s="177"/>
      <c r="L624" s="178"/>
      <c r="M624" s="177"/>
      <c r="N624" s="177"/>
      <c r="O624" s="177"/>
      <c r="P624" s="177"/>
      <c r="Q624" s="177"/>
      <c r="R624" s="177"/>
      <c r="S624" s="177"/>
      <c r="T624" s="177"/>
      <c r="U624" s="177"/>
      <c r="V624" s="177"/>
      <c r="W624" s="177"/>
      <c r="X624" s="177"/>
      <c r="Y624" s="177"/>
      <c r="Z624" s="177"/>
      <c r="AA624" s="177"/>
      <c r="AB624" s="177"/>
      <c r="AC624" s="177"/>
    </row>
    <row r="625" spans="1:29" ht="13">
      <c r="A625" s="161"/>
      <c r="B625" s="161"/>
      <c r="C625" s="177"/>
      <c r="D625" s="177"/>
      <c r="E625" s="177"/>
      <c r="F625" s="177"/>
      <c r="G625" s="206"/>
      <c r="H625" s="177"/>
      <c r="I625" s="177"/>
      <c r="J625" s="177"/>
      <c r="K625" s="177"/>
      <c r="L625" s="178"/>
      <c r="M625" s="177"/>
      <c r="N625" s="177"/>
      <c r="O625" s="177"/>
      <c r="P625" s="177"/>
      <c r="Q625" s="177"/>
      <c r="R625" s="177"/>
      <c r="S625" s="177"/>
      <c r="T625" s="177"/>
      <c r="U625" s="177"/>
      <c r="V625" s="177"/>
      <c r="W625" s="177"/>
      <c r="X625" s="177"/>
      <c r="Y625" s="177"/>
      <c r="Z625" s="177"/>
      <c r="AA625" s="177"/>
      <c r="AB625" s="177"/>
      <c r="AC625" s="177"/>
    </row>
    <row r="626" spans="1:29" ht="13">
      <c r="A626" s="161"/>
      <c r="B626" s="161"/>
      <c r="C626" s="177"/>
      <c r="D626" s="177"/>
      <c r="E626" s="177"/>
      <c r="F626" s="177"/>
      <c r="G626" s="206"/>
      <c r="H626" s="177"/>
      <c r="I626" s="177"/>
      <c r="J626" s="177"/>
      <c r="K626" s="177"/>
      <c r="L626" s="178"/>
      <c r="M626" s="177"/>
      <c r="N626" s="177"/>
      <c r="O626" s="177"/>
      <c r="P626" s="177"/>
      <c r="Q626" s="177"/>
      <c r="R626" s="177"/>
      <c r="S626" s="177"/>
      <c r="T626" s="177"/>
      <c r="U626" s="177"/>
      <c r="V626" s="177"/>
      <c r="W626" s="177"/>
      <c r="X626" s="177"/>
      <c r="Y626" s="177"/>
      <c r="Z626" s="177"/>
      <c r="AA626" s="177"/>
      <c r="AB626" s="177"/>
      <c r="AC626" s="177"/>
    </row>
    <row r="627" spans="1:29" ht="13">
      <c r="A627" s="161"/>
      <c r="B627" s="161"/>
      <c r="C627" s="177"/>
      <c r="D627" s="177"/>
      <c r="E627" s="177"/>
      <c r="F627" s="177"/>
      <c r="G627" s="206"/>
      <c r="H627" s="177"/>
      <c r="I627" s="177"/>
      <c r="J627" s="177"/>
      <c r="K627" s="177"/>
      <c r="L627" s="178"/>
      <c r="M627" s="177"/>
      <c r="N627" s="177"/>
      <c r="O627" s="177"/>
      <c r="P627" s="177"/>
      <c r="Q627" s="177"/>
      <c r="R627" s="177"/>
      <c r="S627" s="177"/>
      <c r="T627" s="177"/>
      <c r="U627" s="177"/>
      <c r="V627" s="177"/>
      <c r="W627" s="177"/>
      <c r="X627" s="177"/>
      <c r="Y627" s="177"/>
      <c r="Z627" s="177"/>
      <c r="AA627" s="177"/>
      <c r="AB627" s="177"/>
      <c r="AC627" s="177"/>
    </row>
    <row r="628" spans="1:29" ht="13">
      <c r="A628" s="161"/>
      <c r="B628" s="161"/>
      <c r="C628" s="177"/>
      <c r="D628" s="177"/>
      <c r="E628" s="177"/>
      <c r="F628" s="177"/>
      <c r="G628" s="206"/>
      <c r="H628" s="177"/>
      <c r="I628" s="177"/>
      <c r="J628" s="177"/>
      <c r="K628" s="177"/>
      <c r="L628" s="178"/>
      <c r="M628" s="177"/>
      <c r="N628" s="177"/>
      <c r="O628" s="177"/>
      <c r="P628" s="177"/>
      <c r="Q628" s="177"/>
      <c r="R628" s="177"/>
      <c r="S628" s="177"/>
      <c r="T628" s="177"/>
      <c r="U628" s="177"/>
      <c r="V628" s="177"/>
      <c r="W628" s="177"/>
      <c r="X628" s="177"/>
      <c r="Y628" s="177"/>
      <c r="Z628" s="177"/>
      <c r="AA628" s="177"/>
      <c r="AB628" s="177"/>
      <c r="AC628" s="177"/>
    </row>
    <row r="629" spans="1:29" ht="13">
      <c r="A629" s="161"/>
      <c r="B629" s="161"/>
      <c r="C629" s="177"/>
      <c r="D629" s="177"/>
      <c r="E629" s="177"/>
      <c r="F629" s="177"/>
      <c r="G629" s="206"/>
      <c r="H629" s="177"/>
      <c r="I629" s="177"/>
      <c r="J629" s="177"/>
      <c r="K629" s="177"/>
      <c r="L629" s="178"/>
      <c r="M629" s="177"/>
      <c r="N629" s="177"/>
      <c r="O629" s="177"/>
      <c r="P629" s="177"/>
      <c r="Q629" s="177"/>
      <c r="R629" s="177"/>
      <c r="S629" s="177"/>
      <c r="T629" s="177"/>
      <c r="U629" s="177"/>
      <c r="V629" s="177"/>
      <c r="W629" s="177"/>
      <c r="X629" s="177"/>
      <c r="Y629" s="177"/>
      <c r="Z629" s="177"/>
      <c r="AA629" s="177"/>
      <c r="AB629" s="177"/>
      <c r="AC629" s="177"/>
    </row>
    <row r="630" spans="1:29" ht="13">
      <c r="A630" s="161"/>
      <c r="B630" s="161"/>
      <c r="C630" s="177"/>
      <c r="D630" s="177"/>
      <c r="E630" s="177"/>
      <c r="F630" s="177"/>
      <c r="G630" s="206"/>
      <c r="H630" s="177"/>
      <c r="I630" s="177"/>
      <c r="J630" s="177"/>
      <c r="K630" s="177"/>
      <c r="L630" s="178"/>
      <c r="M630" s="177"/>
      <c r="N630" s="177"/>
      <c r="O630" s="177"/>
      <c r="P630" s="177"/>
      <c r="Q630" s="177"/>
      <c r="R630" s="177"/>
      <c r="S630" s="177"/>
      <c r="T630" s="177"/>
      <c r="U630" s="177"/>
      <c r="V630" s="177"/>
      <c r="W630" s="177"/>
      <c r="X630" s="177"/>
      <c r="Y630" s="177"/>
      <c r="Z630" s="177"/>
      <c r="AA630" s="177"/>
      <c r="AB630" s="177"/>
      <c r="AC630" s="177"/>
    </row>
    <row r="631" spans="1:29" ht="13">
      <c r="A631" s="161"/>
      <c r="B631" s="161"/>
      <c r="C631" s="177"/>
      <c r="D631" s="177"/>
      <c r="E631" s="177"/>
      <c r="F631" s="177"/>
      <c r="G631" s="206"/>
      <c r="H631" s="177"/>
      <c r="I631" s="177"/>
      <c r="J631" s="177"/>
      <c r="K631" s="177"/>
      <c r="L631" s="178"/>
      <c r="M631" s="177"/>
      <c r="N631" s="177"/>
      <c r="O631" s="177"/>
      <c r="P631" s="177"/>
      <c r="Q631" s="177"/>
      <c r="R631" s="177"/>
      <c r="S631" s="177"/>
      <c r="T631" s="177"/>
      <c r="U631" s="177"/>
      <c r="V631" s="177"/>
      <c r="W631" s="177"/>
      <c r="X631" s="177"/>
      <c r="Y631" s="177"/>
      <c r="Z631" s="177"/>
      <c r="AA631" s="177"/>
      <c r="AB631" s="177"/>
      <c r="AC631" s="177"/>
    </row>
    <row r="632" spans="1:29" ht="13">
      <c r="A632" s="161"/>
      <c r="B632" s="161"/>
      <c r="C632" s="177"/>
      <c r="D632" s="177"/>
      <c r="E632" s="177"/>
      <c r="F632" s="177"/>
      <c r="G632" s="206"/>
      <c r="H632" s="177"/>
      <c r="I632" s="177"/>
      <c r="J632" s="177"/>
      <c r="K632" s="177"/>
      <c r="L632" s="178"/>
      <c r="M632" s="177"/>
      <c r="N632" s="177"/>
      <c r="O632" s="177"/>
      <c r="P632" s="177"/>
      <c r="Q632" s="177"/>
      <c r="R632" s="177"/>
      <c r="S632" s="177"/>
      <c r="T632" s="177"/>
      <c r="U632" s="177"/>
      <c r="V632" s="177"/>
      <c r="W632" s="177"/>
      <c r="X632" s="177"/>
      <c r="Y632" s="177"/>
      <c r="Z632" s="177"/>
      <c r="AA632" s="177"/>
      <c r="AB632" s="177"/>
      <c r="AC632" s="177"/>
    </row>
    <row r="633" spans="1:29" ht="13">
      <c r="A633" s="161"/>
      <c r="B633" s="161"/>
      <c r="C633" s="177"/>
      <c r="D633" s="177"/>
      <c r="E633" s="177"/>
      <c r="F633" s="177"/>
      <c r="G633" s="206"/>
      <c r="H633" s="177"/>
      <c r="I633" s="177"/>
      <c r="J633" s="177"/>
      <c r="K633" s="177"/>
      <c r="L633" s="178"/>
      <c r="M633" s="177"/>
      <c r="N633" s="177"/>
      <c r="O633" s="177"/>
      <c r="P633" s="177"/>
      <c r="Q633" s="177"/>
      <c r="R633" s="177"/>
      <c r="S633" s="177"/>
      <c r="T633" s="177"/>
      <c r="U633" s="177"/>
      <c r="V633" s="177"/>
      <c r="W633" s="177"/>
      <c r="X633" s="177"/>
      <c r="Y633" s="177"/>
      <c r="Z633" s="177"/>
      <c r="AA633" s="177"/>
      <c r="AB633" s="177"/>
      <c r="AC633" s="177"/>
    </row>
    <row r="634" spans="1:29" ht="13">
      <c r="A634" s="161"/>
      <c r="B634" s="161"/>
      <c r="C634" s="177"/>
      <c r="D634" s="177"/>
      <c r="E634" s="177"/>
      <c r="F634" s="177"/>
      <c r="G634" s="206"/>
      <c r="H634" s="177"/>
      <c r="I634" s="177"/>
      <c r="J634" s="177"/>
      <c r="K634" s="177"/>
      <c r="L634" s="178"/>
      <c r="M634" s="177"/>
      <c r="N634" s="177"/>
      <c r="O634" s="177"/>
      <c r="P634" s="177"/>
      <c r="Q634" s="177"/>
      <c r="R634" s="177"/>
      <c r="S634" s="177"/>
      <c r="T634" s="177"/>
      <c r="U634" s="177"/>
      <c r="V634" s="177"/>
      <c r="W634" s="177"/>
      <c r="X634" s="177"/>
      <c r="Y634" s="177"/>
      <c r="Z634" s="177"/>
      <c r="AA634" s="177"/>
      <c r="AB634" s="177"/>
      <c r="AC634" s="177"/>
    </row>
    <row r="635" spans="1:29" ht="13">
      <c r="A635" s="161"/>
      <c r="B635" s="161"/>
      <c r="C635" s="177"/>
      <c r="D635" s="177"/>
      <c r="E635" s="177"/>
      <c r="F635" s="177"/>
      <c r="G635" s="206"/>
      <c r="H635" s="177"/>
      <c r="I635" s="177"/>
      <c r="J635" s="177"/>
      <c r="K635" s="177"/>
      <c r="L635" s="178"/>
      <c r="M635" s="177"/>
      <c r="N635" s="177"/>
      <c r="O635" s="177"/>
      <c r="P635" s="177"/>
      <c r="Q635" s="177"/>
      <c r="R635" s="177"/>
      <c r="S635" s="177"/>
      <c r="T635" s="177"/>
      <c r="U635" s="177"/>
      <c r="V635" s="177"/>
      <c r="W635" s="177"/>
      <c r="X635" s="177"/>
      <c r="Y635" s="177"/>
      <c r="Z635" s="177"/>
      <c r="AA635" s="177"/>
      <c r="AB635" s="177"/>
      <c r="AC635" s="177"/>
    </row>
    <row r="636" spans="1:29" ht="13">
      <c r="A636" s="161"/>
      <c r="B636" s="161"/>
      <c r="C636" s="177"/>
      <c r="D636" s="177"/>
      <c r="E636" s="177"/>
      <c r="F636" s="177"/>
      <c r="G636" s="206"/>
      <c r="H636" s="177"/>
      <c r="I636" s="177"/>
      <c r="J636" s="177"/>
      <c r="K636" s="177"/>
      <c r="L636" s="178"/>
      <c r="M636" s="177"/>
      <c r="N636" s="177"/>
      <c r="O636" s="177"/>
      <c r="P636" s="177"/>
      <c r="Q636" s="177"/>
      <c r="R636" s="177"/>
      <c r="S636" s="177"/>
      <c r="T636" s="177"/>
      <c r="U636" s="177"/>
      <c r="V636" s="177"/>
      <c r="W636" s="177"/>
      <c r="X636" s="177"/>
      <c r="Y636" s="177"/>
      <c r="Z636" s="177"/>
      <c r="AA636" s="177"/>
      <c r="AB636" s="177"/>
      <c r="AC636" s="177"/>
    </row>
    <row r="637" spans="1:29" ht="13">
      <c r="A637" s="161"/>
      <c r="B637" s="161"/>
      <c r="C637" s="177"/>
      <c r="D637" s="177"/>
      <c r="E637" s="177"/>
      <c r="F637" s="177"/>
      <c r="G637" s="206"/>
      <c r="H637" s="177"/>
      <c r="I637" s="177"/>
      <c r="J637" s="177"/>
      <c r="K637" s="177"/>
      <c r="L637" s="178"/>
      <c r="M637" s="177"/>
      <c r="N637" s="177"/>
      <c r="O637" s="177"/>
      <c r="P637" s="177"/>
      <c r="Q637" s="177"/>
      <c r="R637" s="177"/>
      <c r="S637" s="177"/>
      <c r="T637" s="177"/>
      <c r="U637" s="177"/>
      <c r="V637" s="177"/>
      <c r="W637" s="177"/>
      <c r="X637" s="177"/>
      <c r="Y637" s="177"/>
      <c r="Z637" s="177"/>
      <c r="AA637" s="177"/>
      <c r="AB637" s="177"/>
      <c r="AC637" s="177"/>
    </row>
    <row r="638" spans="1:29" ht="13">
      <c r="A638" s="161"/>
      <c r="B638" s="161"/>
      <c r="C638" s="177"/>
      <c r="D638" s="177"/>
      <c r="E638" s="177"/>
      <c r="F638" s="177"/>
      <c r="G638" s="206"/>
      <c r="H638" s="177"/>
      <c r="I638" s="177"/>
      <c r="J638" s="177"/>
      <c r="K638" s="177"/>
      <c r="L638" s="178"/>
      <c r="M638" s="177"/>
      <c r="N638" s="177"/>
      <c r="O638" s="177"/>
      <c r="P638" s="177"/>
      <c r="Q638" s="177"/>
      <c r="R638" s="177"/>
      <c r="S638" s="177"/>
      <c r="T638" s="177"/>
      <c r="U638" s="177"/>
      <c r="V638" s="177"/>
      <c r="W638" s="177"/>
      <c r="X638" s="177"/>
      <c r="Y638" s="177"/>
      <c r="Z638" s="177"/>
      <c r="AA638" s="177"/>
      <c r="AB638" s="177"/>
      <c r="AC638" s="177"/>
    </row>
    <row r="639" spans="1:29" ht="13">
      <c r="A639" s="161"/>
      <c r="B639" s="161"/>
      <c r="C639" s="177"/>
      <c r="D639" s="177"/>
      <c r="E639" s="177"/>
      <c r="F639" s="177"/>
      <c r="G639" s="206"/>
      <c r="H639" s="177"/>
      <c r="I639" s="177"/>
      <c r="J639" s="177"/>
      <c r="K639" s="177"/>
      <c r="L639" s="178"/>
      <c r="M639" s="177"/>
      <c r="N639" s="177"/>
      <c r="O639" s="177"/>
      <c r="P639" s="177"/>
      <c r="Q639" s="177"/>
      <c r="R639" s="177"/>
      <c r="S639" s="177"/>
      <c r="T639" s="177"/>
      <c r="U639" s="177"/>
      <c r="V639" s="177"/>
      <c r="W639" s="177"/>
      <c r="X639" s="177"/>
      <c r="Y639" s="177"/>
      <c r="Z639" s="177"/>
      <c r="AA639" s="177"/>
      <c r="AB639" s="177"/>
      <c r="AC639" s="177"/>
    </row>
    <row r="640" spans="1:29" ht="13">
      <c r="A640" s="161"/>
      <c r="B640" s="161"/>
      <c r="C640" s="177"/>
      <c r="D640" s="177"/>
      <c r="E640" s="177"/>
      <c r="F640" s="177"/>
      <c r="G640" s="206"/>
      <c r="H640" s="177"/>
      <c r="I640" s="177"/>
      <c r="J640" s="177"/>
      <c r="K640" s="177"/>
      <c r="L640" s="178"/>
      <c r="M640" s="177"/>
      <c r="N640" s="177"/>
      <c r="O640" s="177"/>
      <c r="P640" s="177"/>
      <c r="Q640" s="177"/>
      <c r="R640" s="177"/>
      <c r="S640" s="177"/>
      <c r="T640" s="177"/>
      <c r="U640" s="177"/>
      <c r="V640" s="177"/>
      <c r="W640" s="177"/>
      <c r="X640" s="177"/>
      <c r="Y640" s="177"/>
      <c r="Z640" s="177"/>
      <c r="AA640" s="177"/>
      <c r="AB640" s="177"/>
      <c r="AC640" s="177"/>
    </row>
    <row r="641" spans="1:29" ht="13">
      <c r="A641" s="161"/>
      <c r="B641" s="161"/>
      <c r="C641" s="177"/>
      <c r="D641" s="177"/>
      <c r="E641" s="177"/>
      <c r="F641" s="177"/>
      <c r="G641" s="206"/>
      <c r="H641" s="177"/>
      <c r="I641" s="177"/>
      <c r="J641" s="177"/>
      <c r="K641" s="177"/>
      <c r="L641" s="178"/>
      <c r="M641" s="177"/>
      <c r="N641" s="177"/>
      <c r="O641" s="177"/>
      <c r="P641" s="177"/>
      <c r="Q641" s="177"/>
      <c r="R641" s="177"/>
      <c r="S641" s="177"/>
      <c r="T641" s="177"/>
      <c r="U641" s="177"/>
      <c r="V641" s="177"/>
      <c r="W641" s="177"/>
      <c r="X641" s="177"/>
      <c r="Y641" s="177"/>
      <c r="Z641" s="177"/>
      <c r="AA641" s="177"/>
      <c r="AB641" s="177"/>
      <c r="AC641" s="177"/>
    </row>
    <row r="642" spans="1:29" ht="13">
      <c r="A642" s="161"/>
      <c r="B642" s="161"/>
      <c r="C642" s="177"/>
      <c r="D642" s="177"/>
      <c r="E642" s="177"/>
      <c r="F642" s="177"/>
      <c r="G642" s="206"/>
      <c r="H642" s="177"/>
      <c r="I642" s="177"/>
      <c r="J642" s="177"/>
      <c r="K642" s="177"/>
      <c r="L642" s="178"/>
      <c r="M642" s="177"/>
      <c r="N642" s="177"/>
      <c r="O642" s="177"/>
      <c r="P642" s="177"/>
      <c r="Q642" s="177"/>
      <c r="R642" s="177"/>
      <c r="S642" s="177"/>
      <c r="T642" s="177"/>
      <c r="U642" s="177"/>
      <c r="V642" s="177"/>
      <c r="W642" s="177"/>
      <c r="X642" s="177"/>
      <c r="Y642" s="177"/>
      <c r="Z642" s="177"/>
      <c r="AA642" s="177"/>
      <c r="AB642" s="177"/>
      <c r="AC642" s="177"/>
    </row>
    <row r="643" spans="1:29" ht="13">
      <c r="A643" s="161"/>
      <c r="B643" s="161"/>
      <c r="C643" s="177"/>
      <c r="D643" s="177"/>
      <c r="E643" s="177"/>
      <c r="F643" s="177"/>
      <c r="G643" s="206"/>
      <c r="H643" s="177"/>
      <c r="I643" s="177"/>
      <c r="J643" s="177"/>
      <c r="K643" s="177"/>
      <c r="L643" s="178"/>
      <c r="M643" s="177"/>
      <c r="N643" s="177"/>
      <c r="O643" s="177"/>
      <c r="P643" s="177"/>
      <c r="Q643" s="177"/>
      <c r="R643" s="177"/>
      <c r="S643" s="177"/>
      <c r="T643" s="177"/>
      <c r="U643" s="177"/>
      <c r="V643" s="177"/>
      <c r="W643" s="177"/>
      <c r="X643" s="177"/>
      <c r="Y643" s="177"/>
      <c r="Z643" s="177"/>
      <c r="AA643" s="177"/>
      <c r="AB643" s="177"/>
      <c r="AC643" s="177"/>
    </row>
    <row r="644" spans="1:29" ht="13">
      <c r="A644" s="161"/>
      <c r="B644" s="161"/>
      <c r="C644" s="177"/>
      <c r="D644" s="177"/>
      <c r="E644" s="177"/>
      <c r="F644" s="177"/>
      <c r="G644" s="206"/>
      <c r="H644" s="177"/>
      <c r="I644" s="177"/>
      <c r="J644" s="177"/>
      <c r="K644" s="177"/>
      <c r="L644" s="178"/>
      <c r="M644" s="177"/>
      <c r="N644" s="177"/>
      <c r="O644" s="177"/>
      <c r="P644" s="177"/>
      <c r="Q644" s="177"/>
      <c r="R644" s="177"/>
      <c r="S644" s="177"/>
      <c r="T644" s="177"/>
      <c r="U644" s="177"/>
      <c r="V644" s="177"/>
      <c r="W644" s="177"/>
      <c r="X644" s="177"/>
      <c r="Y644" s="177"/>
      <c r="Z644" s="177"/>
      <c r="AA644" s="177"/>
      <c r="AB644" s="177"/>
      <c r="AC644" s="177"/>
    </row>
    <row r="645" spans="1:29" ht="13">
      <c r="A645" s="161"/>
      <c r="B645" s="161"/>
      <c r="C645" s="177"/>
      <c r="D645" s="177"/>
      <c r="E645" s="177"/>
      <c r="F645" s="177"/>
      <c r="G645" s="206"/>
      <c r="H645" s="177"/>
      <c r="I645" s="177"/>
      <c r="J645" s="177"/>
      <c r="K645" s="177"/>
      <c r="L645" s="178"/>
      <c r="M645" s="177"/>
      <c r="N645" s="177"/>
      <c r="O645" s="177"/>
      <c r="P645" s="177"/>
      <c r="Q645" s="177"/>
      <c r="R645" s="177"/>
      <c r="S645" s="177"/>
      <c r="T645" s="177"/>
      <c r="U645" s="177"/>
      <c r="V645" s="177"/>
      <c r="W645" s="177"/>
      <c r="X645" s="177"/>
      <c r="Y645" s="177"/>
      <c r="Z645" s="177"/>
      <c r="AA645" s="177"/>
      <c r="AB645" s="177"/>
      <c r="AC645" s="177"/>
    </row>
    <row r="646" spans="1:29" ht="13">
      <c r="A646" s="161"/>
      <c r="B646" s="161"/>
      <c r="C646" s="177"/>
      <c r="D646" s="177"/>
      <c r="E646" s="177"/>
      <c r="F646" s="177"/>
      <c r="G646" s="206"/>
      <c r="H646" s="177"/>
      <c r="I646" s="177"/>
      <c r="J646" s="177"/>
      <c r="K646" s="177"/>
      <c r="L646" s="178"/>
      <c r="M646" s="177"/>
      <c r="N646" s="177"/>
      <c r="O646" s="177"/>
      <c r="P646" s="177"/>
      <c r="Q646" s="177"/>
      <c r="R646" s="177"/>
      <c r="S646" s="177"/>
      <c r="T646" s="177"/>
      <c r="U646" s="177"/>
      <c r="V646" s="177"/>
      <c r="W646" s="177"/>
      <c r="X646" s="177"/>
      <c r="Y646" s="177"/>
      <c r="Z646" s="177"/>
      <c r="AA646" s="177"/>
      <c r="AB646" s="177"/>
      <c r="AC646" s="177"/>
    </row>
    <row r="647" spans="1:29" ht="13">
      <c r="A647" s="161"/>
      <c r="B647" s="161"/>
      <c r="C647" s="177"/>
      <c r="D647" s="177"/>
      <c r="E647" s="177"/>
      <c r="F647" s="177"/>
      <c r="G647" s="206"/>
      <c r="H647" s="177"/>
      <c r="I647" s="177"/>
      <c r="J647" s="177"/>
      <c r="K647" s="177"/>
      <c r="L647" s="178"/>
      <c r="M647" s="177"/>
      <c r="N647" s="177"/>
      <c r="O647" s="177"/>
      <c r="P647" s="177"/>
      <c r="Q647" s="177"/>
      <c r="R647" s="177"/>
      <c r="S647" s="177"/>
      <c r="T647" s="177"/>
      <c r="U647" s="177"/>
      <c r="V647" s="177"/>
      <c r="W647" s="177"/>
      <c r="X647" s="177"/>
      <c r="Y647" s="177"/>
      <c r="Z647" s="177"/>
      <c r="AA647" s="177"/>
      <c r="AB647" s="177"/>
      <c r="AC647" s="177"/>
    </row>
    <row r="648" spans="1:29" ht="13">
      <c r="A648" s="161"/>
      <c r="B648" s="161"/>
      <c r="C648" s="177"/>
      <c r="D648" s="177"/>
      <c r="E648" s="177"/>
      <c r="F648" s="177"/>
      <c r="G648" s="206"/>
      <c r="H648" s="177"/>
      <c r="I648" s="177"/>
      <c r="J648" s="177"/>
      <c r="K648" s="177"/>
      <c r="L648" s="178"/>
      <c r="M648" s="177"/>
      <c r="N648" s="177"/>
      <c r="O648" s="177"/>
      <c r="P648" s="177"/>
      <c r="Q648" s="177"/>
      <c r="R648" s="177"/>
      <c r="S648" s="177"/>
      <c r="T648" s="177"/>
      <c r="U648" s="177"/>
      <c r="V648" s="177"/>
      <c r="W648" s="177"/>
      <c r="X648" s="177"/>
      <c r="Y648" s="177"/>
      <c r="Z648" s="177"/>
      <c r="AA648" s="177"/>
      <c r="AB648" s="177"/>
      <c r="AC648" s="177"/>
    </row>
    <row r="649" spans="1:29" ht="13">
      <c r="A649" s="161"/>
      <c r="B649" s="161"/>
      <c r="C649" s="177"/>
      <c r="D649" s="177"/>
      <c r="E649" s="177"/>
      <c r="F649" s="177"/>
      <c r="G649" s="206"/>
      <c r="H649" s="177"/>
      <c r="I649" s="177"/>
      <c r="J649" s="177"/>
      <c r="K649" s="177"/>
      <c r="L649" s="178"/>
      <c r="M649" s="177"/>
      <c r="N649" s="177"/>
      <c r="O649" s="177"/>
      <c r="P649" s="177"/>
      <c r="Q649" s="177"/>
      <c r="R649" s="177"/>
      <c r="S649" s="177"/>
      <c r="T649" s="177"/>
      <c r="U649" s="177"/>
      <c r="V649" s="177"/>
      <c r="W649" s="177"/>
      <c r="X649" s="177"/>
      <c r="Y649" s="177"/>
      <c r="Z649" s="177"/>
      <c r="AA649" s="177"/>
      <c r="AB649" s="177"/>
      <c r="AC649" s="177"/>
    </row>
    <row r="650" spans="1:29" ht="13">
      <c r="A650" s="161"/>
      <c r="B650" s="161"/>
      <c r="C650" s="177"/>
      <c r="D650" s="177"/>
      <c r="E650" s="177"/>
      <c r="F650" s="177"/>
      <c r="G650" s="206"/>
      <c r="H650" s="177"/>
      <c r="I650" s="177"/>
      <c r="J650" s="177"/>
      <c r="K650" s="177"/>
      <c r="L650" s="178"/>
      <c r="M650" s="177"/>
      <c r="N650" s="177"/>
      <c r="O650" s="177"/>
      <c r="P650" s="177"/>
      <c r="Q650" s="177"/>
      <c r="R650" s="177"/>
      <c r="S650" s="177"/>
      <c r="T650" s="177"/>
      <c r="U650" s="177"/>
      <c r="V650" s="177"/>
      <c r="W650" s="177"/>
      <c r="X650" s="177"/>
      <c r="Y650" s="177"/>
      <c r="Z650" s="177"/>
      <c r="AA650" s="177"/>
      <c r="AB650" s="177"/>
      <c r="AC650" s="177"/>
    </row>
    <row r="651" spans="1:29" ht="13">
      <c r="A651" s="161"/>
      <c r="B651" s="161"/>
      <c r="C651" s="177"/>
      <c r="D651" s="177"/>
      <c r="E651" s="177"/>
      <c r="F651" s="177"/>
      <c r="G651" s="206"/>
      <c r="H651" s="177"/>
      <c r="I651" s="177"/>
      <c r="J651" s="177"/>
      <c r="K651" s="177"/>
      <c r="L651" s="178"/>
      <c r="M651" s="177"/>
      <c r="N651" s="177"/>
      <c r="O651" s="177"/>
      <c r="P651" s="177"/>
      <c r="Q651" s="177"/>
      <c r="R651" s="177"/>
      <c r="S651" s="177"/>
      <c r="T651" s="177"/>
      <c r="U651" s="177"/>
      <c r="V651" s="177"/>
      <c r="W651" s="177"/>
      <c r="X651" s="177"/>
      <c r="Y651" s="177"/>
      <c r="Z651" s="177"/>
      <c r="AA651" s="177"/>
      <c r="AB651" s="177"/>
      <c r="AC651" s="177"/>
    </row>
    <row r="652" spans="1:29" ht="13">
      <c r="A652" s="161"/>
      <c r="B652" s="161"/>
      <c r="C652" s="177"/>
      <c r="D652" s="177"/>
      <c r="E652" s="177"/>
      <c r="F652" s="177"/>
      <c r="G652" s="206"/>
      <c r="H652" s="177"/>
      <c r="I652" s="177"/>
      <c r="J652" s="177"/>
      <c r="K652" s="177"/>
      <c r="L652" s="178"/>
      <c r="M652" s="177"/>
      <c r="N652" s="177"/>
      <c r="O652" s="177"/>
      <c r="P652" s="177"/>
      <c r="Q652" s="177"/>
      <c r="R652" s="177"/>
      <c r="S652" s="177"/>
      <c r="T652" s="177"/>
      <c r="U652" s="177"/>
      <c r="V652" s="177"/>
      <c r="W652" s="177"/>
      <c r="X652" s="177"/>
      <c r="Y652" s="177"/>
      <c r="Z652" s="177"/>
      <c r="AA652" s="177"/>
      <c r="AB652" s="177"/>
      <c r="AC652" s="177"/>
    </row>
    <row r="653" spans="1:29" ht="13">
      <c r="A653" s="161"/>
      <c r="B653" s="161"/>
      <c r="C653" s="177"/>
      <c r="D653" s="177"/>
      <c r="E653" s="177"/>
      <c r="F653" s="177"/>
      <c r="G653" s="206"/>
      <c r="H653" s="177"/>
      <c r="I653" s="177"/>
      <c r="J653" s="177"/>
      <c r="K653" s="177"/>
      <c r="L653" s="178"/>
      <c r="M653" s="177"/>
      <c r="N653" s="177"/>
      <c r="O653" s="177"/>
      <c r="P653" s="177"/>
      <c r="Q653" s="177"/>
      <c r="R653" s="177"/>
      <c r="S653" s="177"/>
      <c r="T653" s="177"/>
      <c r="U653" s="177"/>
      <c r="V653" s="177"/>
      <c r="W653" s="177"/>
      <c r="X653" s="177"/>
      <c r="Y653" s="177"/>
      <c r="Z653" s="177"/>
      <c r="AA653" s="177"/>
      <c r="AB653" s="177"/>
      <c r="AC653" s="177"/>
    </row>
    <row r="654" spans="1:29" ht="13">
      <c r="A654" s="161"/>
      <c r="B654" s="161"/>
      <c r="C654" s="177"/>
      <c r="D654" s="177"/>
      <c r="E654" s="177"/>
      <c r="F654" s="177"/>
      <c r="G654" s="206"/>
      <c r="H654" s="177"/>
      <c r="I654" s="177"/>
      <c r="J654" s="177"/>
      <c r="K654" s="177"/>
      <c r="L654" s="178"/>
      <c r="M654" s="177"/>
      <c r="N654" s="177"/>
      <c r="O654" s="177"/>
      <c r="P654" s="177"/>
      <c r="Q654" s="177"/>
      <c r="R654" s="177"/>
      <c r="S654" s="177"/>
      <c r="T654" s="177"/>
      <c r="U654" s="177"/>
      <c r="V654" s="177"/>
      <c r="W654" s="177"/>
      <c r="X654" s="177"/>
      <c r="Y654" s="177"/>
      <c r="Z654" s="177"/>
      <c r="AA654" s="177"/>
      <c r="AB654" s="177"/>
      <c r="AC654" s="177"/>
    </row>
    <row r="655" spans="1:29" ht="13">
      <c r="A655" s="161"/>
      <c r="B655" s="161"/>
      <c r="C655" s="177"/>
      <c r="D655" s="177"/>
      <c r="E655" s="177"/>
      <c r="F655" s="177"/>
      <c r="G655" s="206"/>
      <c r="H655" s="177"/>
      <c r="I655" s="177"/>
      <c r="J655" s="177"/>
      <c r="K655" s="177"/>
      <c r="L655" s="178"/>
      <c r="M655" s="177"/>
      <c r="N655" s="177"/>
      <c r="O655" s="177"/>
      <c r="P655" s="177"/>
      <c r="Q655" s="177"/>
      <c r="R655" s="177"/>
      <c r="S655" s="177"/>
      <c r="T655" s="177"/>
      <c r="U655" s="177"/>
      <c r="V655" s="177"/>
      <c r="W655" s="177"/>
      <c r="X655" s="177"/>
      <c r="Y655" s="177"/>
      <c r="Z655" s="177"/>
      <c r="AA655" s="177"/>
      <c r="AB655" s="177"/>
      <c r="AC655" s="177"/>
    </row>
    <row r="656" spans="1:29" ht="13">
      <c r="A656" s="161"/>
      <c r="B656" s="161"/>
      <c r="C656" s="177"/>
      <c r="D656" s="177"/>
      <c r="E656" s="177"/>
      <c r="F656" s="177"/>
      <c r="G656" s="206"/>
      <c r="H656" s="177"/>
      <c r="I656" s="177"/>
      <c r="J656" s="177"/>
      <c r="K656" s="177"/>
      <c r="L656" s="178"/>
      <c r="M656" s="177"/>
      <c r="N656" s="177"/>
      <c r="O656" s="177"/>
      <c r="P656" s="177"/>
      <c r="Q656" s="177"/>
      <c r="R656" s="177"/>
      <c r="S656" s="177"/>
      <c r="T656" s="177"/>
      <c r="U656" s="177"/>
      <c r="V656" s="177"/>
      <c r="W656" s="177"/>
      <c r="X656" s="177"/>
      <c r="Y656" s="177"/>
      <c r="Z656" s="177"/>
      <c r="AA656" s="177"/>
      <c r="AB656" s="177"/>
      <c r="AC656" s="177"/>
    </row>
    <row r="657" spans="1:29" ht="13">
      <c r="A657" s="161"/>
      <c r="B657" s="161"/>
      <c r="C657" s="177"/>
      <c r="D657" s="177"/>
      <c r="E657" s="177"/>
      <c r="F657" s="177"/>
      <c r="G657" s="206"/>
      <c r="H657" s="177"/>
      <c r="I657" s="177"/>
      <c r="J657" s="177"/>
      <c r="K657" s="177"/>
      <c r="L657" s="178"/>
      <c r="M657" s="177"/>
      <c r="N657" s="177"/>
      <c r="O657" s="177"/>
      <c r="P657" s="177"/>
      <c r="Q657" s="177"/>
      <c r="R657" s="177"/>
      <c r="S657" s="177"/>
      <c r="T657" s="177"/>
      <c r="U657" s="177"/>
      <c r="V657" s="177"/>
      <c r="W657" s="177"/>
      <c r="X657" s="177"/>
      <c r="Y657" s="177"/>
      <c r="Z657" s="177"/>
      <c r="AA657" s="177"/>
      <c r="AB657" s="177"/>
      <c r="AC657" s="177"/>
    </row>
    <row r="658" spans="1:29" ht="13">
      <c r="A658" s="161"/>
      <c r="B658" s="161"/>
      <c r="C658" s="177"/>
      <c r="D658" s="177"/>
      <c r="E658" s="177"/>
      <c r="F658" s="177"/>
      <c r="G658" s="206"/>
      <c r="H658" s="177"/>
      <c r="I658" s="177"/>
      <c r="J658" s="177"/>
      <c r="K658" s="177"/>
      <c r="L658" s="178"/>
      <c r="M658" s="177"/>
      <c r="N658" s="177"/>
      <c r="O658" s="177"/>
      <c r="P658" s="177"/>
      <c r="Q658" s="177"/>
      <c r="R658" s="177"/>
      <c r="S658" s="177"/>
      <c r="T658" s="177"/>
      <c r="U658" s="177"/>
      <c r="V658" s="177"/>
      <c r="W658" s="177"/>
      <c r="X658" s="177"/>
      <c r="Y658" s="177"/>
      <c r="Z658" s="177"/>
      <c r="AA658" s="177"/>
      <c r="AB658" s="177"/>
      <c r="AC658" s="177"/>
    </row>
    <row r="659" spans="1:29" ht="13">
      <c r="A659" s="161"/>
      <c r="B659" s="161"/>
      <c r="C659" s="177"/>
      <c r="D659" s="177"/>
      <c r="E659" s="177"/>
      <c r="F659" s="177"/>
      <c r="G659" s="206"/>
      <c r="H659" s="177"/>
      <c r="I659" s="177"/>
      <c r="J659" s="177"/>
      <c r="K659" s="177"/>
      <c r="L659" s="178"/>
      <c r="M659" s="177"/>
      <c r="N659" s="177"/>
      <c r="O659" s="177"/>
      <c r="P659" s="177"/>
      <c r="Q659" s="177"/>
      <c r="R659" s="177"/>
      <c r="S659" s="177"/>
      <c r="T659" s="177"/>
      <c r="U659" s="177"/>
      <c r="V659" s="177"/>
      <c r="W659" s="177"/>
      <c r="X659" s="177"/>
      <c r="Y659" s="177"/>
      <c r="Z659" s="177"/>
      <c r="AA659" s="177"/>
      <c r="AB659" s="177"/>
      <c r="AC659" s="177"/>
    </row>
    <row r="660" spans="1:29" ht="13">
      <c r="A660" s="161"/>
      <c r="B660" s="161"/>
      <c r="C660" s="177"/>
      <c r="D660" s="177"/>
      <c r="E660" s="177"/>
      <c r="F660" s="177"/>
      <c r="G660" s="206"/>
      <c r="H660" s="177"/>
      <c r="I660" s="177"/>
      <c r="J660" s="177"/>
      <c r="K660" s="177"/>
      <c r="L660" s="178"/>
      <c r="M660" s="177"/>
      <c r="N660" s="177"/>
      <c r="O660" s="177"/>
      <c r="P660" s="177"/>
      <c r="Q660" s="177"/>
      <c r="R660" s="177"/>
      <c r="S660" s="177"/>
      <c r="T660" s="177"/>
      <c r="U660" s="177"/>
      <c r="V660" s="177"/>
      <c r="W660" s="177"/>
      <c r="X660" s="177"/>
      <c r="Y660" s="177"/>
      <c r="Z660" s="177"/>
      <c r="AA660" s="177"/>
      <c r="AB660" s="177"/>
      <c r="AC660" s="177"/>
    </row>
    <row r="661" spans="1:29" ht="13">
      <c r="A661" s="161"/>
      <c r="B661" s="161"/>
      <c r="C661" s="177"/>
      <c r="D661" s="177"/>
      <c r="E661" s="177"/>
      <c r="F661" s="177"/>
      <c r="G661" s="206"/>
      <c r="H661" s="177"/>
      <c r="I661" s="177"/>
      <c r="J661" s="177"/>
      <c r="K661" s="177"/>
      <c r="L661" s="178"/>
      <c r="M661" s="177"/>
      <c r="N661" s="177"/>
      <c r="O661" s="177"/>
      <c r="P661" s="177"/>
      <c r="Q661" s="177"/>
      <c r="R661" s="177"/>
      <c r="S661" s="177"/>
      <c r="T661" s="177"/>
      <c r="U661" s="177"/>
      <c r="V661" s="177"/>
      <c r="W661" s="177"/>
      <c r="X661" s="177"/>
      <c r="Y661" s="177"/>
      <c r="Z661" s="177"/>
      <c r="AA661" s="177"/>
      <c r="AB661" s="177"/>
      <c r="AC661" s="177"/>
    </row>
    <row r="662" spans="1:29" ht="13">
      <c r="A662" s="161"/>
      <c r="B662" s="161"/>
      <c r="C662" s="177"/>
      <c r="D662" s="177"/>
      <c r="E662" s="177"/>
      <c r="F662" s="177"/>
      <c r="G662" s="206"/>
      <c r="H662" s="177"/>
      <c r="I662" s="177"/>
      <c r="J662" s="177"/>
      <c r="K662" s="177"/>
      <c r="L662" s="178"/>
      <c r="M662" s="177"/>
      <c r="N662" s="177"/>
      <c r="O662" s="177"/>
      <c r="P662" s="177"/>
      <c r="Q662" s="177"/>
      <c r="R662" s="177"/>
      <c r="S662" s="177"/>
      <c r="T662" s="177"/>
      <c r="U662" s="177"/>
      <c r="V662" s="177"/>
      <c r="W662" s="177"/>
      <c r="X662" s="177"/>
      <c r="Y662" s="177"/>
      <c r="Z662" s="177"/>
      <c r="AA662" s="177"/>
      <c r="AB662" s="177"/>
      <c r="AC662" s="177"/>
    </row>
    <row r="663" spans="1:29" ht="13">
      <c r="A663" s="161"/>
      <c r="B663" s="161"/>
      <c r="C663" s="177"/>
      <c r="D663" s="177"/>
      <c r="E663" s="177"/>
      <c r="F663" s="177"/>
      <c r="G663" s="206"/>
      <c r="H663" s="177"/>
      <c r="I663" s="177"/>
      <c r="J663" s="177"/>
      <c r="K663" s="177"/>
      <c r="L663" s="178"/>
      <c r="M663" s="177"/>
      <c r="N663" s="177"/>
      <c r="O663" s="177"/>
      <c r="P663" s="177"/>
      <c r="Q663" s="177"/>
      <c r="R663" s="177"/>
      <c r="S663" s="177"/>
      <c r="T663" s="177"/>
      <c r="U663" s="177"/>
      <c r="V663" s="177"/>
      <c r="W663" s="177"/>
      <c r="X663" s="177"/>
      <c r="Y663" s="177"/>
      <c r="Z663" s="177"/>
      <c r="AA663" s="177"/>
      <c r="AB663" s="177"/>
      <c r="AC663" s="177"/>
    </row>
    <row r="664" spans="1:29" ht="13">
      <c r="A664" s="161"/>
      <c r="B664" s="161"/>
      <c r="C664" s="177"/>
      <c r="D664" s="177"/>
      <c r="E664" s="177"/>
      <c r="F664" s="177"/>
      <c r="G664" s="206"/>
      <c r="H664" s="177"/>
      <c r="I664" s="177"/>
      <c r="J664" s="177"/>
      <c r="K664" s="177"/>
      <c r="L664" s="178"/>
      <c r="M664" s="177"/>
      <c r="N664" s="177"/>
      <c r="O664" s="177"/>
      <c r="P664" s="177"/>
      <c r="Q664" s="177"/>
      <c r="R664" s="177"/>
      <c r="S664" s="177"/>
      <c r="T664" s="177"/>
      <c r="U664" s="177"/>
      <c r="V664" s="177"/>
      <c r="W664" s="177"/>
      <c r="X664" s="177"/>
      <c r="Y664" s="177"/>
      <c r="Z664" s="177"/>
      <c r="AA664" s="177"/>
      <c r="AB664" s="177"/>
      <c r="AC664" s="177"/>
    </row>
    <row r="665" spans="1:29" ht="13">
      <c r="A665" s="161"/>
      <c r="B665" s="161"/>
      <c r="C665" s="177"/>
      <c r="D665" s="177"/>
      <c r="E665" s="177"/>
      <c r="F665" s="177"/>
      <c r="G665" s="206"/>
      <c r="H665" s="177"/>
      <c r="I665" s="177"/>
      <c r="J665" s="177"/>
      <c r="K665" s="177"/>
      <c r="L665" s="178"/>
      <c r="M665" s="177"/>
      <c r="N665" s="177"/>
      <c r="O665" s="177"/>
      <c r="P665" s="177"/>
      <c r="Q665" s="177"/>
      <c r="R665" s="177"/>
      <c r="S665" s="177"/>
      <c r="T665" s="177"/>
      <c r="U665" s="177"/>
      <c r="V665" s="177"/>
      <c r="W665" s="177"/>
      <c r="X665" s="177"/>
      <c r="Y665" s="177"/>
      <c r="Z665" s="177"/>
      <c r="AA665" s="177"/>
      <c r="AB665" s="177"/>
      <c r="AC665" s="177"/>
    </row>
    <row r="666" spans="1:29" ht="13">
      <c r="A666" s="161"/>
      <c r="B666" s="161"/>
      <c r="C666" s="177"/>
      <c r="D666" s="177"/>
      <c r="E666" s="177"/>
      <c r="F666" s="177"/>
      <c r="G666" s="206"/>
      <c r="H666" s="177"/>
      <c r="I666" s="177"/>
      <c r="J666" s="177"/>
      <c r="K666" s="177"/>
      <c r="L666" s="178"/>
      <c r="M666" s="177"/>
      <c r="N666" s="177"/>
      <c r="O666" s="177"/>
      <c r="P666" s="177"/>
      <c r="Q666" s="177"/>
      <c r="R666" s="177"/>
      <c r="S666" s="177"/>
      <c r="T666" s="177"/>
      <c r="U666" s="177"/>
      <c r="V666" s="177"/>
      <c r="W666" s="177"/>
      <c r="X666" s="177"/>
      <c r="Y666" s="177"/>
      <c r="Z666" s="177"/>
      <c r="AA666" s="177"/>
      <c r="AB666" s="177"/>
      <c r="AC666" s="177"/>
    </row>
    <row r="667" spans="1:29" ht="13">
      <c r="A667" s="161"/>
      <c r="B667" s="161"/>
      <c r="C667" s="177"/>
      <c r="D667" s="177"/>
      <c r="E667" s="177"/>
      <c r="F667" s="177"/>
      <c r="G667" s="206"/>
      <c r="H667" s="177"/>
      <c r="I667" s="177"/>
      <c r="J667" s="177"/>
      <c r="K667" s="177"/>
      <c r="L667" s="178"/>
      <c r="M667" s="177"/>
      <c r="N667" s="177"/>
      <c r="O667" s="177"/>
      <c r="P667" s="177"/>
      <c r="Q667" s="177"/>
      <c r="R667" s="177"/>
      <c r="S667" s="177"/>
      <c r="T667" s="177"/>
      <c r="U667" s="177"/>
      <c r="V667" s="177"/>
      <c r="W667" s="177"/>
      <c r="X667" s="177"/>
      <c r="Y667" s="177"/>
      <c r="Z667" s="177"/>
      <c r="AA667" s="177"/>
      <c r="AB667" s="177"/>
      <c r="AC667" s="177"/>
    </row>
    <row r="668" spans="1:29" ht="13">
      <c r="A668" s="161"/>
      <c r="B668" s="161"/>
      <c r="C668" s="177"/>
      <c r="D668" s="177"/>
      <c r="E668" s="177"/>
      <c r="F668" s="177"/>
      <c r="G668" s="206"/>
      <c r="H668" s="177"/>
      <c r="I668" s="177"/>
      <c r="J668" s="177"/>
      <c r="K668" s="177"/>
      <c r="L668" s="178"/>
      <c r="M668" s="177"/>
      <c r="N668" s="177"/>
      <c r="O668" s="177"/>
      <c r="P668" s="177"/>
      <c r="Q668" s="177"/>
      <c r="R668" s="177"/>
      <c r="S668" s="177"/>
      <c r="T668" s="177"/>
      <c r="U668" s="177"/>
      <c r="V668" s="177"/>
      <c r="W668" s="177"/>
      <c r="X668" s="177"/>
      <c r="Y668" s="177"/>
      <c r="Z668" s="177"/>
      <c r="AA668" s="177"/>
      <c r="AB668" s="177"/>
      <c r="AC668" s="177"/>
    </row>
    <row r="669" spans="1:29" ht="13">
      <c r="A669" s="161"/>
      <c r="B669" s="161"/>
      <c r="C669" s="177"/>
      <c r="D669" s="177"/>
      <c r="E669" s="177"/>
      <c r="F669" s="177"/>
      <c r="G669" s="206"/>
      <c r="H669" s="177"/>
      <c r="I669" s="177"/>
      <c r="J669" s="177"/>
      <c r="K669" s="177"/>
      <c r="L669" s="178"/>
      <c r="M669" s="177"/>
      <c r="N669" s="177"/>
      <c r="O669" s="177"/>
      <c r="P669" s="177"/>
      <c r="Q669" s="177"/>
      <c r="R669" s="177"/>
      <c r="S669" s="177"/>
      <c r="T669" s="177"/>
      <c r="U669" s="177"/>
      <c r="V669" s="177"/>
      <c r="W669" s="177"/>
      <c r="X669" s="177"/>
      <c r="Y669" s="177"/>
      <c r="Z669" s="177"/>
      <c r="AA669" s="177"/>
      <c r="AB669" s="177"/>
      <c r="AC669" s="177"/>
    </row>
    <row r="670" spans="1:29" ht="13">
      <c r="A670" s="161"/>
      <c r="B670" s="161"/>
      <c r="C670" s="177"/>
      <c r="D670" s="177"/>
      <c r="E670" s="177"/>
      <c r="F670" s="177"/>
      <c r="G670" s="206"/>
      <c r="H670" s="177"/>
      <c r="I670" s="177"/>
      <c r="J670" s="177"/>
      <c r="K670" s="177"/>
      <c r="L670" s="178"/>
      <c r="M670" s="177"/>
      <c r="N670" s="177"/>
      <c r="O670" s="177"/>
      <c r="P670" s="177"/>
      <c r="Q670" s="177"/>
      <c r="R670" s="177"/>
      <c r="S670" s="177"/>
      <c r="T670" s="177"/>
      <c r="U670" s="177"/>
      <c r="V670" s="177"/>
      <c r="W670" s="177"/>
      <c r="X670" s="177"/>
      <c r="Y670" s="177"/>
      <c r="Z670" s="177"/>
      <c r="AA670" s="177"/>
      <c r="AB670" s="177"/>
      <c r="AC670" s="177"/>
    </row>
    <row r="671" spans="1:29" ht="13">
      <c r="A671" s="161"/>
      <c r="B671" s="161"/>
      <c r="C671" s="177"/>
      <c r="D671" s="177"/>
      <c r="E671" s="177"/>
      <c r="F671" s="177"/>
      <c r="G671" s="206"/>
      <c r="H671" s="177"/>
      <c r="I671" s="177"/>
      <c r="J671" s="177"/>
      <c r="K671" s="177"/>
      <c r="L671" s="178"/>
      <c r="M671" s="177"/>
      <c r="N671" s="177"/>
      <c r="O671" s="177"/>
      <c r="P671" s="177"/>
      <c r="Q671" s="177"/>
      <c r="R671" s="177"/>
      <c r="S671" s="177"/>
      <c r="T671" s="177"/>
      <c r="U671" s="177"/>
      <c r="V671" s="177"/>
      <c r="W671" s="177"/>
      <c r="X671" s="177"/>
      <c r="Y671" s="177"/>
      <c r="Z671" s="177"/>
      <c r="AA671" s="177"/>
      <c r="AB671" s="177"/>
      <c r="AC671" s="177"/>
    </row>
    <row r="672" spans="1:29" ht="13">
      <c r="A672" s="161"/>
      <c r="B672" s="161"/>
      <c r="C672" s="177"/>
      <c r="D672" s="177"/>
      <c r="E672" s="177"/>
      <c r="F672" s="177"/>
      <c r="G672" s="206"/>
      <c r="H672" s="177"/>
      <c r="I672" s="177"/>
      <c r="J672" s="177"/>
      <c r="K672" s="177"/>
      <c r="L672" s="178"/>
      <c r="M672" s="177"/>
      <c r="N672" s="177"/>
      <c r="O672" s="177"/>
      <c r="P672" s="177"/>
      <c r="Q672" s="177"/>
      <c r="R672" s="177"/>
      <c r="S672" s="177"/>
      <c r="T672" s="177"/>
      <c r="U672" s="177"/>
      <c r="V672" s="177"/>
      <c r="W672" s="177"/>
      <c r="X672" s="177"/>
      <c r="Y672" s="177"/>
      <c r="Z672" s="177"/>
      <c r="AA672" s="177"/>
      <c r="AB672" s="177"/>
      <c r="AC672" s="177"/>
    </row>
    <row r="673" spans="1:29" ht="13">
      <c r="A673" s="161"/>
      <c r="B673" s="161"/>
      <c r="C673" s="177"/>
      <c r="D673" s="177"/>
      <c r="E673" s="177"/>
      <c r="F673" s="177"/>
      <c r="G673" s="206"/>
      <c r="H673" s="177"/>
      <c r="I673" s="177"/>
      <c r="J673" s="177"/>
      <c r="K673" s="177"/>
      <c r="L673" s="178"/>
      <c r="M673" s="177"/>
      <c r="N673" s="177"/>
      <c r="O673" s="177"/>
      <c r="P673" s="177"/>
      <c r="Q673" s="177"/>
      <c r="R673" s="177"/>
      <c r="S673" s="177"/>
      <c r="T673" s="177"/>
      <c r="U673" s="177"/>
      <c r="V673" s="177"/>
      <c r="W673" s="177"/>
      <c r="X673" s="177"/>
      <c r="Y673" s="177"/>
      <c r="Z673" s="177"/>
      <c r="AA673" s="177"/>
      <c r="AB673" s="177"/>
      <c r="AC673" s="177"/>
    </row>
    <row r="674" spans="1:29" ht="13">
      <c r="A674" s="161"/>
      <c r="B674" s="161"/>
      <c r="C674" s="177"/>
      <c r="D674" s="177"/>
      <c r="E674" s="177"/>
      <c r="F674" s="177"/>
      <c r="G674" s="206"/>
      <c r="H674" s="177"/>
      <c r="I674" s="177"/>
      <c r="J674" s="177"/>
      <c r="K674" s="177"/>
      <c r="L674" s="178"/>
      <c r="M674" s="177"/>
      <c r="N674" s="177"/>
      <c r="O674" s="177"/>
      <c r="P674" s="177"/>
      <c r="Q674" s="177"/>
      <c r="R674" s="177"/>
      <c r="S674" s="177"/>
      <c r="T674" s="177"/>
      <c r="U674" s="177"/>
      <c r="V674" s="177"/>
      <c r="W674" s="177"/>
      <c r="X674" s="177"/>
      <c r="Y674" s="177"/>
      <c r="Z674" s="177"/>
      <c r="AA674" s="177"/>
      <c r="AB674" s="177"/>
      <c r="AC674" s="177"/>
    </row>
    <row r="675" spans="1:29" ht="13">
      <c r="A675" s="161"/>
      <c r="B675" s="161"/>
      <c r="C675" s="177"/>
      <c r="D675" s="177"/>
      <c r="E675" s="177"/>
      <c r="F675" s="177"/>
      <c r="G675" s="206"/>
      <c r="H675" s="177"/>
      <c r="I675" s="177"/>
      <c r="J675" s="177"/>
      <c r="K675" s="177"/>
      <c r="L675" s="178"/>
      <c r="M675" s="177"/>
      <c r="N675" s="177"/>
      <c r="O675" s="177"/>
      <c r="P675" s="177"/>
      <c r="Q675" s="177"/>
      <c r="R675" s="177"/>
      <c r="S675" s="177"/>
      <c r="T675" s="177"/>
      <c r="U675" s="177"/>
      <c r="V675" s="177"/>
      <c r="W675" s="177"/>
      <c r="X675" s="177"/>
      <c r="Y675" s="177"/>
      <c r="Z675" s="177"/>
      <c r="AA675" s="177"/>
      <c r="AB675" s="177"/>
      <c r="AC675" s="177"/>
    </row>
    <row r="676" spans="1:29" ht="13">
      <c r="A676" s="161"/>
      <c r="B676" s="161"/>
      <c r="C676" s="177"/>
      <c r="D676" s="177"/>
      <c r="E676" s="177"/>
      <c r="F676" s="177"/>
      <c r="G676" s="206"/>
      <c r="H676" s="177"/>
      <c r="I676" s="177"/>
      <c r="J676" s="177"/>
      <c r="K676" s="177"/>
      <c r="L676" s="178"/>
      <c r="M676" s="177"/>
      <c r="N676" s="177"/>
      <c r="O676" s="177"/>
      <c r="P676" s="177"/>
      <c r="Q676" s="177"/>
      <c r="R676" s="177"/>
      <c r="S676" s="177"/>
      <c r="T676" s="177"/>
      <c r="U676" s="177"/>
      <c r="V676" s="177"/>
      <c r="W676" s="177"/>
      <c r="X676" s="177"/>
      <c r="Y676" s="177"/>
      <c r="Z676" s="177"/>
      <c r="AA676" s="177"/>
      <c r="AB676" s="177"/>
      <c r="AC676" s="177"/>
    </row>
    <row r="677" spans="1:29" ht="13">
      <c r="A677" s="161"/>
      <c r="B677" s="161"/>
      <c r="C677" s="177"/>
      <c r="D677" s="177"/>
      <c r="E677" s="177"/>
      <c r="F677" s="177"/>
      <c r="G677" s="206"/>
      <c r="H677" s="177"/>
      <c r="I677" s="177"/>
      <c r="J677" s="177"/>
      <c r="K677" s="177"/>
      <c r="L677" s="178"/>
      <c r="M677" s="177"/>
      <c r="N677" s="177"/>
      <c r="O677" s="177"/>
      <c r="P677" s="177"/>
      <c r="Q677" s="177"/>
      <c r="R677" s="177"/>
      <c r="S677" s="177"/>
      <c r="T677" s="177"/>
      <c r="U677" s="177"/>
      <c r="V677" s="177"/>
      <c r="W677" s="177"/>
      <c r="X677" s="177"/>
      <c r="Y677" s="177"/>
      <c r="Z677" s="177"/>
      <c r="AA677" s="177"/>
      <c r="AB677" s="177"/>
      <c r="AC677" s="177"/>
    </row>
    <row r="678" spans="1:29" ht="13">
      <c r="A678" s="161"/>
      <c r="B678" s="161"/>
      <c r="C678" s="177"/>
      <c r="D678" s="177"/>
      <c r="E678" s="177"/>
      <c r="F678" s="177"/>
      <c r="G678" s="206"/>
      <c r="H678" s="177"/>
      <c r="I678" s="177"/>
      <c r="J678" s="177"/>
      <c r="K678" s="177"/>
      <c r="L678" s="178"/>
      <c r="M678" s="177"/>
      <c r="N678" s="177"/>
      <c r="O678" s="177"/>
      <c r="P678" s="177"/>
      <c r="Q678" s="177"/>
      <c r="R678" s="177"/>
      <c r="S678" s="177"/>
      <c r="T678" s="177"/>
      <c r="U678" s="177"/>
      <c r="V678" s="177"/>
      <c r="W678" s="177"/>
      <c r="X678" s="177"/>
      <c r="Y678" s="177"/>
      <c r="Z678" s="177"/>
      <c r="AA678" s="177"/>
      <c r="AB678" s="177"/>
      <c r="AC678" s="177"/>
    </row>
    <row r="679" spans="1:29" ht="13">
      <c r="A679" s="161"/>
      <c r="B679" s="161"/>
      <c r="C679" s="177"/>
      <c r="D679" s="177"/>
      <c r="E679" s="177"/>
      <c r="F679" s="177"/>
      <c r="G679" s="206"/>
      <c r="H679" s="177"/>
      <c r="I679" s="177"/>
      <c r="J679" s="177"/>
      <c r="K679" s="177"/>
      <c r="L679" s="178"/>
      <c r="M679" s="177"/>
      <c r="N679" s="177"/>
      <c r="O679" s="177"/>
      <c r="P679" s="177"/>
      <c r="Q679" s="177"/>
      <c r="R679" s="177"/>
      <c r="S679" s="177"/>
      <c r="T679" s="177"/>
      <c r="U679" s="177"/>
      <c r="V679" s="177"/>
      <c r="W679" s="177"/>
      <c r="X679" s="177"/>
      <c r="Y679" s="177"/>
      <c r="Z679" s="177"/>
      <c r="AA679" s="177"/>
      <c r="AB679" s="177"/>
      <c r="AC679" s="177"/>
    </row>
    <row r="680" spans="1:29" ht="13">
      <c r="A680" s="161"/>
      <c r="B680" s="161"/>
      <c r="C680" s="177"/>
      <c r="D680" s="177"/>
      <c r="E680" s="177"/>
      <c r="F680" s="177"/>
      <c r="G680" s="206"/>
      <c r="H680" s="177"/>
      <c r="I680" s="177"/>
      <c r="J680" s="177"/>
      <c r="K680" s="177"/>
      <c r="L680" s="178"/>
      <c r="M680" s="177"/>
      <c r="N680" s="177"/>
      <c r="O680" s="177"/>
      <c r="P680" s="177"/>
      <c r="Q680" s="177"/>
      <c r="R680" s="177"/>
      <c r="S680" s="177"/>
      <c r="T680" s="177"/>
      <c r="U680" s="177"/>
      <c r="V680" s="177"/>
      <c r="W680" s="177"/>
      <c r="X680" s="177"/>
      <c r="Y680" s="177"/>
      <c r="Z680" s="177"/>
      <c r="AA680" s="177"/>
      <c r="AB680" s="177"/>
      <c r="AC680" s="177"/>
    </row>
    <row r="681" spans="1:29" ht="13">
      <c r="A681" s="161"/>
      <c r="B681" s="161"/>
      <c r="C681" s="177"/>
      <c r="D681" s="177"/>
      <c r="E681" s="177"/>
      <c r="F681" s="177"/>
      <c r="G681" s="206"/>
      <c r="H681" s="177"/>
      <c r="I681" s="177"/>
      <c r="J681" s="177"/>
      <c r="K681" s="177"/>
      <c r="L681" s="178"/>
      <c r="M681" s="177"/>
      <c r="N681" s="177"/>
      <c r="O681" s="177"/>
      <c r="P681" s="177"/>
      <c r="Q681" s="177"/>
      <c r="R681" s="177"/>
      <c r="S681" s="177"/>
      <c r="T681" s="177"/>
      <c r="U681" s="177"/>
      <c r="V681" s="177"/>
      <c r="W681" s="177"/>
      <c r="X681" s="177"/>
      <c r="Y681" s="177"/>
      <c r="Z681" s="177"/>
      <c r="AA681" s="177"/>
      <c r="AB681" s="177"/>
      <c r="AC681" s="177"/>
    </row>
    <row r="682" spans="1:29" ht="13">
      <c r="A682" s="161"/>
      <c r="B682" s="161"/>
      <c r="C682" s="177"/>
      <c r="D682" s="177"/>
      <c r="E682" s="177"/>
      <c r="F682" s="177"/>
      <c r="G682" s="206"/>
      <c r="H682" s="177"/>
      <c r="I682" s="177"/>
      <c r="J682" s="177"/>
      <c r="K682" s="177"/>
      <c r="L682" s="178"/>
      <c r="M682" s="177"/>
      <c r="N682" s="177"/>
      <c r="O682" s="177"/>
      <c r="P682" s="177"/>
      <c r="Q682" s="177"/>
      <c r="R682" s="177"/>
      <c r="S682" s="177"/>
      <c r="T682" s="177"/>
      <c r="U682" s="177"/>
      <c r="V682" s="177"/>
      <c r="W682" s="177"/>
      <c r="X682" s="177"/>
      <c r="Y682" s="177"/>
      <c r="Z682" s="177"/>
      <c r="AA682" s="177"/>
      <c r="AB682" s="177"/>
      <c r="AC682" s="177"/>
    </row>
    <row r="683" spans="1:29" ht="13">
      <c r="A683" s="161"/>
      <c r="B683" s="161"/>
      <c r="C683" s="177"/>
      <c r="D683" s="177"/>
      <c r="E683" s="177"/>
      <c r="F683" s="177"/>
      <c r="G683" s="206"/>
      <c r="H683" s="177"/>
      <c r="I683" s="177"/>
      <c r="J683" s="177"/>
      <c r="K683" s="177"/>
      <c r="L683" s="178"/>
      <c r="M683" s="177"/>
      <c r="N683" s="177"/>
      <c r="O683" s="177"/>
      <c r="P683" s="177"/>
      <c r="Q683" s="177"/>
      <c r="R683" s="177"/>
      <c r="S683" s="177"/>
      <c r="T683" s="177"/>
      <c r="U683" s="177"/>
      <c r="V683" s="177"/>
      <c r="W683" s="177"/>
      <c r="X683" s="177"/>
      <c r="Y683" s="177"/>
      <c r="Z683" s="177"/>
      <c r="AA683" s="177"/>
      <c r="AB683" s="177"/>
      <c r="AC683" s="177"/>
    </row>
    <row r="684" spans="1:29" ht="13">
      <c r="A684" s="161"/>
      <c r="B684" s="161"/>
      <c r="C684" s="177"/>
      <c r="D684" s="177"/>
      <c r="E684" s="177"/>
      <c r="F684" s="177"/>
      <c r="G684" s="206"/>
      <c r="H684" s="177"/>
      <c r="I684" s="177"/>
      <c r="J684" s="177"/>
      <c r="K684" s="177"/>
      <c r="L684" s="178"/>
      <c r="M684" s="177"/>
      <c r="N684" s="177"/>
      <c r="O684" s="177"/>
      <c r="P684" s="177"/>
      <c r="Q684" s="177"/>
      <c r="R684" s="177"/>
      <c r="S684" s="177"/>
      <c r="T684" s="177"/>
      <c r="U684" s="177"/>
      <c r="V684" s="177"/>
      <c r="W684" s="177"/>
      <c r="X684" s="177"/>
      <c r="Y684" s="177"/>
      <c r="Z684" s="177"/>
      <c r="AA684" s="177"/>
      <c r="AB684" s="177"/>
      <c r="AC684" s="177"/>
    </row>
    <row r="685" spans="1:29" ht="13">
      <c r="A685" s="161"/>
      <c r="B685" s="161"/>
      <c r="C685" s="177"/>
      <c r="D685" s="177"/>
      <c r="E685" s="177"/>
      <c r="F685" s="177"/>
      <c r="G685" s="206"/>
      <c r="H685" s="177"/>
      <c r="I685" s="177"/>
      <c r="J685" s="177"/>
      <c r="K685" s="177"/>
      <c r="L685" s="178"/>
      <c r="M685" s="177"/>
      <c r="N685" s="177"/>
      <c r="O685" s="177"/>
      <c r="P685" s="177"/>
      <c r="Q685" s="177"/>
      <c r="R685" s="177"/>
      <c r="S685" s="177"/>
      <c r="T685" s="177"/>
      <c r="U685" s="177"/>
      <c r="V685" s="177"/>
      <c r="W685" s="177"/>
      <c r="X685" s="177"/>
      <c r="Y685" s="177"/>
      <c r="Z685" s="177"/>
      <c r="AA685" s="177"/>
      <c r="AB685" s="177"/>
      <c r="AC685" s="177"/>
    </row>
    <row r="686" spans="1:29" ht="13">
      <c r="A686" s="161"/>
      <c r="B686" s="161"/>
      <c r="C686" s="177"/>
      <c r="D686" s="177"/>
      <c r="E686" s="177"/>
      <c r="F686" s="177"/>
      <c r="G686" s="206"/>
      <c r="H686" s="177"/>
      <c r="I686" s="177"/>
      <c r="J686" s="177"/>
      <c r="K686" s="177"/>
      <c r="L686" s="178"/>
      <c r="M686" s="177"/>
      <c r="N686" s="177"/>
      <c r="O686" s="177"/>
      <c r="P686" s="177"/>
      <c r="Q686" s="177"/>
      <c r="R686" s="177"/>
      <c r="S686" s="177"/>
      <c r="T686" s="177"/>
      <c r="U686" s="177"/>
      <c r="V686" s="177"/>
      <c r="W686" s="177"/>
      <c r="X686" s="177"/>
      <c r="Y686" s="177"/>
      <c r="Z686" s="177"/>
      <c r="AA686" s="177"/>
      <c r="AB686" s="177"/>
      <c r="AC686" s="177"/>
    </row>
    <row r="687" spans="1:29" ht="13">
      <c r="A687" s="161"/>
      <c r="B687" s="161"/>
      <c r="C687" s="177"/>
      <c r="D687" s="177"/>
      <c r="E687" s="177"/>
      <c r="F687" s="177"/>
      <c r="G687" s="206"/>
      <c r="H687" s="177"/>
      <c r="I687" s="177"/>
      <c r="J687" s="177"/>
      <c r="K687" s="177"/>
      <c r="L687" s="178"/>
      <c r="M687" s="177"/>
      <c r="N687" s="177"/>
      <c r="O687" s="177"/>
      <c r="P687" s="177"/>
      <c r="Q687" s="177"/>
      <c r="R687" s="177"/>
      <c r="S687" s="177"/>
      <c r="T687" s="177"/>
      <c r="U687" s="177"/>
      <c r="V687" s="177"/>
      <c r="W687" s="177"/>
      <c r="X687" s="177"/>
      <c r="Y687" s="177"/>
      <c r="Z687" s="177"/>
      <c r="AA687" s="177"/>
      <c r="AB687" s="177"/>
      <c r="AC687" s="177"/>
    </row>
    <row r="688" spans="1:29" ht="13">
      <c r="A688" s="161"/>
      <c r="B688" s="161"/>
      <c r="C688" s="177"/>
      <c r="D688" s="177"/>
      <c r="E688" s="177"/>
      <c r="F688" s="177"/>
      <c r="G688" s="206"/>
      <c r="H688" s="177"/>
      <c r="I688" s="177"/>
      <c r="J688" s="177"/>
      <c r="K688" s="177"/>
      <c r="L688" s="178"/>
      <c r="M688" s="177"/>
      <c r="N688" s="177"/>
      <c r="O688" s="177"/>
      <c r="P688" s="177"/>
      <c r="Q688" s="177"/>
      <c r="R688" s="177"/>
      <c r="S688" s="177"/>
      <c r="T688" s="177"/>
      <c r="U688" s="177"/>
      <c r="V688" s="177"/>
      <c r="W688" s="177"/>
      <c r="X688" s="177"/>
      <c r="Y688" s="177"/>
      <c r="Z688" s="177"/>
      <c r="AA688" s="177"/>
      <c r="AB688" s="177"/>
      <c r="AC688" s="177"/>
    </row>
    <row r="689" spans="1:29" ht="13">
      <c r="A689" s="161"/>
      <c r="B689" s="161"/>
      <c r="C689" s="177"/>
      <c r="D689" s="177"/>
      <c r="E689" s="177"/>
      <c r="F689" s="177"/>
      <c r="G689" s="206"/>
      <c r="H689" s="177"/>
      <c r="I689" s="177"/>
      <c r="J689" s="177"/>
      <c r="K689" s="177"/>
      <c r="L689" s="178"/>
      <c r="M689" s="177"/>
      <c r="N689" s="177"/>
      <c r="O689" s="177"/>
      <c r="P689" s="177"/>
      <c r="Q689" s="177"/>
      <c r="R689" s="177"/>
      <c r="S689" s="177"/>
      <c r="T689" s="177"/>
      <c r="U689" s="177"/>
      <c r="V689" s="177"/>
      <c r="W689" s="177"/>
      <c r="X689" s="177"/>
      <c r="Y689" s="177"/>
      <c r="Z689" s="177"/>
      <c r="AA689" s="177"/>
      <c r="AB689" s="177"/>
      <c r="AC689" s="177"/>
    </row>
    <row r="690" spans="1:29" ht="13">
      <c r="A690" s="161"/>
      <c r="B690" s="161"/>
      <c r="C690" s="177"/>
      <c r="D690" s="177"/>
      <c r="E690" s="177"/>
      <c r="F690" s="177"/>
      <c r="G690" s="206"/>
      <c r="H690" s="177"/>
      <c r="I690" s="177"/>
      <c r="J690" s="177"/>
      <c r="K690" s="177"/>
      <c r="L690" s="178"/>
      <c r="M690" s="177"/>
      <c r="N690" s="177"/>
      <c r="O690" s="177"/>
      <c r="P690" s="177"/>
      <c r="Q690" s="177"/>
      <c r="R690" s="177"/>
      <c r="S690" s="177"/>
      <c r="T690" s="177"/>
      <c r="U690" s="177"/>
      <c r="V690" s="177"/>
      <c r="W690" s="177"/>
      <c r="X690" s="177"/>
      <c r="Y690" s="177"/>
      <c r="Z690" s="177"/>
      <c r="AA690" s="177"/>
      <c r="AB690" s="177"/>
      <c r="AC690" s="177"/>
    </row>
    <row r="691" spans="1:29" ht="13">
      <c r="A691" s="161"/>
      <c r="B691" s="161"/>
      <c r="C691" s="177"/>
      <c r="D691" s="177"/>
      <c r="E691" s="177"/>
      <c r="F691" s="177"/>
      <c r="G691" s="206"/>
      <c r="H691" s="177"/>
      <c r="I691" s="177"/>
      <c r="J691" s="177"/>
      <c r="K691" s="177"/>
      <c r="L691" s="178"/>
      <c r="M691" s="177"/>
      <c r="N691" s="177"/>
      <c r="O691" s="177"/>
      <c r="P691" s="177"/>
      <c r="Q691" s="177"/>
      <c r="R691" s="177"/>
      <c r="S691" s="177"/>
      <c r="T691" s="177"/>
      <c r="U691" s="177"/>
      <c r="V691" s="177"/>
      <c r="W691" s="177"/>
      <c r="X691" s="177"/>
      <c r="Y691" s="177"/>
      <c r="Z691" s="177"/>
      <c r="AA691" s="177"/>
      <c r="AB691" s="177"/>
      <c r="AC691" s="177"/>
    </row>
    <row r="692" spans="1:29" ht="13">
      <c r="A692" s="161"/>
      <c r="B692" s="161"/>
      <c r="C692" s="177"/>
      <c r="D692" s="177"/>
      <c r="E692" s="177"/>
      <c r="F692" s="177"/>
      <c r="G692" s="206"/>
      <c r="H692" s="177"/>
      <c r="I692" s="177"/>
      <c r="J692" s="177"/>
      <c r="K692" s="177"/>
      <c r="L692" s="178"/>
      <c r="M692" s="177"/>
      <c r="N692" s="177"/>
      <c r="O692" s="177"/>
      <c r="P692" s="177"/>
      <c r="Q692" s="177"/>
      <c r="R692" s="177"/>
      <c r="S692" s="177"/>
      <c r="T692" s="177"/>
      <c r="U692" s="177"/>
      <c r="V692" s="177"/>
      <c r="W692" s="177"/>
      <c r="X692" s="177"/>
      <c r="Y692" s="177"/>
      <c r="Z692" s="177"/>
      <c r="AA692" s="177"/>
      <c r="AB692" s="177"/>
      <c r="AC692" s="177"/>
    </row>
    <row r="693" spans="1:29" ht="13">
      <c r="A693" s="161"/>
      <c r="B693" s="161"/>
      <c r="C693" s="177"/>
      <c r="D693" s="177"/>
      <c r="E693" s="177"/>
      <c r="F693" s="177"/>
      <c r="G693" s="206"/>
      <c r="H693" s="177"/>
      <c r="I693" s="177"/>
      <c r="J693" s="177"/>
      <c r="K693" s="177"/>
      <c r="L693" s="178"/>
      <c r="M693" s="177"/>
      <c r="N693" s="177"/>
      <c r="O693" s="177"/>
      <c r="P693" s="177"/>
      <c r="Q693" s="177"/>
      <c r="R693" s="177"/>
      <c r="S693" s="177"/>
      <c r="T693" s="177"/>
      <c r="U693" s="177"/>
      <c r="V693" s="177"/>
      <c r="W693" s="177"/>
      <c r="X693" s="177"/>
      <c r="Y693" s="177"/>
      <c r="Z693" s="177"/>
      <c r="AA693" s="177"/>
      <c r="AB693" s="177"/>
      <c r="AC693" s="177"/>
    </row>
    <row r="694" spans="1:29" ht="13">
      <c r="A694" s="161"/>
      <c r="B694" s="161"/>
      <c r="C694" s="177"/>
      <c r="D694" s="177"/>
      <c r="E694" s="177"/>
      <c r="F694" s="177"/>
      <c r="G694" s="206"/>
      <c r="H694" s="177"/>
      <c r="I694" s="177"/>
      <c r="J694" s="177"/>
      <c r="K694" s="177"/>
      <c r="L694" s="178"/>
      <c r="M694" s="177"/>
      <c r="N694" s="177"/>
      <c r="O694" s="177"/>
      <c r="P694" s="177"/>
      <c r="Q694" s="177"/>
      <c r="R694" s="177"/>
      <c r="S694" s="177"/>
      <c r="T694" s="177"/>
      <c r="U694" s="177"/>
      <c r="V694" s="177"/>
      <c r="W694" s="177"/>
      <c r="X694" s="177"/>
      <c r="Y694" s="177"/>
      <c r="Z694" s="177"/>
      <c r="AA694" s="177"/>
      <c r="AB694" s="177"/>
      <c r="AC694" s="177"/>
    </row>
    <row r="695" spans="1:29" ht="13">
      <c r="A695" s="161"/>
      <c r="B695" s="161"/>
      <c r="C695" s="177"/>
      <c r="D695" s="177"/>
      <c r="E695" s="177"/>
      <c r="F695" s="177"/>
      <c r="G695" s="206"/>
      <c r="H695" s="177"/>
      <c r="I695" s="177"/>
      <c r="J695" s="177"/>
      <c r="K695" s="177"/>
      <c r="L695" s="178"/>
      <c r="M695" s="177"/>
      <c r="N695" s="177"/>
      <c r="O695" s="177"/>
      <c r="P695" s="177"/>
      <c r="Q695" s="177"/>
      <c r="R695" s="177"/>
      <c r="S695" s="177"/>
      <c r="T695" s="177"/>
      <c r="U695" s="177"/>
      <c r="V695" s="177"/>
      <c r="W695" s="177"/>
      <c r="X695" s="177"/>
      <c r="Y695" s="177"/>
      <c r="Z695" s="177"/>
      <c r="AA695" s="177"/>
      <c r="AB695" s="177"/>
      <c r="AC695" s="177"/>
    </row>
    <row r="696" spans="1:29" ht="13">
      <c r="A696" s="161"/>
      <c r="B696" s="161"/>
      <c r="C696" s="177"/>
      <c r="D696" s="177"/>
      <c r="E696" s="177"/>
      <c r="F696" s="177"/>
      <c r="G696" s="206"/>
      <c r="H696" s="177"/>
      <c r="I696" s="177"/>
      <c r="J696" s="177"/>
      <c r="K696" s="177"/>
      <c r="L696" s="178"/>
      <c r="M696" s="177"/>
      <c r="N696" s="177"/>
      <c r="O696" s="177"/>
      <c r="P696" s="177"/>
      <c r="Q696" s="177"/>
      <c r="R696" s="177"/>
      <c r="S696" s="177"/>
      <c r="T696" s="177"/>
      <c r="U696" s="177"/>
      <c r="V696" s="177"/>
      <c r="W696" s="177"/>
      <c r="X696" s="177"/>
      <c r="Y696" s="177"/>
      <c r="Z696" s="177"/>
      <c r="AA696" s="177"/>
      <c r="AB696" s="177"/>
      <c r="AC696" s="177"/>
    </row>
    <row r="697" spans="1:29" ht="13">
      <c r="A697" s="161"/>
      <c r="B697" s="161"/>
      <c r="C697" s="177"/>
      <c r="D697" s="177"/>
      <c r="E697" s="177"/>
      <c r="F697" s="177"/>
      <c r="G697" s="206"/>
      <c r="H697" s="177"/>
      <c r="I697" s="177"/>
      <c r="J697" s="177"/>
      <c r="K697" s="177"/>
      <c r="L697" s="178"/>
      <c r="M697" s="177"/>
      <c r="N697" s="177"/>
      <c r="O697" s="177"/>
      <c r="P697" s="177"/>
      <c r="Q697" s="177"/>
      <c r="R697" s="177"/>
      <c r="S697" s="177"/>
      <c r="T697" s="177"/>
      <c r="U697" s="177"/>
      <c r="V697" s="177"/>
      <c r="W697" s="177"/>
      <c r="X697" s="177"/>
      <c r="Y697" s="177"/>
      <c r="Z697" s="177"/>
      <c r="AA697" s="177"/>
      <c r="AB697" s="177"/>
      <c r="AC697" s="177"/>
    </row>
    <row r="698" spans="1:29" ht="13">
      <c r="A698" s="161"/>
      <c r="B698" s="161"/>
      <c r="C698" s="177"/>
      <c r="D698" s="177"/>
      <c r="E698" s="177"/>
      <c r="F698" s="177"/>
      <c r="G698" s="206"/>
      <c r="H698" s="177"/>
      <c r="I698" s="177"/>
      <c r="J698" s="177"/>
      <c r="K698" s="177"/>
      <c r="L698" s="178"/>
      <c r="M698" s="177"/>
      <c r="N698" s="177"/>
      <c r="O698" s="177"/>
      <c r="P698" s="177"/>
      <c r="Q698" s="177"/>
      <c r="R698" s="177"/>
      <c r="S698" s="177"/>
      <c r="T698" s="177"/>
      <c r="U698" s="177"/>
      <c r="V698" s="177"/>
      <c r="W698" s="177"/>
      <c r="X698" s="177"/>
      <c r="Y698" s="177"/>
      <c r="Z698" s="177"/>
      <c r="AA698" s="177"/>
      <c r="AB698" s="177"/>
      <c r="AC698" s="177"/>
    </row>
    <row r="699" spans="1:29" ht="13">
      <c r="A699" s="161"/>
      <c r="B699" s="161"/>
      <c r="C699" s="177"/>
      <c r="D699" s="177"/>
      <c r="E699" s="177"/>
      <c r="F699" s="177"/>
      <c r="G699" s="206"/>
      <c r="H699" s="177"/>
      <c r="I699" s="177"/>
      <c r="J699" s="177"/>
      <c r="K699" s="177"/>
      <c r="L699" s="178"/>
      <c r="M699" s="177"/>
      <c r="N699" s="177"/>
      <c r="O699" s="177"/>
      <c r="P699" s="177"/>
      <c r="Q699" s="177"/>
      <c r="R699" s="177"/>
      <c r="S699" s="177"/>
      <c r="T699" s="177"/>
      <c r="U699" s="177"/>
      <c r="V699" s="177"/>
      <c r="W699" s="177"/>
      <c r="X699" s="177"/>
      <c r="Y699" s="177"/>
      <c r="Z699" s="177"/>
      <c r="AA699" s="177"/>
      <c r="AB699" s="177"/>
      <c r="AC699" s="177"/>
    </row>
    <row r="700" spans="1:29" ht="13">
      <c r="A700" s="161"/>
      <c r="B700" s="161"/>
      <c r="C700" s="177"/>
      <c r="D700" s="177"/>
      <c r="E700" s="177"/>
      <c r="F700" s="177"/>
      <c r="G700" s="206"/>
      <c r="H700" s="177"/>
      <c r="I700" s="177"/>
      <c r="J700" s="177"/>
      <c r="K700" s="177"/>
      <c r="L700" s="178"/>
      <c r="M700" s="177"/>
      <c r="N700" s="177"/>
      <c r="O700" s="177"/>
      <c r="P700" s="177"/>
      <c r="Q700" s="177"/>
      <c r="R700" s="177"/>
      <c r="S700" s="177"/>
      <c r="T700" s="177"/>
      <c r="U700" s="177"/>
      <c r="V700" s="177"/>
      <c r="W700" s="177"/>
      <c r="X700" s="177"/>
      <c r="Y700" s="177"/>
      <c r="Z700" s="177"/>
      <c r="AA700" s="177"/>
      <c r="AB700" s="177"/>
      <c r="AC700" s="177"/>
    </row>
    <row r="701" spans="1:29" ht="13">
      <c r="A701" s="161"/>
      <c r="B701" s="161"/>
      <c r="C701" s="177"/>
      <c r="D701" s="177"/>
      <c r="E701" s="177"/>
      <c r="F701" s="177"/>
      <c r="G701" s="206"/>
      <c r="H701" s="177"/>
      <c r="I701" s="177"/>
      <c r="J701" s="177"/>
      <c r="K701" s="177"/>
      <c r="L701" s="178"/>
      <c r="M701" s="177"/>
      <c r="N701" s="177"/>
      <c r="O701" s="177"/>
      <c r="P701" s="177"/>
      <c r="Q701" s="177"/>
      <c r="R701" s="177"/>
      <c r="S701" s="177"/>
      <c r="T701" s="177"/>
      <c r="U701" s="177"/>
      <c r="V701" s="177"/>
      <c r="W701" s="177"/>
      <c r="X701" s="177"/>
      <c r="Y701" s="177"/>
      <c r="Z701" s="177"/>
      <c r="AA701" s="177"/>
      <c r="AB701" s="177"/>
      <c r="AC701" s="177"/>
    </row>
    <row r="702" spans="1:29" ht="13">
      <c r="A702" s="161"/>
      <c r="B702" s="161"/>
      <c r="C702" s="177"/>
      <c r="D702" s="177"/>
      <c r="E702" s="177"/>
      <c r="F702" s="177"/>
      <c r="G702" s="206"/>
      <c r="H702" s="177"/>
      <c r="I702" s="177"/>
      <c r="J702" s="177"/>
      <c r="K702" s="177"/>
      <c r="L702" s="178"/>
      <c r="M702" s="177"/>
      <c r="N702" s="177"/>
      <c r="O702" s="177"/>
      <c r="P702" s="177"/>
      <c r="Q702" s="177"/>
      <c r="R702" s="177"/>
      <c r="S702" s="177"/>
      <c r="T702" s="177"/>
      <c r="U702" s="177"/>
      <c r="V702" s="177"/>
      <c r="W702" s="177"/>
      <c r="X702" s="177"/>
      <c r="Y702" s="177"/>
      <c r="Z702" s="177"/>
      <c r="AA702" s="177"/>
      <c r="AB702" s="177"/>
      <c r="AC702" s="177"/>
    </row>
    <row r="703" spans="1:29" ht="13">
      <c r="A703" s="161"/>
      <c r="B703" s="161"/>
      <c r="C703" s="177"/>
      <c r="D703" s="177"/>
      <c r="E703" s="177"/>
      <c r="F703" s="177"/>
      <c r="G703" s="206"/>
      <c r="H703" s="177"/>
      <c r="I703" s="177"/>
      <c r="J703" s="177"/>
      <c r="K703" s="177"/>
      <c r="L703" s="178"/>
      <c r="M703" s="177"/>
      <c r="N703" s="177"/>
      <c r="O703" s="177"/>
      <c r="P703" s="177"/>
      <c r="Q703" s="177"/>
      <c r="R703" s="177"/>
      <c r="S703" s="177"/>
      <c r="T703" s="177"/>
      <c r="U703" s="177"/>
      <c r="V703" s="177"/>
      <c r="W703" s="177"/>
      <c r="X703" s="177"/>
      <c r="Y703" s="177"/>
      <c r="Z703" s="177"/>
      <c r="AA703" s="177"/>
      <c r="AB703" s="177"/>
      <c r="AC703" s="177"/>
    </row>
    <row r="704" spans="1:29" ht="13">
      <c r="A704" s="161"/>
      <c r="B704" s="161"/>
      <c r="C704" s="177"/>
      <c r="D704" s="177"/>
      <c r="E704" s="177"/>
      <c r="F704" s="177"/>
      <c r="G704" s="206"/>
      <c r="H704" s="177"/>
      <c r="I704" s="177"/>
      <c r="J704" s="177"/>
      <c r="K704" s="177"/>
      <c r="L704" s="178"/>
      <c r="M704" s="177"/>
      <c r="N704" s="177"/>
      <c r="O704" s="177"/>
      <c r="P704" s="177"/>
      <c r="Q704" s="177"/>
      <c r="R704" s="177"/>
      <c r="S704" s="177"/>
      <c r="T704" s="177"/>
      <c r="U704" s="177"/>
      <c r="V704" s="177"/>
      <c r="W704" s="177"/>
      <c r="X704" s="177"/>
      <c r="Y704" s="177"/>
      <c r="Z704" s="177"/>
      <c r="AA704" s="177"/>
      <c r="AB704" s="177"/>
      <c r="AC704" s="177"/>
    </row>
    <row r="705" spans="1:29" ht="13">
      <c r="A705" s="161"/>
      <c r="B705" s="161"/>
      <c r="C705" s="177"/>
      <c r="D705" s="177"/>
      <c r="E705" s="177"/>
      <c r="F705" s="177"/>
      <c r="G705" s="206"/>
      <c r="H705" s="177"/>
      <c r="I705" s="177"/>
      <c r="J705" s="177"/>
      <c r="K705" s="177"/>
      <c r="L705" s="178"/>
      <c r="M705" s="177"/>
      <c r="N705" s="177"/>
      <c r="O705" s="177"/>
      <c r="P705" s="177"/>
      <c r="Q705" s="177"/>
      <c r="R705" s="177"/>
      <c r="S705" s="177"/>
      <c r="T705" s="177"/>
      <c r="U705" s="177"/>
      <c r="V705" s="177"/>
      <c r="W705" s="177"/>
      <c r="X705" s="177"/>
      <c r="Y705" s="177"/>
      <c r="Z705" s="177"/>
      <c r="AA705" s="177"/>
      <c r="AB705" s="177"/>
      <c r="AC705" s="177"/>
    </row>
    <row r="706" spans="1:29" ht="13">
      <c r="A706" s="161"/>
      <c r="B706" s="161"/>
      <c r="C706" s="177"/>
      <c r="D706" s="177"/>
      <c r="E706" s="177"/>
      <c r="F706" s="177"/>
      <c r="G706" s="206"/>
      <c r="H706" s="177"/>
      <c r="I706" s="177"/>
      <c r="J706" s="177"/>
      <c r="K706" s="177"/>
      <c r="L706" s="178"/>
      <c r="M706" s="177"/>
      <c r="N706" s="177"/>
      <c r="O706" s="177"/>
      <c r="P706" s="177"/>
      <c r="Q706" s="177"/>
      <c r="R706" s="177"/>
      <c r="S706" s="177"/>
      <c r="T706" s="177"/>
      <c r="U706" s="177"/>
      <c r="V706" s="177"/>
      <c r="W706" s="177"/>
      <c r="X706" s="177"/>
      <c r="Y706" s="177"/>
      <c r="Z706" s="177"/>
      <c r="AA706" s="177"/>
      <c r="AB706" s="177"/>
      <c r="AC706" s="177"/>
    </row>
    <row r="707" spans="1:29" ht="13">
      <c r="A707" s="161"/>
      <c r="B707" s="161"/>
      <c r="C707" s="177"/>
      <c r="D707" s="177"/>
      <c r="E707" s="177"/>
      <c r="F707" s="177"/>
      <c r="G707" s="206"/>
      <c r="H707" s="177"/>
      <c r="I707" s="177"/>
      <c r="J707" s="177"/>
      <c r="K707" s="177"/>
      <c r="L707" s="178"/>
      <c r="M707" s="177"/>
      <c r="N707" s="177"/>
      <c r="O707" s="177"/>
      <c r="P707" s="177"/>
      <c r="Q707" s="177"/>
      <c r="R707" s="177"/>
      <c r="S707" s="177"/>
      <c r="T707" s="177"/>
      <c r="U707" s="177"/>
      <c r="V707" s="177"/>
      <c r="W707" s="177"/>
      <c r="X707" s="177"/>
      <c r="Y707" s="177"/>
      <c r="Z707" s="177"/>
      <c r="AA707" s="177"/>
      <c r="AB707" s="177"/>
      <c r="AC707" s="177"/>
    </row>
    <row r="708" spans="1:29" ht="13">
      <c r="A708" s="161"/>
      <c r="B708" s="161"/>
      <c r="C708" s="177"/>
      <c r="D708" s="177"/>
      <c r="E708" s="177"/>
      <c r="F708" s="177"/>
      <c r="G708" s="206"/>
      <c r="H708" s="177"/>
      <c r="I708" s="177"/>
      <c r="J708" s="177"/>
      <c r="K708" s="177"/>
      <c r="L708" s="178"/>
      <c r="M708" s="177"/>
      <c r="N708" s="177"/>
      <c r="O708" s="177"/>
      <c r="P708" s="177"/>
      <c r="Q708" s="177"/>
      <c r="R708" s="177"/>
      <c r="S708" s="177"/>
      <c r="T708" s="177"/>
      <c r="U708" s="177"/>
      <c r="V708" s="177"/>
      <c r="W708" s="177"/>
      <c r="X708" s="177"/>
      <c r="Y708" s="177"/>
      <c r="Z708" s="177"/>
      <c r="AA708" s="177"/>
      <c r="AB708" s="177"/>
      <c r="AC708" s="177"/>
    </row>
    <row r="709" spans="1:29" ht="13">
      <c r="A709" s="161"/>
      <c r="B709" s="161"/>
      <c r="C709" s="177"/>
      <c r="D709" s="177"/>
      <c r="E709" s="177"/>
      <c r="F709" s="177"/>
      <c r="G709" s="206"/>
      <c r="H709" s="177"/>
      <c r="I709" s="177"/>
      <c r="J709" s="177"/>
      <c r="K709" s="177"/>
      <c r="L709" s="178"/>
      <c r="M709" s="177"/>
      <c r="N709" s="177"/>
      <c r="O709" s="177"/>
      <c r="P709" s="177"/>
      <c r="Q709" s="177"/>
      <c r="R709" s="177"/>
      <c r="S709" s="177"/>
      <c r="T709" s="177"/>
      <c r="U709" s="177"/>
      <c r="V709" s="177"/>
      <c r="W709" s="177"/>
      <c r="X709" s="177"/>
      <c r="Y709" s="177"/>
      <c r="Z709" s="177"/>
      <c r="AA709" s="177"/>
      <c r="AB709" s="177"/>
      <c r="AC709" s="177"/>
    </row>
    <row r="710" spans="1:29" ht="13">
      <c r="A710" s="161"/>
      <c r="B710" s="161"/>
      <c r="C710" s="177"/>
      <c r="D710" s="177"/>
      <c r="E710" s="177"/>
      <c r="F710" s="177"/>
      <c r="G710" s="206"/>
      <c r="H710" s="177"/>
      <c r="I710" s="177"/>
      <c r="J710" s="177"/>
      <c r="K710" s="177"/>
      <c r="L710" s="178"/>
      <c r="M710" s="177"/>
      <c r="N710" s="177"/>
      <c r="O710" s="177"/>
      <c r="P710" s="177"/>
      <c r="Q710" s="177"/>
      <c r="R710" s="177"/>
      <c r="S710" s="177"/>
      <c r="T710" s="177"/>
      <c r="U710" s="177"/>
      <c r="V710" s="177"/>
      <c r="W710" s="177"/>
      <c r="X710" s="177"/>
      <c r="Y710" s="177"/>
      <c r="Z710" s="177"/>
      <c r="AA710" s="177"/>
      <c r="AB710" s="177"/>
      <c r="AC710" s="177"/>
    </row>
    <row r="711" spans="1:29" ht="13">
      <c r="A711" s="161"/>
      <c r="B711" s="161"/>
      <c r="C711" s="177"/>
      <c r="D711" s="177"/>
      <c r="E711" s="177"/>
      <c r="F711" s="177"/>
      <c r="G711" s="206"/>
      <c r="H711" s="177"/>
      <c r="I711" s="177"/>
      <c r="J711" s="177"/>
      <c r="K711" s="177"/>
      <c r="L711" s="178"/>
      <c r="M711" s="177"/>
      <c r="N711" s="177"/>
      <c r="O711" s="177"/>
      <c r="P711" s="177"/>
      <c r="Q711" s="177"/>
      <c r="R711" s="177"/>
      <c r="S711" s="177"/>
      <c r="T711" s="177"/>
      <c r="U711" s="177"/>
      <c r="V711" s="177"/>
      <c r="W711" s="177"/>
      <c r="X711" s="177"/>
      <c r="Y711" s="177"/>
      <c r="Z711" s="177"/>
      <c r="AA711" s="177"/>
      <c r="AB711" s="177"/>
      <c r="AC711" s="177"/>
    </row>
    <row r="712" spans="1:29" ht="13">
      <c r="A712" s="161"/>
      <c r="B712" s="161"/>
      <c r="C712" s="177"/>
      <c r="D712" s="177"/>
      <c r="E712" s="177"/>
      <c r="F712" s="177"/>
      <c r="G712" s="206"/>
      <c r="H712" s="177"/>
      <c r="I712" s="177"/>
      <c r="J712" s="177"/>
      <c r="K712" s="177"/>
      <c r="L712" s="178"/>
      <c r="M712" s="177"/>
      <c r="N712" s="177"/>
      <c r="O712" s="177"/>
      <c r="P712" s="177"/>
      <c r="Q712" s="177"/>
      <c r="R712" s="177"/>
      <c r="S712" s="177"/>
      <c r="T712" s="177"/>
      <c r="U712" s="177"/>
      <c r="V712" s="177"/>
      <c r="W712" s="177"/>
      <c r="X712" s="177"/>
      <c r="Y712" s="177"/>
      <c r="Z712" s="177"/>
      <c r="AA712" s="177"/>
      <c r="AB712" s="177"/>
      <c r="AC712" s="177"/>
    </row>
    <row r="713" spans="1:29" ht="13">
      <c r="A713" s="161"/>
      <c r="B713" s="161"/>
      <c r="C713" s="177"/>
      <c r="D713" s="177"/>
      <c r="E713" s="177"/>
      <c r="F713" s="177"/>
      <c r="G713" s="206"/>
      <c r="H713" s="177"/>
      <c r="I713" s="177"/>
      <c r="J713" s="177"/>
      <c r="K713" s="177"/>
      <c r="L713" s="178"/>
      <c r="M713" s="177"/>
      <c r="N713" s="177"/>
      <c r="O713" s="177"/>
      <c r="P713" s="177"/>
      <c r="Q713" s="177"/>
      <c r="R713" s="177"/>
      <c r="S713" s="177"/>
      <c r="T713" s="177"/>
      <c r="U713" s="177"/>
      <c r="V713" s="177"/>
      <c r="W713" s="177"/>
      <c r="X713" s="177"/>
      <c r="Y713" s="177"/>
      <c r="Z713" s="177"/>
      <c r="AA713" s="177"/>
      <c r="AB713" s="177"/>
      <c r="AC713" s="177"/>
    </row>
    <row r="714" spans="1:29" ht="13">
      <c r="A714" s="161"/>
      <c r="B714" s="161"/>
      <c r="C714" s="177"/>
      <c r="D714" s="177"/>
      <c r="E714" s="177"/>
      <c r="F714" s="177"/>
      <c r="G714" s="206"/>
      <c r="H714" s="177"/>
      <c r="I714" s="177"/>
      <c r="J714" s="177"/>
      <c r="K714" s="177"/>
      <c r="L714" s="178"/>
      <c r="M714" s="177"/>
      <c r="N714" s="177"/>
      <c r="O714" s="177"/>
      <c r="P714" s="177"/>
      <c r="Q714" s="177"/>
      <c r="R714" s="177"/>
      <c r="S714" s="177"/>
      <c r="T714" s="177"/>
      <c r="U714" s="177"/>
      <c r="V714" s="177"/>
      <c r="W714" s="177"/>
      <c r="X714" s="177"/>
      <c r="Y714" s="177"/>
      <c r="Z714" s="177"/>
      <c r="AA714" s="177"/>
      <c r="AB714" s="177"/>
      <c r="AC714" s="177"/>
    </row>
    <row r="715" spans="1:29" ht="13">
      <c r="A715" s="161"/>
      <c r="B715" s="161"/>
      <c r="C715" s="177"/>
      <c r="D715" s="177"/>
      <c r="E715" s="177"/>
      <c r="F715" s="177"/>
      <c r="G715" s="206"/>
      <c r="H715" s="177"/>
      <c r="I715" s="177"/>
      <c r="J715" s="177"/>
      <c r="K715" s="177"/>
      <c r="L715" s="178"/>
      <c r="M715" s="177"/>
      <c r="N715" s="177"/>
      <c r="O715" s="177"/>
      <c r="P715" s="177"/>
      <c r="Q715" s="177"/>
      <c r="R715" s="177"/>
      <c r="S715" s="177"/>
      <c r="T715" s="177"/>
      <c r="U715" s="177"/>
      <c r="V715" s="177"/>
      <c r="W715" s="177"/>
      <c r="X715" s="177"/>
      <c r="Y715" s="177"/>
      <c r="Z715" s="177"/>
      <c r="AA715" s="177"/>
      <c r="AB715" s="177"/>
      <c r="AC715" s="177"/>
    </row>
    <row r="716" spans="1:29" ht="13">
      <c r="A716" s="161"/>
      <c r="B716" s="161"/>
      <c r="C716" s="177"/>
      <c r="D716" s="177"/>
      <c r="E716" s="177"/>
      <c r="F716" s="177"/>
      <c r="G716" s="206"/>
      <c r="H716" s="177"/>
      <c r="I716" s="177"/>
      <c r="J716" s="177"/>
      <c r="K716" s="177"/>
      <c r="L716" s="178"/>
      <c r="M716" s="177"/>
      <c r="N716" s="177"/>
      <c r="O716" s="177"/>
      <c r="P716" s="177"/>
      <c r="Q716" s="177"/>
      <c r="R716" s="177"/>
      <c r="S716" s="177"/>
      <c r="T716" s="177"/>
      <c r="U716" s="177"/>
      <c r="V716" s="177"/>
      <c r="W716" s="177"/>
      <c r="X716" s="177"/>
      <c r="Y716" s="177"/>
      <c r="Z716" s="177"/>
      <c r="AA716" s="177"/>
      <c r="AB716" s="177"/>
      <c r="AC716" s="177"/>
    </row>
    <row r="717" spans="1:29" ht="13">
      <c r="A717" s="161"/>
      <c r="B717" s="161"/>
      <c r="C717" s="177"/>
      <c r="D717" s="177"/>
      <c r="E717" s="177"/>
      <c r="F717" s="177"/>
      <c r="G717" s="206"/>
      <c r="H717" s="177"/>
      <c r="I717" s="177"/>
      <c r="J717" s="177"/>
      <c r="K717" s="177"/>
      <c r="L717" s="178"/>
      <c r="M717" s="177"/>
      <c r="N717" s="177"/>
      <c r="O717" s="177"/>
      <c r="P717" s="177"/>
      <c r="Q717" s="177"/>
      <c r="R717" s="177"/>
      <c r="S717" s="177"/>
      <c r="T717" s="177"/>
      <c r="U717" s="177"/>
      <c r="V717" s="177"/>
      <c r="W717" s="177"/>
      <c r="X717" s="177"/>
      <c r="Y717" s="177"/>
      <c r="Z717" s="177"/>
      <c r="AA717" s="177"/>
      <c r="AB717" s="177"/>
      <c r="AC717" s="177"/>
    </row>
    <row r="718" spans="1:29" ht="13">
      <c r="A718" s="161"/>
      <c r="B718" s="161"/>
      <c r="C718" s="177"/>
      <c r="D718" s="177"/>
      <c r="E718" s="177"/>
      <c r="F718" s="177"/>
      <c r="G718" s="206"/>
      <c r="H718" s="177"/>
      <c r="I718" s="177"/>
      <c r="J718" s="177"/>
      <c r="K718" s="177"/>
      <c r="L718" s="178"/>
      <c r="M718" s="177"/>
      <c r="N718" s="177"/>
      <c r="O718" s="177"/>
      <c r="P718" s="177"/>
      <c r="Q718" s="177"/>
      <c r="R718" s="177"/>
      <c r="S718" s="177"/>
      <c r="T718" s="177"/>
      <c r="U718" s="177"/>
      <c r="V718" s="177"/>
      <c r="W718" s="177"/>
      <c r="X718" s="177"/>
      <c r="Y718" s="177"/>
      <c r="Z718" s="177"/>
      <c r="AA718" s="177"/>
      <c r="AB718" s="177"/>
      <c r="AC718" s="177"/>
    </row>
    <row r="719" spans="1:29" ht="13">
      <c r="A719" s="161"/>
      <c r="B719" s="161"/>
      <c r="C719" s="177"/>
      <c r="D719" s="177"/>
      <c r="E719" s="177"/>
      <c r="F719" s="177"/>
      <c r="G719" s="206"/>
      <c r="H719" s="177"/>
      <c r="I719" s="177"/>
      <c r="J719" s="177"/>
      <c r="K719" s="177"/>
      <c r="L719" s="178"/>
      <c r="M719" s="177"/>
      <c r="N719" s="177"/>
      <c r="O719" s="177"/>
      <c r="P719" s="177"/>
      <c r="Q719" s="177"/>
      <c r="R719" s="177"/>
      <c r="S719" s="177"/>
      <c r="T719" s="177"/>
      <c r="U719" s="177"/>
      <c r="V719" s="177"/>
      <c r="W719" s="177"/>
      <c r="X719" s="177"/>
      <c r="Y719" s="177"/>
      <c r="Z719" s="177"/>
      <c r="AA719" s="177"/>
      <c r="AB719" s="177"/>
      <c r="AC719" s="177"/>
    </row>
    <row r="720" spans="1:29" ht="13">
      <c r="A720" s="161"/>
      <c r="B720" s="161"/>
      <c r="C720" s="177"/>
      <c r="D720" s="177"/>
      <c r="E720" s="177"/>
      <c r="F720" s="177"/>
      <c r="G720" s="206"/>
      <c r="H720" s="177"/>
      <c r="I720" s="177"/>
      <c r="J720" s="177"/>
      <c r="K720" s="177"/>
      <c r="L720" s="178"/>
      <c r="M720" s="177"/>
      <c r="N720" s="177"/>
      <c r="O720" s="177"/>
      <c r="P720" s="177"/>
      <c r="Q720" s="177"/>
      <c r="R720" s="177"/>
      <c r="S720" s="177"/>
      <c r="T720" s="177"/>
      <c r="U720" s="177"/>
      <c r="V720" s="177"/>
      <c r="W720" s="177"/>
      <c r="X720" s="177"/>
      <c r="Y720" s="177"/>
      <c r="Z720" s="177"/>
      <c r="AA720" s="177"/>
      <c r="AB720" s="177"/>
      <c r="AC720" s="177"/>
    </row>
    <row r="721" spans="1:29" ht="13">
      <c r="A721" s="161"/>
      <c r="B721" s="161"/>
      <c r="C721" s="177"/>
      <c r="D721" s="177"/>
      <c r="E721" s="177"/>
      <c r="F721" s="177"/>
      <c r="G721" s="206"/>
      <c r="H721" s="177"/>
      <c r="I721" s="177"/>
      <c r="J721" s="177"/>
      <c r="K721" s="177"/>
      <c r="L721" s="178"/>
      <c r="M721" s="177"/>
      <c r="N721" s="177"/>
      <c r="O721" s="177"/>
      <c r="P721" s="177"/>
      <c r="Q721" s="177"/>
      <c r="R721" s="177"/>
      <c r="S721" s="177"/>
      <c r="T721" s="177"/>
      <c r="U721" s="177"/>
      <c r="V721" s="177"/>
      <c r="W721" s="177"/>
      <c r="X721" s="177"/>
      <c r="Y721" s="177"/>
      <c r="Z721" s="177"/>
      <c r="AA721" s="177"/>
      <c r="AB721" s="177"/>
      <c r="AC721" s="177"/>
    </row>
    <row r="722" spans="1:29" ht="13">
      <c r="A722" s="161"/>
      <c r="B722" s="161"/>
      <c r="C722" s="177"/>
      <c r="D722" s="177"/>
      <c r="E722" s="177"/>
      <c r="F722" s="177"/>
      <c r="G722" s="206"/>
      <c r="H722" s="177"/>
      <c r="I722" s="177"/>
      <c r="J722" s="177"/>
      <c r="K722" s="177"/>
      <c r="L722" s="178"/>
      <c r="M722" s="177"/>
      <c r="N722" s="177"/>
      <c r="O722" s="177"/>
      <c r="P722" s="177"/>
      <c r="Q722" s="177"/>
      <c r="R722" s="177"/>
      <c r="S722" s="177"/>
      <c r="T722" s="177"/>
      <c r="U722" s="177"/>
      <c r="V722" s="177"/>
      <c r="W722" s="177"/>
      <c r="X722" s="177"/>
      <c r="Y722" s="177"/>
      <c r="Z722" s="177"/>
      <c r="AA722" s="177"/>
      <c r="AB722" s="177"/>
      <c r="AC722" s="177"/>
    </row>
    <row r="723" spans="1:29" ht="13">
      <c r="A723" s="161"/>
      <c r="B723" s="161"/>
      <c r="C723" s="177"/>
      <c r="D723" s="177"/>
      <c r="E723" s="177"/>
      <c r="F723" s="177"/>
      <c r="G723" s="206"/>
      <c r="H723" s="177"/>
      <c r="I723" s="177"/>
      <c r="J723" s="177"/>
      <c r="K723" s="177"/>
      <c r="L723" s="178"/>
      <c r="M723" s="177"/>
      <c r="N723" s="177"/>
      <c r="O723" s="177"/>
      <c r="P723" s="177"/>
      <c r="Q723" s="177"/>
      <c r="R723" s="177"/>
      <c r="S723" s="177"/>
      <c r="T723" s="177"/>
      <c r="U723" s="177"/>
      <c r="V723" s="177"/>
      <c r="W723" s="177"/>
      <c r="X723" s="177"/>
      <c r="Y723" s="177"/>
      <c r="Z723" s="177"/>
      <c r="AA723" s="177"/>
      <c r="AB723" s="177"/>
      <c r="AC723" s="177"/>
    </row>
    <row r="724" spans="1:29" ht="13">
      <c r="A724" s="161"/>
      <c r="B724" s="161"/>
      <c r="C724" s="177"/>
      <c r="D724" s="177"/>
      <c r="E724" s="177"/>
      <c r="F724" s="177"/>
      <c r="G724" s="206"/>
      <c r="H724" s="177"/>
      <c r="I724" s="177"/>
      <c r="J724" s="177"/>
      <c r="K724" s="177"/>
      <c r="L724" s="178"/>
      <c r="M724" s="177"/>
      <c r="N724" s="177"/>
      <c r="O724" s="177"/>
      <c r="P724" s="177"/>
      <c r="Q724" s="177"/>
      <c r="R724" s="177"/>
      <c r="S724" s="177"/>
      <c r="T724" s="177"/>
      <c r="U724" s="177"/>
      <c r="V724" s="177"/>
      <c r="W724" s="177"/>
      <c r="X724" s="177"/>
      <c r="Y724" s="177"/>
      <c r="Z724" s="177"/>
      <c r="AA724" s="177"/>
      <c r="AB724" s="177"/>
      <c r="AC724" s="177"/>
    </row>
    <row r="725" spans="1:29" ht="13">
      <c r="A725" s="161"/>
      <c r="B725" s="161"/>
      <c r="C725" s="177"/>
      <c r="D725" s="177"/>
      <c r="E725" s="177"/>
      <c r="F725" s="177"/>
      <c r="G725" s="206"/>
      <c r="H725" s="177"/>
      <c r="I725" s="177"/>
      <c r="J725" s="177"/>
      <c r="K725" s="177"/>
      <c r="L725" s="178"/>
      <c r="M725" s="177"/>
      <c r="N725" s="177"/>
      <c r="O725" s="177"/>
      <c r="P725" s="177"/>
      <c r="Q725" s="177"/>
      <c r="R725" s="177"/>
      <c r="S725" s="177"/>
      <c r="T725" s="177"/>
      <c r="U725" s="177"/>
      <c r="V725" s="177"/>
      <c r="W725" s="177"/>
      <c r="X725" s="177"/>
      <c r="Y725" s="177"/>
      <c r="Z725" s="177"/>
      <c r="AA725" s="177"/>
      <c r="AB725" s="177"/>
      <c r="AC725" s="177"/>
    </row>
    <row r="726" spans="1:29" ht="13">
      <c r="A726" s="161"/>
      <c r="B726" s="161"/>
      <c r="C726" s="177"/>
      <c r="D726" s="177"/>
      <c r="E726" s="177"/>
      <c r="F726" s="177"/>
      <c r="G726" s="206"/>
      <c r="H726" s="177"/>
      <c r="I726" s="177"/>
      <c r="J726" s="177"/>
      <c r="K726" s="177"/>
      <c r="L726" s="178"/>
      <c r="M726" s="177"/>
      <c r="N726" s="177"/>
      <c r="O726" s="177"/>
      <c r="P726" s="177"/>
      <c r="Q726" s="177"/>
      <c r="R726" s="177"/>
      <c r="S726" s="177"/>
      <c r="T726" s="177"/>
      <c r="U726" s="177"/>
      <c r="V726" s="177"/>
      <c r="W726" s="177"/>
      <c r="X726" s="177"/>
      <c r="Y726" s="177"/>
      <c r="Z726" s="177"/>
      <c r="AA726" s="177"/>
      <c r="AB726" s="177"/>
      <c r="AC726" s="177"/>
    </row>
    <row r="727" spans="1:29" ht="13">
      <c r="A727" s="161"/>
      <c r="B727" s="161"/>
      <c r="C727" s="177"/>
      <c r="D727" s="177"/>
      <c r="E727" s="177"/>
      <c r="F727" s="177"/>
      <c r="G727" s="206"/>
      <c r="H727" s="177"/>
      <c r="I727" s="177"/>
      <c r="J727" s="177"/>
      <c r="K727" s="177"/>
      <c r="L727" s="178"/>
      <c r="M727" s="177"/>
      <c r="N727" s="177"/>
      <c r="O727" s="177"/>
      <c r="P727" s="177"/>
      <c r="Q727" s="177"/>
      <c r="R727" s="177"/>
      <c r="S727" s="177"/>
      <c r="T727" s="177"/>
      <c r="U727" s="177"/>
      <c r="V727" s="177"/>
      <c r="W727" s="177"/>
      <c r="X727" s="177"/>
      <c r="Y727" s="177"/>
      <c r="Z727" s="177"/>
      <c r="AA727" s="177"/>
      <c r="AB727" s="177"/>
      <c r="AC727" s="177"/>
    </row>
    <row r="728" spans="1:29" ht="13">
      <c r="A728" s="161"/>
      <c r="B728" s="161"/>
      <c r="C728" s="177"/>
      <c r="D728" s="177"/>
      <c r="E728" s="177"/>
      <c r="F728" s="177"/>
      <c r="G728" s="206"/>
      <c r="H728" s="177"/>
      <c r="I728" s="177"/>
      <c r="J728" s="177"/>
      <c r="K728" s="177"/>
      <c r="L728" s="178"/>
      <c r="M728" s="177"/>
      <c r="N728" s="177"/>
      <c r="O728" s="177"/>
      <c r="P728" s="177"/>
      <c r="Q728" s="177"/>
      <c r="R728" s="177"/>
      <c r="S728" s="177"/>
      <c r="T728" s="177"/>
      <c r="U728" s="177"/>
      <c r="V728" s="177"/>
      <c r="W728" s="177"/>
      <c r="X728" s="177"/>
      <c r="Y728" s="177"/>
      <c r="Z728" s="177"/>
      <c r="AA728" s="177"/>
      <c r="AB728" s="177"/>
      <c r="AC728" s="177"/>
    </row>
    <row r="729" spans="1:29" ht="13">
      <c r="A729" s="161"/>
      <c r="B729" s="161"/>
      <c r="C729" s="177"/>
      <c r="D729" s="177"/>
      <c r="E729" s="177"/>
      <c r="F729" s="177"/>
      <c r="G729" s="206"/>
      <c r="H729" s="177"/>
      <c r="I729" s="177"/>
      <c r="J729" s="177"/>
      <c r="K729" s="177"/>
      <c r="L729" s="178"/>
      <c r="M729" s="177"/>
      <c r="N729" s="177"/>
      <c r="O729" s="177"/>
      <c r="P729" s="177"/>
      <c r="Q729" s="177"/>
      <c r="R729" s="177"/>
      <c r="S729" s="177"/>
      <c r="T729" s="177"/>
      <c r="U729" s="177"/>
      <c r="V729" s="177"/>
      <c r="W729" s="177"/>
      <c r="X729" s="177"/>
      <c r="Y729" s="177"/>
      <c r="Z729" s="177"/>
      <c r="AA729" s="177"/>
      <c r="AB729" s="177"/>
      <c r="AC729" s="177"/>
    </row>
    <row r="730" spans="1:29" ht="13">
      <c r="A730" s="161"/>
      <c r="B730" s="161"/>
      <c r="C730" s="177"/>
      <c r="D730" s="177"/>
      <c r="E730" s="177"/>
      <c r="F730" s="177"/>
      <c r="G730" s="206"/>
      <c r="H730" s="177"/>
      <c r="I730" s="177"/>
      <c r="J730" s="177"/>
      <c r="K730" s="177"/>
      <c r="L730" s="178"/>
      <c r="M730" s="177"/>
      <c r="N730" s="177"/>
      <c r="O730" s="177"/>
      <c r="P730" s="177"/>
      <c r="Q730" s="177"/>
      <c r="R730" s="177"/>
      <c r="S730" s="177"/>
      <c r="T730" s="177"/>
      <c r="U730" s="177"/>
      <c r="V730" s="177"/>
      <c r="W730" s="177"/>
      <c r="X730" s="177"/>
      <c r="Y730" s="177"/>
      <c r="Z730" s="177"/>
      <c r="AA730" s="177"/>
      <c r="AB730" s="177"/>
      <c r="AC730" s="177"/>
    </row>
    <row r="731" spans="1:29" ht="13">
      <c r="A731" s="161"/>
      <c r="B731" s="161"/>
      <c r="C731" s="177"/>
      <c r="D731" s="177"/>
      <c r="E731" s="177"/>
      <c r="F731" s="177"/>
      <c r="G731" s="206"/>
      <c r="H731" s="177"/>
      <c r="I731" s="177"/>
      <c r="J731" s="177"/>
      <c r="K731" s="177"/>
      <c r="L731" s="178"/>
      <c r="M731" s="177"/>
      <c r="N731" s="177"/>
      <c r="O731" s="177"/>
      <c r="P731" s="177"/>
      <c r="Q731" s="177"/>
      <c r="R731" s="177"/>
      <c r="S731" s="177"/>
      <c r="T731" s="177"/>
      <c r="U731" s="177"/>
      <c r="V731" s="177"/>
      <c r="W731" s="177"/>
      <c r="X731" s="177"/>
      <c r="Y731" s="177"/>
      <c r="Z731" s="177"/>
      <c r="AA731" s="177"/>
      <c r="AB731" s="177"/>
      <c r="AC731" s="177"/>
    </row>
    <row r="732" spans="1:29" ht="13">
      <c r="A732" s="161"/>
      <c r="B732" s="161"/>
      <c r="C732" s="177"/>
      <c r="D732" s="177"/>
      <c r="E732" s="177"/>
      <c r="F732" s="177"/>
      <c r="G732" s="206"/>
      <c r="H732" s="177"/>
      <c r="I732" s="177"/>
      <c r="J732" s="177"/>
      <c r="K732" s="177"/>
      <c r="L732" s="178"/>
      <c r="M732" s="177"/>
      <c r="N732" s="177"/>
      <c r="O732" s="177"/>
      <c r="P732" s="177"/>
      <c r="Q732" s="177"/>
      <c r="R732" s="177"/>
      <c r="S732" s="177"/>
      <c r="T732" s="177"/>
      <c r="U732" s="177"/>
      <c r="V732" s="177"/>
      <c r="W732" s="177"/>
      <c r="X732" s="177"/>
      <c r="Y732" s="177"/>
      <c r="Z732" s="177"/>
      <c r="AA732" s="177"/>
      <c r="AB732" s="177"/>
      <c r="AC732" s="177"/>
    </row>
    <row r="733" spans="1:29" ht="13">
      <c r="A733" s="161"/>
      <c r="B733" s="161"/>
      <c r="C733" s="177"/>
      <c r="D733" s="177"/>
      <c r="E733" s="177"/>
      <c r="F733" s="177"/>
      <c r="G733" s="206"/>
      <c r="H733" s="177"/>
      <c r="I733" s="177"/>
      <c r="J733" s="177"/>
      <c r="K733" s="177"/>
      <c r="L733" s="178"/>
      <c r="M733" s="177"/>
      <c r="N733" s="177"/>
      <c r="O733" s="177"/>
      <c r="P733" s="177"/>
      <c r="Q733" s="177"/>
      <c r="R733" s="177"/>
      <c r="S733" s="177"/>
      <c r="T733" s="177"/>
      <c r="U733" s="177"/>
      <c r="V733" s="177"/>
      <c r="W733" s="177"/>
      <c r="X733" s="177"/>
      <c r="Y733" s="177"/>
      <c r="Z733" s="177"/>
      <c r="AA733" s="177"/>
      <c r="AB733" s="177"/>
      <c r="AC733" s="177"/>
    </row>
    <row r="734" spans="1:29" ht="13">
      <c r="A734" s="161"/>
      <c r="B734" s="161"/>
      <c r="C734" s="177"/>
      <c r="D734" s="177"/>
      <c r="E734" s="177"/>
      <c r="F734" s="177"/>
      <c r="G734" s="206"/>
      <c r="H734" s="177"/>
      <c r="I734" s="177"/>
      <c r="J734" s="177"/>
      <c r="K734" s="177"/>
      <c r="L734" s="178"/>
      <c r="M734" s="177"/>
      <c r="N734" s="177"/>
      <c r="O734" s="177"/>
      <c r="P734" s="177"/>
      <c r="Q734" s="177"/>
      <c r="R734" s="177"/>
      <c r="S734" s="177"/>
      <c r="T734" s="177"/>
      <c r="U734" s="177"/>
      <c r="V734" s="177"/>
      <c r="W734" s="177"/>
      <c r="X734" s="177"/>
      <c r="Y734" s="177"/>
      <c r="Z734" s="177"/>
      <c r="AA734" s="177"/>
      <c r="AB734" s="177"/>
      <c r="AC734" s="177"/>
    </row>
    <row r="735" spans="1:29" ht="13">
      <c r="A735" s="161"/>
      <c r="B735" s="161"/>
      <c r="C735" s="177"/>
      <c r="D735" s="177"/>
      <c r="E735" s="177"/>
      <c r="F735" s="177"/>
      <c r="G735" s="206"/>
      <c r="H735" s="177"/>
      <c r="I735" s="177"/>
      <c r="J735" s="177"/>
      <c r="K735" s="177"/>
      <c r="L735" s="178"/>
      <c r="M735" s="177"/>
      <c r="N735" s="177"/>
      <c r="O735" s="177"/>
      <c r="P735" s="177"/>
      <c r="Q735" s="177"/>
      <c r="R735" s="177"/>
      <c r="S735" s="177"/>
      <c r="T735" s="177"/>
      <c r="U735" s="177"/>
      <c r="V735" s="177"/>
      <c r="W735" s="177"/>
      <c r="X735" s="177"/>
      <c r="Y735" s="177"/>
      <c r="Z735" s="177"/>
      <c r="AA735" s="177"/>
      <c r="AB735" s="177"/>
      <c r="AC735" s="177"/>
    </row>
    <row r="736" spans="1:29" ht="13">
      <c r="A736" s="161"/>
      <c r="B736" s="161"/>
      <c r="C736" s="177"/>
      <c r="D736" s="177"/>
      <c r="E736" s="177"/>
      <c r="F736" s="177"/>
      <c r="G736" s="206"/>
      <c r="H736" s="177"/>
      <c r="I736" s="177"/>
      <c r="J736" s="177"/>
      <c r="K736" s="177"/>
      <c r="L736" s="178"/>
      <c r="M736" s="177"/>
      <c r="N736" s="177"/>
      <c r="O736" s="177"/>
      <c r="P736" s="177"/>
      <c r="Q736" s="177"/>
      <c r="R736" s="177"/>
      <c r="S736" s="177"/>
      <c r="T736" s="177"/>
      <c r="U736" s="177"/>
      <c r="V736" s="177"/>
      <c r="W736" s="177"/>
      <c r="X736" s="177"/>
      <c r="Y736" s="177"/>
      <c r="Z736" s="177"/>
      <c r="AA736" s="177"/>
      <c r="AB736" s="177"/>
      <c r="AC736" s="177"/>
    </row>
    <row r="737" spans="1:29" ht="13">
      <c r="A737" s="161"/>
      <c r="B737" s="161"/>
      <c r="C737" s="177"/>
      <c r="D737" s="177"/>
      <c r="E737" s="177"/>
      <c r="F737" s="177"/>
      <c r="G737" s="206"/>
      <c r="H737" s="177"/>
      <c r="I737" s="177"/>
      <c r="J737" s="177"/>
      <c r="K737" s="177"/>
      <c r="L737" s="178"/>
      <c r="M737" s="177"/>
      <c r="N737" s="177"/>
      <c r="O737" s="177"/>
      <c r="P737" s="177"/>
      <c r="Q737" s="177"/>
      <c r="R737" s="177"/>
      <c r="S737" s="177"/>
      <c r="T737" s="177"/>
      <c r="U737" s="177"/>
      <c r="V737" s="177"/>
      <c r="W737" s="177"/>
      <c r="X737" s="177"/>
      <c r="Y737" s="177"/>
      <c r="Z737" s="177"/>
      <c r="AA737" s="177"/>
      <c r="AB737" s="177"/>
      <c r="AC737" s="177"/>
    </row>
    <row r="738" spans="1:29" ht="13">
      <c r="A738" s="161"/>
      <c r="B738" s="161"/>
      <c r="C738" s="177"/>
      <c r="D738" s="177"/>
      <c r="E738" s="177"/>
      <c r="F738" s="177"/>
      <c r="G738" s="206"/>
      <c r="H738" s="177"/>
      <c r="I738" s="177"/>
      <c r="J738" s="177"/>
      <c r="K738" s="177"/>
      <c r="L738" s="178"/>
      <c r="M738" s="177"/>
      <c r="N738" s="177"/>
      <c r="O738" s="177"/>
      <c r="P738" s="177"/>
      <c r="Q738" s="177"/>
      <c r="R738" s="177"/>
      <c r="S738" s="177"/>
      <c r="T738" s="177"/>
      <c r="U738" s="177"/>
      <c r="V738" s="177"/>
      <c r="W738" s="177"/>
      <c r="X738" s="177"/>
      <c r="Y738" s="177"/>
      <c r="Z738" s="177"/>
      <c r="AA738" s="177"/>
      <c r="AB738" s="177"/>
      <c r="AC738" s="177"/>
    </row>
    <row r="739" spans="1:29" ht="13">
      <c r="A739" s="161"/>
      <c r="B739" s="161"/>
      <c r="C739" s="177"/>
      <c r="D739" s="177"/>
      <c r="E739" s="177"/>
      <c r="F739" s="177"/>
      <c r="G739" s="206"/>
      <c r="H739" s="177"/>
      <c r="I739" s="177"/>
      <c r="J739" s="177"/>
      <c r="K739" s="177"/>
      <c r="L739" s="178"/>
      <c r="M739" s="177"/>
      <c r="N739" s="177"/>
      <c r="O739" s="177"/>
      <c r="P739" s="177"/>
      <c r="Q739" s="177"/>
      <c r="R739" s="177"/>
      <c r="S739" s="177"/>
      <c r="T739" s="177"/>
      <c r="U739" s="177"/>
      <c r="V739" s="177"/>
      <c r="W739" s="177"/>
      <c r="X739" s="177"/>
      <c r="Y739" s="177"/>
      <c r="Z739" s="177"/>
      <c r="AA739" s="177"/>
      <c r="AB739" s="177"/>
      <c r="AC739" s="177"/>
    </row>
    <row r="740" spans="1:29" ht="13">
      <c r="A740" s="161"/>
      <c r="B740" s="161"/>
      <c r="C740" s="177"/>
      <c r="D740" s="177"/>
      <c r="E740" s="177"/>
      <c r="F740" s="177"/>
      <c r="G740" s="206"/>
      <c r="H740" s="177"/>
      <c r="I740" s="177"/>
      <c r="J740" s="177"/>
      <c r="K740" s="177"/>
      <c r="L740" s="178"/>
      <c r="M740" s="177"/>
      <c r="N740" s="177"/>
      <c r="O740" s="177"/>
      <c r="P740" s="177"/>
      <c r="Q740" s="177"/>
      <c r="R740" s="177"/>
      <c r="S740" s="177"/>
      <c r="T740" s="177"/>
      <c r="U740" s="177"/>
      <c r="V740" s="177"/>
      <c r="W740" s="177"/>
      <c r="X740" s="177"/>
      <c r="Y740" s="177"/>
      <c r="Z740" s="177"/>
      <c r="AA740" s="177"/>
      <c r="AB740" s="177"/>
      <c r="AC740" s="177"/>
    </row>
    <row r="741" spans="1:29" ht="13">
      <c r="A741" s="161"/>
      <c r="B741" s="161"/>
      <c r="C741" s="177"/>
      <c r="D741" s="177"/>
      <c r="E741" s="177"/>
      <c r="F741" s="177"/>
      <c r="G741" s="206"/>
      <c r="H741" s="177"/>
      <c r="I741" s="177"/>
      <c r="J741" s="177"/>
      <c r="K741" s="177"/>
      <c r="L741" s="178"/>
      <c r="M741" s="177"/>
      <c r="N741" s="177"/>
      <c r="O741" s="177"/>
      <c r="P741" s="177"/>
      <c r="Q741" s="177"/>
      <c r="R741" s="177"/>
      <c r="S741" s="177"/>
      <c r="T741" s="177"/>
      <c r="U741" s="177"/>
      <c r="V741" s="177"/>
      <c r="W741" s="177"/>
      <c r="X741" s="177"/>
      <c r="Y741" s="177"/>
      <c r="Z741" s="177"/>
      <c r="AA741" s="177"/>
      <c r="AB741" s="177"/>
      <c r="AC741" s="177"/>
    </row>
    <row r="742" spans="1:29" ht="13">
      <c r="A742" s="161"/>
      <c r="B742" s="161"/>
      <c r="C742" s="177"/>
      <c r="D742" s="177"/>
      <c r="E742" s="177"/>
      <c r="F742" s="177"/>
      <c r="G742" s="206"/>
      <c r="H742" s="177"/>
      <c r="I742" s="177"/>
      <c r="J742" s="177"/>
      <c r="K742" s="177"/>
      <c r="L742" s="178"/>
      <c r="M742" s="177"/>
      <c r="N742" s="177"/>
      <c r="O742" s="177"/>
      <c r="P742" s="177"/>
      <c r="Q742" s="177"/>
      <c r="R742" s="177"/>
      <c r="S742" s="177"/>
      <c r="T742" s="177"/>
      <c r="U742" s="177"/>
      <c r="V742" s="177"/>
      <c r="W742" s="177"/>
      <c r="X742" s="177"/>
      <c r="Y742" s="177"/>
      <c r="Z742" s="177"/>
      <c r="AA742" s="177"/>
      <c r="AB742" s="177"/>
      <c r="AC742" s="177"/>
    </row>
    <row r="743" spans="1:29" ht="13">
      <c r="A743" s="161"/>
      <c r="B743" s="161"/>
      <c r="C743" s="177"/>
      <c r="D743" s="177"/>
      <c r="E743" s="177"/>
      <c r="F743" s="177"/>
      <c r="G743" s="206"/>
      <c r="H743" s="177"/>
      <c r="I743" s="177"/>
      <c r="J743" s="177"/>
      <c r="K743" s="177"/>
      <c r="L743" s="178"/>
      <c r="M743" s="177"/>
      <c r="N743" s="177"/>
      <c r="O743" s="177"/>
      <c r="P743" s="177"/>
      <c r="Q743" s="177"/>
      <c r="R743" s="177"/>
      <c r="S743" s="177"/>
      <c r="T743" s="177"/>
      <c r="U743" s="177"/>
      <c r="V743" s="177"/>
      <c r="W743" s="177"/>
      <c r="X743" s="177"/>
      <c r="Y743" s="177"/>
      <c r="Z743" s="177"/>
      <c r="AA743" s="177"/>
      <c r="AB743" s="177"/>
      <c r="AC743" s="177"/>
    </row>
    <row r="744" spans="1:29" ht="13">
      <c r="A744" s="161"/>
      <c r="B744" s="161"/>
      <c r="C744" s="177"/>
      <c r="D744" s="177"/>
      <c r="E744" s="177"/>
      <c r="F744" s="177"/>
      <c r="G744" s="206"/>
      <c r="H744" s="177"/>
      <c r="I744" s="177"/>
      <c r="J744" s="177"/>
      <c r="K744" s="177"/>
      <c r="L744" s="178"/>
      <c r="M744" s="177"/>
      <c r="N744" s="177"/>
      <c r="O744" s="177"/>
      <c r="P744" s="177"/>
      <c r="Q744" s="177"/>
      <c r="R744" s="177"/>
      <c r="S744" s="177"/>
      <c r="T744" s="177"/>
      <c r="U744" s="177"/>
      <c r="V744" s="177"/>
      <c r="W744" s="177"/>
      <c r="X744" s="177"/>
      <c r="Y744" s="177"/>
      <c r="Z744" s="177"/>
      <c r="AA744" s="177"/>
      <c r="AB744" s="177"/>
      <c r="AC744" s="177"/>
    </row>
    <row r="745" spans="1:29" ht="13">
      <c r="A745" s="161"/>
      <c r="B745" s="161"/>
      <c r="C745" s="177"/>
      <c r="D745" s="177"/>
      <c r="E745" s="177"/>
      <c r="F745" s="177"/>
      <c r="G745" s="206"/>
      <c r="H745" s="177"/>
      <c r="I745" s="177"/>
      <c r="J745" s="177"/>
      <c r="K745" s="177"/>
      <c r="L745" s="178"/>
      <c r="M745" s="177"/>
      <c r="N745" s="177"/>
      <c r="O745" s="177"/>
      <c r="P745" s="177"/>
      <c r="Q745" s="177"/>
      <c r="R745" s="177"/>
      <c r="S745" s="177"/>
      <c r="T745" s="177"/>
      <c r="U745" s="177"/>
      <c r="V745" s="177"/>
      <c r="W745" s="177"/>
      <c r="X745" s="177"/>
      <c r="Y745" s="177"/>
      <c r="Z745" s="177"/>
      <c r="AA745" s="177"/>
      <c r="AB745" s="177"/>
      <c r="AC745" s="177"/>
    </row>
    <row r="746" spans="1:29" ht="13">
      <c r="A746" s="161"/>
      <c r="B746" s="161"/>
      <c r="C746" s="177"/>
      <c r="D746" s="177"/>
      <c r="E746" s="177"/>
      <c r="F746" s="177"/>
      <c r="G746" s="206"/>
      <c r="H746" s="177"/>
      <c r="I746" s="177"/>
      <c r="J746" s="177"/>
      <c r="K746" s="177"/>
      <c r="L746" s="178"/>
      <c r="M746" s="177"/>
      <c r="N746" s="177"/>
      <c r="O746" s="177"/>
      <c r="P746" s="177"/>
      <c r="Q746" s="177"/>
      <c r="R746" s="177"/>
      <c r="S746" s="177"/>
      <c r="T746" s="177"/>
      <c r="U746" s="177"/>
      <c r="V746" s="177"/>
      <c r="W746" s="177"/>
      <c r="X746" s="177"/>
      <c r="Y746" s="177"/>
      <c r="Z746" s="177"/>
      <c r="AA746" s="177"/>
      <c r="AB746" s="177"/>
      <c r="AC746" s="177"/>
    </row>
    <row r="747" spans="1:29" ht="13">
      <c r="A747" s="161"/>
      <c r="B747" s="161"/>
      <c r="C747" s="177"/>
      <c r="D747" s="177"/>
      <c r="E747" s="177"/>
      <c r="F747" s="177"/>
      <c r="G747" s="206"/>
      <c r="H747" s="177"/>
      <c r="I747" s="177"/>
      <c r="J747" s="177"/>
      <c r="K747" s="177"/>
      <c r="L747" s="178"/>
      <c r="M747" s="177"/>
      <c r="N747" s="177"/>
      <c r="O747" s="177"/>
      <c r="P747" s="177"/>
      <c r="Q747" s="177"/>
      <c r="R747" s="177"/>
      <c r="S747" s="177"/>
      <c r="T747" s="177"/>
      <c r="U747" s="177"/>
      <c r="V747" s="177"/>
      <c r="W747" s="177"/>
      <c r="X747" s="177"/>
      <c r="Y747" s="177"/>
      <c r="Z747" s="177"/>
      <c r="AA747" s="177"/>
      <c r="AB747" s="177"/>
      <c r="AC747" s="177"/>
    </row>
    <row r="748" spans="1:29" ht="13">
      <c r="A748" s="161"/>
      <c r="B748" s="161"/>
      <c r="C748" s="177"/>
      <c r="D748" s="177"/>
      <c r="E748" s="177"/>
      <c r="F748" s="177"/>
      <c r="G748" s="206"/>
      <c r="H748" s="177"/>
      <c r="I748" s="177"/>
      <c r="J748" s="177"/>
      <c r="K748" s="177"/>
      <c r="L748" s="178"/>
      <c r="M748" s="177"/>
      <c r="N748" s="177"/>
      <c r="O748" s="177"/>
      <c r="P748" s="177"/>
      <c r="Q748" s="177"/>
      <c r="R748" s="177"/>
      <c r="S748" s="177"/>
      <c r="T748" s="177"/>
      <c r="U748" s="177"/>
      <c r="V748" s="177"/>
      <c r="W748" s="177"/>
      <c r="X748" s="177"/>
      <c r="Y748" s="177"/>
      <c r="Z748" s="177"/>
      <c r="AA748" s="177"/>
      <c r="AB748" s="177"/>
      <c r="AC748" s="177"/>
    </row>
    <row r="749" spans="1:29" ht="13">
      <c r="A749" s="161"/>
      <c r="B749" s="161"/>
      <c r="C749" s="177"/>
      <c r="D749" s="177"/>
      <c r="E749" s="177"/>
      <c r="F749" s="177"/>
      <c r="G749" s="206"/>
      <c r="H749" s="177"/>
      <c r="I749" s="177"/>
      <c r="J749" s="177"/>
      <c r="K749" s="177"/>
      <c r="L749" s="178"/>
      <c r="M749" s="177"/>
      <c r="N749" s="177"/>
      <c r="O749" s="177"/>
      <c r="P749" s="177"/>
      <c r="Q749" s="177"/>
      <c r="R749" s="177"/>
      <c r="S749" s="177"/>
      <c r="T749" s="177"/>
      <c r="U749" s="177"/>
      <c r="V749" s="177"/>
      <c r="W749" s="177"/>
      <c r="X749" s="177"/>
      <c r="Y749" s="177"/>
      <c r="Z749" s="177"/>
      <c r="AA749" s="177"/>
      <c r="AB749" s="177"/>
      <c r="AC749" s="177"/>
    </row>
    <row r="750" spans="1:29" ht="13">
      <c r="A750" s="161"/>
      <c r="B750" s="161"/>
      <c r="C750" s="177"/>
      <c r="D750" s="177"/>
      <c r="E750" s="177"/>
      <c r="F750" s="177"/>
      <c r="G750" s="206"/>
      <c r="H750" s="177"/>
      <c r="I750" s="177"/>
      <c r="J750" s="177"/>
      <c r="K750" s="177"/>
      <c r="L750" s="178"/>
      <c r="M750" s="177"/>
      <c r="N750" s="177"/>
      <c r="O750" s="177"/>
      <c r="P750" s="177"/>
      <c r="Q750" s="177"/>
      <c r="R750" s="177"/>
      <c r="S750" s="177"/>
      <c r="T750" s="177"/>
      <c r="U750" s="177"/>
      <c r="V750" s="177"/>
      <c r="W750" s="177"/>
      <c r="X750" s="177"/>
      <c r="Y750" s="177"/>
      <c r="Z750" s="177"/>
      <c r="AA750" s="177"/>
      <c r="AB750" s="177"/>
      <c r="AC750" s="177"/>
    </row>
    <row r="751" spans="1:29" ht="13">
      <c r="A751" s="161"/>
      <c r="B751" s="161"/>
      <c r="C751" s="177"/>
      <c r="D751" s="177"/>
      <c r="E751" s="177"/>
      <c r="F751" s="177"/>
      <c r="G751" s="206"/>
      <c r="H751" s="177"/>
      <c r="I751" s="177"/>
      <c r="J751" s="177"/>
      <c r="K751" s="177"/>
      <c r="L751" s="178"/>
      <c r="M751" s="177"/>
      <c r="N751" s="177"/>
      <c r="O751" s="177"/>
      <c r="P751" s="177"/>
      <c r="Q751" s="177"/>
      <c r="R751" s="177"/>
      <c r="S751" s="177"/>
      <c r="T751" s="177"/>
      <c r="U751" s="177"/>
      <c r="V751" s="177"/>
      <c r="W751" s="177"/>
      <c r="X751" s="177"/>
      <c r="Y751" s="177"/>
      <c r="Z751" s="177"/>
      <c r="AA751" s="177"/>
      <c r="AB751" s="177"/>
      <c r="AC751" s="177"/>
    </row>
    <row r="752" spans="1:29" ht="13">
      <c r="A752" s="161"/>
      <c r="B752" s="161"/>
      <c r="C752" s="177"/>
      <c r="D752" s="177"/>
      <c r="E752" s="177"/>
      <c r="F752" s="177"/>
      <c r="G752" s="206"/>
      <c r="H752" s="177"/>
      <c r="I752" s="177"/>
      <c r="J752" s="177"/>
      <c r="K752" s="177"/>
      <c r="L752" s="178"/>
      <c r="M752" s="177"/>
      <c r="N752" s="177"/>
      <c r="O752" s="177"/>
      <c r="P752" s="177"/>
      <c r="Q752" s="177"/>
      <c r="R752" s="177"/>
      <c r="S752" s="177"/>
      <c r="T752" s="177"/>
      <c r="U752" s="177"/>
      <c r="V752" s="177"/>
      <c r="W752" s="177"/>
      <c r="X752" s="177"/>
      <c r="Y752" s="177"/>
      <c r="Z752" s="177"/>
      <c r="AA752" s="177"/>
      <c r="AB752" s="177"/>
      <c r="AC752" s="177"/>
    </row>
    <row r="753" spans="1:29" ht="13">
      <c r="A753" s="161"/>
      <c r="B753" s="161"/>
      <c r="C753" s="177"/>
      <c r="D753" s="177"/>
      <c r="E753" s="177"/>
      <c r="F753" s="177"/>
      <c r="G753" s="206"/>
      <c r="H753" s="177"/>
      <c r="I753" s="177"/>
      <c r="J753" s="177"/>
      <c r="K753" s="177"/>
      <c r="L753" s="178"/>
      <c r="M753" s="177"/>
      <c r="N753" s="177"/>
      <c r="O753" s="177"/>
      <c r="P753" s="177"/>
      <c r="Q753" s="177"/>
      <c r="R753" s="177"/>
      <c r="S753" s="177"/>
      <c r="T753" s="177"/>
      <c r="U753" s="177"/>
      <c r="V753" s="177"/>
      <c r="W753" s="177"/>
      <c r="X753" s="177"/>
      <c r="Y753" s="177"/>
      <c r="Z753" s="177"/>
      <c r="AA753" s="177"/>
      <c r="AB753" s="177"/>
      <c r="AC753" s="177"/>
    </row>
    <row r="754" spans="1:29" ht="13">
      <c r="A754" s="161"/>
      <c r="B754" s="161"/>
      <c r="C754" s="177"/>
      <c r="D754" s="177"/>
      <c r="E754" s="177"/>
      <c r="F754" s="177"/>
      <c r="G754" s="206"/>
      <c r="H754" s="177"/>
      <c r="I754" s="177"/>
      <c r="J754" s="177"/>
      <c r="K754" s="177"/>
      <c r="L754" s="178"/>
      <c r="M754" s="177"/>
      <c r="N754" s="177"/>
      <c r="O754" s="177"/>
      <c r="P754" s="177"/>
      <c r="Q754" s="177"/>
      <c r="R754" s="177"/>
      <c r="S754" s="177"/>
      <c r="T754" s="177"/>
      <c r="U754" s="177"/>
      <c r="V754" s="177"/>
      <c r="W754" s="177"/>
      <c r="X754" s="177"/>
      <c r="Y754" s="177"/>
      <c r="Z754" s="177"/>
      <c r="AA754" s="177"/>
      <c r="AB754" s="177"/>
      <c r="AC754" s="177"/>
    </row>
    <row r="755" spans="1:29" ht="13">
      <c r="A755" s="161"/>
      <c r="B755" s="161"/>
      <c r="C755" s="177"/>
      <c r="D755" s="177"/>
      <c r="E755" s="177"/>
      <c r="F755" s="177"/>
      <c r="G755" s="206"/>
      <c r="H755" s="177"/>
      <c r="I755" s="177"/>
      <c r="J755" s="177"/>
      <c r="K755" s="177"/>
      <c r="L755" s="178"/>
      <c r="M755" s="177"/>
      <c r="N755" s="177"/>
      <c r="O755" s="177"/>
      <c r="P755" s="177"/>
      <c r="Q755" s="177"/>
      <c r="R755" s="177"/>
      <c r="S755" s="177"/>
      <c r="T755" s="177"/>
      <c r="U755" s="177"/>
      <c r="V755" s="177"/>
      <c r="W755" s="177"/>
      <c r="X755" s="177"/>
      <c r="Y755" s="177"/>
      <c r="Z755" s="177"/>
      <c r="AA755" s="177"/>
      <c r="AB755" s="177"/>
      <c r="AC755" s="177"/>
    </row>
    <row r="756" spans="1:29" ht="13">
      <c r="A756" s="161"/>
      <c r="B756" s="161"/>
      <c r="C756" s="177"/>
      <c r="D756" s="177"/>
      <c r="E756" s="177"/>
      <c r="F756" s="177"/>
      <c r="G756" s="206"/>
      <c r="H756" s="177"/>
      <c r="I756" s="177"/>
      <c r="J756" s="177"/>
      <c r="K756" s="177"/>
      <c r="L756" s="178"/>
      <c r="M756" s="177"/>
      <c r="N756" s="177"/>
      <c r="O756" s="177"/>
      <c r="P756" s="177"/>
      <c r="Q756" s="177"/>
      <c r="R756" s="177"/>
      <c r="S756" s="177"/>
      <c r="T756" s="177"/>
      <c r="U756" s="177"/>
      <c r="V756" s="177"/>
      <c r="W756" s="177"/>
      <c r="X756" s="177"/>
      <c r="Y756" s="177"/>
      <c r="Z756" s="177"/>
      <c r="AA756" s="177"/>
      <c r="AB756" s="177"/>
      <c r="AC756" s="177"/>
    </row>
    <row r="757" spans="1:29" ht="13">
      <c r="A757" s="161"/>
      <c r="B757" s="161"/>
      <c r="C757" s="177"/>
      <c r="D757" s="177"/>
      <c r="E757" s="177"/>
      <c r="F757" s="177"/>
      <c r="G757" s="206"/>
      <c r="H757" s="177"/>
      <c r="I757" s="177"/>
      <c r="J757" s="177"/>
      <c r="K757" s="177"/>
      <c r="L757" s="178"/>
      <c r="M757" s="177"/>
      <c r="N757" s="177"/>
      <c r="O757" s="177"/>
      <c r="P757" s="177"/>
      <c r="Q757" s="177"/>
      <c r="R757" s="177"/>
      <c r="S757" s="177"/>
      <c r="T757" s="177"/>
      <c r="U757" s="177"/>
      <c r="V757" s="177"/>
      <c r="W757" s="177"/>
      <c r="X757" s="177"/>
      <c r="Y757" s="177"/>
      <c r="Z757" s="177"/>
      <c r="AA757" s="177"/>
      <c r="AB757" s="177"/>
      <c r="AC757" s="177"/>
    </row>
    <row r="758" spans="1:29" ht="13">
      <c r="A758" s="161"/>
      <c r="B758" s="161"/>
      <c r="C758" s="177"/>
      <c r="D758" s="177"/>
      <c r="E758" s="177"/>
      <c r="F758" s="177"/>
      <c r="G758" s="206"/>
      <c r="H758" s="177"/>
      <c r="I758" s="177"/>
      <c r="J758" s="177"/>
      <c r="K758" s="177"/>
      <c r="L758" s="178"/>
      <c r="M758" s="177"/>
      <c r="N758" s="177"/>
      <c r="O758" s="177"/>
      <c r="P758" s="177"/>
      <c r="Q758" s="177"/>
      <c r="R758" s="177"/>
      <c r="S758" s="177"/>
      <c r="T758" s="177"/>
      <c r="U758" s="177"/>
      <c r="V758" s="177"/>
      <c r="W758" s="177"/>
      <c r="X758" s="177"/>
      <c r="Y758" s="177"/>
      <c r="Z758" s="177"/>
      <c r="AA758" s="177"/>
      <c r="AB758" s="177"/>
      <c r="AC758" s="177"/>
    </row>
    <row r="759" spans="1:29" ht="13">
      <c r="A759" s="161"/>
      <c r="B759" s="161"/>
      <c r="C759" s="177"/>
      <c r="D759" s="177"/>
      <c r="E759" s="177"/>
      <c r="F759" s="177"/>
      <c r="G759" s="206"/>
      <c r="H759" s="177"/>
      <c r="I759" s="177"/>
      <c r="J759" s="177"/>
      <c r="K759" s="177"/>
      <c r="L759" s="178"/>
      <c r="M759" s="177"/>
      <c r="N759" s="177"/>
      <c r="O759" s="177"/>
      <c r="P759" s="177"/>
      <c r="Q759" s="177"/>
      <c r="R759" s="177"/>
      <c r="S759" s="177"/>
      <c r="T759" s="177"/>
      <c r="U759" s="177"/>
      <c r="V759" s="177"/>
      <c r="W759" s="177"/>
      <c r="X759" s="177"/>
      <c r="Y759" s="177"/>
      <c r="Z759" s="177"/>
      <c r="AA759" s="177"/>
      <c r="AB759" s="177"/>
      <c r="AC759" s="177"/>
    </row>
    <row r="760" spans="1:29" ht="13">
      <c r="A760" s="161"/>
      <c r="B760" s="161"/>
      <c r="C760" s="177"/>
      <c r="D760" s="177"/>
      <c r="E760" s="177"/>
      <c r="F760" s="177"/>
      <c r="G760" s="206"/>
      <c r="H760" s="177"/>
      <c r="I760" s="177"/>
      <c r="J760" s="177"/>
      <c r="K760" s="177"/>
      <c r="L760" s="178"/>
      <c r="M760" s="177"/>
      <c r="N760" s="177"/>
      <c r="O760" s="177"/>
      <c r="P760" s="177"/>
      <c r="Q760" s="177"/>
      <c r="R760" s="177"/>
      <c r="S760" s="177"/>
      <c r="T760" s="177"/>
      <c r="U760" s="177"/>
      <c r="V760" s="177"/>
      <c r="W760" s="177"/>
      <c r="X760" s="177"/>
      <c r="Y760" s="177"/>
      <c r="Z760" s="177"/>
      <c r="AA760" s="177"/>
      <c r="AB760" s="177"/>
      <c r="AC760" s="177"/>
    </row>
    <row r="761" spans="1:29" ht="13">
      <c r="A761" s="161"/>
      <c r="B761" s="161"/>
      <c r="C761" s="177"/>
      <c r="D761" s="177"/>
      <c r="E761" s="177"/>
      <c r="F761" s="177"/>
      <c r="G761" s="206"/>
      <c r="H761" s="177"/>
      <c r="I761" s="177"/>
      <c r="J761" s="177"/>
      <c r="K761" s="177"/>
      <c r="L761" s="178"/>
      <c r="M761" s="177"/>
      <c r="N761" s="177"/>
      <c r="O761" s="177"/>
      <c r="P761" s="177"/>
      <c r="Q761" s="177"/>
      <c r="R761" s="177"/>
      <c r="S761" s="177"/>
      <c r="T761" s="177"/>
      <c r="U761" s="177"/>
      <c r="V761" s="177"/>
      <c r="W761" s="177"/>
      <c r="X761" s="177"/>
      <c r="Y761" s="177"/>
      <c r="Z761" s="177"/>
      <c r="AA761" s="177"/>
      <c r="AB761" s="177"/>
      <c r="AC761" s="177"/>
    </row>
    <row r="762" spans="1:29" ht="13">
      <c r="A762" s="161"/>
      <c r="B762" s="161"/>
      <c r="C762" s="177"/>
      <c r="D762" s="177"/>
      <c r="E762" s="177"/>
      <c r="F762" s="177"/>
      <c r="G762" s="206"/>
      <c r="H762" s="177"/>
      <c r="I762" s="177"/>
      <c r="J762" s="177"/>
      <c r="K762" s="177"/>
      <c r="L762" s="178"/>
      <c r="M762" s="177"/>
      <c r="N762" s="177"/>
      <c r="O762" s="177"/>
      <c r="P762" s="177"/>
      <c r="Q762" s="177"/>
      <c r="R762" s="177"/>
      <c r="S762" s="177"/>
      <c r="T762" s="177"/>
      <c r="U762" s="177"/>
      <c r="V762" s="177"/>
      <c r="W762" s="177"/>
      <c r="X762" s="177"/>
      <c r="Y762" s="177"/>
      <c r="Z762" s="177"/>
      <c r="AA762" s="177"/>
      <c r="AB762" s="177"/>
      <c r="AC762" s="177"/>
    </row>
    <row r="763" spans="1:29" ht="13">
      <c r="A763" s="161"/>
      <c r="B763" s="161"/>
      <c r="C763" s="177"/>
      <c r="D763" s="177"/>
      <c r="E763" s="177"/>
      <c r="F763" s="177"/>
      <c r="G763" s="206"/>
      <c r="H763" s="177"/>
      <c r="I763" s="177"/>
      <c r="J763" s="177"/>
      <c r="K763" s="177"/>
      <c r="L763" s="178"/>
      <c r="M763" s="177"/>
      <c r="N763" s="177"/>
      <c r="O763" s="177"/>
      <c r="P763" s="177"/>
      <c r="Q763" s="177"/>
      <c r="R763" s="177"/>
      <c r="S763" s="177"/>
      <c r="T763" s="177"/>
      <c r="U763" s="177"/>
      <c r="V763" s="177"/>
      <c r="W763" s="177"/>
      <c r="X763" s="177"/>
      <c r="Y763" s="177"/>
      <c r="Z763" s="177"/>
      <c r="AA763" s="177"/>
      <c r="AB763" s="177"/>
      <c r="AC763" s="177"/>
    </row>
    <row r="764" spans="1:29" ht="13">
      <c r="A764" s="161"/>
      <c r="B764" s="161"/>
      <c r="C764" s="177"/>
      <c r="D764" s="177"/>
      <c r="E764" s="177"/>
      <c r="F764" s="177"/>
      <c r="G764" s="206"/>
      <c r="H764" s="177"/>
      <c r="I764" s="177"/>
      <c r="J764" s="177"/>
      <c r="K764" s="177"/>
      <c r="L764" s="178"/>
      <c r="M764" s="177"/>
      <c r="N764" s="177"/>
      <c r="O764" s="177"/>
      <c r="P764" s="177"/>
      <c r="Q764" s="177"/>
      <c r="R764" s="177"/>
      <c r="S764" s="177"/>
      <c r="T764" s="177"/>
      <c r="U764" s="177"/>
      <c r="V764" s="177"/>
      <c r="W764" s="177"/>
      <c r="X764" s="177"/>
      <c r="Y764" s="177"/>
      <c r="Z764" s="177"/>
      <c r="AA764" s="177"/>
      <c r="AB764" s="177"/>
      <c r="AC764" s="177"/>
    </row>
    <row r="765" spans="1:29" ht="13">
      <c r="A765" s="161"/>
      <c r="B765" s="161"/>
      <c r="C765" s="177"/>
      <c r="D765" s="177"/>
      <c r="E765" s="177"/>
      <c r="F765" s="177"/>
      <c r="G765" s="206"/>
      <c r="H765" s="177"/>
      <c r="I765" s="177"/>
      <c r="J765" s="177"/>
      <c r="K765" s="177"/>
      <c r="L765" s="178"/>
      <c r="M765" s="177"/>
      <c r="N765" s="177"/>
      <c r="O765" s="177"/>
      <c r="P765" s="177"/>
      <c r="Q765" s="177"/>
      <c r="R765" s="177"/>
      <c r="S765" s="177"/>
      <c r="T765" s="177"/>
      <c r="U765" s="177"/>
      <c r="V765" s="177"/>
      <c r="W765" s="177"/>
      <c r="X765" s="177"/>
      <c r="Y765" s="177"/>
      <c r="Z765" s="177"/>
      <c r="AA765" s="177"/>
      <c r="AB765" s="177"/>
      <c r="AC765" s="177"/>
    </row>
    <row r="766" spans="1:29" ht="13">
      <c r="A766" s="161"/>
      <c r="B766" s="161"/>
      <c r="C766" s="177"/>
      <c r="D766" s="177"/>
      <c r="E766" s="177"/>
      <c r="F766" s="177"/>
      <c r="G766" s="206"/>
      <c r="H766" s="177"/>
      <c r="I766" s="177"/>
      <c r="J766" s="177"/>
      <c r="K766" s="177"/>
      <c r="L766" s="178"/>
      <c r="M766" s="177"/>
      <c r="N766" s="177"/>
      <c r="O766" s="177"/>
      <c r="P766" s="177"/>
      <c r="Q766" s="177"/>
      <c r="R766" s="177"/>
      <c r="S766" s="177"/>
      <c r="T766" s="177"/>
      <c r="U766" s="177"/>
      <c r="V766" s="177"/>
      <c r="W766" s="177"/>
      <c r="X766" s="177"/>
      <c r="Y766" s="177"/>
      <c r="Z766" s="177"/>
      <c r="AA766" s="177"/>
      <c r="AB766" s="177"/>
      <c r="AC766" s="177"/>
    </row>
    <row r="767" spans="1:29" ht="13">
      <c r="A767" s="161"/>
      <c r="B767" s="161"/>
      <c r="C767" s="177"/>
      <c r="D767" s="177"/>
      <c r="E767" s="177"/>
      <c r="F767" s="177"/>
      <c r="G767" s="206"/>
      <c r="H767" s="177"/>
      <c r="I767" s="177"/>
      <c r="J767" s="177"/>
      <c r="K767" s="177"/>
      <c r="L767" s="178"/>
      <c r="M767" s="177"/>
      <c r="N767" s="177"/>
      <c r="O767" s="177"/>
      <c r="P767" s="177"/>
      <c r="Q767" s="177"/>
      <c r="R767" s="177"/>
      <c r="S767" s="177"/>
      <c r="T767" s="177"/>
      <c r="U767" s="177"/>
      <c r="V767" s="177"/>
      <c r="W767" s="177"/>
      <c r="X767" s="177"/>
      <c r="Y767" s="177"/>
      <c r="Z767" s="177"/>
      <c r="AA767" s="177"/>
      <c r="AB767" s="177"/>
      <c r="AC767" s="177"/>
    </row>
    <row r="768" spans="1:29" ht="13">
      <c r="A768" s="161"/>
      <c r="B768" s="161"/>
      <c r="C768" s="177"/>
      <c r="D768" s="177"/>
      <c r="E768" s="177"/>
      <c r="F768" s="177"/>
      <c r="G768" s="206"/>
      <c r="H768" s="177"/>
      <c r="I768" s="177"/>
      <c r="J768" s="177"/>
      <c r="K768" s="177"/>
      <c r="L768" s="178"/>
      <c r="M768" s="177"/>
      <c r="N768" s="177"/>
      <c r="O768" s="177"/>
      <c r="P768" s="177"/>
      <c r="Q768" s="177"/>
      <c r="R768" s="177"/>
      <c r="S768" s="177"/>
      <c r="T768" s="177"/>
      <c r="U768" s="177"/>
      <c r="V768" s="177"/>
      <c r="W768" s="177"/>
      <c r="X768" s="177"/>
      <c r="Y768" s="177"/>
      <c r="Z768" s="177"/>
      <c r="AA768" s="177"/>
      <c r="AB768" s="177"/>
      <c r="AC768" s="177"/>
    </row>
    <row r="769" spans="1:29" ht="13">
      <c r="A769" s="161"/>
      <c r="B769" s="161"/>
      <c r="C769" s="177"/>
      <c r="D769" s="177"/>
      <c r="E769" s="177"/>
      <c r="F769" s="177"/>
      <c r="G769" s="206"/>
      <c r="H769" s="177"/>
      <c r="I769" s="177"/>
      <c r="J769" s="177"/>
      <c r="K769" s="177"/>
      <c r="L769" s="178"/>
      <c r="M769" s="177"/>
      <c r="N769" s="177"/>
      <c r="O769" s="177"/>
      <c r="P769" s="177"/>
      <c r="Q769" s="177"/>
      <c r="R769" s="177"/>
      <c r="S769" s="177"/>
      <c r="T769" s="177"/>
      <c r="U769" s="177"/>
      <c r="V769" s="177"/>
      <c r="W769" s="177"/>
      <c r="X769" s="177"/>
      <c r="Y769" s="177"/>
      <c r="Z769" s="177"/>
      <c r="AA769" s="177"/>
      <c r="AB769" s="177"/>
      <c r="AC769" s="177"/>
    </row>
    <row r="770" spans="1:29" ht="13">
      <c r="A770" s="161"/>
      <c r="B770" s="161"/>
      <c r="C770" s="177"/>
      <c r="D770" s="177"/>
      <c r="E770" s="177"/>
      <c r="F770" s="177"/>
      <c r="G770" s="206"/>
      <c r="H770" s="177"/>
      <c r="I770" s="177"/>
      <c r="J770" s="177"/>
      <c r="K770" s="177"/>
      <c r="L770" s="178"/>
      <c r="M770" s="177"/>
      <c r="N770" s="177"/>
      <c r="O770" s="177"/>
      <c r="P770" s="177"/>
      <c r="Q770" s="177"/>
      <c r="R770" s="177"/>
      <c r="S770" s="177"/>
      <c r="T770" s="177"/>
      <c r="U770" s="177"/>
      <c r="V770" s="177"/>
      <c r="W770" s="177"/>
      <c r="X770" s="177"/>
      <c r="Y770" s="177"/>
      <c r="Z770" s="177"/>
      <c r="AA770" s="177"/>
      <c r="AB770" s="177"/>
      <c r="AC770" s="177"/>
    </row>
    <row r="771" spans="1:29" ht="13">
      <c r="A771" s="161"/>
      <c r="B771" s="161"/>
      <c r="C771" s="177"/>
      <c r="D771" s="177"/>
      <c r="E771" s="177"/>
      <c r="F771" s="177"/>
      <c r="G771" s="206"/>
      <c r="H771" s="177"/>
      <c r="I771" s="177"/>
      <c r="J771" s="177"/>
      <c r="K771" s="177"/>
      <c r="L771" s="178"/>
      <c r="M771" s="177"/>
      <c r="N771" s="177"/>
      <c r="O771" s="177"/>
      <c r="P771" s="177"/>
      <c r="Q771" s="177"/>
      <c r="R771" s="177"/>
      <c r="S771" s="177"/>
      <c r="T771" s="177"/>
      <c r="U771" s="177"/>
      <c r="V771" s="177"/>
      <c r="W771" s="177"/>
      <c r="X771" s="177"/>
      <c r="Y771" s="177"/>
      <c r="Z771" s="177"/>
      <c r="AA771" s="177"/>
      <c r="AB771" s="177"/>
      <c r="AC771" s="177"/>
    </row>
    <row r="772" spans="1:29" ht="13">
      <c r="A772" s="161"/>
      <c r="B772" s="161"/>
      <c r="C772" s="177"/>
      <c r="D772" s="177"/>
      <c r="E772" s="177"/>
      <c r="F772" s="177"/>
      <c r="G772" s="206"/>
      <c r="H772" s="177"/>
      <c r="I772" s="177"/>
      <c r="J772" s="177"/>
      <c r="K772" s="177"/>
      <c r="L772" s="178"/>
      <c r="M772" s="177"/>
      <c r="N772" s="177"/>
      <c r="O772" s="177"/>
      <c r="P772" s="177"/>
      <c r="Q772" s="177"/>
      <c r="R772" s="177"/>
      <c r="S772" s="177"/>
      <c r="T772" s="177"/>
      <c r="U772" s="177"/>
      <c r="V772" s="177"/>
      <c r="W772" s="177"/>
      <c r="X772" s="177"/>
      <c r="Y772" s="177"/>
      <c r="Z772" s="177"/>
      <c r="AA772" s="177"/>
      <c r="AB772" s="177"/>
      <c r="AC772" s="177"/>
    </row>
    <row r="773" spans="1:29" ht="13">
      <c r="A773" s="161"/>
      <c r="B773" s="161"/>
      <c r="C773" s="177"/>
      <c r="D773" s="177"/>
      <c r="E773" s="177"/>
      <c r="F773" s="177"/>
      <c r="G773" s="206"/>
      <c r="H773" s="177"/>
      <c r="I773" s="177"/>
      <c r="J773" s="177"/>
      <c r="K773" s="177"/>
      <c r="L773" s="178"/>
      <c r="M773" s="177"/>
      <c r="N773" s="177"/>
      <c r="O773" s="177"/>
      <c r="P773" s="177"/>
      <c r="Q773" s="177"/>
      <c r="R773" s="177"/>
      <c r="S773" s="177"/>
      <c r="T773" s="177"/>
      <c r="U773" s="177"/>
      <c r="V773" s="177"/>
      <c r="W773" s="177"/>
      <c r="X773" s="177"/>
      <c r="Y773" s="177"/>
      <c r="Z773" s="177"/>
      <c r="AA773" s="177"/>
      <c r="AB773" s="177"/>
      <c r="AC773" s="177"/>
    </row>
    <row r="774" spans="1:29" ht="13">
      <c r="A774" s="161"/>
      <c r="B774" s="161"/>
      <c r="C774" s="177"/>
      <c r="D774" s="177"/>
      <c r="E774" s="177"/>
      <c r="F774" s="177"/>
      <c r="G774" s="206"/>
      <c r="H774" s="177"/>
      <c r="I774" s="177"/>
      <c r="J774" s="177"/>
      <c r="K774" s="177"/>
      <c r="L774" s="178"/>
      <c r="M774" s="177"/>
      <c r="N774" s="177"/>
      <c r="O774" s="177"/>
      <c r="P774" s="177"/>
      <c r="Q774" s="177"/>
      <c r="R774" s="177"/>
      <c r="S774" s="177"/>
      <c r="T774" s="177"/>
      <c r="U774" s="177"/>
      <c r="V774" s="177"/>
      <c r="W774" s="177"/>
      <c r="X774" s="177"/>
      <c r="Y774" s="177"/>
      <c r="Z774" s="177"/>
      <c r="AA774" s="177"/>
      <c r="AB774" s="177"/>
      <c r="AC774" s="177"/>
    </row>
    <row r="775" spans="1:29" ht="13">
      <c r="A775" s="161"/>
      <c r="B775" s="161"/>
      <c r="C775" s="177"/>
      <c r="D775" s="177"/>
      <c r="E775" s="177"/>
      <c r="F775" s="177"/>
      <c r="G775" s="206"/>
      <c r="H775" s="177"/>
      <c r="I775" s="177"/>
      <c r="J775" s="177"/>
      <c r="K775" s="177"/>
      <c r="L775" s="178"/>
      <c r="M775" s="177"/>
      <c r="N775" s="177"/>
      <c r="O775" s="177"/>
      <c r="P775" s="177"/>
      <c r="Q775" s="177"/>
      <c r="R775" s="177"/>
      <c r="S775" s="177"/>
      <c r="T775" s="177"/>
      <c r="U775" s="177"/>
      <c r="V775" s="177"/>
      <c r="W775" s="177"/>
      <c r="X775" s="177"/>
      <c r="Y775" s="177"/>
      <c r="Z775" s="177"/>
      <c r="AA775" s="177"/>
      <c r="AB775" s="177"/>
      <c r="AC775" s="177"/>
    </row>
    <row r="776" spans="1:29" ht="13">
      <c r="A776" s="161"/>
      <c r="B776" s="161"/>
      <c r="C776" s="177"/>
      <c r="D776" s="177"/>
      <c r="E776" s="177"/>
      <c r="F776" s="177"/>
      <c r="G776" s="206"/>
      <c r="H776" s="177"/>
      <c r="I776" s="177"/>
      <c r="J776" s="177"/>
      <c r="K776" s="177"/>
      <c r="L776" s="178"/>
      <c r="M776" s="177"/>
      <c r="N776" s="177"/>
      <c r="O776" s="177"/>
      <c r="P776" s="177"/>
      <c r="Q776" s="177"/>
      <c r="R776" s="177"/>
      <c r="S776" s="177"/>
      <c r="T776" s="177"/>
      <c r="U776" s="177"/>
      <c r="V776" s="177"/>
      <c r="W776" s="177"/>
      <c r="X776" s="177"/>
      <c r="Y776" s="177"/>
      <c r="Z776" s="177"/>
      <c r="AA776" s="177"/>
      <c r="AB776" s="177"/>
      <c r="AC776" s="177"/>
    </row>
    <row r="777" spans="1:29" ht="13">
      <c r="A777" s="161"/>
      <c r="B777" s="161"/>
      <c r="C777" s="177"/>
      <c r="D777" s="177"/>
      <c r="E777" s="177"/>
      <c r="F777" s="177"/>
      <c r="G777" s="206"/>
      <c r="H777" s="177"/>
      <c r="I777" s="177"/>
      <c r="J777" s="177"/>
      <c r="K777" s="177"/>
      <c r="L777" s="178"/>
      <c r="M777" s="177"/>
      <c r="N777" s="177"/>
      <c r="O777" s="177"/>
      <c r="P777" s="177"/>
      <c r="Q777" s="177"/>
      <c r="R777" s="177"/>
      <c r="S777" s="177"/>
      <c r="T777" s="177"/>
      <c r="U777" s="177"/>
      <c r="V777" s="177"/>
      <c r="W777" s="177"/>
      <c r="X777" s="177"/>
      <c r="Y777" s="177"/>
      <c r="Z777" s="177"/>
      <c r="AA777" s="177"/>
      <c r="AB777" s="177"/>
      <c r="AC777" s="177"/>
    </row>
    <row r="778" spans="1:29" ht="13">
      <c r="A778" s="161"/>
      <c r="B778" s="161"/>
      <c r="C778" s="177"/>
      <c r="D778" s="177"/>
      <c r="E778" s="177"/>
      <c r="F778" s="177"/>
      <c r="G778" s="206"/>
      <c r="H778" s="177"/>
      <c r="I778" s="177"/>
      <c r="J778" s="177"/>
      <c r="K778" s="177"/>
      <c r="L778" s="178"/>
      <c r="M778" s="177"/>
      <c r="N778" s="177"/>
      <c r="O778" s="177"/>
      <c r="P778" s="177"/>
      <c r="Q778" s="177"/>
      <c r="R778" s="177"/>
      <c r="S778" s="177"/>
      <c r="T778" s="177"/>
      <c r="U778" s="177"/>
      <c r="V778" s="177"/>
      <c r="W778" s="177"/>
      <c r="X778" s="177"/>
      <c r="Y778" s="177"/>
      <c r="Z778" s="177"/>
      <c r="AA778" s="177"/>
      <c r="AB778" s="177"/>
      <c r="AC778" s="177"/>
    </row>
    <row r="779" spans="1:29" ht="13">
      <c r="A779" s="161"/>
      <c r="B779" s="161"/>
      <c r="C779" s="177"/>
      <c r="D779" s="177"/>
      <c r="E779" s="177"/>
      <c r="F779" s="177"/>
      <c r="G779" s="206"/>
      <c r="H779" s="177"/>
      <c r="I779" s="177"/>
      <c r="J779" s="177"/>
      <c r="K779" s="177"/>
      <c r="L779" s="178"/>
      <c r="M779" s="177"/>
      <c r="N779" s="177"/>
      <c r="O779" s="177"/>
      <c r="P779" s="177"/>
      <c r="Q779" s="177"/>
      <c r="R779" s="177"/>
      <c r="S779" s="177"/>
      <c r="T779" s="177"/>
      <c r="U779" s="177"/>
      <c r="V779" s="177"/>
      <c r="W779" s="177"/>
      <c r="X779" s="177"/>
      <c r="Y779" s="177"/>
      <c r="Z779" s="177"/>
      <c r="AA779" s="177"/>
      <c r="AB779" s="177"/>
      <c r="AC779" s="177"/>
    </row>
    <row r="780" spans="1:29" ht="13">
      <c r="A780" s="161"/>
      <c r="B780" s="161"/>
      <c r="C780" s="177"/>
      <c r="D780" s="177"/>
      <c r="E780" s="177"/>
      <c r="F780" s="177"/>
      <c r="G780" s="206"/>
      <c r="H780" s="177"/>
      <c r="I780" s="177"/>
      <c r="J780" s="177"/>
      <c r="K780" s="177"/>
      <c r="L780" s="178"/>
      <c r="M780" s="177"/>
      <c r="N780" s="177"/>
      <c r="O780" s="177"/>
      <c r="P780" s="177"/>
      <c r="Q780" s="177"/>
      <c r="R780" s="177"/>
      <c r="S780" s="177"/>
      <c r="T780" s="177"/>
      <c r="U780" s="177"/>
      <c r="V780" s="177"/>
      <c r="W780" s="177"/>
      <c r="X780" s="177"/>
      <c r="Y780" s="177"/>
      <c r="Z780" s="177"/>
      <c r="AA780" s="177"/>
      <c r="AB780" s="177"/>
      <c r="AC780" s="177"/>
    </row>
    <row r="781" spans="1:29" ht="13">
      <c r="A781" s="161"/>
      <c r="B781" s="161"/>
      <c r="C781" s="177"/>
      <c r="D781" s="177"/>
      <c r="E781" s="177"/>
      <c r="F781" s="177"/>
      <c r="G781" s="206"/>
      <c r="H781" s="177"/>
      <c r="I781" s="177"/>
      <c r="J781" s="177"/>
      <c r="K781" s="177"/>
      <c r="L781" s="178"/>
      <c r="M781" s="177"/>
      <c r="N781" s="177"/>
      <c r="O781" s="177"/>
      <c r="P781" s="177"/>
      <c r="Q781" s="177"/>
      <c r="R781" s="177"/>
      <c r="S781" s="177"/>
      <c r="T781" s="177"/>
      <c r="U781" s="177"/>
      <c r="V781" s="177"/>
      <c r="W781" s="177"/>
      <c r="X781" s="177"/>
      <c r="Y781" s="177"/>
      <c r="Z781" s="177"/>
      <c r="AA781" s="177"/>
      <c r="AB781" s="177"/>
      <c r="AC781" s="177"/>
    </row>
    <row r="782" spans="1:29" ht="13">
      <c r="A782" s="161"/>
      <c r="B782" s="161"/>
      <c r="C782" s="177"/>
      <c r="D782" s="177"/>
      <c r="E782" s="177"/>
      <c r="F782" s="177"/>
      <c r="G782" s="206"/>
      <c r="H782" s="177"/>
      <c r="I782" s="177"/>
      <c r="J782" s="177"/>
      <c r="K782" s="177"/>
      <c r="L782" s="178"/>
      <c r="M782" s="177"/>
      <c r="N782" s="177"/>
      <c r="O782" s="177"/>
      <c r="P782" s="177"/>
      <c r="Q782" s="177"/>
      <c r="R782" s="177"/>
      <c r="S782" s="177"/>
      <c r="T782" s="177"/>
      <c r="U782" s="177"/>
      <c r="V782" s="177"/>
      <c r="W782" s="177"/>
      <c r="X782" s="177"/>
      <c r="Y782" s="177"/>
      <c r="Z782" s="177"/>
      <c r="AA782" s="177"/>
      <c r="AB782" s="177"/>
      <c r="AC782" s="177"/>
    </row>
    <row r="783" spans="1:29" ht="13">
      <c r="A783" s="161"/>
      <c r="B783" s="161"/>
      <c r="C783" s="177"/>
      <c r="D783" s="177"/>
      <c r="E783" s="177"/>
      <c r="F783" s="177"/>
      <c r="G783" s="206"/>
      <c r="H783" s="177"/>
      <c r="I783" s="177"/>
      <c r="J783" s="177"/>
      <c r="K783" s="177"/>
      <c r="L783" s="178"/>
      <c r="M783" s="177"/>
      <c r="N783" s="177"/>
      <c r="O783" s="177"/>
      <c r="P783" s="177"/>
      <c r="Q783" s="177"/>
      <c r="R783" s="177"/>
      <c r="S783" s="177"/>
      <c r="T783" s="177"/>
      <c r="U783" s="177"/>
      <c r="V783" s="177"/>
      <c r="W783" s="177"/>
      <c r="X783" s="177"/>
      <c r="Y783" s="177"/>
      <c r="Z783" s="177"/>
      <c r="AA783" s="177"/>
      <c r="AB783" s="177"/>
      <c r="AC783" s="177"/>
    </row>
    <row r="784" spans="1:29" ht="13">
      <c r="A784" s="161"/>
      <c r="B784" s="161"/>
      <c r="C784" s="177"/>
      <c r="D784" s="177"/>
      <c r="E784" s="177"/>
      <c r="F784" s="177"/>
      <c r="G784" s="206"/>
      <c r="H784" s="177"/>
      <c r="I784" s="177"/>
      <c r="J784" s="177"/>
      <c r="K784" s="177"/>
      <c r="L784" s="178"/>
      <c r="M784" s="177"/>
      <c r="N784" s="177"/>
      <c r="O784" s="177"/>
      <c r="P784" s="177"/>
      <c r="Q784" s="177"/>
      <c r="R784" s="177"/>
      <c r="S784" s="177"/>
      <c r="T784" s="177"/>
      <c r="U784" s="177"/>
      <c r="V784" s="177"/>
      <c r="W784" s="177"/>
      <c r="X784" s="177"/>
      <c r="Y784" s="177"/>
      <c r="Z784" s="177"/>
      <c r="AA784" s="177"/>
      <c r="AB784" s="177"/>
      <c r="AC784" s="177"/>
    </row>
    <row r="785" spans="1:29" ht="13">
      <c r="A785" s="161"/>
      <c r="B785" s="161"/>
      <c r="C785" s="177"/>
      <c r="D785" s="177"/>
      <c r="E785" s="177"/>
      <c r="F785" s="177"/>
      <c r="G785" s="206"/>
      <c r="H785" s="177"/>
      <c r="I785" s="177"/>
      <c r="J785" s="177"/>
      <c r="K785" s="177"/>
      <c r="L785" s="178"/>
      <c r="M785" s="177"/>
      <c r="N785" s="177"/>
      <c r="O785" s="177"/>
      <c r="P785" s="177"/>
      <c r="Q785" s="177"/>
      <c r="R785" s="177"/>
      <c r="S785" s="177"/>
      <c r="T785" s="177"/>
      <c r="U785" s="177"/>
      <c r="V785" s="177"/>
      <c r="W785" s="177"/>
      <c r="X785" s="177"/>
      <c r="Y785" s="177"/>
      <c r="Z785" s="177"/>
      <c r="AA785" s="177"/>
      <c r="AB785" s="177"/>
      <c r="AC785" s="177"/>
    </row>
    <row r="786" spans="1:29" ht="13">
      <c r="A786" s="161"/>
      <c r="B786" s="161"/>
      <c r="C786" s="177"/>
      <c r="D786" s="177"/>
      <c r="E786" s="177"/>
      <c r="F786" s="177"/>
      <c r="G786" s="206"/>
      <c r="H786" s="177"/>
      <c r="I786" s="177"/>
      <c r="J786" s="177"/>
      <c r="K786" s="177"/>
      <c r="L786" s="178"/>
      <c r="M786" s="177"/>
      <c r="N786" s="177"/>
      <c r="O786" s="177"/>
      <c r="P786" s="177"/>
      <c r="Q786" s="177"/>
      <c r="R786" s="177"/>
      <c r="S786" s="177"/>
      <c r="T786" s="177"/>
      <c r="U786" s="177"/>
      <c r="V786" s="177"/>
      <c r="W786" s="177"/>
      <c r="X786" s="177"/>
      <c r="Y786" s="177"/>
      <c r="Z786" s="177"/>
      <c r="AA786" s="177"/>
      <c r="AB786" s="177"/>
      <c r="AC786" s="177"/>
    </row>
    <row r="787" spans="1:29" ht="13">
      <c r="A787" s="161"/>
      <c r="B787" s="161"/>
      <c r="C787" s="177"/>
      <c r="D787" s="177"/>
      <c r="E787" s="177"/>
      <c r="F787" s="177"/>
      <c r="G787" s="206"/>
      <c r="H787" s="177"/>
      <c r="I787" s="177"/>
      <c r="J787" s="177"/>
      <c r="K787" s="177"/>
      <c r="L787" s="178"/>
      <c r="M787" s="177"/>
      <c r="N787" s="177"/>
      <c r="O787" s="177"/>
      <c r="P787" s="177"/>
      <c r="Q787" s="177"/>
      <c r="R787" s="177"/>
      <c r="S787" s="177"/>
      <c r="T787" s="177"/>
      <c r="U787" s="177"/>
      <c r="V787" s="177"/>
      <c r="W787" s="177"/>
      <c r="X787" s="177"/>
      <c r="Y787" s="177"/>
      <c r="Z787" s="177"/>
      <c r="AA787" s="177"/>
      <c r="AB787" s="177"/>
      <c r="AC787" s="177"/>
    </row>
    <row r="788" spans="1:29" ht="13">
      <c r="A788" s="161"/>
      <c r="B788" s="161"/>
      <c r="C788" s="177"/>
      <c r="D788" s="177"/>
      <c r="E788" s="177"/>
      <c r="F788" s="177"/>
      <c r="G788" s="206"/>
      <c r="H788" s="177"/>
      <c r="I788" s="177"/>
      <c r="J788" s="177"/>
      <c r="K788" s="177"/>
      <c r="L788" s="178"/>
      <c r="M788" s="177"/>
      <c r="N788" s="177"/>
      <c r="O788" s="177"/>
      <c r="P788" s="177"/>
      <c r="Q788" s="177"/>
      <c r="R788" s="177"/>
      <c r="S788" s="177"/>
      <c r="T788" s="177"/>
      <c r="U788" s="177"/>
      <c r="V788" s="177"/>
      <c r="W788" s="177"/>
      <c r="X788" s="177"/>
      <c r="Y788" s="177"/>
      <c r="Z788" s="177"/>
      <c r="AA788" s="177"/>
      <c r="AB788" s="177"/>
      <c r="AC788" s="177"/>
    </row>
    <row r="789" spans="1:29" ht="13">
      <c r="A789" s="161"/>
      <c r="B789" s="161"/>
      <c r="C789" s="177"/>
      <c r="D789" s="177"/>
      <c r="E789" s="177"/>
      <c r="F789" s="177"/>
      <c r="G789" s="206"/>
      <c r="H789" s="177"/>
      <c r="I789" s="177"/>
      <c r="J789" s="177"/>
      <c r="K789" s="177"/>
      <c r="L789" s="178"/>
      <c r="M789" s="177"/>
      <c r="N789" s="177"/>
      <c r="O789" s="177"/>
      <c r="P789" s="177"/>
      <c r="Q789" s="177"/>
      <c r="R789" s="177"/>
      <c r="S789" s="177"/>
      <c r="T789" s="177"/>
      <c r="U789" s="177"/>
      <c r="V789" s="177"/>
      <c r="W789" s="177"/>
      <c r="X789" s="177"/>
      <c r="Y789" s="177"/>
      <c r="Z789" s="177"/>
      <c r="AA789" s="177"/>
      <c r="AB789" s="177"/>
      <c r="AC789" s="177"/>
    </row>
    <row r="790" spans="1:29" ht="13">
      <c r="A790" s="161"/>
      <c r="B790" s="161"/>
      <c r="C790" s="177"/>
      <c r="D790" s="177"/>
      <c r="E790" s="177"/>
      <c r="F790" s="177"/>
      <c r="G790" s="206"/>
      <c r="H790" s="177"/>
      <c r="I790" s="177"/>
      <c r="J790" s="177"/>
      <c r="K790" s="177"/>
      <c r="L790" s="178"/>
      <c r="M790" s="177"/>
      <c r="N790" s="177"/>
      <c r="O790" s="177"/>
      <c r="P790" s="177"/>
      <c r="Q790" s="177"/>
      <c r="R790" s="177"/>
      <c r="S790" s="177"/>
      <c r="T790" s="177"/>
      <c r="U790" s="177"/>
      <c r="V790" s="177"/>
      <c r="W790" s="177"/>
      <c r="X790" s="177"/>
      <c r="Y790" s="177"/>
      <c r="Z790" s="177"/>
      <c r="AA790" s="177"/>
      <c r="AB790" s="177"/>
      <c r="AC790" s="177"/>
    </row>
    <row r="791" spans="1:29" ht="13">
      <c r="A791" s="161"/>
      <c r="B791" s="161"/>
      <c r="C791" s="177"/>
      <c r="D791" s="177"/>
      <c r="E791" s="177"/>
      <c r="F791" s="177"/>
      <c r="G791" s="206"/>
      <c r="H791" s="177"/>
      <c r="I791" s="177"/>
      <c r="J791" s="177"/>
      <c r="K791" s="177"/>
      <c r="L791" s="178"/>
      <c r="M791" s="177"/>
      <c r="N791" s="177"/>
      <c r="O791" s="177"/>
      <c r="P791" s="177"/>
      <c r="Q791" s="177"/>
      <c r="R791" s="177"/>
      <c r="S791" s="177"/>
      <c r="T791" s="177"/>
      <c r="U791" s="177"/>
      <c r="V791" s="177"/>
      <c r="W791" s="177"/>
      <c r="X791" s="177"/>
      <c r="Y791" s="177"/>
      <c r="Z791" s="177"/>
      <c r="AA791" s="177"/>
      <c r="AB791" s="177"/>
      <c r="AC791" s="177"/>
    </row>
    <row r="792" spans="1:29" ht="13">
      <c r="A792" s="161"/>
      <c r="B792" s="161"/>
      <c r="C792" s="177"/>
      <c r="D792" s="177"/>
      <c r="E792" s="177"/>
      <c r="F792" s="177"/>
      <c r="G792" s="206"/>
      <c r="H792" s="177"/>
      <c r="I792" s="177"/>
      <c r="J792" s="177"/>
      <c r="K792" s="177"/>
      <c r="L792" s="178"/>
      <c r="M792" s="177"/>
      <c r="N792" s="177"/>
      <c r="O792" s="177"/>
      <c r="P792" s="177"/>
      <c r="Q792" s="177"/>
      <c r="R792" s="177"/>
      <c r="S792" s="177"/>
      <c r="T792" s="177"/>
      <c r="U792" s="177"/>
      <c r="V792" s="177"/>
      <c r="W792" s="177"/>
      <c r="X792" s="177"/>
      <c r="Y792" s="177"/>
      <c r="Z792" s="177"/>
      <c r="AA792" s="177"/>
      <c r="AB792" s="177"/>
      <c r="AC792" s="177"/>
    </row>
    <row r="793" spans="1:29" ht="13">
      <c r="A793" s="161"/>
      <c r="B793" s="161"/>
      <c r="C793" s="177"/>
      <c r="D793" s="177"/>
      <c r="E793" s="177"/>
      <c r="F793" s="177"/>
      <c r="G793" s="206"/>
      <c r="H793" s="177"/>
      <c r="I793" s="177"/>
      <c r="J793" s="177"/>
      <c r="K793" s="177"/>
      <c r="L793" s="178"/>
      <c r="M793" s="177"/>
      <c r="N793" s="177"/>
      <c r="O793" s="177"/>
      <c r="P793" s="177"/>
      <c r="Q793" s="177"/>
      <c r="R793" s="177"/>
      <c r="S793" s="177"/>
      <c r="T793" s="177"/>
      <c r="U793" s="177"/>
      <c r="V793" s="177"/>
      <c r="W793" s="177"/>
      <c r="X793" s="177"/>
      <c r="Y793" s="177"/>
      <c r="Z793" s="177"/>
      <c r="AA793" s="177"/>
      <c r="AB793" s="177"/>
      <c r="AC793" s="177"/>
    </row>
    <row r="794" spans="1:29" ht="13">
      <c r="A794" s="161"/>
      <c r="B794" s="161"/>
      <c r="C794" s="177"/>
      <c r="D794" s="177"/>
      <c r="E794" s="177"/>
      <c r="F794" s="177"/>
      <c r="G794" s="206"/>
      <c r="H794" s="177"/>
      <c r="I794" s="177"/>
      <c r="J794" s="177"/>
      <c r="K794" s="177"/>
      <c r="L794" s="178"/>
      <c r="M794" s="177"/>
      <c r="N794" s="177"/>
      <c r="O794" s="177"/>
      <c r="P794" s="177"/>
      <c r="Q794" s="177"/>
      <c r="R794" s="177"/>
      <c r="S794" s="177"/>
      <c r="T794" s="177"/>
      <c r="U794" s="177"/>
      <c r="V794" s="177"/>
      <c r="W794" s="177"/>
      <c r="X794" s="177"/>
      <c r="Y794" s="177"/>
      <c r="Z794" s="177"/>
      <c r="AA794" s="177"/>
      <c r="AB794" s="177"/>
      <c r="AC794" s="177"/>
    </row>
    <row r="795" spans="1:29" ht="13">
      <c r="A795" s="161"/>
      <c r="B795" s="161"/>
      <c r="C795" s="177"/>
      <c r="D795" s="177"/>
      <c r="E795" s="177"/>
      <c r="F795" s="177"/>
      <c r="G795" s="206"/>
      <c r="H795" s="177"/>
      <c r="I795" s="177"/>
      <c r="J795" s="177"/>
      <c r="K795" s="177"/>
      <c r="L795" s="178"/>
      <c r="M795" s="177"/>
      <c r="N795" s="177"/>
      <c r="O795" s="177"/>
      <c r="P795" s="177"/>
      <c r="Q795" s="177"/>
      <c r="R795" s="177"/>
      <c r="S795" s="177"/>
      <c r="T795" s="177"/>
      <c r="U795" s="177"/>
      <c r="V795" s="177"/>
      <c r="W795" s="177"/>
      <c r="X795" s="177"/>
      <c r="Y795" s="177"/>
      <c r="Z795" s="177"/>
      <c r="AA795" s="177"/>
      <c r="AB795" s="177"/>
      <c r="AC795" s="177"/>
    </row>
    <row r="796" spans="1:29" ht="13">
      <c r="A796" s="161"/>
      <c r="B796" s="161"/>
      <c r="C796" s="177"/>
      <c r="D796" s="177"/>
      <c r="E796" s="177"/>
      <c r="F796" s="177"/>
      <c r="G796" s="206"/>
      <c r="H796" s="177"/>
      <c r="I796" s="177"/>
      <c r="J796" s="177"/>
      <c r="K796" s="177"/>
      <c r="L796" s="178"/>
      <c r="M796" s="177"/>
      <c r="N796" s="177"/>
      <c r="O796" s="177"/>
      <c r="P796" s="177"/>
      <c r="Q796" s="177"/>
      <c r="R796" s="177"/>
      <c r="S796" s="177"/>
      <c r="T796" s="177"/>
      <c r="U796" s="177"/>
      <c r="V796" s="177"/>
      <c r="W796" s="177"/>
      <c r="X796" s="177"/>
      <c r="Y796" s="177"/>
      <c r="Z796" s="177"/>
      <c r="AA796" s="177"/>
      <c r="AB796" s="177"/>
      <c r="AC796" s="177"/>
    </row>
    <row r="797" spans="1:29" ht="13">
      <c r="A797" s="161"/>
      <c r="B797" s="161"/>
      <c r="C797" s="177"/>
      <c r="D797" s="177"/>
      <c r="E797" s="177"/>
      <c r="F797" s="177"/>
      <c r="G797" s="206"/>
      <c r="H797" s="177"/>
      <c r="I797" s="177"/>
      <c r="J797" s="177"/>
      <c r="K797" s="177"/>
      <c r="L797" s="178"/>
      <c r="M797" s="177"/>
      <c r="N797" s="177"/>
      <c r="O797" s="177"/>
      <c r="P797" s="177"/>
      <c r="Q797" s="177"/>
      <c r="R797" s="177"/>
      <c r="S797" s="177"/>
      <c r="T797" s="177"/>
      <c r="U797" s="177"/>
      <c r="V797" s="177"/>
      <c r="W797" s="177"/>
      <c r="X797" s="177"/>
      <c r="Y797" s="177"/>
      <c r="Z797" s="177"/>
      <c r="AA797" s="177"/>
      <c r="AB797" s="177"/>
      <c r="AC797" s="177"/>
    </row>
    <row r="798" spans="1:29" ht="13">
      <c r="A798" s="161"/>
      <c r="B798" s="161"/>
      <c r="C798" s="177"/>
      <c r="D798" s="177"/>
      <c r="E798" s="177"/>
      <c r="F798" s="177"/>
      <c r="G798" s="206"/>
      <c r="H798" s="177"/>
      <c r="I798" s="177"/>
      <c r="J798" s="177"/>
      <c r="K798" s="177"/>
      <c r="L798" s="178"/>
      <c r="M798" s="177"/>
      <c r="N798" s="177"/>
      <c r="O798" s="177"/>
      <c r="P798" s="177"/>
      <c r="Q798" s="177"/>
      <c r="R798" s="177"/>
      <c r="S798" s="177"/>
      <c r="T798" s="177"/>
      <c r="U798" s="177"/>
      <c r="V798" s="177"/>
      <c r="W798" s="177"/>
      <c r="X798" s="177"/>
      <c r="Y798" s="177"/>
      <c r="Z798" s="177"/>
      <c r="AA798" s="177"/>
      <c r="AB798" s="177"/>
      <c r="AC798" s="177"/>
    </row>
    <row r="799" spans="1:29" ht="13">
      <c r="A799" s="161"/>
      <c r="B799" s="161"/>
      <c r="C799" s="177"/>
      <c r="D799" s="177"/>
      <c r="E799" s="177"/>
      <c r="F799" s="177"/>
      <c r="G799" s="206"/>
      <c r="H799" s="177"/>
      <c r="I799" s="177"/>
      <c r="J799" s="177"/>
      <c r="K799" s="177"/>
      <c r="L799" s="178"/>
      <c r="M799" s="177"/>
      <c r="N799" s="177"/>
      <c r="O799" s="177"/>
      <c r="P799" s="177"/>
      <c r="Q799" s="177"/>
      <c r="R799" s="177"/>
      <c r="S799" s="177"/>
      <c r="T799" s="177"/>
      <c r="U799" s="177"/>
      <c r="V799" s="177"/>
      <c r="W799" s="177"/>
      <c r="X799" s="177"/>
      <c r="Y799" s="177"/>
      <c r="Z799" s="177"/>
      <c r="AA799" s="177"/>
      <c r="AB799" s="177"/>
      <c r="AC799" s="177"/>
    </row>
    <row r="800" spans="1:29" ht="13">
      <c r="A800" s="161"/>
      <c r="B800" s="161"/>
      <c r="C800" s="177"/>
      <c r="D800" s="177"/>
      <c r="E800" s="177"/>
      <c r="F800" s="177"/>
      <c r="G800" s="206"/>
      <c r="H800" s="177"/>
      <c r="I800" s="177"/>
      <c r="J800" s="177"/>
      <c r="K800" s="177"/>
      <c r="L800" s="178"/>
      <c r="M800" s="177"/>
      <c r="N800" s="177"/>
      <c r="O800" s="177"/>
      <c r="P800" s="177"/>
      <c r="Q800" s="177"/>
      <c r="R800" s="177"/>
      <c r="S800" s="177"/>
      <c r="T800" s="177"/>
      <c r="U800" s="177"/>
      <c r="V800" s="177"/>
      <c r="W800" s="177"/>
      <c r="X800" s="177"/>
      <c r="Y800" s="177"/>
      <c r="Z800" s="177"/>
      <c r="AA800" s="177"/>
      <c r="AB800" s="177"/>
      <c r="AC800" s="177"/>
    </row>
    <row r="801" spans="1:29" ht="13">
      <c r="A801" s="161"/>
      <c r="B801" s="161"/>
      <c r="C801" s="177"/>
      <c r="D801" s="177"/>
      <c r="E801" s="177"/>
      <c r="F801" s="177"/>
      <c r="G801" s="206"/>
      <c r="H801" s="177"/>
      <c r="I801" s="177"/>
      <c r="J801" s="177"/>
      <c r="K801" s="177"/>
      <c r="L801" s="178"/>
      <c r="M801" s="177"/>
      <c r="N801" s="177"/>
      <c r="O801" s="177"/>
      <c r="P801" s="177"/>
      <c r="Q801" s="177"/>
      <c r="R801" s="177"/>
      <c r="S801" s="177"/>
      <c r="T801" s="177"/>
      <c r="U801" s="177"/>
      <c r="V801" s="177"/>
      <c r="W801" s="177"/>
      <c r="X801" s="177"/>
      <c r="Y801" s="177"/>
      <c r="Z801" s="177"/>
      <c r="AA801" s="177"/>
      <c r="AB801" s="177"/>
      <c r="AC801" s="177"/>
    </row>
    <row r="802" spans="1:29" ht="13">
      <c r="A802" s="161"/>
      <c r="B802" s="161"/>
      <c r="C802" s="177"/>
      <c r="D802" s="177"/>
      <c r="E802" s="177"/>
      <c r="F802" s="177"/>
      <c r="G802" s="206"/>
      <c r="H802" s="177"/>
      <c r="I802" s="177"/>
      <c r="J802" s="177"/>
      <c r="K802" s="177"/>
      <c r="L802" s="178"/>
      <c r="M802" s="177"/>
      <c r="N802" s="177"/>
      <c r="O802" s="177"/>
      <c r="P802" s="177"/>
      <c r="Q802" s="177"/>
      <c r="R802" s="177"/>
      <c r="S802" s="177"/>
      <c r="T802" s="177"/>
      <c r="U802" s="177"/>
      <c r="V802" s="177"/>
      <c r="W802" s="177"/>
      <c r="X802" s="177"/>
      <c r="Y802" s="177"/>
      <c r="Z802" s="177"/>
      <c r="AA802" s="177"/>
      <c r="AB802" s="177"/>
      <c r="AC802" s="177"/>
    </row>
    <row r="803" spans="1:29" ht="13">
      <c r="A803" s="161"/>
      <c r="B803" s="161"/>
      <c r="C803" s="177"/>
      <c r="D803" s="177"/>
      <c r="E803" s="177"/>
      <c r="F803" s="177"/>
      <c r="G803" s="206"/>
      <c r="H803" s="177"/>
      <c r="I803" s="177"/>
      <c r="J803" s="177"/>
      <c r="K803" s="177"/>
      <c r="L803" s="178"/>
      <c r="M803" s="177"/>
      <c r="N803" s="177"/>
      <c r="O803" s="177"/>
      <c r="P803" s="177"/>
      <c r="Q803" s="177"/>
      <c r="R803" s="177"/>
      <c r="S803" s="177"/>
      <c r="T803" s="177"/>
      <c r="U803" s="177"/>
      <c r="V803" s="177"/>
      <c r="W803" s="177"/>
      <c r="X803" s="177"/>
      <c r="Y803" s="177"/>
      <c r="Z803" s="177"/>
      <c r="AA803" s="177"/>
      <c r="AB803" s="177"/>
      <c r="AC803" s="177"/>
    </row>
    <row r="804" spans="1:29" ht="13">
      <c r="A804" s="161"/>
      <c r="B804" s="161"/>
      <c r="C804" s="177"/>
      <c r="D804" s="177"/>
      <c r="E804" s="177"/>
      <c r="F804" s="177"/>
      <c r="G804" s="206"/>
      <c r="H804" s="177"/>
      <c r="I804" s="177"/>
      <c r="J804" s="177"/>
      <c r="K804" s="177"/>
      <c r="L804" s="178"/>
      <c r="M804" s="177"/>
      <c r="N804" s="177"/>
      <c r="O804" s="177"/>
      <c r="P804" s="177"/>
      <c r="Q804" s="177"/>
      <c r="R804" s="177"/>
      <c r="S804" s="177"/>
      <c r="T804" s="177"/>
      <c r="U804" s="177"/>
      <c r="V804" s="177"/>
      <c r="W804" s="177"/>
      <c r="X804" s="177"/>
      <c r="Y804" s="177"/>
      <c r="Z804" s="177"/>
      <c r="AA804" s="177"/>
      <c r="AB804" s="177"/>
      <c r="AC804" s="177"/>
    </row>
    <row r="805" spans="1:29" ht="13">
      <c r="A805" s="161"/>
      <c r="B805" s="161"/>
      <c r="C805" s="177"/>
      <c r="D805" s="177"/>
      <c r="E805" s="177"/>
      <c r="F805" s="177"/>
      <c r="G805" s="206"/>
      <c r="H805" s="177"/>
      <c r="I805" s="177"/>
      <c r="J805" s="177"/>
      <c r="K805" s="177"/>
      <c r="L805" s="178"/>
      <c r="M805" s="177"/>
      <c r="N805" s="177"/>
      <c r="O805" s="177"/>
      <c r="P805" s="177"/>
      <c r="Q805" s="177"/>
      <c r="R805" s="177"/>
      <c r="S805" s="177"/>
      <c r="T805" s="177"/>
      <c r="U805" s="177"/>
      <c r="V805" s="177"/>
      <c r="W805" s="177"/>
      <c r="X805" s="177"/>
      <c r="Y805" s="177"/>
      <c r="Z805" s="177"/>
      <c r="AA805" s="177"/>
      <c r="AB805" s="177"/>
      <c r="AC805" s="177"/>
    </row>
    <row r="806" spans="1:29" ht="13">
      <c r="A806" s="161"/>
      <c r="B806" s="161"/>
      <c r="C806" s="177"/>
      <c r="D806" s="177"/>
      <c r="E806" s="177"/>
      <c r="F806" s="177"/>
      <c r="G806" s="206"/>
      <c r="H806" s="177"/>
      <c r="I806" s="177"/>
      <c r="J806" s="177"/>
      <c r="K806" s="177"/>
      <c r="L806" s="178"/>
      <c r="M806" s="177"/>
      <c r="N806" s="177"/>
      <c r="O806" s="177"/>
      <c r="P806" s="177"/>
      <c r="Q806" s="177"/>
      <c r="R806" s="177"/>
      <c r="S806" s="177"/>
      <c r="T806" s="177"/>
      <c r="U806" s="177"/>
      <c r="V806" s="177"/>
      <c r="W806" s="177"/>
      <c r="X806" s="177"/>
      <c r="Y806" s="177"/>
      <c r="Z806" s="177"/>
      <c r="AA806" s="177"/>
      <c r="AB806" s="177"/>
      <c r="AC806" s="177"/>
    </row>
    <row r="807" spans="1:29" ht="13">
      <c r="A807" s="161"/>
      <c r="B807" s="161"/>
      <c r="C807" s="177"/>
      <c r="D807" s="177"/>
      <c r="E807" s="177"/>
      <c r="F807" s="177"/>
      <c r="G807" s="206"/>
      <c r="H807" s="177"/>
      <c r="I807" s="177"/>
      <c r="J807" s="177"/>
      <c r="K807" s="177"/>
      <c r="L807" s="178"/>
      <c r="M807" s="177"/>
      <c r="N807" s="177"/>
      <c r="O807" s="177"/>
      <c r="P807" s="177"/>
      <c r="Q807" s="177"/>
      <c r="R807" s="177"/>
      <c r="S807" s="177"/>
      <c r="T807" s="177"/>
      <c r="U807" s="177"/>
      <c r="V807" s="177"/>
      <c r="W807" s="177"/>
      <c r="X807" s="177"/>
      <c r="Y807" s="177"/>
      <c r="Z807" s="177"/>
      <c r="AA807" s="177"/>
      <c r="AB807" s="177"/>
      <c r="AC807" s="177"/>
    </row>
    <row r="808" spans="1:29" ht="13">
      <c r="A808" s="161"/>
      <c r="B808" s="161"/>
      <c r="C808" s="177"/>
      <c r="D808" s="177"/>
      <c r="E808" s="177"/>
      <c r="F808" s="177"/>
      <c r="G808" s="206"/>
      <c r="H808" s="177"/>
      <c r="I808" s="177"/>
      <c r="J808" s="177"/>
      <c r="K808" s="177"/>
      <c r="L808" s="178"/>
      <c r="M808" s="177"/>
      <c r="N808" s="177"/>
      <c r="O808" s="177"/>
      <c r="P808" s="177"/>
      <c r="Q808" s="177"/>
      <c r="R808" s="177"/>
      <c r="S808" s="177"/>
      <c r="T808" s="177"/>
      <c r="U808" s="177"/>
      <c r="V808" s="177"/>
      <c r="W808" s="177"/>
      <c r="X808" s="177"/>
      <c r="Y808" s="177"/>
      <c r="Z808" s="177"/>
      <c r="AA808" s="177"/>
      <c r="AB808" s="177"/>
      <c r="AC808" s="177"/>
    </row>
    <row r="809" spans="1:29" ht="13">
      <c r="A809" s="161"/>
      <c r="B809" s="161"/>
      <c r="C809" s="177"/>
      <c r="D809" s="177"/>
      <c r="E809" s="177"/>
      <c r="F809" s="177"/>
      <c r="G809" s="206"/>
      <c r="H809" s="177"/>
      <c r="I809" s="177"/>
      <c r="J809" s="177"/>
      <c r="K809" s="177"/>
      <c r="L809" s="178"/>
      <c r="M809" s="177"/>
      <c r="N809" s="177"/>
      <c r="O809" s="177"/>
      <c r="P809" s="177"/>
      <c r="Q809" s="177"/>
      <c r="R809" s="177"/>
      <c r="S809" s="177"/>
      <c r="T809" s="177"/>
      <c r="U809" s="177"/>
      <c r="V809" s="177"/>
      <c r="W809" s="177"/>
      <c r="X809" s="177"/>
      <c r="Y809" s="177"/>
      <c r="Z809" s="177"/>
      <c r="AA809" s="177"/>
      <c r="AB809" s="177"/>
      <c r="AC809" s="177"/>
    </row>
    <row r="810" spans="1:29" ht="13">
      <c r="A810" s="161"/>
      <c r="B810" s="161"/>
      <c r="C810" s="177"/>
      <c r="D810" s="177"/>
      <c r="E810" s="177"/>
      <c r="F810" s="177"/>
      <c r="G810" s="206"/>
      <c r="H810" s="177"/>
      <c r="I810" s="177"/>
      <c r="J810" s="177"/>
      <c r="K810" s="177"/>
      <c r="L810" s="178"/>
      <c r="M810" s="177"/>
      <c r="N810" s="177"/>
      <c r="O810" s="177"/>
      <c r="P810" s="177"/>
      <c r="Q810" s="177"/>
      <c r="R810" s="177"/>
      <c r="S810" s="177"/>
      <c r="T810" s="177"/>
      <c r="U810" s="177"/>
      <c r="V810" s="177"/>
      <c r="W810" s="177"/>
      <c r="X810" s="177"/>
      <c r="Y810" s="177"/>
      <c r="Z810" s="177"/>
      <c r="AA810" s="177"/>
      <c r="AB810" s="177"/>
      <c r="AC810" s="177"/>
    </row>
    <row r="811" spans="1:29" ht="13">
      <c r="A811" s="161"/>
      <c r="B811" s="161"/>
      <c r="C811" s="177"/>
      <c r="D811" s="177"/>
      <c r="E811" s="177"/>
      <c r="F811" s="177"/>
      <c r="G811" s="206"/>
      <c r="H811" s="177"/>
      <c r="I811" s="177"/>
      <c r="J811" s="177"/>
      <c r="K811" s="177"/>
      <c r="L811" s="178"/>
      <c r="M811" s="177"/>
      <c r="N811" s="177"/>
      <c r="O811" s="177"/>
      <c r="P811" s="177"/>
      <c r="Q811" s="177"/>
      <c r="R811" s="177"/>
      <c r="S811" s="177"/>
      <c r="T811" s="177"/>
      <c r="U811" s="177"/>
      <c r="V811" s="177"/>
      <c r="W811" s="177"/>
      <c r="X811" s="177"/>
      <c r="Y811" s="177"/>
      <c r="Z811" s="177"/>
      <c r="AA811" s="177"/>
      <c r="AB811" s="177"/>
      <c r="AC811" s="177"/>
    </row>
    <row r="812" spans="1:29" ht="13">
      <c r="A812" s="161"/>
      <c r="B812" s="161"/>
      <c r="C812" s="177"/>
      <c r="D812" s="177"/>
      <c r="E812" s="177"/>
      <c r="F812" s="177"/>
      <c r="G812" s="206"/>
      <c r="H812" s="177"/>
      <c r="I812" s="177"/>
      <c r="J812" s="177"/>
      <c r="K812" s="177"/>
      <c r="L812" s="178"/>
      <c r="M812" s="177"/>
      <c r="N812" s="177"/>
      <c r="O812" s="177"/>
      <c r="P812" s="177"/>
      <c r="Q812" s="177"/>
      <c r="R812" s="177"/>
      <c r="S812" s="177"/>
      <c r="T812" s="177"/>
      <c r="U812" s="177"/>
      <c r="V812" s="177"/>
      <c r="W812" s="177"/>
      <c r="X812" s="177"/>
      <c r="Y812" s="177"/>
      <c r="Z812" s="177"/>
      <c r="AA812" s="177"/>
      <c r="AB812" s="177"/>
      <c r="AC812" s="177"/>
    </row>
    <row r="813" spans="1:29" ht="13">
      <c r="A813" s="161"/>
      <c r="B813" s="161"/>
      <c r="C813" s="177"/>
      <c r="D813" s="177"/>
      <c r="E813" s="177"/>
      <c r="F813" s="177"/>
      <c r="G813" s="206"/>
      <c r="H813" s="177"/>
      <c r="I813" s="177"/>
      <c r="J813" s="177"/>
      <c r="K813" s="177"/>
      <c r="L813" s="178"/>
      <c r="M813" s="177"/>
      <c r="N813" s="177"/>
      <c r="O813" s="177"/>
      <c r="P813" s="177"/>
      <c r="Q813" s="177"/>
      <c r="R813" s="177"/>
      <c r="S813" s="177"/>
      <c r="T813" s="177"/>
      <c r="U813" s="177"/>
      <c r="V813" s="177"/>
      <c r="W813" s="177"/>
      <c r="X813" s="177"/>
      <c r="Y813" s="177"/>
      <c r="Z813" s="177"/>
      <c r="AA813" s="177"/>
      <c r="AB813" s="177"/>
      <c r="AC813" s="177"/>
    </row>
    <row r="814" spans="1:29" ht="13">
      <c r="A814" s="161"/>
      <c r="B814" s="161"/>
      <c r="C814" s="177"/>
      <c r="D814" s="177"/>
      <c r="E814" s="177"/>
      <c r="F814" s="177"/>
      <c r="G814" s="206"/>
      <c r="H814" s="177"/>
      <c r="I814" s="177"/>
      <c r="J814" s="177"/>
      <c r="K814" s="177"/>
      <c r="L814" s="178"/>
      <c r="M814" s="177"/>
      <c r="N814" s="177"/>
      <c r="O814" s="177"/>
      <c r="P814" s="177"/>
      <c r="Q814" s="177"/>
      <c r="R814" s="177"/>
      <c r="S814" s="177"/>
      <c r="T814" s="177"/>
      <c r="U814" s="177"/>
      <c r="V814" s="177"/>
      <c r="W814" s="177"/>
      <c r="X814" s="177"/>
      <c r="Y814" s="177"/>
      <c r="Z814" s="177"/>
      <c r="AA814" s="177"/>
      <c r="AB814" s="177"/>
      <c r="AC814" s="177"/>
    </row>
    <row r="815" spans="1:29" ht="13">
      <c r="A815" s="161"/>
      <c r="B815" s="161"/>
      <c r="C815" s="177"/>
      <c r="D815" s="177"/>
      <c r="E815" s="177"/>
      <c r="F815" s="177"/>
      <c r="G815" s="206"/>
      <c r="H815" s="177"/>
      <c r="I815" s="177"/>
      <c r="J815" s="177"/>
      <c r="K815" s="177"/>
      <c r="L815" s="178"/>
      <c r="M815" s="177"/>
      <c r="N815" s="177"/>
      <c r="O815" s="177"/>
      <c r="P815" s="177"/>
      <c r="Q815" s="177"/>
      <c r="R815" s="177"/>
      <c r="S815" s="177"/>
      <c r="T815" s="177"/>
      <c r="U815" s="177"/>
      <c r="V815" s="177"/>
      <c r="W815" s="177"/>
      <c r="X815" s="177"/>
      <c r="Y815" s="177"/>
      <c r="Z815" s="177"/>
      <c r="AA815" s="177"/>
      <c r="AB815" s="177"/>
      <c r="AC815" s="177"/>
    </row>
    <row r="816" spans="1:29" ht="13">
      <c r="A816" s="161"/>
      <c r="B816" s="161"/>
      <c r="C816" s="177"/>
      <c r="D816" s="177"/>
      <c r="E816" s="177"/>
      <c r="F816" s="177"/>
      <c r="G816" s="206"/>
      <c r="H816" s="177"/>
      <c r="I816" s="177"/>
      <c r="J816" s="177"/>
      <c r="K816" s="177"/>
      <c r="L816" s="178"/>
      <c r="M816" s="177"/>
      <c r="N816" s="177"/>
      <c r="O816" s="177"/>
      <c r="P816" s="177"/>
      <c r="Q816" s="177"/>
      <c r="R816" s="177"/>
      <c r="S816" s="177"/>
      <c r="T816" s="177"/>
      <c r="U816" s="177"/>
      <c r="V816" s="177"/>
      <c r="W816" s="177"/>
      <c r="X816" s="177"/>
      <c r="Y816" s="177"/>
      <c r="Z816" s="177"/>
      <c r="AA816" s="177"/>
      <c r="AB816" s="177"/>
      <c r="AC816" s="177"/>
    </row>
    <row r="817" spans="1:29" ht="13">
      <c r="A817" s="161"/>
      <c r="B817" s="161"/>
      <c r="C817" s="177"/>
      <c r="D817" s="177"/>
      <c r="E817" s="177"/>
      <c r="F817" s="177"/>
      <c r="G817" s="206"/>
      <c r="H817" s="177"/>
      <c r="I817" s="177"/>
      <c r="J817" s="177"/>
      <c r="K817" s="177"/>
      <c r="L817" s="178"/>
      <c r="M817" s="177"/>
      <c r="N817" s="177"/>
      <c r="O817" s="177"/>
      <c r="P817" s="177"/>
      <c r="Q817" s="177"/>
      <c r="R817" s="177"/>
      <c r="S817" s="177"/>
      <c r="T817" s="177"/>
      <c r="U817" s="177"/>
      <c r="V817" s="177"/>
      <c r="W817" s="177"/>
      <c r="X817" s="177"/>
      <c r="Y817" s="177"/>
      <c r="Z817" s="177"/>
      <c r="AA817" s="177"/>
      <c r="AB817" s="177"/>
      <c r="AC817" s="177"/>
    </row>
    <row r="818" spans="1:29" ht="13">
      <c r="A818" s="161"/>
      <c r="B818" s="161"/>
      <c r="C818" s="177"/>
      <c r="D818" s="177"/>
      <c r="E818" s="177"/>
      <c r="F818" s="177"/>
      <c r="G818" s="206"/>
      <c r="H818" s="177"/>
      <c r="I818" s="177"/>
      <c r="J818" s="177"/>
      <c r="K818" s="177"/>
      <c r="L818" s="178"/>
      <c r="M818" s="177"/>
      <c r="N818" s="177"/>
      <c r="O818" s="177"/>
      <c r="P818" s="177"/>
      <c r="Q818" s="177"/>
      <c r="R818" s="177"/>
      <c r="S818" s="177"/>
      <c r="T818" s="177"/>
      <c r="U818" s="177"/>
      <c r="V818" s="177"/>
      <c r="W818" s="177"/>
      <c r="X818" s="177"/>
      <c r="Y818" s="177"/>
      <c r="Z818" s="177"/>
      <c r="AA818" s="177"/>
      <c r="AB818" s="177"/>
      <c r="AC818" s="177"/>
    </row>
    <row r="819" spans="1:29" ht="13">
      <c r="A819" s="161"/>
      <c r="B819" s="161"/>
      <c r="C819" s="177"/>
      <c r="D819" s="177"/>
      <c r="E819" s="177"/>
      <c r="F819" s="177"/>
      <c r="G819" s="206"/>
      <c r="H819" s="177"/>
      <c r="I819" s="177"/>
      <c r="J819" s="177"/>
      <c r="K819" s="177"/>
      <c r="L819" s="178"/>
      <c r="M819" s="177"/>
      <c r="N819" s="177"/>
      <c r="O819" s="177"/>
      <c r="P819" s="177"/>
      <c r="Q819" s="177"/>
      <c r="R819" s="177"/>
      <c r="S819" s="177"/>
      <c r="T819" s="177"/>
      <c r="U819" s="177"/>
      <c r="V819" s="177"/>
      <c r="W819" s="177"/>
      <c r="X819" s="177"/>
      <c r="Y819" s="177"/>
      <c r="Z819" s="177"/>
      <c r="AA819" s="177"/>
      <c r="AB819" s="177"/>
      <c r="AC819" s="177"/>
    </row>
    <row r="820" spans="1:29" ht="13">
      <c r="A820" s="161"/>
      <c r="B820" s="161"/>
      <c r="C820" s="177"/>
      <c r="D820" s="177"/>
      <c r="E820" s="177"/>
      <c r="F820" s="177"/>
      <c r="G820" s="206"/>
      <c r="H820" s="177"/>
      <c r="I820" s="177"/>
      <c r="J820" s="177"/>
      <c r="K820" s="177"/>
      <c r="L820" s="178"/>
      <c r="M820" s="177"/>
      <c r="N820" s="177"/>
      <c r="O820" s="177"/>
      <c r="P820" s="177"/>
      <c r="Q820" s="177"/>
      <c r="R820" s="177"/>
      <c r="S820" s="177"/>
      <c r="T820" s="177"/>
      <c r="U820" s="177"/>
      <c r="V820" s="177"/>
      <c r="W820" s="177"/>
      <c r="X820" s="177"/>
      <c r="Y820" s="177"/>
      <c r="Z820" s="177"/>
      <c r="AA820" s="177"/>
      <c r="AB820" s="177"/>
      <c r="AC820" s="177"/>
    </row>
    <row r="821" spans="1:29" ht="13">
      <c r="A821" s="161"/>
      <c r="B821" s="161"/>
      <c r="C821" s="177"/>
      <c r="D821" s="177"/>
      <c r="E821" s="177"/>
      <c r="F821" s="177"/>
      <c r="G821" s="206"/>
      <c r="H821" s="177"/>
      <c r="I821" s="177"/>
      <c r="J821" s="177"/>
      <c r="K821" s="177"/>
      <c r="L821" s="178"/>
      <c r="M821" s="177"/>
      <c r="N821" s="177"/>
      <c r="O821" s="177"/>
      <c r="P821" s="177"/>
      <c r="Q821" s="177"/>
      <c r="R821" s="177"/>
      <c r="S821" s="177"/>
      <c r="T821" s="177"/>
      <c r="U821" s="177"/>
      <c r="V821" s="177"/>
      <c r="W821" s="177"/>
      <c r="X821" s="177"/>
      <c r="Y821" s="177"/>
      <c r="Z821" s="177"/>
      <c r="AA821" s="177"/>
      <c r="AB821" s="177"/>
      <c r="AC821" s="177"/>
    </row>
    <row r="822" spans="1:29" ht="13">
      <c r="A822" s="161"/>
      <c r="B822" s="161"/>
      <c r="C822" s="177"/>
      <c r="D822" s="177"/>
      <c r="E822" s="177"/>
      <c r="F822" s="177"/>
      <c r="G822" s="206"/>
      <c r="H822" s="177"/>
      <c r="I822" s="177"/>
      <c r="J822" s="177"/>
      <c r="K822" s="177"/>
      <c r="L822" s="178"/>
      <c r="M822" s="177"/>
      <c r="N822" s="177"/>
      <c r="O822" s="177"/>
      <c r="P822" s="177"/>
      <c r="Q822" s="177"/>
      <c r="R822" s="177"/>
      <c r="S822" s="177"/>
      <c r="T822" s="177"/>
      <c r="U822" s="177"/>
      <c r="V822" s="177"/>
      <c r="W822" s="177"/>
      <c r="X822" s="177"/>
      <c r="Y822" s="177"/>
      <c r="Z822" s="177"/>
      <c r="AA822" s="177"/>
      <c r="AB822" s="177"/>
      <c r="AC822" s="177"/>
    </row>
    <row r="823" spans="1:29" ht="13">
      <c r="A823" s="161"/>
      <c r="B823" s="161"/>
      <c r="C823" s="177"/>
      <c r="D823" s="177"/>
      <c r="E823" s="177"/>
      <c r="F823" s="177"/>
      <c r="G823" s="206"/>
      <c r="H823" s="177"/>
      <c r="I823" s="177"/>
      <c r="J823" s="177"/>
      <c r="K823" s="177"/>
      <c r="L823" s="178"/>
      <c r="M823" s="177"/>
      <c r="N823" s="177"/>
      <c r="O823" s="177"/>
      <c r="P823" s="177"/>
      <c r="Q823" s="177"/>
      <c r="R823" s="177"/>
      <c r="S823" s="177"/>
      <c r="T823" s="177"/>
      <c r="U823" s="177"/>
      <c r="V823" s="177"/>
      <c r="W823" s="177"/>
      <c r="X823" s="177"/>
      <c r="Y823" s="177"/>
      <c r="Z823" s="177"/>
      <c r="AA823" s="177"/>
      <c r="AB823" s="177"/>
      <c r="AC823" s="177"/>
    </row>
    <row r="824" spans="1:29" ht="13">
      <c r="A824" s="161"/>
      <c r="B824" s="161"/>
      <c r="C824" s="177"/>
      <c r="D824" s="177"/>
      <c r="E824" s="177"/>
      <c r="F824" s="177"/>
      <c r="G824" s="206"/>
      <c r="H824" s="177"/>
      <c r="I824" s="177"/>
      <c r="J824" s="177"/>
      <c r="K824" s="177"/>
      <c r="L824" s="178"/>
      <c r="M824" s="177"/>
      <c r="N824" s="177"/>
      <c r="O824" s="177"/>
      <c r="P824" s="177"/>
      <c r="Q824" s="177"/>
      <c r="R824" s="177"/>
      <c r="S824" s="177"/>
      <c r="T824" s="177"/>
      <c r="U824" s="177"/>
      <c r="V824" s="177"/>
      <c r="W824" s="177"/>
      <c r="X824" s="177"/>
      <c r="Y824" s="177"/>
      <c r="Z824" s="177"/>
      <c r="AA824" s="177"/>
      <c r="AB824" s="177"/>
      <c r="AC824" s="177"/>
    </row>
    <row r="825" spans="1:29" ht="13">
      <c r="A825" s="161"/>
      <c r="B825" s="161"/>
      <c r="C825" s="177"/>
      <c r="D825" s="177"/>
      <c r="E825" s="177"/>
      <c r="F825" s="177"/>
      <c r="G825" s="206"/>
      <c r="H825" s="177"/>
      <c r="I825" s="177"/>
      <c r="J825" s="177"/>
      <c r="K825" s="177"/>
      <c r="L825" s="178"/>
      <c r="M825" s="177"/>
      <c r="N825" s="177"/>
      <c r="O825" s="177"/>
      <c r="P825" s="177"/>
      <c r="Q825" s="177"/>
      <c r="R825" s="177"/>
      <c r="S825" s="177"/>
      <c r="T825" s="177"/>
      <c r="U825" s="177"/>
      <c r="V825" s="177"/>
      <c r="W825" s="177"/>
      <c r="X825" s="177"/>
      <c r="Y825" s="177"/>
      <c r="Z825" s="177"/>
      <c r="AA825" s="177"/>
      <c r="AB825" s="177"/>
      <c r="AC825" s="177"/>
    </row>
    <row r="826" spans="1:29" ht="13">
      <c r="A826" s="161"/>
      <c r="B826" s="161"/>
      <c r="C826" s="177"/>
      <c r="D826" s="177"/>
      <c r="E826" s="177"/>
      <c r="F826" s="177"/>
      <c r="G826" s="206"/>
      <c r="H826" s="177"/>
      <c r="I826" s="177"/>
      <c r="J826" s="177"/>
      <c r="K826" s="177"/>
      <c r="L826" s="178"/>
      <c r="M826" s="177"/>
      <c r="N826" s="177"/>
      <c r="O826" s="177"/>
      <c r="P826" s="177"/>
      <c r="Q826" s="177"/>
      <c r="R826" s="177"/>
      <c r="S826" s="177"/>
      <c r="T826" s="177"/>
      <c r="U826" s="177"/>
      <c r="V826" s="177"/>
      <c r="W826" s="177"/>
      <c r="X826" s="177"/>
      <c r="Y826" s="177"/>
      <c r="Z826" s="177"/>
      <c r="AA826" s="177"/>
      <c r="AB826" s="177"/>
      <c r="AC826" s="177"/>
    </row>
    <row r="827" spans="1:29" ht="13">
      <c r="A827" s="161"/>
      <c r="B827" s="161"/>
      <c r="C827" s="177"/>
      <c r="D827" s="177"/>
      <c r="E827" s="177"/>
      <c r="F827" s="177"/>
      <c r="G827" s="206"/>
      <c r="H827" s="177"/>
      <c r="I827" s="177"/>
      <c r="J827" s="177"/>
      <c r="K827" s="177"/>
      <c r="L827" s="178"/>
      <c r="M827" s="177"/>
      <c r="N827" s="177"/>
      <c r="O827" s="177"/>
      <c r="P827" s="177"/>
      <c r="Q827" s="177"/>
      <c r="R827" s="177"/>
      <c r="S827" s="177"/>
      <c r="T827" s="177"/>
      <c r="U827" s="177"/>
      <c r="V827" s="177"/>
      <c r="W827" s="177"/>
      <c r="X827" s="177"/>
      <c r="Y827" s="177"/>
      <c r="Z827" s="177"/>
      <c r="AA827" s="177"/>
      <c r="AB827" s="177"/>
      <c r="AC827" s="177"/>
    </row>
    <row r="828" spans="1:29" ht="13">
      <c r="A828" s="161"/>
      <c r="B828" s="161"/>
      <c r="C828" s="177"/>
      <c r="D828" s="177"/>
      <c r="E828" s="177"/>
      <c r="F828" s="177"/>
      <c r="G828" s="206"/>
      <c r="H828" s="177"/>
      <c r="I828" s="177"/>
      <c r="J828" s="177"/>
      <c r="K828" s="177"/>
      <c r="L828" s="178"/>
      <c r="M828" s="177"/>
      <c r="N828" s="177"/>
      <c r="O828" s="177"/>
      <c r="P828" s="177"/>
      <c r="Q828" s="177"/>
      <c r="R828" s="177"/>
      <c r="S828" s="177"/>
      <c r="T828" s="177"/>
      <c r="U828" s="177"/>
      <c r="V828" s="177"/>
      <c r="W828" s="177"/>
      <c r="X828" s="177"/>
      <c r="Y828" s="177"/>
      <c r="Z828" s="177"/>
      <c r="AA828" s="177"/>
      <c r="AB828" s="177"/>
      <c r="AC828" s="177"/>
    </row>
    <row r="829" spans="1:29" ht="13">
      <c r="A829" s="161"/>
      <c r="B829" s="161"/>
      <c r="C829" s="177"/>
      <c r="D829" s="177"/>
      <c r="E829" s="177"/>
      <c r="F829" s="177"/>
      <c r="G829" s="206"/>
      <c r="H829" s="177"/>
      <c r="I829" s="177"/>
      <c r="J829" s="177"/>
      <c r="K829" s="177"/>
      <c r="L829" s="178"/>
      <c r="M829" s="177"/>
      <c r="N829" s="177"/>
      <c r="O829" s="177"/>
      <c r="P829" s="177"/>
      <c r="Q829" s="177"/>
      <c r="R829" s="177"/>
      <c r="S829" s="177"/>
      <c r="T829" s="177"/>
      <c r="U829" s="177"/>
      <c r="V829" s="177"/>
      <c r="W829" s="177"/>
      <c r="X829" s="177"/>
      <c r="Y829" s="177"/>
      <c r="Z829" s="177"/>
      <c r="AA829" s="177"/>
      <c r="AB829" s="177"/>
      <c r="AC829" s="177"/>
    </row>
    <row r="830" spans="1:29" ht="13">
      <c r="A830" s="161"/>
      <c r="B830" s="161"/>
      <c r="C830" s="177"/>
      <c r="D830" s="177"/>
      <c r="E830" s="177"/>
      <c r="F830" s="177"/>
      <c r="G830" s="206"/>
      <c r="H830" s="177"/>
      <c r="I830" s="177"/>
      <c r="J830" s="177"/>
      <c r="K830" s="177"/>
      <c r="L830" s="178"/>
      <c r="M830" s="177"/>
      <c r="N830" s="177"/>
      <c r="O830" s="177"/>
      <c r="P830" s="177"/>
      <c r="Q830" s="177"/>
      <c r="R830" s="177"/>
      <c r="S830" s="177"/>
      <c r="T830" s="177"/>
      <c r="U830" s="177"/>
      <c r="V830" s="177"/>
      <c r="W830" s="177"/>
      <c r="X830" s="177"/>
      <c r="Y830" s="177"/>
      <c r="Z830" s="177"/>
      <c r="AA830" s="177"/>
      <c r="AB830" s="177"/>
      <c r="AC830" s="177"/>
    </row>
    <row r="831" spans="1:29" ht="13">
      <c r="A831" s="161"/>
      <c r="B831" s="161"/>
      <c r="C831" s="177"/>
      <c r="D831" s="177"/>
      <c r="E831" s="177"/>
      <c r="F831" s="177"/>
      <c r="G831" s="206"/>
      <c r="H831" s="177"/>
      <c r="I831" s="177"/>
      <c r="J831" s="177"/>
      <c r="K831" s="177"/>
      <c r="L831" s="178"/>
      <c r="M831" s="177"/>
      <c r="N831" s="177"/>
      <c r="O831" s="177"/>
      <c r="P831" s="177"/>
      <c r="Q831" s="177"/>
      <c r="R831" s="177"/>
      <c r="S831" s="177"/>
      <c r="T831" s="177"/>
      <c r="U831" s="177"/>
      <c r="V831" s="177"/>
      <c r="W831" s="177"/>
      <c r="X831" s="177"/>
      <c r="Y831" s="177"/>
      <c r="Z831" s="177"/>
      <c r="AA831" s="177"/>
      <c r="AB831" s="177"/>
      <c r="AC831" s="177"/>
    </row>
    <row r="832" spans="1:29" ht="13">
      <c r="A832" s="161"/>
      <c r="B832" s="161"/>
      <c r="C832" s="177"/>
      <c r="D832" s="177"/>
      <c r="E832" s="177"/>
      <c r="F832" s="177"/>
      <c r="G832" s="206"/>
      <c r="H832" s="177"/>
      <c r="I832" s="177"/>
      <c r="J832" s="177"/>
      <c r="K832" s="177"/>
      <c r="L832" s="178"/>
      <c r="M832" s="177"/>
      <c r="N832" s="177"/>
      <c r="O832" s="177"/>
      <c r="P832" s="177"/>
      <c r="Q832" s="177"/>
      <c r="R832" s="177"/>
      <c r="S832" s="177"/>
      <c r="T832" s="177"/>
      <c r="U832" s="177"/>
      <c r="V832" s="177"/>
      <c r="W832" s="177"/>
      <c r="X832" s="177"/>
      <c r="Y832" s="177"/>
      <c r="Z832" s="177"/>
      <c r="AA832" s="177"/>
      <c r="AB832" s="177"/>
      <c r="AC832" s="177"/>
    </row>
    <row r="833" spans="1:29" ht="13">
      <c r="A833" s="161"/>
      <c r="B833" s="161"/>
      <c r="C833" s="177"/>
      <c r="D833" s="177"/>
      <c r="E833" s="177"/>
      <c r="F833" s="177"/>
      <c r="G833" s="206"/>
      <c r="H833" s="177"/>
      <c r="I833" s="177"/>
      <c r="J833" s="177"/>
      <c r="K833" s="177"/>
      <c r="L833" s="178"/>
      <c r="M833" s="177"/>
      <c r="N833" s="177"/>
      <c r="O833" s="177"/>
      <c r="P833" s="177"/>
      <c r="Q833" s="177"/>
      <c r="R833" s="177"/>
      <c r="S833" s="177"/>
      <c r="T833" s="177"/>
      <c r="U833" s="177"/>
      <c r="V833" s="177"/>
      <c r="W833" s="177"/>
      <c r="X833" s="177"/>
      <c r="Y833" s="177"/>
      <c r="Z833" s="177"/>
      <c r="AA833" s="177"/>
      <c r="AB833" s="177"/>
      <c r="AC833" s="177"/>
    </row>
    <row r="834" spans="1:29" ht="13">
      <c r="A834" s="161"/>
      <c r="B834" s="161"/>
      <c r="C834" s="177"/>
      <c r="D834" s="177"/>
      <c r="E834" s="177"/>
      <c r="F834" s="177"/>
      <c r="G834" s="206"/>
      <c r="H834" s="177"/>
      <c r="I834" s="177"/>
      <c r="J834" s="177"/>
      <c r="K834" s="177"/>
      <c r="L834" s="178"/>
      <c r="M834" s="177"/>
      <c r="N834" s="177"/>
      <c r="O834" s="177"/>
      <c r="P834" s="177"/>
      <c r="Q834" s="177"/>
      <c r="R834" s="177"/>
      <c r="S834" s="177"/>
      <c r="T834" s="177"/>
      <c r="U834" s="177"/>
      <c r="V834" s="177"/>
      <c r="W834" s="177"/>
      <c r="X834" s="177"/>
      <c r="Y834" s="177"/>
      <c r="Z834" s="177"/>
      <c r="AA834" s="177"/>
      <c r="AB834" s="177"/>
      <c r="AC834" s="177"/>
    </row>
    <row r="835" spans="1:29" ht="13">
      <c r="A835" s="161"/>
      <c r="B835" s="161"/>
      <c r="C835" s="177"/>
      <c r="D835" s="177"/>
      <c r="E835" s="177"/>
      <c r="F835" s="177"/>
      <c r="G835" s="206"/>
      <c r="H835" s="177"/>
      <c r="I835" s="177"/>
      <c r="J835" s="177"/>
      <c r="K835" s="177"/>
      <c r="L835" s="178"/>
      <c r="M835" s="177"/>
      <c r="N835" s="177"/>
      <c r="O835" s="177"/>
      <c r="P835" s="177"/>
      <c r="Q835" s="177"/>
      <c r="R835" s="177"/>
      <c r="S835" s="177"/>
      <c r="T835" s="177"/>
      <c r="U835" s="177"/>
      <c r="V835" s="177"/>
      <c r="W835" s="177"/>
      <c r="X835" s="177"/>
      <c r="Y835" s="177"/>
      <c r="Z835" s="177"/>
      <c r="AA835" s="177"/>
      <c r="AB835" s="177"/>
      <c r="AC835" s="177"/>
    </row>
    <row r="836" spans="1:29" ht="13">
      <c r="A836" s="161"/>
      <c r="B836" s="161"/>
      <c r="C836" s="177"/>
      <c r="D836" s="177"/>
      <c r="E836" s="177"/>
      <c r="F836" s="177"/>
      <c r="G836" s="206"/>
      <c r="H836" s="177"/>
      <c r="I836" s="177"/>
      <c r="J836" s="177"/>
      <c r="K836" s="177"/>
      <c r="L836" s="178"/>
      <c r="M836" s="177"/>
      <c r="N836" s="177"/>
      <c r="O836" s="177"/>
      <c r="P836" s="177"/>
      <c r="Q836" s="177"/>
      <c r="R836" s="177"/>
      <c r="S836" s="177"/>
      <c r="T836" s="177"/>
      <c r="U836" s="177"/>
      <c r="V836" s="177"/>
      <c r="W836" s="177"/>
      <c r="X836" s="177"/>
      <c r="Y836" s="177"/>
      <c r="Z836" s="177"/>
      <c r="AA836" s="177"/>
      <c r="AB836" s="177"/>
      <c r="AC836" s="177"/>
    </row>
    <row r="837" spans="1:29" ht="13">
      <c r="A837" s="161"/>
      <c r="B837" s="161"/>
      <c r="C837" s="177"/>
      <c r="D837" s="177"/>
      <c r="E837" s="177"/>
      <c r="F837" s="177"/>
      <c r="G837" s="206"/>
      <c r="H837" s="177"/>
      <c r="I837" s="177"/>
      <c r="J837" s="177"/>
      <c r="K837" s="177"/>
      <c r="L837" s="178"/>
      <c r="M837" s="177"/>
      <c r="N837" s="177"/>
      <c r="O837" s="177"/>
      <c r="P837" s="177"/>
      <c r="Q837" s="177"/>
      <c r="R837" s="177"/>
      <c r="S837" s="177"/>
      <c r="T837" s="177"/>
      <c r="U837" s="177"/>
      <c r="V837" s="177"/>
      <c r="W837" s="177"/>
      <c r="X837" s="177"/>
      <c r="Y837" s="177"/>
      <c r="Z837" s="177"/>
      <c r="AA837" s="177"/>
      <c r="AB837" s="177"/>
      <c r="AC837" s="177"/>
    </row>
    <row r="838" spans="1:29" ht="13">
      <c r="A838" s="161"/>
      <c r="B838" s="161"/>
      <c r="C838" s="177"/>
      <c r="D838" s="177"/>
      <c r="E838" s="177"/>
      <c r="F838" s="177"/>
      <c r="G838" s="206"/>
      <c r="H838" s="177"/>
      <c r="I838" s="177"/>
      <c r="J838" s="177"/>
      <c r="K838" s="177"/>
      <c r="L838" s="178"/>
      <c r="M838" s="177"/>
      <c r="N838" s="177"/>
      <c r="O838" s="177"/>
      <c r="P838" s="177"/>
      <c r="Q838" s="177"/>
      <c r="R838" s="177"/>
      <c r="S838" s="177"/>
      <c r="T838" s="177"/>
      <c r="U838" s="177"/>
      <c r="V838" s="177"/>
      <c r="W838" s="177"/>
      <c r="X838" s="177"/>
      <c r="Y838" s="177"/>
      <c r="Z838" s="177"/>
      <c r="AA838" s="177"/>
      <c r="AB838" s="177"/>
      <c r="AC838" s="177"/>
    </row>
    <row r="839" spans="1:29" ht="13">
      <c r="A839" s="161"/>
      <c r="B839" s="161"/>
      <c r="C839" s="177"/>
      <c r="D839" s="177"/>
      <c r="E839" s="177"/>
      <c r="F839" s="177"/>
      <c r="G839" s="206"/>
      <c r="H839" s="177"/>
      <c r="I839" s="177"/>
      <c r="J839" s="177"/>
      <c r="K839" s="177"/>
      <c r="L839" s="178"/>
      <c r="M839" s="177"/>
      <c r="N839" s="177"/>
      <c r="O839" s="177"/>
      <c r="P839" s="177"/>
      <c r="Q839" s="177"/>
      <c r="R839" s="177"/>
      <c r="S839" s="177"/>
      <c r="T839" s="177"/>
      <c r="U839" s="177"/>
      <c r="V839" s="177"/>
      <c r="W839" s="177"/>
      <c r="X839" s="177"/>
      <c r="Y839" s="177"/>
      <c r="Z839" s="177"/>
      <c r="AA839" s="177"/>
      <c r="AB839" s="177"/>
      <c r="AC839" s="177"/>
    </row>
    <row r="840" spans="1:29" ht="13">
      <c r="A840" s="161"/>
      <c r="B840" s="161"/>
      <c r="C840" s="177"/>
      <c r="D840" s="177"/>
      <c r="E840" s="177"/>
      <c r="F840" s="177"/>
      <c r="G840" s="206"/>
      <c r="H840" s="177"/>
      <c r="I840" s="177"/>
      <c r="J840" s="177"/>
      <c r="K840" s="177"/>
      <c r="L840" s="178"/>
      <c r="M840" s="177"/>
      <c r="N840" s="177"/>
      <c r="O840" s="177"/>
      <c r="P840" s="177"/>
      <c r="Q840" s="177"/>
      <c r="R840" s="177"/>
      <c r="S840" s="177"/>
      <c r="T840" s="177"/>
      <c r="U840" s="177"/>
      <c r="V840" s="177"/>
      <c r="W840" s="177"/>
      <c r="X840" s="177"/>
      <c r="Y840" s="177"/>
      <c r="Z840" s="177"/>
      <c r="AA840" s="177"/>
      <c r="AB840" s="177"/>
      <c r="AC840" s="177"/>
    </row>
    <row r="841" spans="1:29" ht="13">
      <c r="A841" s="161"/>
      <c r="B841" s="161"/>
      <c r="C841" s="177"/>
      <c r="D841" s="177"/>
      <c r="E841" s="177"/>
      <c r="F841" s="177"/>
      <c r="G841" s="206"/>
      <c r="H841" s="177"/>
      <c r="I841" s="177"/>
      <c r="J841" s="177"/>
      <c r="K841" s="177"/>
      <c r="L841" s="178"/>
      <c r="M841" s="177"/>
      <c r="N841" s="177"/>
      <c r="O841" s="177"/>
      <c r="P841" s="177"/>
      <c r="Q841" s="177"/>
      <c r="R841" s="177"/>
      <c r="S841" s="177"/>
      <c r="T841" s="177"/>
      <c r="U841" s="177"/>
      <c r="V841" s="177"/>
      <c r="W841" s="177"/>
      <c r="X841" s="177"/>
      <c r="Y841" s="177"/>
      <c r="Z841" s="177"/>
      <c r="AA841" s="177"/>
      <c r="AB841" s="177"/>
      <c r="AC841" s="177"/>
    </row>
    <row r="842" spans="1:29" ht="13">
      <c r="A842" s="161"/>
      <c r="B842" s="161"/>
      <c r="C842" s="177"/>
      <c r="D842" s="177"/>
      <c r="E842" s="177"/>
      <c r="F842" s="177"/>
      <c r="G842" s="206"/>
      <c r="H842" s="177"/>
      <c r="I842" s="177"/>
      <c r="J842" s="177"/>
      <c r="K842" s="177"/>
      <c r="L842" s="178"/>
      <c r="M842" s="177"/>
      <c r="N842" s="177"/>
      <c r="O842" s="177"/>
      <c r="P842" s="177"/>
      <c r="Q842" s="177"/>
      <c r="R842" s="177"/>
      <c r="S842" s="177"/>
      <c r="T842" s="177"/>
      <c r="U842" s="177"/>
      <c r="V842" s="177"/>
      <c r="W842" s="177"/>
      <c r="X842" s="177"/>
      <c r="Y842" s="177"/>
      <c r="Z842" s="177"/>
      <c r="AA842" s="177"/>
      <c r="AB842" s="177"/>
      <c r="AC842" s="177"/>
    </row>
    <row r="843" spans="1:29" ht="13">
      <c r="A843" s="161"/>
      <c r="B843" s="161"/>
      <c r="C843" s="177"/>
      <c r="D843" s="177"/>
      <c r="E843" s="177"/>
      <c r="F843" s="177"/>
      <c r="G843" s="206"/>
      <c r="H843" s="177"/>
      <c r="I843" s="177"/>
      <c r="J843" s="177"/>
      <c r="K843" s="177"/>
      <c r="L843" s="178"/>
      <c r="M843" s="177"/>
      <c r="N843" s="177"/>
      <c r="O843" s="177"/>
      <c r="P843" s="177"/>
      <c r="Q843" s="177"/>
      <c r="R843" s="177"/>
      <c r="S843" s="177"/>
      <c r="T843" s="177"/>
      <c r="U843" s="177"/>
      <c r="V843" s="177"/>
      <c r="W843" s="177"/>
      <c r="X843" s="177"/>
      <c r="Y843" s="177"/>
      <c r="Z843" s="177"/>
      <c r="AA843" s="177"/>
      <c r="AB843" s="177"/>
      <c r="AC843" s="177"/>
    </row>
    <row r="844" spans="1:29" ht="13">
      <c r="A844" s="161"/>
      <c r="B844" s="161"/>
      <c r="C844" s="177"/>
      <c r="D844" s="177"/>
      <c r="E844" s="177"/>
      <c r="F844" s="177"/>
      <c r="G844" s="206"/>
      <c r="H844" s="177"/>
      <c r="I844" s="177"/>
      <c r="J844" s="177"/>
      <c r="K844" s="177"/>
      <c r="L844" s="178"/>
      <c r="M844" s="177"/>
      <c r="N844" s="177"/>
      <c r="O844" s="177"/>
      <c r="P844" s="177"/>
      <c r="Q844" s="177"/>
      <c r="R844" s="177"/>
      <c r="S844" s="177"/>
      <c r="T844" s="177"/>
      <c r="U844" s="177"/>
      <c r="V844" s="177"/>
      <c r="W844" s="177"/>
      <c r="X844" s="177"/>
      <c r="Y844" s="177"/>
      <c r="Z844" s="177"/>
      <c r="AA844" s="177"/>
      <c r="AB844" s="177"/>
      <c r="AC844" s="177"/>
    </row>
    <row r="845" spans="1:29" ht="13">
      <c r="A845" s="161"/>
      <c r="B845" s="161"/>
      <c r="C845" s="177"/>
      <c r="D845" s="177"/>
      <c r="E845" s="177"/>
      <c r="F845" s="177"/>
      <c r="G845" s="206"/>
      <c r="H845" s="177"/>
      <c r="I845" s="177"/>
      <c r="J845" s="177"/>
      <c r="K845" s="177"/>
      <c r="L845" s="178"/>
      <c r="M845" s="177"/>
      <c r="N845" s="177"/>
      <c r="O845" s="177"/>
      <c r="P845" s="177"/>
      <c r="Q845" s="177"/>
      <c r="R845" s="177"/>
      <c r="S845" s="177"/>
      <c r="T845" s="177"/>
      <c r="U845" s="177"/>
      <c r="V845" s="177"/>
      <c r="W845" s="177"/>
      <c r="X845" s="177"/>
      <c r="Y845" s="177"/>
      <c r="Z845" s="177"/>
      <c r="AA845" s="177"/>
      <c r="AB845" s="177"/>
      <c r="AC845" s="177"/>
    </row>
    <row r="846" spans="1:29" ht="13">
      <c r="A846" s="161"/>
      <c r="B846" s="161"/>
      <c r="C846" s="177"/>
      <c r="D846" s="177"/>
      <c r="E846" s="177"/>
      <c r="F846" s="177"/>
      <c r="G846" s="206"/>
      <c r="H846" s="177"/>
      <c r="I846" s="177"/>
      <c r="J846" s="177"/>
      <c r="K846" s="177"/>
      <c r="L846" s="178"/>
      <c r="M846" s="177"/>
      <c r="N846" s="177"/>
      <c r="O846" s="177"/>
      <c r="P846" s="177"/>
      <c r="Q846" s="177"/>
      <c r="R846" s="177"/>
      <c r="S846" s="177"/>
      <c r="T846" s="177"/>
      <c r="U846" s="177"/>
      <c r="V846" s="177"/>
      <c r="W846" s="177"/>
      <c r="X846" s="177"/>
      <c r="Y846" s="177"/>
      <c r="Z846" s="177"/>
      <c r="AA846" s="177"/>
      <c r="AB846" s="177"/>
      <c r="AC846" s="177"/>
    </row>
    <row r="847" spans="1:29" ht="13">
      <c r="A847" s="161"/>
      <c r="B847" s="161"/>
      <c r="C847" s="177"/>
      <c r="D847" s="177"/>
      <c r="E847" s="177"/>
      <c r="F847" s="177"/>
      <c r="G847" s="206"/>
      <c r="H847" s="177"/>
      <c r="I847" s="177"/>
      <c r="J847" s="177"/>
      <c r="K847" s="177"/>
      <c r="L847" s="178"/>
      <c r="M847" s="177"/>
      <c r="N847" s="177"/>
      <c r="O847" s="177"/>
      <c r="P847" s="177"/>
      <c r="Q847" s="177"/>
      <c r="R847" s="177"/>
      <c r="S847" s="177"/>
      <c r="T847" s="177"/>
      <c r="U847" s="177"/>
      <c r="V847" s="177"/>
      <c r="W847" s="177"/>
      <c r="X847" s="177"/>
      <c r="Y847" s="177"/>
      <c r="Z847" s="177"/>
      <c r="AA847" s="177"/>
      <c r="AB847" s="177"/>
      <c r="AC847" s="177"/>
    </row>
    <row r="848" spans="1:29" ht="13">
      <c r="A848" s="161"/>
      <c r="B848" s="161"/>
      <c r="C848" s="177"/>
      <c r="D848" s="177"/>
      <c r="E848" s="177"/>
      <c r="F848" s="177"/>
      <c r="G848" s="206"/>
      <c r="H848" s="177"/>
      <c r="I848" s="177"/>
      <c r="J848" s="177"/>
      <c r="K848" s="177"/>
      <c r="L848" s="178"/>
      <c r="M848" s="177"/>
      <c r="N848" s="177"/>
      <c r="O848" s="177"/>
      <c r="P848" s="177"/>
      <c r="Q848" s="177"/>
      <c r="R848" s="177"/>
      <c r="S848" s="177"/>
      <c r="T848" s="177"/>
      <c r="U848" s="177"/>
      <c r="V848" s="177"/>
      <c r="W848" s="177"/>
      <c r="X848" s="177"/>
      <c r="Y848" s="177"/>
      <c r="Z848" s="177"/>
      <c r="AA848" s="177"/>
      <c r="AB848" s="177"/>
      <c r="AC848" s="177"/>
    </row>
    <row r="849" spans="1:29" ht="13">
      <c r="A849" s="161"/>
      <c r="B849" s="161"/>
      <c r="C849" s="177"/>
      <c r="D849" s="177"/>
      <c r="E849" s="177"/>
      <c r="F849" s="177"/>
      <c r="G849" s="206"/>
      <c r="H849" s="177"/>
      <c r="I849" s="177"/>
      <c r="J849" s="177"/>
      <c r="K849" s="177"/>
      <c r="L849" s="178"/>
      <c r="M849" s="177"/>
      <c r="N849" s="177"/>
      <c r="O849" s="177"/>
      <c r="P849" s="177"/>
      <c r="Q849" s="177"/>
      <c r="R849" s="177"/>
      <c r="S849" s="177"/>
      <c r="T849" s="177"/>
      <c r="U849" s="177"/>
      <c r="V849" s="177"/>
      <c r="W849" s="177"/>
      <c r="X849" s="177"/>
      <c r="Y849" s="177"/>
      <c r="Z849" s="177"/>
      <c r="AA849" s="177"/>
      <c r="AB849" s="177"/>
      <c r="AC849" s="177"/>
    </row>
    <row r="850" spans="1:29" ht="13">
      <c r="A850" s="161"/>
      <c r="B850" s="161"/>
      <c r="C850" s="177"/>
      <c r="D850" s="177"/>
      <c r="E850" s="177"/>
      <c r="F850" s="177"/>
      <c r="G850" s="206"/>
      <c r="H850" s="177"/>
      <c r="I850" s="177"/>
      <c r="J850" s="177"/>
      <c r="K850" s="177"/>
      <c r="L850" s="178"/>
      <c r="M850" s="177"/>
      <c r="N850" s="177"/>
      <c r="O850" s="177"/>
      <c r="P850" s="177"/>
      <c r="Q850" s="177"/>
      <c r="R850" s="177"/>
      <c r="S850" s="177"/>
      <c r="T850" s="177"/>
      <c r="U850" s="177"/>
      <c r="V850" s="177"/>
      <c r="W850" s="177"/>
      <c r="X850" s="177"/>
      <c r="Y850" s="177"/>
      <c r="Z850" s="177"/>
      <c r="AA850" s="177"/>
      <c r="AB850" s="177"/>
      <c r="AC850" s="177"/>
    </row>
    <row r="851" spans="1:29" ht="13">
      <c r="A851" s="161"/>
      <c r="B851" s="161"/>
      <c r="C851" s="177"/>
      <c r="D851" s="177"/>
      <c r="E851" s="177"/>
      <c r="F851" s="177"/>
      <c r="G851" s="206"/>
      <c r="H851" s="177"/>
      <c r="I851" s="177"/>
      <c r="J851" s="177"/>
      <c r="K851" s="177"/>
      <c r="L851" s="178"/>
      <c r="M851" s="177"/>
      <c r="N851" s="177"/>
      <c r="O851" s="177"/>
      <c r="P851" s="177"/>
      <c r="Q851" s="177"/>
      <c r="R851" s="177"/>
      <c r="S851" s="177"/>
      <c r="T851" s="177"/>
      <c r="U851" s="177"/>
      <c r="V851" s="177"/>
      <c r="W851" s="177"/>
      <c r="X851" s="177"/>
      <c r="Y851" s="177"/>
      <c r="Z851" s="177"/>
      <c r="AA851" s="177"/>
      <c r="AB851" s="177"/>
      <c r="AC851" s="177"/>
    </row>
    <row r="852" spans="1:29" ht="13">
      <c r="A852" s="161"/>
      <c r="B852" s="161"/>
      <c r="C852" s="177"/>
      <c r="D852" s="177"/>
      <c r="E852" s="177"/>
      <c r="F852" s="177"/>
      <c r="G852" s="206"/>
      <c r="H852" s="177"/>
      <c r="I852" s="177"/>
      <c r="J852" s="177"/>
      <c r="K852" s="177"/>
      <c r="L852" s="178"/>
      <c r="M852" s="177"/>
      <c r="N852" s="177"/>
      <c r="O852" s="177"/>
      <c r="P852" s="177"/>
      <c r="Q852" s="177"/>
      <c r="R852" s="177"/>
      <c r="S852" s="177"/>
      <c r="T852" s="177"/>
      <c r="U852" s="177"/>
      <c r="V852" s="177"/>
      <c r="W852" s="177"/>
      <c r="X852" s="177"/>
      <c r="Y852" s="177"/>
      <c r="Z852" s="177"/>
      <c r="AA852" s="177"/>
      <c r="AB852" s="177"/>
      <c r="AC852" s="177"/>
    </row>
    <row r="853" spans="1:29" ht="13">
      <c r="A853" s="161"/>
      <c r="B853" s="161"/>
      <c r="C853" s="177"/>
      <c r="D853" s="177"/>
      <c r="E853" s="177"/>
      <c r="F853" s="177"/>
      <c r="G853" s="206"/>
      <c r="H853" s="177"/>
      <c r="I853" s="177"/>
      <c r="J853" s="177"/>
      <c r="K853" s="177"/>
      <c r="L853" s="178"/>
      <c r="M853" s="177"/>
      <c r="N853" s="177"/>
      <c r="O853" s="177"/>
      <c r="P853" s="177"/>
      <c r="Q853" s="177"/>
      <c r="R853" s="177"/>
      <c r="S853" s="177"/>
      <c r="T853" s="177"/>
      <c r="U853" s="177"/>
      <c r="V853" s="177"/>
      <c r="W853" s="177"/>
      <c r="X853" s="177"/>
      <c r="Y853" s="177"/>
      <c r="Z853" s="177"/>
      <c r="AA853" s="177"/>
      <c r="AB853" s="177"/>
      <c r="AC853" s="177"/>
    </row>
    <row r="854" spans="1:29" ht="13">
      <c r="A854" s="161"/>
      <c r="B854" s="161"/>
      <c r="C854" s="177"/>
      <c r="D854" s="177"/>
      <c r="E854" s="177"/>
      <c r="F854" s="177"/>
      <c r="G854" s="206"/>
      <c r="H854" s="177"/>
      <c r="I854" s="177"/>
      <c r="J854" s="177"/>
      <c r="K854" s="177"/>
      <c r="L854" s="178"/>
      <c r="M854" s="177"/>
      <c r="N854" s="177"/>
      <c r="O854" s="177"/>
      <c r="P854" s="177"/>
      <c r="Q854" s="177"/>
      <c r="R854" s="177"/>
      <c r="S854" s="177"/>
      <c r="T854" s="177"/>
      <c r="U854" s="177"/>
      <c r="V854" s="177"/>
      <c r="W854" s="177"/>
      <c r="X854" s="177"/>
      <c r="Y854" s="177"/>
      <c r="Z854" s="177"/>
      <c r="AA854" s="177"/>
      <c r="AB854" s="177"/>
      <c r="AC854" s="177"/>
    </row>
    <row r="855" spans="1:29" ht="13">
      <c r="A855" s="161"/>
      <c r="B855" s="161"/>
      <c r="C855" s="177"/>
      <c r="D855" s="177"/>
      <c r="E855" s="177"/>
      <c r="F855" s="177"/>
      <c r="G855" s="206"/>
      <c r="H855" s="177"/>
      <c r="I855" s="177"/>
      <c r="J855" s="177"/>
      <c r="K855" s="177"/>
      <c r="L855" s="178"/>
      <c r="M855" s="177"/>
      <c r="N855" s="177"/>
      <c r="O855" s="177"/>
      <c r="P855" s="177"/>
      <c r="Q855" s="177"/>
      <c r="R855" s="177"/>
      <c r="S855" s="177"/>
      <c r="T855" s="177"/>
      <c r="U855" s="177"/>
      <c r="V855" s="177"/>
      <c r="W855" s="177"/>
      <c r="X855" s="177"/>
      <c r="Y855" s="177"/>
      <c r="Z855" s="177"/>
      <c r="AA855" s="177"/>
      <c r="AB855" s="177"/>
      <c r="AC855" s="177"/>
    </row>
    <row r="856" spans="1:29" ht="13">
      <c r="A856" s="161"/>
      <c r="B856" s="161"/>
      <c r="C856" s="177"/>
      <c r="D856" s="177"/>
      <c r="E856" s="177"/>
      <c r="F856" s="177"/>
      <c r="G856" s="206"/>
      <c r="H856" s="177"/>
      <c r="I856" s="177"/>
      <c r="J856" s="177"/>
      <c r="K856" s="177"/>
      <c r="L856" s="178"/>
      <c r="M856" s="177"/>
      <c r="N856" s="177"/>
      <c r="O856" s="177"/>
      <c r="P856" s="177"/>
      <c r="Q856" s="177"/>
      <c r="R856" s="177"/>
      <c r="S856" s="177"/>
      <c r="T856" s="177"/>
      <c r="U856" s="177"/>
      <c r="V856" s="177"/>
      <c r="W856" s="177"/>
      <c r="X856" s="177"/>
      <c r="Y856" s="177"/>
      <c r="Z856" s="177"/>
      <c r="AA856" s="177"/>
      <c r="AB856" s="177"/>
      <c r="AC856" s="177"/>
    </row>
    <row r="857" spans="1:29" ht="13">
      <c r="A857" s="161"/>
      <c r="B857" s="161"/>
      <c r="C857" s="177"/>
      <c r="D857" s="177"/>
      <c r="E857" s="177"/>
      <c r="F857" s="177"/>
      <c r="G857" s="206"/>
      <c r="H857" s="177"/>
      <c r="I857" s="177"/>
      <c r="J857" s="177"/>
      <c r="K857" s="177"/>
      <c r="L857" s="178"/>
      <c r="M857" s="177"/>
      <c r="N857" s="177"/>
      <c r="O857" s="177"/>
      <c r="P857" s="177"/>
      <c r="Q857" s="177"/>
      <c r="R857" s="177"/>
      <c r="S857" s="177"/>
      <c r="T857" s="177"/>
      <c r="U857" s="177"/>
      <c r="V857" s="177"/>
      <c r="W857" s="177"/>
      <c r="X857" s="177"/>
      <c r="Y857" s="177"/>
      <c r="Z857" s="177"/>
      <c r="AA857" s="177"/>
      <c r="AB857" s="177"/>
      <c r="AC857" s="177"/>
    </row>
    <row r="858" spans="1:29" ht="13">
      <c r="A858" s="161"/>
      <c r="B858" s="161"/>
      <c r="C858" s="177"/>
      <c r="D858" s="177"/>
      <c r="E858" s="177"/>
      <c r="F858" s="177"/>
      <c r="G858" s="206"/>
      <c r="H858" s="177"/>
      <c r="I858" s="177"/>
      <c r="J858" s="177"/>
      <c r="K858" s="177"/>
      <c r="L858" s="178"/>
      <c r="M858" s="177"/>
      <c r="N858" s="177"/>
      <c r="O858" s="177"/>
      <c r="P858" s="177"/>
      <c r="Q858" s="177"/>
      <c r="R858" s="177"/>
      <c r="S858" s="177"/>
      <c r="T858" s="177"/>
      <c r="U858" s="177"/>
      <c r="V858" s="177"/>
      <c r="W858" s="177"/>
      <c r="X858" s="177"/>
      <c r="Y858" s="177"/>
      <c r="Z858" s="177"/>
      <c r="AA858" s="177"/>
      <c r="AB858" s="177"/>
      <c r="AC858" s="177"/>
    </row>
    <row r="859" spans="1:29" ht="13">
      <c r="A859" s="161"/>
      <c r="B859" s="161"/>
      <c r="C859" s="177"/>
      <c r="D859" s="177"/>
      <c r="E859" s="177"/>
      <c r="F859" s="177"/>
      <c r="G859" s="206"/>
      <c r="H859" s="177"/>
      <c r="I859" s="177"/>
      <c r="J859" s="177"/>
      <c r="K859" s="177"/>
      <c r="L859" s="178"/>
      <c r="M859" s="177"/>
      <c r="N859" s="177"/>
      <c r="O859" s="177"/>
      <c r="P859" s="177"/>
      <c r="Q859" s="177"/>
      <c r="R859" s="177"/>
      <c r="S859" s="177"/>
      <c r="T859" s="177"/>
      <c r="U859" s="177"/>
      <c r="V859" s="177"/>
      <c r="W859" s="177"/>
      <c r="X859" s="177"/>
      <c r="Y859" s="177"/>
      <c r="Z859" s="177"/>
      <c r="AA859" s="177"/>
      <c r="AB859" s="177"/>
      <c r="AC859" s="177"/>
    </row>
    <row r="860" spans="1:29" ht="13">
      <c r="A860" s="161"/>
      <c r="B860" s="161"/>
      <c r="C860" s="177"/>
      <c r="D860" s="177"/>
      <c r="E860" s="177"/>
      <c r="F860" s="177"/>
      <c r="G860" s="206"/>
      <c r="H860" s="177"/>
      <c r="I860" s="177"/>
      <c r="J860" s="177"/>
      <c r="K860" s="177"/>
      <c r="L860" s="178"/>
      <c r="M860" s="177"/>
      <c r="N860" s="177"/>
      <c r="O860" s="177"/>
      <c r="P860" s="177"/>
      <c r="Q860" s="177"/>
      <c r="R860" s="177"/>
      <c r="S860" s="177"/>
      <c r="T860" s="177"/>
      <c r="U860" s="177"/>
      <c r="V860" s="177"/>
      <c r="W860" s="177"/>
      <c r="X860" s="177"/>
      <c r="Y860" s="177"/>
      <c r="Z860" s="177"/>
      <c r="AA860" s="177"/>
      <c r="AB860" s="177"/>
      <c r="AC860" s="177"/>
    </row>
    <row r="861" spans="1:29" ht="13">
      <c r="A861" s="161"/>
      <c r="B861" s="161"/>
      <c r="C861" s="177"/>
      <c r="D861" s="177"/>
      <c r="E861" s="177"/>
      <c r="F861" s="177"/>
      <c r="G861" s="206"/>
      <c r="H861" s="177"/>
      <c r="I861" s="177"/>
      <c r="J861" s="177"/>
      <c r="K861" s="177"/>
      <c r="L861" s="178"/>
      <c r="M861" s="177"/>
      <c r="N861" s="177"/>
      <c r="O861" s="177"/>
      <c r="P861" s="177"/>
      <c r="Q861" s="177"/>
      <c r="R861" s="177"/>
      <c r="S861" s="177"/>
      <c r="T861" s="177"/>
      <c r="U861" s="177"/>
      <c r="V861" s="177"/>
      <c r="W861" s="177"/>
      <c r="X861" s="177"/>
      <c r="Y861" s="177"/>
      <c r="Z861" s="177"/>
      <c r="AA861" s="177"/>
      <c r="AB861" s="177"/>
      <c r="AC861" s="177"/>
    </row>
    <row r="862" spans="1:29" ht="13">
      <c r="A862" s="161"/>
      <c r="B862" s="161"/>
      <c r="C862" s="177"/>
      <c r="D862" s="177"/>
      <c r="E862" s="177"/>
      <c r="F862" s="177"/>
      <c r="G862" s="206"/>
      <c r="H862" s="177"/>
      <c r="I862" s="177"/>
      <c r="J862" s="177"/>
      <c r="K862" s="177"/>
      <c r="L862" s="178"/>
      <c r="M862" s="177"/>
      <c r="N862" s="177"/>
      <c r="O862" s="177"/>
      <c r="P862" s="177"/>
      <c r="Q862" s="177"/>
      <c r="R862" s="177"/>
      <c r="S862" s="177"/>
      <c r="T862" s="177"/>
      <c r="U862" s="177"/>
      <c r="V862" s="177"/>
      <c r="W862" s="177"/>
      <c r="X862" s="177"/>
      <c r="Y862" s="177"/>
      <c r="Z862" s="177"/>
      <c r="AA862" s="177"/>
      <c r="AB862" s="177"/>
      <c r="AC862" s="177"/>
    </row>
    <row r="863" spans="1:29" ht="13">
      <c r="A863" s="161"/>
      <c r="B863" s="161"/>
      <c r="C863" s="177"/>
      <c r="D863" s="177"/>
      <c r="E863" s="177"/>
      <c r="F863" s="177"/>
      <c r="G863" s="206"/>
      <c r="H863" s="177"/>
      <c r="I863" s="177"/>
      <c r="J863" s="177"/>
      <c r="K863" s="177"/>
      <c r="L863" s="178"/>
      <c r="M863" s="177"/>
      <c r="N863" s="177"/>
      <c r="O863" s="177"/>
      <c r="P863" s="177"/>
      <c r="Q863" s="177"/>
      <c r="R863" s="177"/>
      <c r="S863" s="177"/>
      <c r="T863" s="177"/>
      <c r="U863" s="177"/>
      <c r="V863" s="177"/>
      <c r="W863" s="177"/>
      <c r="X863" s="177"/>
      <c r="Y863" s="177"/>
      <c r="Z863" s="177"/>
      <c r="AA863" s="177"/>
      <c r="AB863" s="177"/>
      <c r="AC863" s="177"/>
    </row>
    <row r="864" spans="1:29" ht="13">
      <c r="A864" s="161"/>
      <c r="B864" s="161"/>
      <c r="C864" s="177"/>
      <c r="D864" s="177"/>
      <c r="E864" s="177"/>
      <c r="F864" s="177"/>
      <c r="G864" s="206"/>
      <c r="H864" s="177"/>
      <c r="I864" s="177"/>
      <c r="J864" s="177"/>
      <c r="K864" s="177"/>
      <c r="L864" s="178"/>
      <c r="M864" s="177"/>
      <c r="N864" s="177"/>
      <c r="O864" s="177"/>
      <c r="P864" s="177"/>
      <c r="Q864" s="177"/>
      <c r="R864" s="177"/>
      <c r="S864" s="177"/>
      <c r="T864" s="177"/>
      <c r="U864" s="177"/>
      <c r="V864" s="177"/>
      <c r="W864" s="177"/>
      <c r="X864" s="177"/>
      <c r="Y864" s="177"/>
      <c r="Z864" s="177"/>
      <c r="AA864" s="177"/>
      <c r="AB864" s="177"/>
      <c r="AC864" s="177"/>
    </row>
    <row r="865" spans="1:29" ht="13">
      <c r="A865" s="161"/>
      <c r="B865" s="161"/>
      <c r="C865" s="177"/>
      <c r="D865" s="177"/>
      <c r="E865" s="177"/>
      <c r="F865" s="177"/>
      <c r="G865" s="206"/>
      <c r="H865" s="177"/>
      <c r="I865" s="177"/>
      <c r="J865" s="177"/>
      <c r="K865" s="177"/>
      <c r="L865" s="178"/>
      <c r="M865" s="177"/>
      <c r="N865" s="177"/>
      <c r="O865" s="177"/>
      <c r="P865" s="177"/>
      <c r="Q865" s="177"/>
      <c r="R865" s="177"/>
      <c r="S865" s="177"/>
      <c r="T865" s="177"/>
      <c r="U865" s="177"/>
      <c r="V865" s="177"/>
      <c r="W865" s="177"/>
      <c r="X865" s="177"/>
      <c r="Y865" s="177"/>
      <c r="Z865" s="177"/>
      <c r="AA865" s="177"/>
      <c r="AB865" s="177"/>
      <c r="AC865" s="177"/>
    </row>
    <row r="866" spans="1:29" ht="13">
      <c r="A866" s="161"/>
      <c r="B866" s="161"/>
      <c r="C866" s="177"/>
      <c r="D866" s="177"/>
      <c r="E866" s="177"/>
      <c r="F866" s="177"/>
      <c r="G866" s="206"/>
      <c r="H866" s="177"/>
      <c r="I866" s="177"/>
      <c r="J866" s="177"/>
      <c r="K866" s="177"/>
      <c r="L866" s="178"/>
      <c r="M866" s="177"/>
      <c r="N866" s="177"/>
      <c r="O866" s="177"/>
      <c r="P866" s="177"/>
      <c r="Q866" s="177"/>
      <c r="R866" s="177"/>
      <c r="S866" s="177"/>
      <c r="T866" s="177"/>
      <c r="U866" s="177"/>
      <c r="V866" s="177"/>
      <c r="W866" s="177"/>
      <c r="X866" s="177"/>
      <c r="Y866" s="177"/>
      <c r="Z866" s="177"/>
      <c r="AA866" s="177"/>
      <c r="AB866" s="177"/>
      <c r="AC866" s="177"/>
    </row>
    <row r="867" spans="1:29" ht="13">
      <c r="A867" s="161"/>
      <c r="B867" s="161"/>
      <c r="C867" s="177"/>
      <c r="D867" s="177"/>
      <c r="E867" s="177"/>
      <c r="F867" s="177"/>
      <c r="G867" s="206"/>
      <c r="H867" s="177"/>
      <c r="I867" s="177"/>
      <c r="J867" s="177"/>
      <c r="K867" s="177"/>
      <c r="L867" s="178"/>
      <c r="M867" s="177"/>
      <c r="N867" s="177"/>
      <c r="O867" s="177"/>
      <c r="P867" s="177"/>
      <c r="Q867" s="177"/>
      <c r="R867" s="177"/>
      <c r="S867" s="177"/>
      <c r="T867" s="177"/>
      <c r="U867" s="177"/>
      <c r="V867" s="177"/>
      <c r="W867" s="177"/>
      <c r="X867" s="177"/>
      <c r="Y867" s="177"/>
      <c r="Z867" s="177"/>
      <c r="AA867" s="177"/>
      <c r="AB867" s="177"/>
      <c r="AC867" s="177"/>
    </row>
    <row r="868" spans="1:29" ht="13">
      <c r="A868" s="161"/>
      <c r="B868" s="161"/>
      <c r="C868" s="177"/>
      <c r="D868" s="177"/>
      <c r="E868" s="177"/>
      <c r="F868" s="177"/>
      <c r="G868" s="206"/>
      <c r="H868" s="177"/>
      <c r="I868" s="177"/>
      <c r="J868" s="177"/>
      <c r="K868" s="177"/>
      <c r="L868" s="178"/>
      <c r="M868" s="177"/>
      <c r="N868" s="177"/>
      <c r="O868" s="177"/>
      <c r="P868" s="177"/>
      <c r="Q868" s="177"/>
      <c r="R868" s="177"/>
      <c r="S868" s="177"/>
      <c r="T868" s="177"/>
      <c r="U868" s="177"/>
      <c r="V868" s="177"/>
      <c r="W868" s="177"/>
      <c r="X868" s="177"/>
      <c r="Y868" s="177"/>
      <c r="Z868" s="177"/>
      <c r="AA868" s="177"/>
      <c r="AB868" s="177"/>
      <c r="AC868" s="177"/>
    </row>
    <row r="869" spans="1:29" ht="13">
      <c r="A869" s="161"/>
      <c r="B869" s="161"/>
      <c r="C869" s="177"/>
      <c r="D869" s="177"/>
      <c r="E869" s="177"/>
      <c r="F869" s="177"/>
      <c r="G869" s="206"/>
      <c r="H869" s="177"/>
      <c r="I869" s="177"/>
      <c r="J869" s="177"/>
      <c r="K869" s="177"/>
      <c r="L869" s="178"/>
      <c r="M869" s="177"/>
      <c r="N869" s="177"/>
      <c r="O869" s="177"/>
      <c r="P869" s="177"/>
      <c r="Q869" s="177"/>
      <c r="R869" s="177"/>
      <c r="S869" s="177"/>
      <c r="T869" s="177"/>
      <c r="U869" s="177"/>
      <c r="V869" s="177"/>
      <c r="W869" s="177"/>
      <c r="X869" s="177"/>
      <c r="Y869" s="177"/>
      <c r="Z869" s="177"/>
      <c r="AA869" s="177"/>
      <c r="AB869" s="177"/>
      <c r="AC869" s="177"/>
    </row>
    <row r="870" spans="1:29" ht="13">
      <c r="A870" s="161"/>
      <c r="B870" s="161"/>
      <c r="C870" s="177"/>
      <c r="D870" s="177"/>
      <c r="E870" s="177"/>
      <c r="F870" s="177"/>
      <c r="G870" s="206"/>
      <c r="H870" s="177"/>
      <c r="I870" s="177"/>
      <c r="J870" s="177"/>
      <c r="K870" s="177"/>
      <c r="L870" s="178"/>
      <c r="M870" s="177"/>
      <c r="N870" s="177"/>
      <c r="O870" s="177"/>
      <c r="P870" s="177"/>
      <c r="Q870" s="177"/>
      <c r="R870" s="177"/>
      <c r="S870" s="177"/>
      <c r="T870" s="177"/>
      <c r="U870" s="177"/>
      <c r="V870" s="177"/>
      <c r="W870" s="177"/>
      <c r="X870" s="177"/>
      <c r="Y870" s="177"/>
      <c r="Z870" s="177"/>
      <c r="AA870" s="177"/>
      <c r="AB870" s="177"/>
      <c r="AC870" s="177"/>
    </row>
    <row r="871" spans="1:29" ht="13">
      <c r="A871" s="161"/>
      <c r="B871" s="161"/>
      <c r="C871" s="177"/>
      <c r="D871" s="177"/>
      <c r="E871" s="177"/>
      <c r="F871" s="177"/>
      <c r="G871" s="206"/>
      <c r="H871" s="177"/>
      <c r="I871" s="177"/>
      <c r="J871" s="177"/>
      <c r="K871" s="177"/>
      <c r="L871" s="178"/>
      <c r="M871" s="177"/>
      <c r="N871" s="177"/>
      <c r="O871" s="177"/>
      <c r="P871" s="177"/>
      <c r="Q871" s="177"/>
      <c r="R871" s="177"/>
      <c r="S871" s="177"/>
      <c r="T871" s="177"/>
      <c r="U871" s="177"/>
      <c r="V871" s="177"/>
      <c r="W871" s="177"/>
      <c r="X871" s="177"/>
      <c r="Y871" s="177"/>
      <c r="Z871" s="177"/>
      <c r="AA871" s="177"/>
      <c r="AB871" s="177"/>
      <c r="AC871" s="177"/>
    </row>
    <row r="872" spans="1:29" ht="13">
      <c r="A872" s="161"/>
      <c r="B872" s="161"/>
      <c r="C872" s="177"/>
      <c r="D872" s="177"/>
      <c r="E872" s="177"/>
      <c r="F872" s="177"/>
      <c r="G872" s="206"/>
      <c r="H872" s="177"/>
      <c r="I872" s="177"/>
      <c r="J872" s="177"/>
      <c r="K872" s="177"/>
      <c r="L872" s="178"/>
      <c r="M872" s="177"/>
      <c r="N872" s="177"/>
      <c r="O872" s="177"/>
      <c r="P872" s="177"/>
      <c r="Q872" s="177"/>
      <c r="R872" s="177"/>
      <c r="S872" s="177"/>
      <c r="T872" s="177"/>
      <c r="U872" s="177"/>
      <c r="V872" s="177"/>
      <c r="W872" s="177"/>
      <c r="X872" s="177"/>
      <c r="Y872" s="177"/>
      <c r="Z872" s="177"/>
      <c r="AA872" s="177"/>
      <c r="AB872" s="177"/>
      <c r="AC872" s="177"/>
    </row>
    <row r="873" spans="1:29" ht="13">
      <c r="A873" s="161"/>
      <c r="B873" s="161"/>
      <c r="C873" s="177"/>
      <c r="D873" s="177"/>
      <c r="E873" s="177"/>
      <c r="F873" s="177"/>
      <c r="G873" s="206"/>
      <c r="H873" s="177"/>
      <c r="I873" s="177"/>
      <c r="J873" s="177"/>
      <c r="K873" s="177"/>
      <c r="L873" s="178"/>
      <c r="M873" s="177"/>
      <c r="N873" s="177"/>
      <c r="O873" s="177"/>
      <c r="P873" s="177"/>
      <c r="Q873" s="177"/>
      <c r="R873" s="177"/>
      <c r="S873" s="177"/>
      <c r="T873" s="177"/>
      <c r="U873" s="177"/>
      <c r="V873" s="177"/>
      <c r="W873" s="177"/>
      <c r="X873" s="177"/>
      <c r="Y873" s="177"/>
      <c r="Z873" s="177"/>
      <c r="AA873" s="177"/>
      <c r="AB873" s="177"/>
      <c r="AC873" s="177"/>
    </row>
    <row r="874" spans="1:29" ht="13">
      <c r="A874" s="161"/>
      <c r="B874" s="161"/>
      <c r="C874" s="177"/>
      <c r="D874" s="177"/>
      <c r="E874" s="177"/>
      <c r="F874" s="177"/>
      <c r="G874" s="206"/>
      <c r="H874" s="177"/>
      <c r="I874" s="177"/>
      <c r="J874" s="177"/>
      <c r="K874" s="177"/>
      <c r="L874" s="178"/>
      <c r="M874" s="177"/>
      <c r="N874" s="177"/>
      <c r="O874" s="177"/>
      <c r="P874" s="177"/>
      <c r="Q874" s="177"/>
      <c r="R874" s="177"/>
      <c r="S874" s="177"/>
      <c r="T874" s="177"/>
      <c r="U874" s="177"/>
      <c r="V874" s="177"/>
      <c r="W874" s="177"/>
      <c r="X874" s="177"/>
      <c r="Y874" s="177"/>
      <c r="Z874" s="177"/>
      <c r="AA874" s="177"/>
      <c r="AB874" s="177"/>
      <c r="AC874" s="177"/>
    </row>
    <row r="875" spans="1:29" ht="13">
      <c r="A875" s="161"/>
      <c r="B875" s="161"/>
      <c r="C875" s="177"/>
      <c r="D875" s="177"/>
      <c r="E875" s="177"/>
      <c r="F875" s="177"/>
      <c r="G875" s="206"/>
      <c r="H875" s="177"/>
      <c r="I875" s="177"/>
      <c r="J875" s="177"/>
      <c r="K875" s="177"/>
      <c r="L875" s="178"/>
      <c r="M875" s="177"/>
      <c r="N875" s="177"/>
      <c r="O875" s="177"/>
      <c r="P875" s="177"/>
      <c r="Q875" s="177"/>
      <c r="R875" s="177"/>
      <c r="S875" s="177"/>
      <c r="T875" s="177"/>
      <c r="U875" s="177"/>
      <c r="V875" s="177"/>
      <c r="W875" s="177"/>
      <c r="X875" s="177"/>
      <c r="Y875" s="177"/>
      <c r="Z875" s="177"/>
      <c r="AA875" s="177"/>
      <c r="AB875" s="177"/>
      <c r="AC875" s="177"/>
    </row>
    <row r="876" spans="1:29" ht="13">
      <c r="A876" s="161"/>
      <c r="B876" s="161"/>
      <c r="C876" s="177"/>
      <c r="D876" s="177"/>
      <c r="E876" s="177"/>
      <c r="F876" s="177"/>
      <c r="G876" s="206"/>
      <c r="H876" s="177"/>
      <c r="I876" s="177"/>
      <c r="J876" s="177"/>
      <c r="K876" s="177"/>
      <c r="L876" s="178"/>
      <c r="M876" s="177"/>
      <c r="N876" s="177"/>
      <c r="O876" s="177"/>
      <c r="P876" s="177"/>
      <c r="Q876" s="177"/>
      <c r="R876" s="177"/>
      <c r="S876" s="177"/>
      <c r="T876" s="177"/>
      <c r="U876" s="177"/>
      <c r="V876" s="177"/>
      <c r="W876" s="177"/>
      <c r="X876" s="177"/>
      <c r="Y876" s="177"/>
      <c r="Z876" s="177"/>
      <c r="AA876" s="177"/>
      <c r="AB876" s="177"/>
      <c r="AC876" s="177"/>
    </row>
    <row r="877" spans="1:29" ht="13">
      <c r="A877" s="161"/>
      <c r="B877" s="161"/>
      <c r="C877" s="177"/>
      <c r="D877" s="177"/>
      <c r="E877" s="177"/>
      <c r="F877" s="177"/>
      <c r="G877" s="206"/>
      <c r="H877" s="177"/>
      <c r="I877" s="177"/>
      <c r="J877" s="177"/>
      <c r="K877" s="177"/>
      <c r="L877" s="178"/>
      <c r="M877" s="177"/>
      <c r="N877" s="177"/>
      <c r="O877" s="177"/>
      <c r="P877" s="177"/>
      <c r="Q877" s="177"/>
      <c r="R877" s="177"/>
      <c r="S877" s="177"/>
      <c r="T877" s="177"/>
      <c r="U877" s="177"/>
      <c r="V877" s="177"/>
      <c r="W877" s="177"/>
      <c r="X877" s="177"/>
      <c r="Y877" s="177"/>
      <c r="Z877" s="177"/>
      <c r="AA877" s="177"/>
      <c r="AB877" s="177"/>
      <c r="AC877" s="177"/>
    </row>
    <row r="878" spans="1:29" ht="13">
      <c r="A878" s="161"/>
      <c r="B878" s="161"/>
      <c r="C878" s="177"/>
      <c r="D878" s="177"/>
      <c r="E878" s="177"/>
      <c r="F878" s="177"/>
      <c r="G878" s="206"/>
      <c r="H878" s="177"/>
      <c r="I878" s="177"/>
      <c r="J878" s="177"/>
      <c r="K878" s="177"/>
      <c r="L878" s="178"/>
      <c r="M878" s="177"/>
      <c r="N878" s="177"/>
      <c r="O878" s="177"/>
      <c r="P878" s="177"/>
      <c r="Q878" s="177"/>
      <c r="R878" s="177"/>
      <c r="S878" s="177"/>
      <c r="T878" s="177"/>
      <c r="U878" s="177"/>
      <c r="V878" s="177"/>
      <c r="W878" s="177"/>
      <c r="X878" s="177"/>
      <c r="Y878" s="177"/>
      <c r="Z878" s="177"/>
      <c r="AA878" s="177"/>
      <c r="AB878" s="177"/>
      <c r="AC878" s="177"/>
    </row>
    <row r="879" spans="1:29" ht="13">
      <c r="A879" s="161"/>
      <c r="B879" s="161"/>
      <c r="C879" s="177"/>
      <c r="D879" s="177"/>
      <c r="E879" s="177"/>
      <c r="F879" s="177"/>
      <c r="G879" s="206"/>
      <c r="H879" s="177"/>
      <c r="I879" s="177"/>
      <c r="J879" s="177"/>
      <c r="K879" s="177"/>
      <c r="L879" s="178"/>
      <c r="M879" s="177"/>
      <c r="N879" s="177"/>
      <c r="O879" s="177"/>
      <c r="P879" s="177"/>
      <c r="Q879" s="177"/>
      <c r="R879" s="177"/>
      <c r="S879" s="177"/>
      <c r="T879" s="177"/>
      <c r="U879" s="177"/>
      <c r="V879" s="177"/>
      <c r="W879" s="177"/>
      <c r="X879" s="177"/>
      <c r="Y879" s="177"/>
      <c r="Z879" s="177"/>
      <c r="AA879" s="177"/>
      <c r="AB879" s="177"/>
      <c r="AC879" s="177"/>
    </row>
    <row r="880" spans="1:29" ht="13">
      <c r="A880" s="161"/>
      <c r="B880" s="161"/>
      <c r="C880" s="177"/>
      <c r="D880" s="177"/>
      <c r="E880" s="177"/>
      <c r="F880" s="177"/>
      <c r="G880" s="206"/>
      <c r="H880" s="177"/>
      <c r="I880" s="177"/>
      <c r="J880" s="177"/>
      <c r="K880" s="177"/>
      <c r="L880" s="178"/>
      <c r="M880" s="177"/>
      <c r="N880" s="177"/>
      <c r="O880" s="177"/>
      <c r="P880" s="177"/>
      <c r="Q880" s="177"/>
      <c r="R880" s="177"/>
      <c r="S880" s="177"/>
      <c r="T880" s="177"/>
      <c r="U880" s="177"/>
      <c r="V880" s="177"/>
      <c r="W880" s="177"/>
      <c r="X880" s="177"/>
      <c r="Y880" s="177"/>
      <c r="Z880" s="177"/>
      <c r="AA880" s="177"/>
      <c r="AB880" s="177"/>
      <c r="AC880" s="177"/>
    </row>
    <row r="881" spans="1:29" ht="13">
      <c r="A881" s="161"/>
      <c r="B881" s="161"/>
      <c r="C881" s="177"/>
      <c r="D881" s="177"/>
      <c r="E881" s="177"/>
      <c r="F881" s="177"/>
      <c r="G881" s="206"/>
      <c r="H881" s="177"/>
      <c r="I881" s="177"/>
      <c r="J881" s="177"/>
      <c r="K881" s="177"/>
      <c r="L881" s="178"/>
      <c r="M881" s="177"/>
      <c r="N881" s="177"/>
      <c r="O881" s="177"/>
      <c r="P881" s="177"/>
      <c r="Q881" s="177"/>
      <c r="R881" s="177"/>
      <c r="S881" s="177"/>
      <c r="T881" s="177"/>
      <c r="U881" s="177"/>
      <c r="V881" s="177"/>
      <c r="W881" s="177"/>
      <c r="X881" s="177"/>
      <c r="Y881" s="177"/>
      <c r="Z881" s="177"/>
      <c r="AA881" s="177"/>
      <c r="AB881" s="177"/>
      <c r="AC881" s="177"/>
    </row>
    <row r="882" spans="1:29" ht="13">
      <c r="A882" s="161"/>
      <c r="B882" s="161"/>
      <c r="C882" s="177"/>
      <c r="D882" s="177"/>
      <c r="E882" s="177"/>
      <c r="F882" s="177"/>
      <c r="G882" s="206"/>
      <c r="H882" s="177"/>
      <c r="I882" s="177"/>
      <c r="J882" s="177"/>
      <c r="K882" s="177"/>
      <c r="L882" s="178"/>
      <c r="M882" s="177"/>
      <c r="N882" s="177"/>
      <c r="O882" s="177"/>
      <c r="P882" s="177"/>
      <c r="Q882" s="177"/>
      <c r="R882" s="177"/>
      <c r="S882" s="177"/>
      <c r="T882" s="177"/>
      <c r="U882" s="177"/>
      <c r="V882" s="177"/>
      <c r="W882" s="177"/>
      <c r="X882" s="177"/>
      <c r="Y882" s="177"/>
      <c r="Z882" s="177"/>
      <c r="AA882" s="177"/>
      <c r="AB882" s="177"/>
      <c r="AC882" s="177"/>
    </row>
    <row r="883" spans="1:29" ht="13">
      <c r="A883" s="161"/>
      <c r="B883" s="161"/>
      <c r="C883" s="177"/>
      <c r="D883" s="177"/>
      <c r="E883" s="177"/>
      <c r="F883" s="177"/>
      <c r="G883" s="206"/>
      <c r="H883" s="177"/>
      <c r="I883" s="177"/>
      <c r="J883" s="177"/>
      <c r="K883" s="177"/>
      <c r="L883" s="178"/>
      <c r="M883" s="177"/>
      <c r="N883" s="177"/>
      <c r="O883" s="177"/>
      <c r="P883" s="177"/>
      <c r="Q883" s="177"/>
      <c r="R883" s="177"/>
      <c r="S883" s="177"/>
      <c r="T883" s="177"/>
      <c r="U883" s="177"/>
      <c r="V883" s="177"/>
      <c r="W883" s="177"/>
      <c r="X883" s="177"/>
      <c r="Y883" s="177"/>
      <c r="Z883" s="177"/>
      <c r="AA883" s="177"/>
      <c r="AB883" s="177"/>
      <c r="AC883" s="177"/>
    </row>
    <row r="884" spans="1:29" ht="13">
      <c r="A884" s="161"/>
      <c r="B884" s="161"/>
      <c r="C884" s="177"/>
      <c r="D884" s="177"/>
      <c r="E884" s="177"/>
      <c r="F884" s="177"/>
      <c r="G884" s="206"/>
      <c r="H884" s="177"/>
      <c r="I884" s="177"/>
      <c r="J884" s="177"/>
      <c r="K884" s="177"/>
      <c r="L884" s="178"/>
      <c r="M884" s="177"/>
      <c r="N884" s="177"/>
      <c r="O884" s="177"/>
      <c r="P884" s="177"/>
      <c r="Q884" s="177"/>
      <c r="R884" s="177"/>
      <c r="S884" s="177"/>
      <c r="T884" s="177"/>
      <c r="U884" s="177"/>
      <c r="V884" s="177"/>
      <c r="W884" s="177"/>
      <c r="X884" s="177"/>
      <c r="Y884" s="177"/>
      <c r="Z884" s="177"/>
      <c r="AA884" s="177"/>
      <c r="AB884" s="177"/>
      <c r="AC884" s="177"/>
    </row>
    <row r="885" spans="1:29" ht="13">
      <c r="A885" s="161"/>
      <c r="B885" s="161"/>
      <c r="C885" s="177"/>
      <c r="D885" s="177"/>
      <c r="E885" s="177"/>
      <c r="F885" s="177"/>
      <c r="G885" s="206"/>
      <c r="H885" s="177"/>
      <c r="I885" s="177"/>
      <c r="J885" s="177"/>
      <c r="K885" s="177"/>
      <c r="L885" s="178"/>
      <c r="M885" s="177"/>
      <c r="N885" s="177"/>
      <c r="O885" s="177"/>
      <c r="P885" s="177"/>
      <c r="Q885" s="177"/>
      <c r="R885" s="177"/>
      <c r="S885" s="177"/>
      <c r="T885" s="177"/>
      <c r="U885" s="177"/>
      <c r="V885" s="177"/>
      <c r="W885" s="177"/>
      <c r="X885" s="177"/>
      <c r="Y885" s="177"/>
      <c r="Z885" s="177"/>
      <c r="AA885" s="177"/>
      <c r="AB885" s="177"/>
      <c r="AC885" s="177"/>
    </row>
    <row r="886" spans="1:29" ht="13">
      <c r="A886" s="161"/>
      <c r="B886" s="161"/>
      <c r="C886" s="177"/>
      <c r="D886" s="177"/>
      <c r="E886" s="177"/>
      <c r="F886" s="177"/>
      <c r="G886" s="206"/>
      <c r="H886" s="177"/>
      <c r="I886" s="177"/>
      <c r="J886" s="177"/>
      <c r="K886" s="177"/>
      <c r="L886" s="178"/>
      <c r="M886" s="177"/>
      <c r="N886" s="177"/>
      <c r="O886" s="177"/>
      <c r="P886" s="177"/>
      <c r="Q886" s="177"/>
      <c r="R886" s="177"/>
      <c r="S886" s="177"/>
      <c r="T886" s="177"/>
      <c r="U886" s="177"/>
      <c r="V886" s="177"/>
      <c r="W886" s="177"/>
      <c r="X886" s="177"/>
      <c r="Y886" s="177"/>
      <c r="Z886" s="177"/>
      <c r="AA886" s="177"/>
      <c r="AB886" s="177"/>
      <c r="AC886" s="177"/>
    </row>
    <row r="887" spans="1:29" ht="13">
      <c r="A887" s="161"/>
      <c r="B887" s="161"/>
      <c r="C887" s="177"/>
      <c r="D887" s="177"/>
      <c r="E887" s="177"/>
      <c r="F887" s="177"/>
      <c r="G887" s="206"/>
      <c r="H887" s="177"/>
      <c r="I887" s="177"/>
      <c r="J887" s="177"/>
      <c r="K887" s="177"/>
      <c r="L887" s="178"/>
      <c r="M887" s="177"/>
      <c r="N887" s="177"/>
      <c r="O887" s="177"/>
      <c r="P887" s="177"/>
      <c r="Q887" s="177"/>
      <c r="R887" s="177"/>
      <c r="S887" s="177"/>
      <c r="T887" s="177"/>
      <c r="U887" s="177"/>
      <c r="V887" s="177"/>
      <c r="W887" s="177"/>
      <c r="X887" s="177"/>
      <c r="Y887" s="177"/>
      <c r="Z887" s="177"/>
      <c r="AA887" s="177"/>
      <c r="AB887" s="177"/>
      <c r="AC887" s="177"/>
    </row>
    <row r="888" spans="1:29" ht="13">
      <c r="A888" s="161"/>
      <c r="B888" s="161"/>
      <c r="C888" s="177"/>
      <c r="D888" s="177"/>
      <c r="E888" s="177"/>
      <c r="F888" s="177"/>
      <c r="G888" s="206"/>
      <c r="H888" s="177"/>
      <c r="I888" s="177"/>
      <c r="J888" s="177"/>
      <c r="K888" s="177"/>
      <c r="L888" s="178"/>
      <c r="M888" s="177"/>
      <c r="N888" s="177"/>
      <c r="O888" s="177"/>
      <c r="P888" s="177"/>
      <c r="Q888" s="177"/>
      <c r="R888" s="177"/>
      <c r="S888" s="177"/>
      <c r="T888" s="177"/>
      <c r="U888" s="177"/>
      <c r="V888" s="177"/>
      <c r="W888" s="177"/>
      <c r="X888" s="177"/>
      <c r="Y888" s="177"/>
      <c r="Z888" s="177"/>
      <c r="AA888" s="177"/>
      <c r="AB888" s="177"/>
      <c r="AC888" s="177"/>
    </row>
    <row r="889" spans="1:29" ht="13">
      <c r="A889" s="161"/>
      <c r="B889" s="161"/>
      <c r="C889" s="177"/>
      <c r="D889" s="177"/>
      <c r="E889" s="177"/>
      <c r="F889" s="177"/>
      <c r="G889" s="206"/>
      <c r="H889" s="177"/>
      <c r="I889" s="177"/>
      <c r="J889" s="177"/>
      <c r="K889" s="177"/>
      <c r="L889" s="178"/>
      <c r="M889" s="177"/>
      <c r="N889" s="177"/>
      <c r="O889" s="177"/>
      <c r="P889" s="177"/>
      <c r="Q889" s="177"/>
      <c r="R889" s="177"/>
      <c r="S889" s="177"/>
      <c r="T889" s="177"/>
      <c r="U889" s="177"/>
      <c r="V889" s="177"/>
      <c r="W889" s="177"/>
      <c r="X889" s="177"/>
      <c r="Y889" s="177"/>
      <c r="Z889" s="177"/>
      <c r="AA889" s="177"/>
      <c r="AB889" s="177"/>
      <c r="AC889" s="177"/>
    </row>
    <row r="890" spans="1:29" ht="13">
      <c r="A890" s="161"/>
      <c r="B890" s="161"/>
      <c r="C890" s="177"/>
      <c r="D890" s="177"/>
      <c r="E890" s="177"/>
      <c r="F890" s="177"/>
      <c r="G890" s="206"/>
      <c r="H890" s="177"/>
      <c r="I890" s="177"/>
      <c r="J890" s="177"/>
      <c r="K890" s="177"/>
      <c r="L890" s="178"/>
      <c r="M890" s="177"/>
      <c r="N890" s="177"/>
      <c r="O890" s="177"/>
      <c r="P890" s="177"/>
      <c r="Q890" s="177"/>
      <c r="R890" s="177"/>
      <c r="S890" s="177"/>
      <c r="T890" s="177"/>
      <c r="U890" s="177"/>
      <c r="V890" s="177"/>
      <c r="W890" s="177"/>
      <c r="X890" s="177"/>
      <c r="Y890" s="177"/>
      <c r="Z890" s="177"/>
      <c r="AA890" s="177"/>
      <c r="AB890" s="177"/>
      <c r="AC890" s="177"/>
    </row>
    <row r="891" spans="1:29" ht="13">
      <c r="A891" s="161"/>
      <c r="B891" s="161"/>
      <c r="C891" s="177"/>
      <c r="D891" s="177"/>
      <c r="E891" s="177"/>
      <c r="F891" s="177"/>
      <c r="G891" s="206"/>
      <c r="H891" s="177"/>
      <c r="I891" s="177"/>
      <c r="J891" s="177"/>
      <c r="K891" s="177"/>
      <c r="L891" s="178"/>
      <c r="M891" s="177"/>
      <c r="N891" s="177"/>
      <c r="O891" s="177"/>
      <c r="P891" s="177"/>
      <c r="Q891" s="177"/>
      <c r="R891" s="177"/>
      <c r="S891" s="177"/>
      <c r="T891" s="177"/>
      <c r="U891" s="177"/>
      <c r="V891" s="177"/>
      <c r="W891" s="177"/>
      <c r="X891" s="177"/>
      <c r="Y891" s="177"/>
      <c r="Z891" s="177"/>
      <c r="AA891" s="177"/>
      <c r="AB891" s="177"/>
      <c r="AC891" s="177"/>
    </row>
    <row r="892" spans="1:29" ht="13">
      <c r="A892" s="161"/>
      <c r="B892" s="161"/>
      <c r="C892" s="177"/>
      <c r="D892" s="177"/>
      <c r="E892" s="177"/>
      <c r="F892" s="177"/>
      <c r="G892" s="206"/>
      <c r="H892" s="177"/>
      <c r="I892" s="177"/>
      <c r="J892" s="177"/>
      <c r="K892" s="177"/>
      <c r="L892" s="178"/>
      <c r="M892" s="177"/>
      <c r="N892" s="177"/>
      <c r="O892" s="177"/>
      <c r="P892" s="177"/>
      <c r="Q892" s="177"/>
      <c r="R892" s="177"/>
      <c r="S892" s="177"/>
      <c r="T892" s="177"/>
      <c r="U892" s="177"/>
      <c r="V892" s="177"/>
      <c r="W892" s="177"/>
      <c r="X892" s="177"/>
      <c r="Y892" s="177"/>
      <c r="Z892" s="177"/>
      <c r="AA892" s="177"/>
      <c r="AB892" s="177"/>
      <c r="AC892" s="177"/>
    </row>
    <row r="893" spans="1:29" ht="13">
      <c r="A893" s="161"/>
      <c r="B893" s="161"/>
      <c r="C893" s="177"/>
      <c r="D893" s="177"/>
      <c r="E893" s="177"/>
      <c r="F893" s="177"/>
      <c r="G893" s="206"/>
      <c r="H893" s="177"/>
      <c r="I893" s="177"/>
      <c r="J893" s="177"/>
      <c r="K893" s="177"/>
      <c r="L893" s="178"/>
      <c r="M893" s="177"/>
      <c r="N893" s="177"/>
      <c r="O893" s="177"/>
      <c r="P893" s="177"/>
      <c r="Q893" s="177"/>
      <c r="R893" s="177"/>
      <c r="S893" s="177"/>
      <c r="T893" s="177"/>
      <c r="U893" s="177"/>
      <c r="V893" s="177"/>
      <c r="W893" s="177"/>
      <c r="X893" s="177"/>
      <c r="Y893" s="177"/>
      <c r="Z893" s="177"/>
      <c r="AA893" s="177"/>
      <c r="AB893" s="177"/>
      <c r="AC893" s="177"/>
    </row>
    <row r="894" spans="1:29" ht="13">
      <c r="A894" s="161"/>
      <c r="B894" s="161"/>
      <c r="C894" s="177"/>
      <c r="D894" s="177"/>
      <c r="E894" s="177"/>
      <c r="F894" s="177"/>
      <c r="G894" s="206"/>
      <c r="H894" s="177"/>
      <c r="I894" s="177"/>
      <c r="J894" s="177"/>
      <c r="K894" s="177"/>
      <c r="L894" s="178"/>
      <c r="M894" s="177"/>
      <c r="N894" s="177"/>
      <c r="O894" s="177"/>
      <c r="P894" s="177"/>
      <c r="Q894" s="177"/>
      <c r="R894" s="177"/>
      <c r="S894" s="177"/>
      <c r="T894" s="177"/>
      <c r="U894" s="177"/>
      <c r="V894" s="177"/>
      <c r="W894" s="177"/>
      <c r="X894" s="177"/>
      <c r="Y894" s="177"/>
      <c r="Z894" s="177"/>
      <c r="AA894" s="177"/>
      <c r="AB894" s="177"/>
      <c r="AC894" s="177"/>
    </row>
    <row r="895" spans="1:29" ht="13">
      <c r="A895" s="161"/>
      <c r="B895" s="161"/>
      <c r="C895" s="177"/>
      <c r="D895" s="177"/>
      <c r="E895" s="177"/>
      <c r="F895" s="177"/>
      <c r="G895" s="206"/>
      <c r="H895" s="177"/>
      <c r="I895" s="177"/>
      <c r="J895" s="177"/>
      <c r="K895" s="177"/>
      <c r="L895" s="178"/>
      <c r="M895" s="177"/>
      <c r="N895" s="177"/>
      <c r="O895" s="177"/>
      <c r="P895" s="177"/>
      <c r="Q895" s="177"/>
      <c r="R895" s="177"/>
      <c r="S895" s="177"/>
      <c r="T895" s="177"/>
      <c r="U895" s="177"/>
      <c r="V895" s="177"/>
      <c r="W895" s="177"/>
      <c r="X895" s="177"/>
      <c r="Y895" s="177"/>
      <c r="Z895" s="177"/>
      <c r="AA895" s="177"/>
      <c r="AB895" s="177"/>
      <c r="AC895" s="177"/>
    </row>
    <row r="896" spans="1:29" ht="13">
      <c r="A896" s="161"/>
      <c r="B896" s="161"/>
      <c r="C896" s="177"/>
      <c r="D896" s="177"/>
      <c r="E896" s="177"/>
      <c r="F896" s="177"/>
      <c r="G896" s="206"/>
      <c r="H896" s="177"/>
      <c r="I896" s="177"/>
      <c r="J896" s="177"/>
      <c r="K896" s="177"/>
      <c r="L896" s="178"/>
      <c r="M896" s="177"/>
      <c r="N896" s="177"/>
      <c r="O896" s="177"/>
      <c r="P896" s="177"/>
      <c r="Q896" s="177"/>
      <c r="R896" s="177"/>
      <c r="S896" s="177"/>
      <c r="T896" s="177"/>
      <c r="U896" s="177"/>
      <c r="V896" s="177"/>
      <c r="W896" s="177"/>
      <c r="X896" s="177"/>
      <c r="Y896" s="177"/>
      <c r="Z896" s="177"/>
      <c r="AA896" s="177"/>
      <c r="AB896" s="177"/>
      <c r="AC896" s="177"/>
    </row>
    <row r="897" spans="1:29" ht="13">
      <c r="A897" s="161"/>
      <c r="B897" s="161"/>
      <c r="C897" s="177"/>
      <c r="D897" s="177"/>
      <c r="E897" s="177"/>
      <c r="F897" s="177"/>
      <c r="G897" s="206"/>
      <c r="H897" s="177"/>
      <c r="I897" s="177"/>
      <c r="J897" s="177"/>
      <c r="K897" s="177"/>
      <c r="L897" s="178"/>
      <c r="M897" s="177"/>
      <c r="N897" s="177"/>
      <c r="O897" s="177"/>
      <c r="P897" s="177"/>
      <c r="Q897" s="177"/>
      <c r="R897" s="177"/>
      <c r="S897" s="177"/>
      <c r="T897" s="177"/>
      <c r="U897" s="177"/>
      <c r="V897" s="177"/>
      <c r="W897" s="177"/>
      <c r="X897" s="177"/>
      <c r="Y897" s="177"/>
      <c r="Z897" s="177"/>
      <c r="AA897" s="177"/>
      <c r="AB897" s="177"/>
      <c r="AC897" s="177"/>
    </row>
    <row r="898" spans="1:29" ht="13">
      <c r="A898" s="161"/>
      <c r="B898" s="161"/>
      <c r="C898" s="177"/>
      <c r="D898" s="177"/>
      <c r="E898" s="177"/>
      <c r="F898" s="177"/>
      <c r="G898" s="206"/>
      <c r="H898" s="177"/>
      <c r="I898" s="177"/>
      <c r="J898" s="177"/>
      <c r="K898" s="177"/>
      <c r="L898" s="178"/>
      <c r="M898" s="177"/>
      <c r="N898" s="177"/>
      <c r="O898" s="177"/>
      <c r="P898" s="177"/>
      <c r="Q898" s="177"/>
      <c r="R898" s="177"/>
      <c r="S898" s="177"/>
      <c r="T898" s="177"/>
      <c r="U898" s="177"/>
      <c r="V898" s="177"/>
      <c r="W898" s="177"/>
      <c r="X898" s="177"/>
      <c r="Y898" s="177"/>
      <c r="Z898" s="177"/>
      <c r="AA898" s="177"/>
      <c r="AB898" s="177"/>
      <c r="AC898" s="177"/>
    </row>
    <row r="899" spans="1:29" ht="13">
      <c r="A899" s="161"/>
      <c r="B899" s="161"/>
      <c r="C899" s="177"/>
      <c r="D899" s="177"/>
      <c r="E899" s="177"/>
      <c r="F899" s="177"/>
      <c r="G899" s="206"/>
      <c r="H899" s="177"/>
      <c r="I899" s="177"/>
      <c r="J899" s="177"/>
      <c r="K899" s="177"/>
      <c r="L899" s="178"/>
      <c r="M899" s="177"/>
      <c r="N899" s="177"/>
      <c r="O899" s="177"/>
      <c r="P899" s="177"/>
      <c r="Q899" s="177"/>
      <c r="R899" s="177"/>
      <c r="S899" s="177"/>
      <c r="T899" s="177"/>
      <c r="U899" s="177"/>
      <c r="V899" s="177"/>
      <c r="W899" s="177"/>
      <c r="X899" s="177"/>
      <c r="Y899" s="177"/>
      <c r="Z899" s="177"/>
      <c r="AA899" s="177"/>
      <c r="AB899" s="177"/>
      <c r="AC899" s="177"/>
    </row>
    <row r="900" spans="1:29" ht="13">
      <c r="A900" s="161"/>
      <c r="B900" s="161"/>
      <c r="C900" s="177"/>
      <c r="D900" s="177"/>
      <c r="E900" s="177"/>
      <c r="F900" s="177"/>
      <c r="G900" s="206"/>
      <c r="H900" s="177"/>
      <c r="I900" s="177"/>
      <c r="J900" s="177"/>
      <c r="K900" s="177"/>
      <c r="L900" s="178"/>
      <c r="M900" s="177"/>
      <c r="N900" s="177"/>
      <c r="O900" s="177"/>
      <c r="P900" s="177"/>
      <c r="Q900" s="177"/>
      <c r="R900" s="177"/>
      <c r="S900" s="177"/>
      <c r="T900" s="177"/>
      <c r="U900" s="177"/>
      <c r="V900" s="177"/>
      <c r="W900" s="177"/>
      <c r="X900" s="177"/>
      <c r="Y900" s="177"/>
      <c r="Z900" s="177"/>
      <c r="AA900" s="177"/>
      <c r="AB900" s="177"/>
      <c r="AC900" s="177"/>
    </row>
    <row r="901" spans="1:29" ht="13">
      <c r="A901" s="161"/>
      <c r="B901" s="161"/>
      <c r="C901" s="177"/>
      <c r="D901" s="177"/>
      <c r="E901" s="177"/>
      <c r="F901" s="177"/>
      <c r="G901" s="206"/>
      <c r="H901" s="177"/>
      <c r="I901" s="177"/>
      <c r="J901" s="177"/>
      <c r="K901" s="177"/>
      <c r="L901" s="178"/>
      <c r="M901" s="177"/>
      <c r="N901" s="177"/>
      <c r="O901" s="177"/>
      <c r="P901" s="177"/>
      <c r="Q901" s="177"/>
      <c r="R901" s="177"/>
      <c r="S901" s="177"/>
      <c r="T901" s="177"/>
      <c r="U901" s="177"/>
      <c r="V901" s="177"/>
      <c r="W901" s="177"/>
      <c r="X901" s="177"/>
      <c r="Y901" s="177"/>
      <c r="Z901" s="177"/>
      <c r="AA901" s="177"/>
      <c r="AB901" s="177"/>
      <c r="AC901" s="177"/>
    </row>
    <row r="902" spans="1:29" ht="13">
      <c r="A902" s="161"/>
      <c r="B902" s="161"/>
      <c r="C902" s="177"/>
      <c r="D902" s="177"/>
      <c r="E902" s="177"/>
      <c r="F902" s="177"/>
      <c r="G902" s="206"/>
      <c r="H902" s="177"/>
      <c r="I902" s="177"/>
      <c r="J902" s="177"/>
      <c r="K902" s="177"/>
      <c r="L902" s="178"/>
      <c r="M902" s="177"/>
      <c r="N902" s="177"/>
      <c r="O902" s="177"/>
      <c r="P902" s="177"/>
      <c r="Q902" s="177"/>
      <c r="R902" s="177"/>
      <c r="S902" s="177"/>
      <c r="T902" s="177"/>
      <c r="U902" s="177"/>
      <c r="V902" s="177"/>
      <c r="W902" s="177"/>
      <c r="X902" s="177"/>
      <c r="Y902" s="177"/>
      <c r="Z902" s="177"/>
      <c r="AA902" s="177"/>
      <c r="AB902" s="177"/>
      <c r="AC902" s="177"/>
    </row>
    <row r="903" spans="1:29" ht="13">
      <c r="A903" s="161"/>
      <c r="B903" s="161"/>
      <c r="C903" s="177"/>
      <c r="D903" s="177"/>
      <c r="E903" s="177"/>
      <c r="F903" s="177"/>
      <c r="G903" s="206"/>
      <c r="H903" s="177"/>
      <c r="I903" s="177"/>
      <c r="J903" s="177"/>
      <c r="K903" s="177"/>
      <c r="L903" s="178"/>
      <c r="M903" s="177"/>
      <c r="N903" s="177"/>
      <c r="O903" s="177"/>
      <c r="P903" s="177"/>
      <c r="Q903" s="177"/>
      <c r="R903" s="177"/>
      <c r="S903" s="177"/>
      <c r="T903" s="177"/>
      <c r="U903" s="177"/>
      <c r="V903" s="177"/>
      <c r="W903" s="177"/>
      <c r="X903" s="177"/>
      <c r="Y903" s="177"/>
      <c r="Z903" s="177"/>
      <c r="AA903" s="177"/>
      <c r="AB903" s="177"/>
      <c r="AC903" s="177"/>
    </row>
    <row r="904" spans="1:29" ht="13">
      <c r="A904" s="161"/>
      <c r="B904" s="161"/>
      <c r="C904" s="177"/>
      <c r="D904" s="177"/>
      <c r="E904" s="177"/>
      <c r="F904" s="177"/>
      <c r="G904" s="206"/>
      <c r="H904" s="177"/>
      <c r="I904" s="177"/>
      <c r="J904" s="177"/>
      <c r="K904" s="177"/>
      <c r="L904" s="178"/>
      <c r="M904" s="177"/>
      <c r="N904" s="177"/>
      <c r="O904" s="177"/>
      <c r="P904" s="177"/>
      <c r="Q904" s="177"/>
      <c r="R904" s="177"/>
      <c r="S904" s="177"/>
      <c r="T904" s="177"/>
      <c r="U904" s="177"/>
      <c r="V904" s="177"/>
      <c r="W904" s="177"/>
      <c r="X904" s="177"/>
      <c r="Y904" s="177"/>
      <c r="Z904" s="177"/>
      <c r="AA904" s="177"/>
      <c r="AB904" s="177"/>
      <c r="AC904" s="177"/>
    </row>
    <row r="905" spans="1:29" ht="13">
      <c r="A905" s="161"/>
      <c r="B905" s="161"/>
      <c r="C905" s="177"/>
      <c r="D905" s="177"/>
      <c r="E905" s="177"/>
      <c r="F905" s="177"/>
      <c r="G905" s="206"/>
      <c r="H905" s="177"/>
      <c r="I905" s="177"/>
      <c r="J905" s="177"/>
      <c r="K905" s="177"/>
      <c r="L905" s="178"/>
      <c r="M905" s="177"/>
      <c r="N905" s="177"/>
      <c r="O905" s="177"/>
      <c r="P905" s="177"/>
      <c r="Q905" s="177"/>
      <c r="R905" s="177"/>
      <c r="S905" s="177"/>
      <c r="T905" s="177"/>
      <c r="U905" s="177"/>
      <c r="V905" s="177"/>
      <c r="W905" s="177"/>
      <c r="X905" s="177"/>
      <c r="Y905" s="177"/>
      <c r="Z905" s="177"/>
      <c r="AA905" s="177"/>
      <c r="AB905" s="177"/>
      <c r="AC905" s="177"/>
    </row>
    <row r="906" spans="1:29" ht="13">
      <c r="A906" s="161"/>
      <c r="B906" s="161"/>
      <c r="C906" s="177"/>
      <c r="D906" s="177"/>
      <c r="E906" s="177"/>
      <c r="F906" s="177"/>
      <c r="G906" s="206"/>
      <c r="H906" s="177"/>
      <c r="I906" s="177"/>
      <c r="J906" s="177"/>
      <c r="K906" s="177"/>
      <c r="L906" s="178"/>
      <c r="M906" s="177"/>
      <c r="N906" s="177"/>
      <c r="O906" s="177"/>
      <c r="P906" s="177"/>
      <c r="Q906" s="177"/>
      <c r="R906" s="177"/>
      <c r="S906" s="177"/>
      <c r="T906" s="177"/>
      <c r="U906" s="177"/>
      <c r="V906" s="177"/>
      <c r="W906" s="177"/>
      <c r="X906" s="177"/>
      <c r="Y906" s="177"/>
      <c r="Z906" s="177"/>
      <c r="AA906" s="177"/>
      <c r="AB906" s="177"/>
      <c r="AC906" s="177"/>
    </row>
    <row r="907" spans="1:29" ht="13">
      <c r="A907" s="161"/>
      <c r="B907" s="161"/>
      <c r="C907" s="177"/>
      <c r="D907" s="177"/>
      <c r="E907" s="177"/>
      <c r="F907" s="177"/>
      <c r="G907" s="206"/>
      <c r="H907" s="177"/>
      <c r="I907" s="177"/>
      <c r="J907" s="177"/>
      <c r="K907" s="177"/>
      <c r="L907" s="178"/>
      <c r="M907" s="177"/>
      <c r="N907" s="177"/>
      <c r="O907" s="177"/>
      <c r="P907" s="177"/>
      <c r="Q907" s="177"/>
      <c r="R907" s="177"/>
      <c r="S907" s="177"/>
      <c r="T907" s="177"/>
      <c r="U907" s="177"/>
      <c r="V907" s="177"/>
      <c r="W907" s="177"/>
      <c r="X907" s="177"/>
      <c r="Y907" s="177"/>
      <c r="Z907" s="177"/>
      <c r="AA907" s="177"/>
      <c r="AB907" s="177"/>
      <c r="AC907" s="177"/>
    </row>
    <row r="908" spans="1:29" ht="13">
      <c r="A908" s="161"/>
      <c r="B908" s="161"/>
      <c r="C908" s="177"/>
      <c r="D908" s="177"/>
      <c r="E908" s="177"/>
      <c r="F908" s="177"/>
      <c r="G908" s="206"/>
      <c r="H908" s="177"/>
      <c r="I908" s="177"/>
      <c r="J908" s="177"/>
      <c r="K908" s="177"/>
      <c r="L908" s="178"/>
      <c r="M908" s="177"/>
      <c r="N908" s="177"/>
      <c r="O908" s="177"/>
      <c r="P908" s="177"/>
      <c r="Q908" s="177"/>
      <c r="R908" s="177"/>
      <c r="S908" s="177"/>
      <c r="T908" s="177"/>
      <c r="U908" s="177"/>
      <c r="V908" s="177"/>
      <c r="W908" s="177"/>
      <c r="X908" s="177"/>
      <c r="Y908" s="177"/>
      <c r="Z908" s="177"/>
      <c r="AA908" s="177"/>
      <c r="AB908" s="177"/>
      <c r="AC908" s="177"/>
    </row>
    <row r="909" spans="1:29" ht="13">
      <c r="A909" s="161"/>
      <c r="B909" s="161"/>
      <c r="C909" s="177"/>
      <c r="D909" s="177"/>
      <c r="E909" s="177"/>
      <c r="F909" s="177"/>
      <c r="G909" s="206"/>
      <c r="H909" s="177"/>
      <c r="I909" s="177"/>
      <c r="J909" s="177"/>
      <c r="K909" s="177"/>
      <c r="L909" s="178"/>
      <c r="M909" s="177"/>
      <c r="N909" s="177"/>
      <c r="O909" s="177"/>
      <c r="P909" s="177"/>
      <c r="Q909" s="177"/>
      <c r="R909" s="177"/>
      <c r="S909" s="177"/>
      <c r="T909" s="177"/>
      <c r="U909" s="177"/>
      <c r="V909" s="177"/>
      <c r="W909" s="177"/>
      <c r="X909" s="177"/>
      <c r="Y909" s="177"/>
      <c r="Z909" s="177"/>
      <c r="AA909" s="177"/>
      <c r="AB909" s="177"/>
      <c r="AC909" s="177"/>
    </row>
    <row r="910" spans="1:29" ht="13">
      <c r="A910" s="161"/>
      <c r="B910" s="161"/>
      <c r="C910" s="177"/>
      <c r="D910" s="177"/>
      <c r="E910" s="177"/>
      <c r="F910" s="177"/>
      <c r="G910" s="206"/>
      <c r="H910" s="177"/>
      <c r="I910" s="177"/>
      <c r="J910" s="177"/>
      <c r="K910" s="177"/>
      <c r="L910" s="178"/>
      <c r="M910" s="177"/>
      <c r="N910" s="177"/>
      <c r="O910" s="177"/>
      <c r="P910" s="177"/>
      <c r="Q910" s="177"/>
      <c r="R910" s="177"/>
      <c r="S910" s="177"/>
      <c r="T910" s="177"/>
      <c r="U910" s="177"/>
      <c r="V910" s="177"/>
      <c r="W910" s="177"/>
      <c r="X910" s="177"/>
      <c r="Y910" s="177"/>
      <c r="Z910" s="177"/>
      <c r="AA910" s="177"/>
      <c r="AB910" s="177"/>
      <c r="AC910" s="177"/>
    </row>
    <row r="911" spans="1:29" ht="13">
      <c r="A911" s="161"/>
      <c r="B911" s="161"/>
      <c r="C911" s="177"/>
      <c r="D911" s="177"/>
      <c r="E911" s="177"/>
      <c r="F911" s="177"/>
      <c r="G911" s="206"/>
      <c r="H911" s="177"/>
      <c r="I911" s="177"/>
      <c r="J911" s="177"/>
      <c r="K911" s="177"/>
      <c r="L911" s="178"/>
      <c r="M911" s="177"/>
      <c r="N911" s="177"/>
      <c r="O911" s="177"/>
      <c r="P911" s="177"/>
      <c r="Q911" s="177"/>
      <c r="R911" s="177"/>
      <c r="S911" s="177"/>
      <c r="T911" s="177"/>
      <c r="U911" s="177"/>
      <c r="V911" s="177"/>
      <c r="W911" s="177"/>
      <c r="X911" s="177"/>
      <c r="Y911" s="177"/>
      <c r="Z911" s="177"/>
      <c r="AA911" s="177"/>
      <c r="AB911" s="177"/>
      <c r="AC911" s="177"/>
    </row>
    <row r="912" spans="1:29" ht="13">
      <c r="A912" s="161"/>
      <c r="B912" s="161"/>
      <c r="C912" s="177"/>
      <c r="D912" s="177"/>
      <c r="E912" s="177"/>
      <c r="F912" s="177"/>
      <c r="G912" s="206"/>
      <c r="H912" s="177"/>
      <c r="I912" s="177"/>
      <c r="J912" s="177"/>
      <c r="K912" s="177"/>
      <c r="L912" s="178"/>
      <c r="M912" s="177"/>
      <c r="N912" s="177"/>
      <c r="O912" s="177"/>
      <c r="P912" s="177"/>
      <c r="Q912" s="177"/>
      <c r="R912" s="177"/>
      <c r="S912" s="177"/>
      <c r="T912" s="177"/>
      <c r="U912" s="177"/>
      <c r="V912" s="177"/>
      <c r="W912" s="177"/>
      <c r="X912" s="177"/>
      <c r="Y912" s="177"/>
      <c r="Z912" s="177"/>
      <c r="AA912" s="177"/>
      <c r="AB912" s="177"/>
      <c r="AC912" s="177"/>
    </row>
    <row r="913" spans="1:29" ht="13">
      <c r="A913" s="161"/>
      <c r="B913" s="161"/>
      <c r="C913" s="177"/>
      <c r="D913" s="177"/>
      <c r="E913" s="177"/>
      <c r="F913" s="177"/>
      <c r="G913" s="206"/>
      <c r="H913" s="177"/>
      <c r="I913" s="177"/>
      <c r="J913" s="177"/>
      <c r="K913" s="177"/>
      <c r="L913" s="178"/>
      <c r="M913" s="177"/>
      <c r="N913" s="177"/>
      <c r="O913" s="177"/>
      <c r="P913" s="177"/>
      <c r="Q913" s="177"/>
      <c r="R913" s="177"/>
      <c r="S913" s="177"/>
      <c r="T913" s="177"/>
      <c r="U913" s="177"/>
      <c r="V913" s="177"/>
      <c r="W913" s="177"/>
      <c r="X913" s="177"/>
      <c r="Y913" s="177"/>
      <c r="Z913" s="177"/>
      <c r="AA913" s="177"/>
      <c r="AB913" s="177"/>
      <c r="AC913" s="177"/>
    </row>
    <row r="914" spans="1:29" ht="13">
      <c r="A914" s="161"/>
      <c r="B914" s="161"/>
      <c r="C914" s="177"/>
      <c r="D914" s="177"/>
      <c r="E914" s="177"/>
      <c r="F914" s="177"/>
      <c r="G914" s="206"/>
      <c r="H914" s="177"/>
      <c r="I914" s="177"/>
      <c r="J914" s="177"/>
      <c r="K914" s="177"/>
      <c r="L914" s="178"/>
      <c r="M914" s="177"/>
      <c r="N914" s="177"/>
      <c r="O914" s="177"/>
      <c r="P914" s="177"/>
      <c r="Q914" s="177"/>
      <c r="R914" s="177"/>
      <c r="S914" s="177"/>
      <c r="T914" s="177"/>
      <c r="U914" s="177"/>
      <c r="V914" s="177"/>
      <c r="W914" s="177"/>
      <c r="X914" s="177"/>
      <c r="Y914" s="177"/>
      <c r="Z914" s="177"/>
      <c r="AA914" s="177"/>
      <c r="AB914" s="177"/>
      <c r="AC914" s="177"/>
    </row>
    <row r="915" spans="1:29" ht="13">
      <c r="A915" s="161"/>
      <c r="B915" s="161"/>
      <c r="C915" s="177"/>
      <c r="D915" s="177"/>
      <c r="E915" s="177"/>
      <c r="F915" s="177"/>
      <c r="G915" s="206"/>
      <c r="H915" s="177"/>
      <c r="I915" s="177"/>
      <c r="J915" s="177"/>
      <c r="K915" s="177"/>
      <c r="L915" s="178"/>
      <c r="M915" s="177"/>
      <c r="N915" s="177"/>
      <c r="O915" s="177"/>
      <c r="P915" s="177"/>
      <c r="Q915" s="177"/>
      <c r="R915" s="177"/>
      <c r="S915" s="177"/>
      <c r="T915" s="177"/>
      <c r="U915" s="177"/>
      <c r="V915" s="177"/>
      <c r="W915" s="177"/>
      <c r="X915" s="177"/>
      <c r="Y915" s="177"/>
      <c r="Z915" s="177"/>
      <c r="AA915" s="177"/>
      <c r="AB915" s="177"/>
      <c r="AC915" s="177"/>
    </row>
    <row r="916" spans="1:29" ht="13">
      <c r="A916" s="161"/>
      <c r="B916" s="161"/>
      <c r="C916" s="177"/>
      <c r="D916" s="177"/>
      <c r="E916" s="177"/>
      <c r="F916" s="177"/>
      <c r="G916" s="206"/>
      <c r="H916" s="177"/>
      <c r="I916" s="177"/>
      <c r="J916" s="177"/>
      <c r="K916" s="177"/>
      <c r="L916" s="178"/>
      <c r="M916" s="177"/>
      <c r="N916" s="177"/>
      <c r="O916" s="177"/>
      <c r="P916" s="177"/>
      <c r="Q916" s="177"/>
      <c r="R916" s="177"/>
      <c r="S916" s="177"/>
      <c r="T916" s="177"/>
      <c r="U916" s="177"/>
      <c r="V916" s="177"/>
      <c r="W916" s="177"/>
      <c r="X916" s="177"/>
      <c r="Y916" s="177"/>
      <c r="Z916" s="177"/>
      <c r="AA916" s="177"/>
      <c r="AB916" s="177"/>
      <c r="AC916" s="177"/>
    </row>
    <row r="917" spans="1:29" ht="13">
      <c r="A917" s="161"/>
      <c r="B917" s="161"/>
      <c r="C917" s="177"/>
      <c r="D917" s="177"/>
      <c r="E917" s="177"/>
      <c r="F917" s="177"/>
      <c r="G917" s="206"/>
      <c r="H917" s="177"/>
      <c r="I917" s="177"/>
      <c r="J917" s="177"/>
      <c r="K917" s="177"/>
      <c r="L917" s="178"/>
      <c r="M917" s="177"/>
      <c r="N917" s="177"/>
      <c r="O917" s="177"/>
      <c r="P917" s="177"/>
      <c r="Q917" s="177"/>
      <c r="R917" s="177"/>
      <c r="S917" s="177"/>
      <c r="T917" s="177"/>
      <c r="U917" s="177"/>
      <c r="V917" s="177"/>
      <c r="W917" s="177"/>
      <c r="X917" s="177"/>
      <c r="Y917" s="177"/>
      <c r="Z917" s="177"/>
      <c r="AA917" s="177"/>
      <c r="AB917" s="177"/>
      <c r="AC917" s="177"/>
    </row>
    <row r="918" spans="1:29" ht="13">
      <c r="A918" s="161"/>
      <c r="B918" s="161"/>
      <c r="C918" s="177"/>
      <c r="D918" s="177"/>
      <c r="E918" s="177"/>
      <c r="F918" s="177"/>
      <c r="G918" s="206"/>
      <c r="H918" s="177"/>
      <c r="I918" s="177"/>
      <c r="J918" s="177"/>
      <c r="K918" s="177"/>
      <c r="L918" s="178"/>
      <c r="M918" s="177"/>
      <c r="N918" s="177"/>
      <c r="O918" s="177"/>
      <c r="P918" s="177"/>
      <c r="Q918" s="177"/>
      <c r="R918" s="177"/>
      <c r="S918" s="177"/>
      <c r="T918" s="177"/>
      <c r="U918" s="177"/>
      <c r="V918" s="177"/>
      <c r="W918" s="177"/>
      <c r="X918" s="177"/>
      <c r="Y918" s="177"/>
      <c r="Z918" s="177"/>
      <c r="AA918" s="177"/>
      <c r="AB918" s="177"/>
      <c r="AC918" s="177"/>
    </row>
    <row r="919" spans="1:29" ht="13">
      <c r="A919" s="161"/>
      <c r="B919" s="161"/>
      <c r="C919" s="177"/>
      <c r="D919" s="177"/>
      <c r="E919" s="177"/>
      <c r="F919" s="177"/>
      <c r="G919" s="206"/>
      <c r="H919" s="177"/>
      <c r="I919" s="177"/>
      <c r="J919" s="177"/>
      <c r="K919" s="177"/>
      <c r="L919" s="178"/>
      <c r="M919" s="177"/>
      <c r="N919" s="177"/>
      <c r="O919" s="177"/>
      <c r="P919" s="177"/>
      <c r="Q919" s="177"/>
      <c r="R919" s="177"/>
      <c r="S919" s="177"/>
      <c r="T919" s="177"/>
      <c r="U919" s="177"/>
      <c r="V919" s="177"/>
      <c r="W919" s="177"/>
      <c r="X919" s="177"/>
      <c r="Y919" s="177"/>
      <c r="Z919" s="177"/>
      <c r="AA919" s="177"/>
      <c r="AB919" s="177"/>
      <c r="AC919" s="177"/>
    </row>
    <row r="920" spans="1:29" ht="13">
      <c r="A920" s="161"/>
      <c r="B920" s="161"/>
      <c r="C920" s="177"/>
      <c r="D920" s="177"/>
      <c r="E920" s="177"/>
      <c r="F920" s="177"/>
      <c r="G920" s="206"/>
      <c r="H920" s="177"/>
      <c r="I920" s="177"/>
      <c r="J920" s="177"/>
      <c r="K920" s="177"/>
      <c r="L920" s="178"/>
      <c r="M920" s="177"/>
      <c r="N920" s="177"/>
      <c r="O920" s="177"/>
      <c r="P920" s="177"/>
      <c r="Q920" s="177"/>
      <c r="R920" s="177"/>
      <c r="S920" s="177"/>
      <c r="T920" s="177"/>
      <c r="U920" s="177"/>
      <c r="V920" s="177"/>
      <c r="W920" s="177"/>
      <c r="X920" s="177"/>
      <c r="Y920" s="177"/>
      <c r="Z920" s="177"/>
      <c r="AA920" s="177"/>
      <c r="AB920" s="177"/>
      <c r="AC920" s="177"/>
    </row>
    <row r="921" spans="1:29" ht="13">
      <c r="A921" s="161"/>
      <c r="B921" s="161"/>
      <c r="C921" s="177"/>
      <c r="D921" s="177"/>
      <c r="E921" s="177"/>
      <c r="F921" s="177"/>
      <c r="G921" s="206"/>
      <c r="H921" s="177"/>
      <c r="I921" s="177"/>
      <c r="J921" s="177"/>
      <c r="K921" s="177"/>
      <c r="L921" s="178"/>
      <c r="M921" s="177"/>
      <c r="N921" s="177"/>
      <c r="O921" s="177"/>
      <c r="P921" s="177"/>
      <c r="Q921" s="177"/>
      <c r="R921" s="177"/>
      <c r="S921" s="177"/>
      <c r="T921" s="177"/>
      <c r="U921" s="177"/>
      <c r="V921" s="177"/>
      <c r="W921" s="177"/>
      <c r="X921" s="177"/>
      <c r="Y921" s="177"/>
      <c r="Z921" s="177"/>
      <c r="AA921" s="177"/>
      <c r="AB921" s="177"/>
      <c r="AC921" s="177"/>
    </row>
    <row r="922" spans="1:29" ht="13">
      <c r="A922" s="161"/>
      <c r="B922" s="161"/>
      <c r="C922" s="177"/>
      <c r="D922" s="177"/>
      <c r="E922" s="177"/>
      <c r="F922" s="177"/>
      <c r="G922" s="206"/>
      <c r="H922" s="177"/>
      <c r="I922" s="177"/>
      <c r="J922" s="177"/>
      <c r="K922" s="177"/>
      <c r="L922" s="178"/>
      <c r="M922" s="177"/>
      <c r="N922" s="177"/>
      <c r="O922" s="177"/>
      <c r="P922" s="177"/>
      <c r="Q922" s="177"/>
      <c r="R922" s="177"/>
      <c r="S922" s="177"/>
      <c r="T922" s="177"/>
      <c r="U922" s="177"/>
      <c r="V922" s="177"/>
      <c r="W922" s="177"/>
      <c r="X922" s="177"/>
      <c r="Y922" s="177"/>
      <c r="Z922" s="177"/>
      <c r="AA922" s="177"/>
      <c r="AB922" s="177"/>
      <c r="AC922" s="177"/>
    </row>
    <row r="923" spans="1:29" ht="13">
      <c r="A923" s="161"/>
      <c r="B923" s="161"/>
      <c r="C923" s="177"/>
      <c r="D923" s="177"/>
      <c r="E923" s="177"/>
      <c r="F923" s="177"/>
      <c r="G923" s="206"/>
      <c r="H923" s="177"/>
      <c r="I923" s="177"/>
      <c r="J923" s="177"/>
      <c r="K923" s="177"/>
      <c r="L923" s="178"/>
      <c r="M923" s="177"/>
      <c r="N923" s="177"/>
      <c r="O923" s="177"/>
      <c r="P923" s="177"/>
      <c r="Q923" s="177"/>
      <c r="R923" s="177"/>
      <c r="S923" s="177"/>
      <c r="T923" s="177"/>
      <c r="U923" s="177"/>
      <c r="V923" s="177"/>
      <c r="W923" s="177"/>
      <c r="X923" s="177"/>
      <c r="Y923" s="177"/>
      <c r="Z923" s="177"/>
      <c r="AA923" s="177"/>
      <c r="AB923" s="177"/>
      <c r="AC923" s="177"/>
    </row>
    <row r="924" spans="1:29" ht="13">
      <c r="A924" s="161"/>
      <c r="B924" s="161"/>
      <c r="C924" s="177"/>
      <c r="D924" s="177"/>
      <c r="E924" s="177"/>
      <c r="F924" s="177"/>
      <c r="G924" s="206"/>
      <c r="H924" s="177"/>
      <c r="I924" s="177"/>
      <c r="J924" s="177"/>
      <c r="K924" s="177"/>
      <c r="L924" s="178"/>
      <c r="M924" s="177"/>
      <c r="N924" s="177"/>
      <c r="O924" s="177"/>
      <c r="P924" s="177"/>
      <c r="Q924" s="177"/>
      <c r="R924" s="177"/>
      <c r="S924" s="177"/>
      <c r="T924" s="177"/>
      <c r="U924" s="177"/>
      <c r="V924" s="177"/>
      <c r="W924" s="177"/>
      <c r="X924" s="177"/>
      <c r="Y924" s="177"/>
      <c r="Z924" s="177"/>
      <c r="AA924" s="177"/>
      <c r="AB924" s="177"/>
      <c r="AC924" s="177"/>
    </row>
    <row r="925" spans="1:29" ht="13">
      <c r="A925" s="161"/>
      <c r="B925" s="161"/>
      <c r="C925" s="177"/>
      <c r="D925" s="177"/>
      <c r="E925" s="177"/>
      <c r="F925" s="177"/>
      <c r="G925" s="206"/>
      <c r="H925" s="177"/>
      <c r="I925" s="177"/>
      <c r="J925" s="177"/>
      <c r="K925" s="177"/>
      <c r="L925" s="178"/>
      <c r="M925" s="177"/>
      <c r="N925" s="177"/>
      <c r="O925" s="177"/>
      <c r="P925" s="177"/>
      <c r="Q925" s="177"/>
      <c r="R925" s="177"/>
      <c r="S925" s="177"/>
      <c r="T925" s="177"/>
      <c r="U925" s="177"/>
      <c r="V925" s="177"/>
      <c r="W925" s="177"/>
      <c r="X925" s="177"/>
      <c r="Y925" s="177"/>
      <c r="Z925" s="177"/>
      <c r="AA925" s="177"/>
      <c r="AB925" s="177"/>
      <c r="AC925" s="177"/>
    </row>
    <row r="926" spans="1:29" ht="13">
      <c r="A926" s="161"/>
      <c r="B926" s="161"/>
      <c r="C926" s="177"/>
      <c r="D926" s="177"/>
      <c r="E926" s="177"/>
      <c r="F926" s="177"/>
      <c r="G926" s="206"/>
      <c r="H926" s="177"/>
      <c r="I926" s="177"/>
      <c r="J926" s="177"/>
      <c r="K926" s="177"/>
      <c r="L926" s="178"/>
      <c r="M926" s="177"/>
      <c r="N926" s="177"/>
      <c r="O926" s="177"/>
      <c r="P926" s="177"/>
      <c r="Q926" s="177"/>
      <c r="R926" s="177"/>
      <c r="S926" s="177"/>
      <c r="T926" s="177"/>
      <c r="U926" s="177"/>
      <c r="V926" s="177"/>
      <c r="W926" s="177"/>
      <c r="X926" s="177"/>
      <c r="Y926" s="177"/>
      <c r="Z926" s="177"/>
      <c r="AA926" s="177"/>
      <c r="AB926" s="177"/>
      <c r="AC926" s="177"/>
    </row>
    <row r="927" spans="1:29" ht="13">
      <c r="A927" s="161"/>
      <c r="B927" s="161"/>
      <c r="C927" s="177"/>
      <c r="D927" s="177"/>
      <c r="E927" s="177"/>
      <c r="F927" s="177"/>
      <c r="G927" s="206"/>
      <c r="H927" s="177"/>
      <c r="I927" s="177"/>
      <c r="J927" s="177"/>
      <c r="K927" s="177"/>
      <c r="L927" s="178"/>
      <c r="M927" s="177"/>
      <c r="N927" s="177"/>
      <c r="O927" s="177"/>
      <c r="P927" s="177"/>
      <c r="Q927" s="177"/>
      <c r="R927" s="177"/>
      <c r="S927" s="177"/>
      <c r="T927" s="177"/>
      <c r="U927" s="177"/>
      <c r="V927" s="177"/>
      <c r="W927" s="177"/>
      <c r="X927" s="177"/>
      <c r="Y927" s="177"/>
      <c r="Z927" s="177"/>
      <c r="AA927" s="177"/>
      <c r="AB927" s="177"/>
      <c r="AC927" s="177"/>
    </row>
    <row r="928" spans="1:29" ht="13">
      <c r="A928" s="161"/>
      <c r="B928" s="161"/>
      <c r="C928" s="177"/>
      <c r="D928" s="177"/>
      <c r="E928" s="177"/>
      <c r="F928" s="177"/>
      <c r="G928" s="206"/>
      <c r="H928" s="177"/>
      <c r="I928" s="177"/>
      <c r="J928" s="177"/>
      <c r="K928" s="177"/>
      <c r="L928" s="178"/>
      <c r="M928" s="177"/>
      <c r="N928" s="177"/>
      <c r="O928" s="177"/>
      <c r="P928" s="177"/>
      <c r="Q928" s="177"/>
      <c r="R928" s="177"/>
      <c r="S928" s="177"/>
      <c r="T928" s="177"/>
      <c r="U928" s="177"/>
      <c r="V928" s="177"/>
      <c r="W928" s="177"/>
      <c r="X928" s="177"/>
      <c r="Y928" s="177"/>
      <c r="Z928" s="177"/>
      <c r="AA928" s="177"/>
      <c r="AB928" s="177"/>
      <c r="AC928" s="177"/>
    </row>
    <row r="929" spans="1:29" ht="13">
      <c r="A929" s="161"/>
      <c r="B929" s="161"/>
      <c r="C929" s="177"/>
      <c r="D929" s="177"/>
      <c r="E929" s="177"/>
      <c r="F929" s="177"/>
      <c r="G929" s="206"/>
      <c r="H929" s="177"/>
      <c r="I929" s="177"/>
      <c r="J929" s="177"/>
      <c r="K929" s="177"/>
      <c r="L929" s="178"/>
      <c r="M929" s="177"/>
      <c r="N929" s="177"/>
      <c r="O929" s="177"/>
      <c r="P929" s="177"/>
      <c r="Q929" s="177"/>
      <c r="R929" s="177"/>
      <c r="S929" s="177"/>
      <c r="T929" s="177"/>
      <c r="U929" s="177"/>
      <c r="V929" s="177"/>
      <c r="W929" s="177"/>
      <c r="X929" s="177"/>
      <c r="Y929" s="177"/>
      <c r="Z929" s="177"/>
      <c r="AA929" s="177"/>
      <c r="AB929" s="177"/>
      <c r="AC929" s="177"/>
    </row>
    <row r="930" spans="1:29" ht="13">
      <c r="A930" s="161"/>
      <c r="B930" s="161"/>
      <c r="C930" s="177"/>
      <c r="D930" s="177"/>
      <c r="E930" s="177"/>
      <c r="F930" s="177"/>
      <c r="G930" s="206"/>
      <c r="H930" s="177"/>
      <c r="I930" s="177"/>
      <c r="J930" s="177"/>
      <c r="K930" s="177"/>
      <c r="L930" s="178"/>
      <c r="M930" s="177"/>
      <c r="N930" s="177"/>
      <c r="O930" s="177"/>
      <c r="P930" s="177"/>
      <c r="Q930" s="177"/>
      <c r="R930" s="177"/>
      <c r="S930" s="177"/>
      <c r="T930" s="177"/>
      <c r="U930" s="177"/>
      <c r="V930" s="177"/>
      <c r="W930" s="177"/>
      <c r="X930" s="177"/>
      <c r="Y930" s="177"/>
      <c r="Z930" s="177"/>
      <c r="AA930" s="177"/>
      <c r="AB930" s="177"/>
      <c r="AC930" s="177"/>
    </row>
    <row r="931" spans="1:29" ht="13">
      <c r="A931" s="161"/>
      <c r="B931" s="161"/>
      <c r="C931" s="177"/>
      <c r="D931" s="177"/>
      <c r="E931" s="177"/>
      <c r="F931" s="177"/>
      <c r="G931" s="206"/>
      <c r="H931" s="177"/>
      <c r="I931" s="177"/>
      <c r="J931" s="177"/>
      <c r="K931" s="177"/>
      <c r="L931" s="178"/>
      <c r="M931" s="177"/>
      <c r="N931" s="177"/>
      <c r="O931" s="177"/>
      <c r="P931" s="177"/>
      <c r="Q931" s="177"/>
      <c r="R931" s="177"/>
      <c r="S931" s="177"/>
      <c r="T931" s="177"/>
      <c r="U931" s="177"/>
      <c r="V931" s="177"/>
      <c r="W931" s="177"/>
      <c r="X931" s="177"/>
      <c r="Y931" s="177"/>
      <c r="Z931" s="177"/>
      <c r="AA931" s="177"/>
      <c r="AB931" s="177"/>
      <c r="AC931" s="177"/>
    </row>
    <row r="932" spans="1:29" ht="13">
      <c r="A932" s="161"/>
      <c r="B932" s="161"/>
      <c r="C932" s="177"/>
      <c r="D932" s="177"/>
      <c r="E932" s="177"/>
      <c r="F932" s="177"/>
      <c r="G932" s="206"/>
      <c r="H932" s="177"/>
      <c r="I932" s="177"/>
      <c r="J932" s="177"/>
      <c r="K932" s="177"/>
      <c r="L932" s="178"/>
      <c r="M932" s="177"/>
      <c r="N932" s="177"/>
      <c r="O932" s="177"/>
      <c r="P932" s="177"/>
      <c r="Q932" s="177"/>
      <c r="R932" s="177"/>
      <c r="S932" s="177"/>
      <c r="T932" s="177"/>
      <c r="U932" s="177"/>
      <c r="V932" s="177"/>
      <c r="W932" s="177"/>
      <c r="X932" s="177"/>
      <c r="Y932" s="177"/>
      <c r="Z932" s="177"/>
      <c r="AA932" s="177"/>
      <c r="AB932" s="177"/>
      <c r="AC932" s="177"/>
    </row>
    <row r="933" spans="1:29" ht="13">
      <c r="A933" s="161"/>
      <c r="B933" s="161"/>
      <c r="C933" s="177"/>
      <c r="D933" s="177"/>
      <c r="E933" s="177"/>
      <c r="F933" s="177"/>
      <c r="G933" s="206"/>
      <c r="H933" s="177"/>
      <c r="I933" s="177"/>
      <c r="J933" s="177"/>
      <c r="K933" s="177"/>
      <c r="L933" s="178"/>
      <c r="M933" s="177"/>
      <c r="N933" s="177"/>
      <c r="O933" s="177"/>
      <c r="P933" s="177"/>
      <c r="Q933" s="177"/>
      <c r="R933" s="177"/>
      <c r="S933" s="177"/>
      <c r="T933" s="177"/>
      <c r="U933" s="177"/>
      <c r="V933" s="177"/>
      <c r="W933" s="177"/>
      <c r="X933" s="177"/>
      <c r="Y933" s="177"/>
      <c r="Z933" s="177"/>
      <c r="AA933" s="177"/>
      <c r="AB933" s="177"/>
      <c r="AC933" s="177"/>
    </row>
    <row r="934" spans="1:29" ht="13">
      <c r="A934" s="161"/>
      <c r="B934" s="161"/>
      <c r="C934" s="177"/>
      <c r="D934" s="177"/>
      <c r="E934" s="177"/>
      <c r="F934" s="177"/>
      <c r="G934" s="206"/>
      <c r="H934" s="177"/>
      <c r="I934" s="177"/>
      <c r="J934" s="177"/>
      <c r="K934" s="177"/>
      <c r="L934" s="178"/>
      <c r="M934" s="177"/>
      <c r="N934" s="177"/>
      <c r="O934" s="177"/>
      <c r="P934" s="177"/>
      <c r="Q934" s="177"/>
      <c r="R934" s="177"/>
      <c r="S934" s="177"/>
      <c r="T934" s="177"/>
      <c r="U934" s="177"/>
      <c r="V934" s="177"/>
      <c r="W934" s="177"/>
      <c r="X934" s="177"/>
      <c r="Y934" s="177"/>
      <c r="Z934" s="177"/>
      <c r="AA934" s="177"/>
      <c r="AB934" s="177"/>
      <c r="AC934" s="177"/>
    </row>
    <row r="935" spans="1:29" ht="13">
      <c r="A935" s="161"/>
      <c r="B935" s="161"/>
      <c r="C935" s="177"/>
      <c r="D935" s="177"/>
      <c r="E935" s="177"/>
      <c r="F935" s="177"/>
      <c r="G935" s="206"/>
      <c r="H935" s="177"/>
      <c r="I935" s="177"/>
      <c r="J935" s="177"/>
      <c r="K935" s="177"/>
      <c r="L935" s="178"/>
      <c r="M935" s="177"/>
      <c r="N935" s="177"/>
      <c r="O935" s="177"/>
      <c r="P935" s="177"/>
      <c r="Q935" s="177"/>
      <c r="R935" s="177"/>
      <c r="S935" s="177"/>
      <c r="T935" s="177"/>
      <c r="U935" s="177"/>
      <c r="V935" s="177"/>
      <c r="W935" s="177"/>
      <c r="X935" s="177"/>
      <c r="Y935" s="177"/>
      <c r="Z935" s="177"/>
      <c r="AA935" s="177"/>
      <c r="AB935" s="177"/>
      <c r="AC935" s="177"/>
    </row>
    <row r="936" spans="1:29" ht="13">
      <c r="A936" s="161"/>
      <c r="B936" s="161"/>
      <c r="C936" s="177"/>
      <c r="D936" s="177"/>
      <c r="E936" s="177"/>
      <c r="F936" s="177"/>
      <c r="G936" s="206"/>
      <c r="H936" s="177"/>
      <c r="I936" s="177"/>
      <c r="J936" s="177"/>
      <c r="K936" s="177"/>
      <c r="L936" s="178"/>
      <c r="M936" s="177"/>
      <c r="N936" s="177"/>
      <c r="O936" s="177"/>
      <c r="P936" s="177"/>
      <c r="Q936" s="177"/>
      <c r="R936" s="177"/>
      <c r="S936" s="177"/>
      <c r="T936" s="177"/>
      <c r="U936" s="177"/>
      <c r="V936" s="177"/>
      <c r="W936" s="177"/>
      <c r="X936" s="177"/>
      <c r="Y936" s="177"/>
      <c r="Z936" s="177"/>
      <c r="AA936" s="177"/>
      <c r="AB936" s="177"/>
      <c r="AC936" s="177"/>
    </row>
    <row r="937" spans="1:29" ht="13">
      <c r="A937" s="161"/>
      <c r="B937" s="161"/>
      <c r="C937" s="177"/>
      <c r="D937" s="177"/>
      <c r="E937" s="177"/>
      <c r="F937" s="177"/>
      <c r="G937" s="206"/>
      <c r="H937" s="177"/>
      <c r="I937" s="177"/>
      <c r="J937" s="177"/>
      <c r="K937" s="177"/>
      <c r="L937" s="178"/>
      <c r="M937" s="177"/>
      <c r="N937" s="177"/>
      <c r="O937" s="177"/>
      <c r="P937" s="177"/>
      <c r="Q937" s="177"/>
      <c r="R937" s="177"/>
      <c r="S937" s="177"/>
      <c r="T937" s="177"/>
      <c r="U937" s="177"/>
      <c r="V937" s="177"/>
      <c r="W937" s="177"/>
      <c r="X937" s="177"/>
      <c r="Y937" s="177"/>
      <c r="Z937" s="177"/>
      <c r="AA937" s="177"/>
      <c r="AB937" s="177"/>
      <c r="AC937" s="177"/>
    </row>
    <row r="938" spans="1:29" ht="13">
      <c r="A938" s="161"/>
      <c r="B938" s="161"/>
      <c r="C938" s="177"/>
      <c r="D938" s="177"/>
      <c r="E938" s="177"/>
      <c r="F938" s="177"/>
      <c r="G938" s="206"/>
      <c r="H938" s="177"/>
      <c r="I938" s="177"/>
      <c r="J938" s="177"/>
      <c r="K938" s="177"/>
      <c r="L938" s="178"/>
      <c r="M938" s="177"/>
      <c r="N938" s="177"/>
      <c r="O938" s="177"/>
      <c r="P938" s="177"/>
      <c r="Q938" s="177"/>
      <c r="R938" s="177"/>
      <c r="S938" s="177"/>
      <c r="T938" s="177"/>
      <c r="U938" s="177"/>
      <c r="V938" s="177"/>
      <c r="W938" s="177"/>
      <c r="X938" s="177"/>
      <c r="Y938" s="177"/>
      <c r="Z938" s="177"/>
      <c r="AA938" s="177"/>
      <c r="AB938" s="177"/>
      <c r="AC938" s="177"/>
    </row>
    <row r="939" spans="1:29" ht="13">
      <c r="A939" s="161"/>
      <c r="B939" s="161"/>
      <c r="C939" s="177"/>
      <c r="D939" s="177"/>
      <c r="E939" s="177"/>
      <c r="F939" s="177"/>
      <c r="G939" s="206"/>
      <c r="H939" s="177"/>
      <c r="I939" s="177"/>
      <c r="J939" s="177"/>
      <c r="K939" s="177"/>
      <c r="L939" s="178"/>
      <c r="M939" s="177"/>
      <c r="N939" s="177"/>
      <c r="O939" s="177"/>
      <c r="P939" s="177"/>
      <c r="Q939" s="177"/>
      <c r="R939" s="177"/>
      <c r="S939" s="177"/>
      <c r="T939" s="177"/>
      <c r="U939" s="177"/>
      <c r="V939" s="177"/>
      <c r="W939" s="177"/>
      <c r="X939" s="177"/>
      <c r="Y939" s="177"/>
      <c r="Z939" s="177"/>
      <c r="AA939" s="177"/>
      <c r="AB939" s="177"/>
      <c r="AC939" s="177"/>
    </row>
    <row r="940" spans="1:29" ht="13">
      <c r="A940" s="161"/>
      <c r="B940" s="161"/>
      <c r="C940" s="177"/>
      <c r="D940" s="177"/>
      <c r="E940" s="177"/>
      <c r="F940" s="177"/>
      <c r="G940" s="206"/>
      <c r="H940" s="177"/>
      <c r="I940" s="177"/>
      <c r="J940" s="177"/>
      <c r="K940" s="177"/>
      <c r="L940" s="178"/>
      <c r="M940" s="177"/>
      <c r="N940" s="177"/>
      <c r="O940" s="177"/>
      <c r="P940" s="177"/>
      <c r="Q940" s="177"/>
      <c r="R940" s="177"/>
      <c r="S940" s="177"/>
      <c r="T940" s="177"/>
      <c r="U940" s="177"/>
      <c r="V940" s="177"/>
      <c r="W940" s="177"/>
      <c r="X940" s="177"/>
      <c r="Y940" s="177"/>
      <c r="Z940" s="177"/>
      <c r="AA940" s="177"/>
      <c r="AB940" s="177"/>
      <c r="AC940" s="177"/>
    </row>
    <row r="941" spans="1:29" ht="13">
      <c r="A941" s="161"/>
      <c r="B941" s="161"/>
      <c r="C941" s="177"/>
      <c r="D941" s="177"/>
      <c r="E941" s="177"/>
      <c r="F941" s="177"/>
      <c r="G941" s="206"/>
      <c r="H941" s="177"/>
      <c r="I941" s="177"/>
      <c r="J941" s="177"/>
      <c r="K941" s="177"/>
      <c r="L941" s="178"/>
      <c r="M941" s="177"/>
      <c r="N941" s="177"/>
      <c r="O941" s="177"/>
      <c r="P941" s="177"/>
      <c r="Q941" s="177"/>
      <c r="R941" s="177"/>
      <c r="S941" s="177"/>
      <c r="T941" s="177"/>
      <c r="U941" s="177"/>
      <c r="V941" s="177"/>
      <c r="W941" s="177"/>
      <c r="X941" s="177"/>
      <c r="Y941" s="177"/>
      <c r="Z941" s="177"/>
      <c r="AA941" s="177"/>
      <c r="AB941" s="177"/>
      <c r="AC941" s="177"/>
    </row>
    <row r="942" spans="1:29" ht="13">
      <c r="A942" s="161"/>
      <c r="B942" s="161"/>
      <c r="C942" s="177"/>
      <c r="D942" s="177"/>
      <c r="E942" s="177"/>
      <c r="F942" s="177"/>
      <c r="G942" s="206"/>
      <c r="H942" s="177"/>
      <c r="I942" s="177"/>
      <c r="J942" s="177"/>
      <c r="K942" s="177"/>
      <c r="L942" s="178"/>
      <c r="M942" s="177"/>
      <c r="N942" s="177"/>
      <c r="O942" s="177"/>
      <c r="P942" s="177"/>
      <c r="Q942" s="177"/>
      <c r="R942" s="177"/>
      <c r="S942" s="177"/>
      <c r="T942" s="177"/>
      <c r="U942" s="177"/>
      <c r="V942" s="177"/>
      <c r="W942" s="177"/>
      <c r="X942" s="177"/>
      <c r="Y942" s="177"/>
      <c r="Z942" s="177"/>
      <c r="AA942" s="177"/>
      <c r="AB942" s="177"/>
      <c r="AC942" s="177"/>
    </row>
    <row r="943" spans="1:29" ht="13">
      <c r="A943" s="161"/>
      <c r="B943" s="161"/>
      <c r="C943" s="177"/>
      <c r="D943" s="177"/>
      <c r="E943" s="177"/>
      <c r="F943" s="177"/>
      <c r="G943" s="206"/>
      <c r="H943" s="177"/>
      <c r="I943" s="177"/>
      <c r="J943" s="177"/>
      <c r="K943" s="177"/>
      <c r="L943" s="178"/>
      <c r="M943" s="177"/>
      <c r="N943" s="177"/>
      <c r="O943" s="177"/>
      <c r="P943" s="177"/>
      <c r="Q943" s="177"/>
      <c r="R943" s="177"/>
      <c r="S943" s="177"/>
      <c r="T943" s="177"/>
      <c r="U943" s="177"/>
      <c r="V943" s="177"/>
      <c r="W943" s="177"/>
      <c r="X943" s="177"/>
      <c r="Y943" s="177"/>
      <c r="Z943" s="177"/>
      <c r="AA943" s="177"/>
      <c r="AB943" s="177"/>
      <c r="AC943" s="177"/>
    </row>
    <row r="944" spans="1:29" ht="13">
      <c r="A944" s="161"/>
      <c r="B944" s="161"/>
      <c r="C944" s="177"/>
      <c r="D944" s="177"/>
      <c r="E944" s="177"/>
      <c r="F944" s="177"/>
      <c r="G944" s="206"/>
      <c r="H944" s="177"/>
      <c r="I944" s="177"/>
      <c r="J944" s="177"/>
      <c r="K944" s="177"/>
      <c r="L944" s="178"/>
      <c r="M944" s="177"/>
      <c r="N944" s="177"/>
      <c r="O944" s="177"/>
      <c r="P944" s="177"/>
      <c r="Q944" s="177"/>
      <c r="R944" s="177"/>
      <c r="S944" s="177"/>
      <c r="T944" s="177"/>
      <c r="U944" s="177"/>
      <c r="V944" s="177"/>
      <c r="W944" s="177"/>
      <c r="X944" s="177"/>
      <c r="Y944" s="177"/>
      <c r="Z944" s="177"/>
      <c r="AA944" s="177"/>
      <c r="AB944" s="177"/>
      <c r="AC944" s="177"/>
    </row>
    <row r="945" spans="1:29" ht="13">
      <c r="A945" s="161"/>
      <c r="B945" s="161"/>
      <c r="C945" s="177"/>
      <c r="D945" s="177"/>
      <c r="E945" s="177"/>
      <c r="F945" s="177"/>
      <c r="G945" s="206"/>
      <c r="H945" s="177"/>
      <c r="I945" s="177"/>
      <c r="J945" s="177"/>
      <c r="K945" s="177"/>
      <c r="L945" s="178"/>
      <c r="M945" s="177"/>
      <c r="N945" s="177"/>
      <c r="O945" s="177"/>
      <c r="P945" s="177"/>
      <c r="Q945" s="177"/>
      <c r="R945" s="177"/>
      <c r="S945" s="177"/>
      <c r="T945" s="177"/>
      <c r="U945" s="177"/>
      <c r="V945" s="177"/>
      <c r="W945" s="177"/>
      <c r="X945" s="177"/>
      <c r="Y945" s="177"/>
      <c r="Z945" s="177"/>
      <c r="AA945" s="177"/>
      <c r="AB945" s="177"/>
      <c r="AC945" s="177"/>
    </row>
    <row r="946" spans="1:29" ht="13">
      <c r="A946" s="161"/>
      <c r="B946" s="161"/>
      <c r="C946" s="177"/>
      <c r="D946" s="177"/>
      <c r="E946" s="177"/>
      <c r="F946" s="177"/>
      <c r="G946" s="206"/>
      <c r="H946" s="177"/>
      <c r="I946" s="177"/>
      <c r="J946" s="177"/>
      <c r="K946" s="177"/>
      <c r="L946" s="178"/>
      <c r="M946" s="177"/>
      <c r="N946" s="177"/>
      <c r="O946" s="177"/>
      <c r="P946" s="177"/>
      <c r="Q946" s="177"/>
      <c r="R946" s="177"/>
      <c r="S946" s="177"/>
      <c r="T946" s="177"/>
      <c r="U946" s="177"/>
      <c r="V946" s="177"/>
      <c r="W946" s="177"/>
      <c r="X946" s="177"/>
      <c r="Y946" s="177"/>
      <c r="Z946" s="177"/>
      <c r="AA946" s="177"/>
      <c r="AB946" s="177"/>
      <c r="AC946" s="177"/>
    </row>
    <row r="947" spans="1:29" ht="13">
      <c r="A947" s="161"/>
      <c r="B947" s="161"/>
      <c r="C947" s="177"/>
      <c r="D947" s="177"/>
      <c r="E947" s="177"/>
      <c r="F947" s="177"/>
      <c r="G947" s="206"/>
      <c r="H947" s="177"/>
      <c r="I947" s="177"/>
      <c r="J947" s="177"/>
      <c r="K947" s="177"/>
      <c r="L947" s="178"/>
      <c r="M947" s="177"/>
      <c r="N947" s="177"/>
      <c r="O947" s="177"/>
      <c r="P947" s="177"/>
      <c r="Q947" s="177"/>
      <c r="R947" s="177"/>
      <c r="S947" s="177"/>
      <c r="T947" s="177"/>
      <c r="U947" s="177"/>
      <c r="V947" s="177"/>
      <c r="W947" s="177"/>
      <c r="X947" s="177"/>
      <c r="Y947" s="177"/>
      <c r="Z947" s="177"/>
      <c r="AA947" s="177"/>
      <c r="AB947" s="177"/>
      <c r="AC947" s="177"/>
    </row>
    <row r="948" spans="1:29" ht="13">
      <c r="A948" s="161"/>
      <c r="B948" s="161"/>
      <c r="C948" s="177"/>
      <c r="D948" s="177"/>
      <c r="E948" s="177"/>
      <c r="F948" s="177"/>
      <c r="G948" s="206"/>
      <c r="H948" s="177"/>
      <c r="I948" s="177"/>
      <c r="J948" s="177"/>
      <c r="K948" s="177"/>
      <c r="L948" s="178"/>
      <c r="M948" s="177"/>
      <c r="N948" s="177"/>
      <c r="O948" s="177"/>
      <c r="P948" s="177"/>
      <c r="Q948" s="177"/>
      <c r="R948" s="177"/>
      <c r="S948" s="177"/>
      <c r="T948" s="177"/>
      <c r="U948" s="177"/>
      <c r="V948" s="177"/>
      <c r="W948" s="177"/>
      <c r="X948" s="177"/>
      <c r="Y948" s="177"/>
      <c r="Z948" s="177"/>
      <c r="AA948" s="177"/>
      <c r="AB948" s="177"/>
      <c r="AC948" s="177"/>
    </row>
    <row r="949" spans="1:29" ht="13">
      <c r="A949" s="161"/>
      <c r="B949" s="161"/>
      <c r="C949" s="177"/>
      <c r="D949" s="177"/>
      <c r="E949" s="177"/>
      <c r="F949" s="177"/>
      <c r="G949" s="206"/>
      <c r="H949" s="177"/>
      <c r="I949" s="177"/>
      <c r="J949" s="177"/>
      <c r="K949" s="177"/>
      <c r="L949" s="178"/>
      <c r="M949" s="177"/>
      <c r="N949" s="177"/>
      <c r="O949" s="177"/>
      <c r="P949" s="177"/>
      <c r="Q949" s="177"/>
      <c r="R949" s="177"/>
      <c r="S949" s="177"/>
      <c r="T949" s="177"/>
      <c r="U949" s="177"/>
      <c r="V949" s="177"/>
      <c r="W949" s="177"/>
      <c r="X949" s="177"/>
      <c r="Y949" s="177"/>
      <c r="Z949" s="177"/>
      <c r="AA949" s="177"/>
      <c r="AB949" s="177"/>
      <c r="AC949" s="177"/>
    </row>
    <row r="950" spans="1:29" ht="13">
      <c r="A950" s="161"/>
      <c r="B950" s="161"/>
      <c r="C950" s="177"/>
      <c r="D950" s="177"/>
      <c r="E950" s="177"/>
      <c r="F950" s="177"/>
      <c r="G950" s="206"/>
      <c r="H950" s="177"/>
      <c r="I950" s="177"/>
      <c r="J950" s="177"/>
      <c r="K950" s="177"/>
      <c r="L950" s="178"/>
      <c r="M950" s="177"/>
      <c r="N950" s="177"/>
      <c r="O950" s="177"/>
      <c r="P950" s="177"/>
      <c r="Q950" s="177"/>
      <c r="R950" s="177"/>
      <c r="S950" s="177"/>
      <c r="T950" s="177"/>
      <c r="U950" s="177"/>
      <c r="V950" s="177"/>
      <c r="W950" s="177"/>
      <c r="X950" s="177"/>
      <c r="Y950" s="177"/>
      <c r="Z950" s="177"/>
      <c r="AA950" s="177"/>
      <c r="AB950" s="177"/>
      <c r="AC950" s="177"/>
    </row>
    <row r="951" spans="1:29" ht="13">
      <c r="A951" s="161"/>
      <c r="B951" s="161"/>
      <c r="C951" s="177"/>
      <c r="D951" s="177"/>
      <c r="E951" s="177"/>
      <c r="F951" s="177"/>
      <c r="G951" s="206"/>
      <c r="H951" s="177"/>
      <c r="I951" s="177"/>
      <c r="J951" s="177"/>
      <c r="K951" s="177"/>
      <c r="L951" s="178"/>
      <c r="M951" s="177"/>
      <c r="N951" s="177"/>
      <c r="O951" s="177"/>
      <c r="P951" s="177"/>
      <c r="Q951" s="177"/>
      <c r="R951" s="177"/>
      <c r="S951" s="177"/>
      <c r="T951" s="177"/>
      <c r="U951" s="177"/>
      <c r="V951" s="177"/>
      <c r="W951" s="177"/>
      <c r="X951" s="177"/>
      <c r="Y951" s="177"/>
      <c r="Z951" s="177"/>
      <c r="AA951" s="177"/>
      <c r="AB951" s="177"/>
      <c r="AC951" s="177"/>
    </row>
    <row r="952" spans="1:29" ht="13">
      <c r="A952" s="161"/>
      <c r="B952" s="161"/>
      <c r="C952" s="177"/>
      <c r="D952" s="177"/>
      <c r="E952" s="177"/>
      <c r="F952" s="177"/>
      <c r="G952" s="206"/>
      <c r="H952" s="177"/>
      <c r="I952" s="177"/>
      <c r="J952" s="177"/>
      <c r="K952" s="177"/>
      <c r="L952" s="178"/>
      <c r="M952" s="177"/>
      <c r="N952" s="177"/>
      <c r="O952" s="177"/>
      <c r="P952" s="177"/>
      <c r="Q952" s="177"/>
      <c r="R952" s="177"/>
      <c r="S952" s="177"/>
      <c r="T952" s="177"/>
      <c r="U952" s="177"/>
      <c r="V952" s="177"/>
      <c r="W952" s="177"/>
      <c r="X952" s="177"/>
      <c r="Y952" s="177"/>
      <c r="Z952" s="177"/>
      <c r="AA952" s="177"/>
      <c r="AB952" s="177"/>
      <c r="AC952" s="177"/>
    </row>
    <row r="953" spans="1:29" ht="13">
      <c r="A953" s="161"/>
      <c r="B953" s="161"/>
      <c r="C953" s="177"/>
      <c r="D953" s="177"/>
      <c r="E953" s="177"/>
      <c r="F953" s="177"/>
      <c r="G953" s="206"/>
      <c r="H953" s="177"/>
      <c r="I953" s="177"/>
      <c r="J953" s="177"/>
      <c r="K953" s="177"/>
      <c r="L953" s="178"/>
      <c r="M953" s="177"/>
      <c r="N953" s="177"/>
      <c r="O953" s="177"/>
      <c r="P953" s="177"/>
      <c r="Q953" s="177"/>
      <c r="R953" s="177"/>
      <c r="S953" s="177"/>
      <c r="T953" s="177"/>
      <c r="U953" s="177"/>
      <c r="V953" s="177"/>
      <c r="W953" s="177"/>
      <c r="X953" s="177"/>
      <c r="Y953" s="177"/>
      <c r="Z953" s="177"/>
      <c r="AA953" s="177"/>
      <c r="AB953" s="177"/>
      <c r="AC953" s="177"/>
    </row>
    <row r="954" spans="1:29" ht="13">
      <c r="A954" s="161"/>
      <c r="B954" s="161"/>
      <c r="C954" s="177"/>
      <c r="D954" s="177"/>
      <c r="E954" s="177"/>
      <c r="F954" s="177"/>
      <c r="G954" s="206"/>
      <c r="H954" s="177"/>
      <c r="I954" s="177"/>
      <c r="J954" s="177"/>
      <c r="K954" s="177"/>
      <c r="L954" s="178"/>
      <c r="M954" s="177"/>
      <c r="N954" s="177"/>
      <c r="O954" s="177"/>
      <c r="P954" s="177"/>
      <c r="Q954" s="177"/>
      <c r="R954" s="177"/>
      <c r="S954" s="177"/>
      <c r="T954" s="177"/>
      <c r="U954" s="177"/>
      <c r="V954" s="177"/>
      <c r="W954" s="177"/>
      <c r="X954" s="177"/>
      <c r="Y954" s="177"/>
      <c r="Z954" s="177"/>
      <c r="AA954" s="177"/>
      <c r="AB954" s="177"/>
      <c r="AC954" s="177"/>
    </row>
    <row r="955" spans="1:29" ht="13">
      <c r="A955" s="161"/>
      <c r="B955" s="161"/>
      <c r="C955" s="177"/>
      <c r="D955" s="177"/>
      <c r="E955" s="177"/>
      <c r="F955" s="177"/>
      <c r="G955" s="206"/>
      <c r="H955" s="177"/>
      <c r="I955" s="177"/>
      <c r="J955" s="177"/>
      <c r="K955" s="177"/>
      <c r="L955" s="178"/>
      <c r="M955" s="177"/>
      <c r="N955" s="177"/>
      <c r="O955" s="177"/>
      <c r="P955" s="177"/>
      <c r="Q955" s="177"/>
      <c r="R955" s="177"/>
      <c r="S955" s="177"/>
      <c r="T955" s="177"/>
      <c r="U955" s="177"/>
      <c r="V955" s="177"/>
      <c r="W955" s="177"/>
      <c r="X955" s="177"/>
      <c r="Y955" s="177"/>
      <c r="Z955" s="177"/>
      <c r="AA955" s="177"/>
      <c r="AB955" s="177"/>
      <c r="AC955" s="177"/>
    </row>
    <row r="956" spans="1:29" ht="13">
      <c r="A956" s="161"/>
      <c r="B956" s="161"/>
      <c r="C956" s="177"/>
      <c r="D956" s="177"/>
      <c r="E956" s="177"/>
      <c r="F956" s="177"/>
      <c r="G956" s="206"/>
      <c r="H956" s="177"/>
      <c r="I956" s="177"/>
      <c r="J956" s="177"/>
      <c r="K956" s="177"/>
      <c r="L956" s="178"/>
      <c r="M956" s="177"/>
      <c r="N956" s="177"/>
      <c r="O956" s="177"/>
      <c r="P956" s="177"/>
      <c r="Q956" s="177"/>
      <c r="R956" s="177"/>
      <c r="S956" s="177"/>
      <c r="T956" s="177"/>
      <c r="U956" s="177"/>
      <c r="V956" s="177"/>
      <c r="W956" s="177"/>
      <c r="X956" s="177"/>
      <c r="Y956" s="177"/>
      <c r="Z956" s="177"/>
      <c r="AA956" s="177"/>
      <c r="AB956" s="177"/>
      <c r="AC956" s="177"/>
    </row>
    <row r="957" spans="1:29" ht="13">
      <c r="A957" s="161"/>
      <c r="B957" s="161"/>
      <c r="C957" s="177"/>
      <c r="D957" s="177"/>
      <c r="E957" s="177"/>
      <c r="F957" s="177"/>
      <c r="G957" s="206"/>
      <c r="H957" s="177"/>
      <c r="I957" s="177"/>
      <c r="J957" s="177"/>
      <c r="K957" s="177"/>
      <c r="L957" s="178"/>
      <c r="M957" s="177"/>
      <c r="N957" s="177"/>
      <c r="O957" s="177"/>
      <c r="P957" s="177"/>
      <c r="Q957" s="177"/>
      <c r="R957" s="177"/>
      <c r="S957" s="177"/>
      <c r="T957" s="177"/>
      <c r="U957" s="177"/>
      <c r="V957" s="177"/>
      <c r="W957" s="177"/>
      <c r="X957" s="177"/>
      <c r="Y957" s="177"/>
      <c r="Z957" s="177"/>
      <c r="AA957" s="177"/>
      <c r="AB957" s="177"/>
      <c r="AC957" s="177"/>
    </row>
    <row r="958" spans="1:29" ht="13">
      <c r="A958" s="161"/>
      <c r="B958" s="161"/>
      <c r="C958" s="177"/>
      <c r="D958" s="177"/>
      <c r="E958" s="177"/>
      <c r="F958" s="177"/>
      <c r="G958" s="206"/>
      <c r="H958" s="177"/>
      <c r="I958" s="177"/>
      <c r="J958" s="177"/>
      <c r="K958" s="177"/>
      <c r="L958" s="178"/>
      <c r="M958" s="177"/>
      <c r="N958" s="177"/>
      <c r="O958" s="177"/>
      <c r="P958" s="177"/>
      <c r="Q958" s="177"/>
      <c r="R958" s="177"/>
      <c r="S958" s="177"/>
      <c r="T958" s="177"/>
      <c r="U958" s="177"/>
      <c r="V958" s="177"/>
      <c r="W958" s="177"/>
      <c r="X958" s="177"/>
      <c r="Y958" s="177"/>
      <c r="Z958" s="177"/>
      <c r="AA958" s="177"/>
      <c r="AB958" s="177"/>
      <c r="AC958" s="177"/>
    </row>
    <row r="959" spans="1:29" ht="13">
      <c r="A959" s="161"/>
      <c r="B959" s="161"/>
      <c r="C959" s="177"/>
      <c r="D959" s="177"/>
      <c r="E959" s="177"/>
      <c r="F959" s="177"/>
      <c r="G959" s="206"/>
      <c r="H959" s="177"/>
      <c r="I959" s="177"/>
      <c r="J959" s="177"/>
      <c r="K959" s="177"/>
      <c r="L959" s="178"/>
      <c r="M959" s="177"/>
      <c r="N959" s="177"/>
      <c r="O959" s="177"/>
      <c r="P959" s="177"/>
      <c r="Q959" s="177"/>
      <c r="R959" s="177"/>
      <c r="S959" s="177"/>
      <c r="T959" s="177"/>
      <c r="U959" s="177"/>
      <c r="V959" s="177"/>
      <c r="W959" s="177"/>
      <c r="X959" s="177"/>
      <c r="Y959" s="177"/>
      <c r="Z959" s="177"/>
      <c r="AA959" s="177"/>
      <c r="AB959" s="177"/>
      <c r="AC959" s="177"/>
    </row>
    <row r="960" spans="1:29" ht="13">
      <c r="A960" s="161"/>
      <c r="B960" s="161"/>
      <c r="C960" s="177"/>
      <c r="D960" s="177"/>
      <c r="E960" s="177"/>
      <c r="F960" s="177"/>
      <c r="G960" s="206"/>
      <c r="H960" s="177"/>
      <c r="I960" s="177"/>
      <c r="J960" s="177"/>
      <c r="K960" s="177"/>
      <c r="L960" s="178"/>
      <c r="M960" s="177"/>
      <c r="N960" s="177"/>
      <c r="O960" s="177"/>
      <c r="P960" s="177"/>
      <c r="Q960" s="177"/>
      <c r="R960" s="177"/>
      <c r="S960" s="177"/>
      <c r="T960" s="177"/>
      <c r="U960" s="177"/>
      <c r="V960" s="177"/>
      <c r="W960" s="177"/>
      <c r="X960" s="177"/>
      <c r="Y960" s="177"/>
      <c r="Z960" s="177"/>
      <c r="AA960" s="177"/>
      <c r="AB960" s="177"/>
      <c r="AC960" s="177"/>
    </row>
    <row r="961" spans="1:29" ht="13">
      <c r="A961" s="161"/>
      <c r="B961" s="161"/>
      <c r="C961" s="177"/>
      <c r="D961" s="177"/>
      <c r="E961" s="177"/>
      <c r="F961" s="177"/>
      <c r="G961" s="206"/>
      <c r="H961" s="177"/>
      <c r="I961" s="177"/>
      <c r="J961" s="177"/>
      <c r="K961" s="177"/>
      <c r="L961" s="178"/>
      <c r="M961" s="177"/>
      <c r="N961" s="177"/>
      <c r="O961" s="177"/>
      <c r="P961" s="177"/>
      <c r="Q961" s="177"/>
      <c r="R961" s="177"/>
      <c r="S961" s="177"/>
      <c r="T961" s="177"/>
      <c r="U961" s="177"/>
      <c r="V961" s="177"/>
      <c r="W961" s="177"/>
      <c r="X961" s="177"/>
      <c r="Y961" s="177"/>
      <c r="Z961" s="177"/>
      <c r="AA961" s="177"/>
      <c r="AB961" s="177"/>
      <c r="AC961" s="177"/>
    </row>
    <row r="962" spans="1:29" ht="13">
      <c r="A962" s="161"/>
      <c r="B962" s="161"/>
      <c r="C962" s="177"/>
      <c r="D962" s="177"/>
      <c r="E962" s="177"/>
      <c r="F962" s="177"/>
      <c r="G962" s="206"/>
      <c r="H962" s="177"/>
      <c r="I962" s="177"/>
      <c r="J962" s="177"/>
      <c r="K962" s="177"/>
      <c r="L962" s="178"/>
      <c r="M962" s="177"/>
      <c r="N962" s="177"/>
      <c r="O962" s="177"/>
      <c r="P962" s="177"/>
      <c r="Q962" s="177"/>
      <c r="R962" s="177"/>
      <c r="S962" s="177"/>
      <c r="T962" s="177"/>
      <c r="U962" s="177"/>
      <c r="V962" s="177"/>
      <c r="W962" s="177"/>
      <c r="X962" s="177"/>
      <c r="Y962" s="177"/>
      <c r="Z962" s="177"/>
      <c r="AA962" s="177"/>
      <c r="AB962" s="177"/>
      <c r="AC962" s="177"/>
    </row>
    <row r="963" spans="1:29" ht="13">
      <c r="A963" s="161"/>
      <c r="B963" s="161"/>
      <c r="C963" s="177"/>
      <c r="D963" s="177"/>
      <c r="E963" s="177"/>
      <c r="F963" s="177"/>
      <c r="G963" s="206"/>
      <c r="H963" s="177"/>
      <c r="I963" s="177"/>
      <c r="J963" s="177"/>
      <c r="K963" s="177"/>
      <c r="L963" s="178"/>
      <c r="M963" s="177"/>
      <c r="N963" s="177"/>
      <c r="O963" s="177"/>
      <c r="P963" s="177"/>
      <c r="Q963" s="177"/>
      <c r="R963" s="177"/>
      <c r="S963" s="177"/>
      <c r="T963" s="177"/>
      <c r="U963" s="177"/>
      <c r="V963" s="177"/>
      <c r="W963" s="177"/>
      <c r="X963" s="177"/>
      <c r="Y963" s="177"/>
      <c r="Z963" s="177"/>
      <c r="AA963" s="177"/>
      <c r="AB963" s="177"/>
      <c r="AC963" s="177"/>
    </row>
    <row r="964" spans="1:29" ht="13">
      <c r="A964" s="161"/>
      <c r="B964" s="161"/>
      <c r="C964" s="177"/>
      <c r="D964" s="177"/>
      <c r="E964" s="177"/>
      <c r="F964" s="177"/>
      <c r="G964" s="206"/>
      <c r="H964" s="177"/>
      <c r="I964" s="177"/>
      <c r="J964" s="177"/>
      <c r="K964" s="177"/>
      <c r="L964" s="178"/>
      <c r="M964" s="177"/>
      <c r="N964" s="177"/>
      <c r="O964" s="177"/>
      <c r="P964" s="177"/>
      <c r="Q964" s="177"/>
      <c r="R964" s="177"/>
      <c r="S964" s="177"/>
      <c r="T964" s="177"/>
      <c r="U964" s="177"/>
      <c r="V964" s="177"/>
      <c r="W964" s="177"/>
      <c r="X964" s="177"/>
      <c r="Y964" s="177"/>
      <c r="Z964" s="177"/>
      <c r="AA964" s="177"/>
      <c r="AB964" s="177"/>
      <c r="AC964" s="177"/>
    </row>
    <row r="965" spans="1:29" ht="13">
      <c r="A965" s="161"/>
      <c r="B965" s="161"/>
      <c r="C965" s="177"/>
      <c r="D965" s="177"/>
      <c r="E965" s="177"/>
      <c r="F965" s="177"/>
      <c r="G965" s="206"/>
      <c r="H965" s="177"/>
      <c r="I965" s="177"/>
      <c r="J965" s="177"/>
      <c r="K965" s="177"/>
      <c r="L965" s="178"/>
      <c r="M965" s="177"/>
      <c r="N965" s="177"/>
      <c r="O965" s="177"/>
      <c r="P965" s="177"/>
      <c r="Q965" s="177"/>
      <c r="R965" s="177"/>
      <c r="S965" s="177"/>
      <c r="T965" s="177"/>
      <c r="U965" s="177"/>
      <c r="V965" s="177"/>
      <c r="W965" s="177"/>
      <c r="X965" s="177"/>
      <c r="Y965" s="177"/>
      <c r="Z965" s="177"/>
      <c r="AA965" s="177"/>
      <c r="AB965" s="177"/>
      <c r="AC965" s="177"/>
    </row>
    <row r="966" spans="1:29" ht="13">
      <c r="A966" s="161"/>
      <c r="B966" s="161"/>
      <c r="C966" s="177"/>
      <c r="D966" s="177"/>
      <c r="E966" s="177"/>
      <c r="F966" s="177"/>
      <c r="G966" s="206"/>
      <c r="H966" s="177"/>
      <c r="I966" s="177"/>
      <c r="J966" s="177"/>
      <c r="K966" s="177"/>
      <c r="L966" s="178"/>
      <c r="M966" s="177"/>
      <c r="N966" s="177"/>
      <c r="O966" s="177"/>
      <c r="P966" s="177"/>
      <c r="Q966" s="177"/>
      <c r="R966" s="177"/>
      <c r="S966" s="177"/>
      <c r="T966" s="177"/>
      <c r="U966" s="177"/>
      <c r="V966" s="177"/>
      <c r="W966" s="177"/>
      <c r="X966" s="177"/>
      <c r="Y966" s="177"/>
      <c r="Z966" s="177"/>
      <c r="AA966" s="177"/>
      <c r="AB966" s="177"/>
      <c r="AC966" s="177"/>
    </row>
    <row r="967" spans="1:29" ht="13">
      <c r="A967" s="161"/>
      <c r="B967" s="161"/>
      <c r="C967" s="177"/>
      <c r="D967" s="177"/>
      <c r="E967" s="177"/>
      <c r="F967" s="177"/>
      <c r="G967" s="206"/>
      <c r="H967" s="177"/>
      <c r="I967" s="177"/>
      <c r="J967" s="177"/>
      <c r="K967" s="177"/>
      <c r="L967" s="178"/>
      <c r="M967" s="177"/>
      <c r="N967" s="177"/>
      <c r="O967" s="177"/>
      <c r="P967" s="177"/>
      <c r="Q967" s="177"/>
      <c r="R967" s="177"/>
      <c r="S967" s="177"/>
      <c r="T967" s="177"/>
      <c r="U967" s="177"/>
      <c r="V967" s="177"/>
      <c r="W967" s="177"/>
      <c r="X967" s="177"/>
      <c r="Y967" s="177"/>
      <c r="Z967" s="177"/>
      <c r="AA967" s="177"/>
      <c r="AB967" s="177"/>
      <c r="AC967" s="177"/>
    </row>
    <row r="968" spans="1:29" ht="13">
      <c r="A968" s="161"/>
      <c r="B968" s="161"/>
      <c r="C968" s="177"/>
      <c r="D968" s="177"/>
      <c r="E968" s="177"/>
      <c r="F968" s="177"/>
      <c r="G968" s="206"/>
      <c r="H968" s="177"/>
      <c r="I968" s="177"/>
      <c r="J968" s="177"/>
      <c r="K968" s="177"/>
      <c r="L968" s="178"/>
      <c r="M968" s="177"/>
      <c r="N968" s="177"/>
      <c r="O968" s="177"/>
      <c r="P968" s="177"/>
      <c r="Q968" s="177"/>
      <c r="R968" s="177"/>
      <c r="S968" s="177"/>
      <c r="T968" s="177"/>
      <c r="U968" s="177"/>
      <c r="V968" s="177"/>
      <c r="W968" s="177"/>
      <c r="X968" s="177"/>
      <c r="Y968" s="177"/>
      <c r="Z968" s="177"/>
      <c r="AA968" s="177"/>
      <c r="AB968" s="177"/>
      <c r="AC968" s="177"/>
    </row>
    <row r="969" spans="1:29" ht="13">
      <c r="A969" s="161"/>
      <c r="B969" s="161"/>
      <c r="C969" s="177"/>
      <c r="D969" s="177"/>
      <c r="E969" s="177"/>
      <c r="F969" s="177"/>
      <c r="G969" s="206"/>
      <c r="H969" s="177"/>
      <c r="I969" s="177"/>
      <c r="J969" s="177"/>
      <c r="K969" s="177"/>
      <c r="L969" s="178"/>
      <c r="M969" s="177"/>
      <c r="N969" s="177"/>
      <c r="O969" s="177"/>
      <c r="P969" s="177"/>
      <c r="Q969" s="177"/>
      <c r="R969" s="177"/>
      <c r="S969" s="177"/>
      <c r="T969" s="177"/>
      <c r="U969" s="177"/>
      <c r="V969" s="177"/>
      <c r="W969" s="177"/>
      <c r="X969" s="177"/>
      <c r="Y969" s="177"/>
      <c r="Z969" s="177"/>
      <c r="AA969" s="177"/>
      <c r="AB969" s="177"/>
      <c r="AC969" s="177"/>
    </row>
    <row r="970" spans="1:29" ht="13">
      <c r="A970" s="161"/>
      <c r="B970" s="161"/>
      <c r="C970" s="177"/>
      <c r="D970" s="177"/>
      <c r="E970" s="177"/>
      <c r="F970" s="177"/>
      <c r="G970" s="206"/>
      <c r="H970" s="177"/>
      <c r="I970" s="177"/>
      <c r="J970" s="177"/>
      <c r="K970" s="177"/>
      <c r="L970" s="178"/>
      <c r="M970" s="177"/>
      <c r="N970" s="177"/>
      <c r="O970" s="177"/>
      <c r="P970" s="177"/>
      <c r="Q970" s="177"/>
      <c r="R970" s="177"/>
      <c r="S970" s="177"/>
      <c r="T970" s="177"/>
      <c r="U970" s="177"/>
      <c r="V970" s="177"/>
      <c r="W970" s="177"/>
      <c r="X970" s="177"/>
      <c r="Y970" s="177"/>
      <c r="Z970" s="177"/>
      <c r="AA970" s="177"/>
      <c r="AB970" s="177"/>
      <c r="AC970" s="177"/>
    </row>
    <row r="971" spans="1:29" ht="13">
      <c r="A971" s="161"/>
      <c r="B971" s="161"/>
      <c r="C971" s="177"/>
      <c r="D971" s="177"/>
      <c r="E971" s="177"/>
      <c r="F971" s="177"/>
      <c r="G971" s="206"/>
      <c r="H971" s="177"/>
      <c r="I971" s="177"/>
      <c r="J971" s="177"/>
      <c r="K971" s="177"/>
      <c r="L971" s="178"/>
      <c r="M971" s="177"/>
      <c r="N971" s="177"/>
      <c r="O971" s="177"/>
      <c r="P971" s="177"/>
      <c r="Q971" s="177"/>
      <c r="R971" s="177"/>
      <c r="S971" s="177"/>
      <c r="T971" s="177"/>
      <c r="U971" s="177"/>
      <c r="V971" s="177"/>
      <c r="W971" s="177"/>
      <c r="X971" s="177"/>
      <c r="Y971" s="177"/>
      <c r="Z971" s="177"/>
      <c r="AA971" s="177"/>
      <c r="AB971" s="177"/>
      <c r="AC971" s="177"/>
    </row>
    <row r="972" spans="1:29" ht="13">
      <c r="A972" s="161"/>
      <c r="B972" s="161"/>
      <c r="C972" s="177"/>
      <c r="D972" s="177"/>
      <c r="E972" s="177"/>
      <c r="F972" s="177"/>
      <c r="G972" s="206"/>
      <c r="H972" s="177"/>
      <c r="I972" s="177"/>
      <c r="J972" s="177"/>
      <c r="K972" s="177"/>
      <c r="L972" s="178"/>
      <c r="M972" s="177"/>
      <c r="N972" s="177"/>
      <c r="O972" s="177"/>
      <c r="P972" s="177"/>
      <c r="Q972" s="177"/>
      <c r="R972" s="177"/>
      <c r="S972" s="177"/>
      <c r="T972" s="177"/>
      <c r="U972" s="177"/>
      <c r="V972" s="177"/>
      <c r="W972" s="177"/>
      <c r="X972" s="177"/>
      <c r="Y972" s="177"/>
      <c r="Z972" s="177"/>
      <c r="AA972" s="177"/>
      <c r="AB972" s="177"/>
      <c r="AC972" s="177"/>
    </row>
    <row r="973" spans="1:29" ht="13">
      <c r="A973" s="161"/>
      <c r="B973" s="161"/>
      <c r="C973" s="177"/>
      <c r="D973" s="177"/>
      <c r="E973" s="177"/>
      <c r="F973" s="177"/>
      <c r="G973" s="206"/>
      <c r="H973" s="177"/>
      <c r="I973" s="177"/>
      <c r="J973" s="177"/>
      <c r="K973" s="177"/>
      <c r="L973" s="178"/>
      <c r="M973" s="177"/>
      <c r="N973" s="177"/>
      <c r="O973" s="177"/>
      <c r="P973" s="177"/>
      <c r="Q973" s="177"/>
      <c r="R973" s="177"/>
      <c r="S973" s="177"/>
      <c r="T973" s="177"/>
      <c r="U973" s="177"/>
      <c r="V973" s="177"/>
      <c r="W973" s="177"/>
      <c r="X973" s="177"/>
      <c r="Y973" s="177"/>
      <c r="Z973" s="177"/>
      <c r="AA973" s="177"/>
      <c r="AB973" s="177"/>
      <c r="AC973" s="177"/>
    </row>
    <row r="974" spans="1:29" ht="13">
      <c r="A974" s="161"/>
      <c r="B974" s="161"/>
      <c r="C974" s="177"/>
      <c r="D974" s="177"/>
      <c r="E974" s="177"/>
      <c r="F974" s="177"/>
      <c r="G974" s="206"/>
      <c r="H974" s="177"/>
      <c r="I974" s="177"/>
      <c r="J974" s="177"/>
      <c r="K974" s="177"/>
      <c r="L974" s="178"/>
      <c r="M974" s="177"/>
      <c r="N974" s="177"/>
      <c r="O974" s="177"/>
      <c r="P974" s="177"/>
      <c r="Q974" s="177"/>
      <c r="R974" s="177"/>
      <c r="S974" s="177"/>
      <c r="T974" s="177"/>
      <c r="U974" s="177"/>
      <c r="V974" s="177"/>
      <c r="W974" s="177"/>
      <c r="X974" s="177"/>
      <c r="Y974" s="177"/>
      <c r="Z974" s="177"/>
      <c r="AA974" s="177"/>
      <c r="AB974" s="177"/>
      <c r="AC974" s="177"/>
    </row>
    <row r="975" spans="1:29" ht="13">
      <c r="A975" s="161"/>
      <c r="B975" s="161"/>
      <c r="C975" s="177"/>
      <c r="D975" s="177"/>
      <c r="E975" s="177"/>
      <c r="F975" s="177"/>
      <c r="G975" s="206"/>
      <c r="H975" s="177"/>
      <c r="I975" s="177"/>
      <c r="J975" s="177"/>
      <c r="K975" s="177"/>
      <c r="L975" s="178"/>
      <c r="M975" s="177"/>
      <c r="N975" s="177"/>
      <c r="O975" s="177"/>
      <c r="P975" s="177"/>
      <c r="Q975" s="177"/>
      <c r="R975" s="177"/>
      <c r="S975" s="177"/>
      <c r="T975" s="177"/>
      <c r="U975" s="177"/>
      <c r="V975" s="177"/>
      <c r="W975" s="177"/>
      <c r="X975" s="177"/>
      <c r="Y975" s="177"/>
      <c r="Z975" s="177"/>
      <c r="AA975" s="177"/>
      <c r="AB975" s="177"/>
      <c r="AC975" s="177"/>
    </row>
    <row r="976" spans="1:29" ht="13">
      <c r="A976" s="161"/>
      <c r="B976" s="161"/>
      <c r="C976" s="177"/>
      <c r="D976" s="177"/>
      <c r="E976" s="177"/>
      <c r="F976" s="177"/>
      <c r="G976" s="206"/>
      <c r="H976" s="177"/>
      <c r="I976" s="177"/>
      <c r="J976" s="177"/>
      <c r="K976" s="177"/>
      <c r="L976" s="178"/>
      <c r="M976" s="177"/>
      <c r="N976" s="177"/>
      <c r="O976" s="177"/>
      <c r="P976" s="177"/>
      <c r="Q976" s="177"/>
      <c r="R976" s="177"/>
      <c r="S976" s="177"/>
      <c r="T976" s="177"/>
      <c r="U976" s="177"/>
      <c r="V976" s="177"/>
      <c r="W976" s="177"/>
      <c r="X976" s="177"/>
      <c r="Y976" s="177"/>
      <c r="Z976" s="177"/>
      <c r="AA976" s="177"/>
      <c r="AB976" s="177"/>
      <c r="AC976" s="177"/>
    </row>
    <row r="977" spans="1:29" ht="13">
      <c r="A977" s="161"/>
      <c r="B977" s="161"/>
      <c r="C977" s="177"/>
      <c r="D977" s="177"/>
      <c r="E977" s="177"/>
      <c r="F977" s="177"/>
      <c r="G977" s="206"/>
      <c r="H977" s="177"/>
      <c r="I977" s="177"/>
      <c r="J977" s="177"/>
      <c r="K977" s="177"/>
      <c r="L977" s="178"/>
      <c r="M977" s="177"/>
      <c r="N977" s="177"/>
      <c r="O977" s="177"/>
      <c r="P977" s="177"/>
      <c r="Q977" s="177"/>
      <c r="R977" s="177"/>
      <c r="S977" s="177"/>
      <c r="T977" s="177"/>
      <c r="U977" s="177"/>
      <c r="V977" s="177"/>
      <c r="W977" s="177"/>
      <c r="X977" s="177"/>
      <c r="Y977" s="177"/>
      <c r="Z977" s="177"/>
      <c r="AA977" s="177"/>
      <c r="AB977" s="177"/>
      <c r="AC977" s="177"/>
    </row>
    <row r="978" spans="1:29" ht="13">
      <c r="A978" s="161"/>
      <c r="B978" s="161"/>
      <c r="C978" s="177"/>
      <c r="D978" s="177"/>
      <c r="E978" s="177"/>
      <c r="F978" s="177"/>
      <c r="G978" s="206"/>
      <c r="H978" s="177"/>
      <c r="I978" s="177"/>
      <c r="J978" s="177"/>
      <c r="K978" s="177"/>
      <c r="L978" s="178"/>
      <c r="M978" s="177"/>
      <c r="N978" s="177"/>
      <c r="O978" s="177"/>
      <c r="P978" s="177"/>
      <c r="Q978" s="177"/>
      <c r="R978" s="177"/>
      <c r="S978" s="177"/>
      <c r="T978" s="177"/>
      <c r="U978" s="177"/>
      <c r="V978" s="177"/>
      <c r="W978" s="177"/>
      <c r="X978" s="177"/>
      <c r="Y978" s="177"/>
      <c r="Z978" s="177"/>
      <c r="AA978" s="177"/>
      <c r="AB978" s="177"/>
      <c r="AC978" s="177"/>
    </row>
    <row r="979" spans="1:29" ht="13">
      <c r="A979" s="161"/>
      <c r="B979" s="161"/>
      <c r="C979" s="177"/>
      <c r="D979" s="177"/>
      <c r="E979" s="177"/>
      <c r="F979" s="177"/>
      <c r="G979" s="206"/>
      <c r="H979" s="177"/>
      <c r="I979" s="177"/>
      <c r="J979" s="177"/>
      <c r="K979" s="177"/>
      <c r="L979" s="178"/>
      <c r="M979" s="177"/>
      <c r="N979" s="177"/>
      <c r="O979" s="177"/>
      <c r="P979" s="177"/>
      <c r="Q979" s="177"/>
      <c r="R979" s="177"/>
      <c r="S979" s="177"/>
      <c r="T979" s="177"/>
      <c r="U979" s="177"/>
      <c r="V979" s="177"/>
      <c r="W979" s="177"/>
      <c r="X979" s="177"/>
      <c r="Y979" s="177"/>
      <c r="Z979" s="177"/>
      <c r="AA979" s="177"/>
      <c r="AB979" s="177"/>
      <c r="AC979" s="177"/>
    </row>
    <row r="980" spans="1:29" ht="13">
      <c r="A980" s="161"/>
      <c r="B980" s="161"/>
      <c r="C980" s="177"/>
      <c r="D980" s="177"/>
      <c r="E980" s="177"/>
      <c r="F980" s="177"/>
      <c r="G980" s="206"/>
      <c r="H980" s="177"/>
      <c r="I980" s="177"/>
      <c r="J980" s="177"/>
      <c r="K980" s="177"/>
      <c r="L980" s="178"/>
      <c r="M980" s="177"/>
      <c r="N980" s="177"/>
      <c r="O980" s="177"/>
      <c r="P980" s="177"/>
      <c r="Q980" s="177"/>
      <c r="R980" s="177"/>
      <c r="S980" s="177"/>
      <c r="T980" s="177"/>
      <c r="U980" s="177"/>
      <c r="V980" s="177"/>
      <c r="W980" s="177"/>
      <c r="X980" s="177"/>
      <c r="Y980" s="177"/>
      <c r="Z980" s="177"/>
      <c r="AA980" s="177"/>
      <c r="AB980" s="177"/>
      <c r="AC980" s="177"/>
    </row>
    <row r="981" spans="1:29" ht="13">
      <c r="A981" s="161"/>
      <c r="B981" s="161"/>
      <c r="C981" s="177"/>
      <c r="D981" s="177"/>
      <c r="E981" s="177"/>
      <c r="F981" s="177"/>
      <c r="G981" s="206"/>
      <c r="H981" s="177"/>
      <c r="I981" s="177"/>
      <c r="J981" s="177"/>
      <c r="K981" s="177"/>
      <c r="L981" s="178"/>
      <c r="M981" s="177"/>
      <c r="N981" s="177"/>
      <c r="O981" s="177"/>
      <c r="P981" s="177"/>
      <c r="Q981" s="177"/>
      <c r="R981" s="177"/>
      <c r="S981" s="177"/>
      <c r="T981" s="177"/>
      <c r="U981" s="177"/>
      <c r="V981" s="177"/>
      <c r="W981" s="177"/>
      <c r="X981" s="177"/>
      <c r="Y981" s="177"/>
      <c r="Z981" s="177"/>
      <c r="AA981" s="177"/>
      <c r="AB981" s="177"/>
      <c r="AC981" s="177"/>
    </row>
    <row r="982" spans="1:29" ht="13">
      <c r="A982" s="161"/>
      <c r="B982" s="161"/>
      <c r="C982" s="177"/>
      <c r="D982" s="177"/>
      <c r="E982" s="177"/>
      <c r="F982" s="177"/>
      <c r="G982" s="206"/>
      <c r="H982" s="177"/>
      <c r="I982" s="177"/>
      <c r="J982" s="177"/>
      <c r="K982" s="177"/>
      <c r="L982" s="178"/>
      <c r="M982" s="177"/>
      <c r="N982" s="177"/>
      <c r="O982" s="177"/>
      <c r="P982" s="177"/>
      <c r="Q982" s="177"/>
      <c r="R982" s="177"/>
      <c r="S982" s="177"/>
      <c r="T982" s="177"/>
      <c r="U982" s="177"/>
      <c r="V982" s="177"/>
      <c r="W982" s="177"/>
      <c r="X982" s="177"/>
      <c r="Y982" s="177"/>
      <c r="Z982" s="177"/>
      <c r="AA982" s="177"/>
      <c r="AB982" s="177"/>
      <c r="AC982" s="177"/>
    </row>
    <row r="983" spans="1:29" ht="13">
      <c r="A983" s="161"/>
      <c r="B983" s="161"/>
      <c r="C983" s="177"/>
      <c r="D983" s="177"/>
      <c r="E983" s="177"/>
      <c r="F983" s="177"/>
      <c r="G983" s="206"/>
      <c r="H983" s="177"/>
      <c r="I983" s="177"/>
      <c r="J983" s="177"/>
      <c r="K983" s="177"/>
      <c r="L983" s="178"/>
      <c r="M983" s="177"/>
      <c r="N983" s="177"/>
      <c r="O983" s="177"/>
      <c r="P983" s="177"/>
      <c r="Q983" s="177"/>
      <c r="R983" s="177"/>
      <c r="S983" s="177"/>
      <c r="T983" s="177"/>
      <c r="U983" s="177"/>
      <c r="V983" s="177"/>
      <c r="W983" s="177"/>
      <c r="X983" s="177"/>
      <c r="Y983" s="177"/>
      <c r="Z983" s="177"/>
      <c r="AA983" s="177"/>
      <c r="AB983" s="177"/>
      <c r="AC983" s="177"/>
    </row>
    <row r="984" spans="1:29" ht="13">
      <c r="A984" s="161"/>
      <c r="B984" s="161"/>
      <c r="C984" s="177"/>
      <c r="D984" s="177"/>
      <c r="E984" s="177"/>
      <c r="F984" s="177"/>
      <c r="G984" s="206"/>
      <c r="H984" s="177"/>
      <c r="I984" s="177"/>
      <c r="J984" s="177"/>
      <c r="K984" s="177"/>
      <c r="L984" s="178"/>
      <c r="M984" s="177"/>
      <c r="N984" s="177"/>
      <c r="O984" s="177"/>
      <c r="P984" s="177"/>
      <c r="Q984" s="177"/>
      <c r="R984" s="177"/>
      <c r="S984" s="177"/>
      <c r="T984" s="177"/>
      <c r="U984" s="177"/>
      <c r="V984" s="177"/>
      <c r="W984" s="177"/>
      <c r="X984" s="177"/>
      <c r="Y984" s="177"/>
      <c r="Z984" s="177"/>
      <c r="AA984" s="177"/>
      <c r="AB984" s="177"/>
      <c r="AC984" s="177"/>
    </row>
    <row r="985" spans="1:29" ht="13">
      <c r="A985" s="161"/>
      <c r="B985" s="161"/>
      <c r="C985" s="177"/>
      <c r="D985" s="177"/>
      <c r="E985" s="177"/>
      <c r="F985" s="177"/>
      <c r="G985" s="206"/>
      <c r="H985" s="177"/>
      <c r="I985" s="177"/>
      <c r="J985" s="177"/>
      <c r="K985" s="177"/>
      <c r="L985" s="178"/>
      <c r="M985" s="177"/>
      <c r="N985" s="177"/>
      <c r="O985" s="177"/>
      <c r="P985" s="177"/>
      <c r="Q985" s="177"/>
      <c r="R985" s="177"/>
      <c r="S985" s="177"/>
      <c r="T985" s="177"/>
      <c r="U985" s="177"/>
      <c r="V985" s="177"/>
      <c r="W985" s="177"/>
      <c r="X985" s="177"/>
      <c r="Y985" s="177"/>
      <c r="Z985" s="177"/>
      <c r="AA985" s="177"/>
      <c r="AB985" s="177"/>
      <c r="AC985" s="177"/>
    </row>
    <row r="986" spans="1:29" ht="13">
      <c r="A986" s="161"/>
      <c r="B986" s="161"/>
      <c r="C986" s="177"/>
      <c r="D986" s="177"/>
      <c r="E986" s="177"/>
      <c r="F986" s="177"/>
      <c r="G986" s="206"/>
      <c r="H986" s="177"/>
      <c r="I986" s="177"/>
      <c r="J986" s="177"/>
      <c r="K986" s="177"/>
      <c r="L986" s="178"/>
      <c r="M986" s="177"/>
      <c r="N986" s="177"/>
      <c r="O986" s="177"/>
      <c r="P986" s="177"/>
      <c r="Q986" s="177"/>
      <c r="R986" s="177"/>
      <c r="S986" s="177"/>
      <c r="T986" s="177"/>
      <c r="U986" s="177"/>
      <c r="V986" s="177"/>
      <c r="W986" s="177"/>
      <c r="X986" s="177"/>
      <c r="Y986" s="177"/>
      <c r="Z986" s="177"/>
      <c r="AA986" s="177"/>
      <c r="AB986" s="177"/>
      <c r="AC986" s="177"/>
    </row>
    <row r="987" spans="1:29" ht="13">
      <c r="A987" s="161"/>
      <c r="B987" s="161"/>
      <c r="C987" s="177"/>
      <c r="D987" s="177"/>
      <c r="E987" s="177"/>
      <c r="F987" s="177"/>
      <c r="G987" s="206"/>
      <c r="H987" s="177"/>
      <c r="I987" s="177"/>
      <c r="J987" s="177"/>
      <c r="K987" s="177"/>
      <c r="L987" s="178"/>
      <c r="M987" s="177"/>
      <c r="N987" s="177"/>
      <c r="O987" s="177"/>
      <c r="P987" s="177"/>
      <c r="Q987" s="177"/>
      <c r="R987" s="177"/>
      <c r="S987" s="177"/>
      <c r="T987" s="177"/>
      <c r="U987" s="177"/>
      <c r="V987" s="177"/>
      <c r="W987" s="177"/>
      <c r="X987" s="177"/>
      <c r="Y987" s="177"/>
      <c r="Z987" s="177"/>
      <c r="AA987" s="177"/>
      <c r="AB987" s="177"/>
      <c r="AC987" s="177"/>
    </row>
    <row r="988" spans="1:29" ht="13">
      <c r="A988" s="161"/>
      <c r="B988" s="161"/>
      <c r="C988" s="177"/>
      <c r="D988" s="177"/>
      <c r="E988" s="177"/>
      <c r="F988" s="177"/>
      <c r="G988" s="206"/>
      <c r="H988" s="177"/>
      <c r="I988" s="177"/>
      <c r="J988" s="177"/>
      <c r="K988" s="177"/>
      <c r="L988" s="178"/>
      <c r="M988" s="177"/>
      <c r="N988" s="177"/>
      <c r="O988" s="177"/>
      <c r="P988" s="177"/>
      <c r="Q988" s="177"/>
      <c r="R988" s="177"/>
      <c r="S988" s="177"/>
      <c r="T988" s="177"/>
      <c r="U988" s="177"/>
      <c r="V988" s="177"/>
      <c r="W988" s="177"/>
      <c r="X988" s="177"/>
      <c r="Y988" s="177"/>
      <c r="Z988" s="177"/>
      <c r="AA988" s="177"/>
      <c r="AB988" s="177"/>
      <c r="AC988" s="177"/>
    </row>
    <row r="989" spans="1:29" ht="13">
      <c r="A989" s="161"/>
      <c r="B989" s="161"/>
      <c r="C989" s="177"/>
      <c r="D989" s="177"/>
      <c r="E989" s="177"/>
      <c r="F989" s="177"/>
      <c r="G989" s="206"/>
      <c r="H989" s="177"/>
      <c r="I989" s="177"/>
      <c r="J989" s="177"/>
      <c r="K989" s="177"/>
      <c r="L989" s="178"/>
      <c r="M989" s="177"/>
      <c r="N989" s="177"/>
      <c r="O989" s="177"/>
      <c r="P989" s="177"/>
      <c r="Q989" s="177"/>
      <c r="R989" s="177"/>
      <c r="S989" s="177"/>
      <c r="T989" s="177"/>
      <c r="U989" s="177"/>
      <c r="V989" s="177"/>
      <c r="W989" s="177"/>
      <c r="X989" s="177"/>
      <c r="Y989" s="177"/>
      <c r="Z989" s="177"/>
      <c r="AA989" s="177"/>
      <c r="AB989" s="177"/>
      <c r="AC989" s="177"/>
    </row>
    <row r="990" spans="1:29" ht="13">
      <c r="A990" s="161"/>
      <c r="B990" s="161"/>
      <c r="C990" s="177"/>
      <c r="D990" s="177"/>
      <c r="E990" s="177"/>
      <c r="F990" s="177"/>
      <c r="G990" s="206"/>
      <c r="H990" s="177"/>
      <c r="I990" s="177"/>
      <c r="J990" s="177"/>
      <c r="K990" s="177"/>
      <c r="L990" s="178"/>
      <c r="M990" s="177"/>
      <c r="N990" s="177"/>
      <c r="O990" s="177"/>
      <c r="P990" s="177"/>
      <c r="Q990" s="177"/>
      <c r="R990" s="177"/>
      <c r="S990" s="177"/>
      <c r="T990" s="177"/>
      <c r="U990" s="177"/>
      <c r="V990" s="177"/>
      <c r="W990" s="177"/>
      <c r="X990" s="177"/>
      <c r="Y990" s="177"/>
      <c r="Z990" s="177"/>
      <c r="AA990" s="177"/>
      <c r="AB990" s="177"/>
      <c r="AC990" s="177"/>
    </row>
    <row r="991" spans="1:29" ht="13">
      <c r="A991" s="161"/>
      <c r="B991" s="161"/>
      <c r="C991" s="177"/>
      <c r="D991" s="177"/>
      <c r="E991" s="177"/>
      <c r="F991" s="177"/>
      <c r="G991" s="206"/>
      <c r="H991" s="177"/>
      <c r="I991" s="177"/>
      <c r="J991" s="177"/>
      <c r="K991" s="177"/>
      <c r="L991" s="178"/>
      <c r="M991" s="177"/>
      <c r="N991" s="177"/>
      <c r="O991" s="177"/>
      <c r="P991" s="177"/>
      <c r="Q991" s="177"/>
      <c r="R991" s="177"/>
      <c r="S991" s="177"/>
      <c r="T991" s="177"/>
      <c r="U991" s="177"/>
      <c r="V991" s="177"/>
      <c r="W991" s="177"/>
      <c r="X991" s="177"/>
      <c r="Y991" s="177"/>
      <c r="Z991" s="177"/>
      <c r="AA991" s="177"/>
      <c r="AB991" s="177"/>
      <c r="AC991" s="177"/>
    </row>
    <row r="992" spans="1:29" ht="13">
      <c r="A992" s="161"/>
      <c r="B992" s="161"/>
      <c r="C992" s="177"/>
      <c r="D992" s="177"/>
      <c r="E992" s="177"/>
      <c r="F992" s="177"/>
      <c r="G992" s="206"/>
      <c r="H992" s="177"/>
      <c r="I992" s="177"/>
      <c r="J992" s="177"/>
      <c r="K992" s="177"/>
      <c r="L992" s="178"/>
      <c r="M992" s="177"/>
      <c r="N992" s="177"/>
      <c r="O992" s="177"/>
      <c r="P992" s="177"/>
      <c r="Q992" s="177"/>
      <c r="R992" s="177"/>
      <c r="S992" s="177"/>
      <c r="T992" s="177"/>
      <c r="U992" s="177"/>
      <c r="V992" s="177"/>
      <c r="W992" s="177"/>
      <c r="X992" s="177"/>
      <c r="Y992" s="177"/>
      <c r="Z992" s="177"/>
      <c r="AA992" s="177"/>
      <c r="AB992" s="177"/>
      <c r="AC992" s="177"/>
    </row>
    <row r="993" spans="1:29" ht="13">
      <c r="A993" s="161"/>
      <c r="B993" s="161"/>
      <c r="C993" s="177"/>
      <c r="D993" s="177"/>
      <c r="E993" s="177"/>
      <c r="F993" s="177"/>
      <c r="G993" s="206"/>
      <c r="H993" s="177"/>
      <c r="I993" s="177"/>
      <c r="J993" s="177"/>
      <c r="K993" s="177"/>
      <c r="L993" s="178"/>
      <c r="M993" s="177"/>
      <c r="N993" s="177"/>
      <c r="O993" s="177"/>
      <c r="P993" s="177"/>
      <c r="Q993" s="177"/>
      <c r="R993" s="177"/>
      <c r="S993" s="177"/>
      <c r="T993" s="177"/>
      <c r="U993" s="177"/>
      <c r="V993" s="177"/>
      <c r="W993" s="177"/>
      <c r="X993" s="177"/>
      <c r="Y993" s="177"/>
      <c r="Z993" s="177"/>
      <c r="AA993" s="177"/>
      <c r="AB993" s="177"/>
      <c r="AC993" s="177"/>
    </row>
    <row r="994" spans="1:29" ht="13">
      <c r="A994" s="161"/>
      <c r="B994" s="161"/>
      <c r="C994" s="177"/>
      <c r="D994" s="177"/>
      <c r="E994" s="177"/>
      <c r="F994" s="177"/>
      <c r="G994" s="206"/>
      <c r="H994" s="177"/>
      <c r="I994" s="177"/>
      <c r="J994" s="177"/>
      <c r="K994" s="177"/>
      <c r="L994" s="178"/>
      <c r="M994" s="177"/>
      <c r="N994" s="177"/>
      <c r="O994" s="177"/>
      <c r="P994" s="177"/>
      <c r="Q994" s="177"/>
      <c r="R994" s="177"/>
      <c r="S994" s="177"/>
      <c r="T994" s="177"/>
      <c r="U994" s="177"/>
      <c r="V994" s="177"/>
      <c r="W994" s="177"/>
      <c r="X994" s="177"/>
      <c r="Y994" s="177"/>
      <c r="Z994" s="177"/>
      <c r="AA994" s="177"/>
      <c r="AB994" s="177"/>
      <c r="AC994" s="177"/>
    </row>
    <row r="995" spans="1:29" ht="13">
      <c r="A995" s="161"/>
      <c r="B995" s="161"/>
      <c r="C995" s="177"/>
      <c r="D995" s="177"/>
      <c r="E995" s="177"/>
      <c r="F995" s="177"/>
      <c r="G995" s="206"/>
      <c r="H995" s="177"/>
      <c r="I995" s="177"/>
      <c r="J995" s="177"/>
      <c r="K995" s="177"/>
      <c r="L995" s="178"/>
      <c r="M995" s="177"/>
      <c r="N995" s="177"/>
      <c r="O995" s="177"/>
      <c r="P995" s="177"/>
      <c r="Q995" s="177"/>
      <c r="R995" s="177"/>
      <c r="S995" s="177"/>
      <c r="T995" s="177"/>
      <c r="U995" s="177"/>
      <c r="V995" s="177"/>
      <c r="W995" s="177"/>
      <c r="X995" s="177"/>
      <c r="Y995" s="177"/>
      <c r="Z995" s="177"/>
      <c r="AA995" s="177"/>
      <c r="AB995" s="177"/>
      <c r="AC995" s="177"/>
    </row>
    <row r="996" spans="1:29" ht="13">
      <c r="A996" s="161"/>
      <c r="B996" s="161"/>
      <c r="C996" s="177"/>
      <c r="D996" s="177"/>
      <c r="E996" s="177"/>
      <c r="F996" s="177"/>
      <c r="G996" s="206"/>
      <c r="H996" s="177"/>
      <c r="I996" s="177"/>
      <c r="J996" s="177"/>
      <c r="K996" s="177"/>
      <c r="L996" s="178"/>
      <c r="M996" s="177"/>
      <c r="N996" s="177"/>
      <c r="O996" s="177"/>
      <c r="P996" s="177"/>
      <c r="Q996" s="177"/>
      <c r="R996" s="177"/>
      <c r="S996" s="177"/>
      <c r="T996" s="177"/>
      <c r="U996" s="177"/>
      <c r="V996" s="177"/>
      <c r="W996" s="177"/>
      <c r="X996" s="177"/>
      <c r="Y996" s="177"/>
      <c r="Z996" s="177"/>
      <c r="AA996" s="177"/>
      <c r="AB996" s="177"/>
      <c r="AC996" s="177"/>
    </row>
    <row r="997" spans="1:29" ht="13">
      <c r="A997" s="161"/>
      <c r="B997" s="161"/>
      <c r="C997" s="177"/>
      <c r="D997" s="177"/>
      <c r="E997" s="177"/>
      <c r="F997" s="177"/>
      <c r="G997" s="206"/>
      <c r="H997" s="177"/>
      <c r="I997" s="177"/>
      <c r="J997" s="177"/>
      <c r="K997" s="177"/>
      <c r="L997" s="178"/>
      <c r="M997" s="177"/>
      <c r="N997" s="177"/>
      <c r="O997" s="177"/>
      <c r="P997" s="177"/>
      <c r="Q997" s="177"/>
      <c r="R997" s="177"/>
      <c r="S997" s="177"/>
      <c r="T997" s="177"/>
      <c r="U997" s="177"/>
      <c r="V997" s="177"/>
      <c r="W997" s="177"/>
      <c r="X997" s="177"/>
      <c r="Y997" s="177"/>
      <c r="Z997" s="177"/>
      <c r="AA997" s="177"/>
      <c r="AB997" s="177"/>
      <c r="AC997" s="177"/>
    </row>
    <row r="998" spans="1:29" ht="13">
      <c r="A998" s="161"/>
      <c r="B998" s="161"/>
      <c r="C998" s="177"/>
      <c r="D998" s="177"/>
      <c r="E998" s="177"/>
      <c r="F998" s="177"/>
      <c r="G998" s="206"/>
      <c r="H998" s="177"/>
      <c r="I998" s="177"/>
      <c r="J998" s="177"/>
      <c r="K998" s="177"/>
      <c r="L998" s="178"/>
      <c r="M998" s="177"/>
      <c r="N998" s="177"/>
      <c r="O998" s="177"/>
      <c r="P998" s="177"/>
      <c r="Q998" s="177"/>
      <c r="R998" s="177"/>
      <c r="S998" s="177"/>
      <c r="T998" s="177"/>
      <c r="U998" s="177"/>
      <c r="V998" s="177"/>
      <c r="W998" s="177"/>
      <c r="X998" s="177"/>
      <c r="Y998" s="177"/>
      <c r="Z998" s="177"/>
      <c r="AA998" s="177"/>
      <c r="AB998" s="177"/>
      <c r="AC998" s="177"/>
    </row>
    <row r="999" spans="1:29" ht="13">
      <c r="A999" s="161"/>
      <c r="B999" s="161"/>
      <c r="C999" s="177"/>
      <c r="D999" s="177"/>
      <c r="E999" s="177"/>
      <c r="F999" s="177"/>
      <c r="G999" s="206"/>
      <c r="H999" s="177"/>
      <c r="I999" s="177"/>
      <c r="J999" s="177"/>
      <c r="K999" s="177"/>
      <c r="L999" s="178"/>
      <c r="M999" s="177"/>
      <c r="N999" s="177"/>
      <c r="O999" s="177"/>
      <c r="P999" s="177"/>
      <c r="Q999" s="177"/>
      <c r="R999" s="177"/>
      <c r="S999" s="177"/>
      <c r="T999" s="177"/>
      <c r="U999" s="177"/>
      <c r="V999" s="177"/>
      <c r="W999" s="177"/>
      <c r="X999" s="177"/>
      <c r="Y999" s="177"/>
      <c r="Z999" s="177"/>
      <c r="AA999" s="177"/>
      <c r="AB999" s="177"/>
      <c r="AC999" s="177"/>
    </row>
    <row r="1000" spans="1:29" ht="13">
      <c r="A1000" s="161"/>
      <c r="B1000" s="161"/>
      <c r="C1000" s="177"/>
      <c r="D1000" s="177"/>
      <c r="E1000" s="177"/>
      <c r="F1000" s="177"/>
      <c r="G1000" s="206"/>
      <c r="H1000" s="177"/>
      <c r="I1000" s="177"/>
      <c r="J1000" s="177"/>
      <c r="K1000" s="177"/>
      <c r="L1000" s="178"/>
      <c r="M1000" s="177"/>
      <c r="N1000" s="177"/>
      <c r="O1000" s="177"/>
      <c r="P1000" s="177"/>
      <c r="Q1000" s="177"/>
      <c r="R1000" s="177"/>
      <c r="S1000" s="177"/>
      <c r="T1000" s="177"/>
      <c r="U1000" s="177"/>
      <c r="V1000" s="177"/>
      <c r="W1000" s="177"/>
      <c r="X1000" s="177"/>
      <c r="Y1000" s="177"/>
      <c r="Z1000" s="177"/>
      <c r="AA1000" s="177"/>
      <c r="AB1000" s="177"/>
      <c r="AC1000" s="177"/>
    </row>
    <row r="1001" spans="1:29" ht="13">
      <c r="A1001" s="161"/>
      <c r="B1001" s="161"/>
      <c r="C1001" s="177"/>
      <c r="D1001" s="177"/>
      <c r="E1001" s="177"/>
      <c r="F1001" s="177"/>
      <c r="G1001" s="206"/>
      <c r="H1001" s="177"/>
      <c r="I1001" s="177"/>
      <c r="J1001" s="177"/>
      <c r="K1001" s="177"/>
      <c r="L1001" s="178"/>
      <c r="M1001" s="177"/>
      <c r="N1001" s="177"/>
      <c r="O1001" s="177"/>
      <c r="P1001" s="177"/>
      <c r="Q1001" s="177"/>
      <c r="R1001" s="177"/>
      <c r="S1001" s="177"/>
      <c r="T1001" s="177"/>
      <c r="U1001" s="177"/>
      <c r="V1001" s="177"/>
      <c r="W1001" s="177"/>
      <c r="X1001" s="177"/>
      <c r="Y1001" s="177"/>
      <c r="Z1001" s="177"/>
      <c r="AA1001" s="177"/>
      <c r="AB1001" s="177"/>
      <c r="AC1001" s="177"/>
    </row>
    <row r="1002" spans="1:29" ht="13">
      <c r="A1002" s="161"/>
      <c r="B1002" s="161"/>
      <c r="C1002" s="177"/>
      <c r="D1002" s="177"/>
      <c r="E1002" s="177"/>
      <c r="F1002" s="177"/>
      <c r="G1002" s="206"/>
      <c r="H1002" s="177"/>
      <c r="I1002" s="177"/>
      <c r="J1002" s="177"/>
      <c r="K1002" s="177"/>
      <c r="L1002" s="178"/>
      <c r="M1002" s="177"/>
      <c r="N1002" s="177"/>
      <c r="O1002" s="177"/>
      <c r="P1002" s="177"/>
      <c r="Q1002" s="177"/>
      <c r="R1002" s="177"/>
      <c r="S1002" s="177"/>
      <c r="T1002" s="177"/>
      <c r="U1002" s="177"/>
      <c r="V1002" s="177"/>
      <c r="W1002" s="177"/>
      <c r="X1002" s="177"/>
      <c r="Y1002" s="177"/>
      <c r="Z1002" s="177"/>
      <c r="AA1002" s="177"/>
      <c r="AB1002" s="177"/>
      <c r="AC1002" s="177"/>
    </row>
    <row r="1003" spans="1:29" ht="13">
      <c r="A1003" s="161"/>
      <c r="B1003" s="161"/>
      <c r="C1003" s="177"/>
      <c r="D1003" s="177"/>
      <c r="E1003" s="177"/>
      <c r="F1003" s="177"/>
      <c r="G1003" s="206"/>
      <c r="H1003" s="177"/>
      <c r="I1003" s="177"/>
      <c r="J1003" s="177"/>
      <c r="K1003" s="177"/>
      <c r="L1003" s="178"/>
      <c r="M1003" s="177"/>
      <c r="N1003" s="177"/>
      <c r="O1003" s="177"/>
      <c r="P1003" s="177"/>
      <c r="Q1003" s="177"/>
      <c r="R1003" s="177"/>
      <c r="S1003" s="177"/>
      <c r="T1003" s="177"/>
      <c r="U1003" s="177"/>
      <c r="V1003" s="177"/>
      <c r="W1003" s="177"/>
      <c r="X1003" s="177"/>
      <c r="Y1003" s="177"/>
      <c r="Z1003" s="177"/>
      <c r="AA1003" s="177"/>
      <c r="AB1003" s="177"/>
      <c r="AC1003" s="177"/>
    </row>
    <row r="1004" spans="1:29" ht="13">
      <c r="A1004" s="161"/>
      <c r="B1004" s="161"/>
      <c r="C1004" s="177"/>
      <c r="D1004" s="177"/>
      <c r="E1004" s="177"/>
      <c r="F1004" s="177"/>
      <c r="G1004" s="206"/>
      <c r="H1004" s="177"/>
      <c r="I1004" s="177"/>
      <c r="J1004" s="177"/>
      <c r="K1004" s="177"/>
      <c r="L1004" s="178"/>
      <c r="M1004" s="177"/>
      <c r="N1004" s="177"/>
      <c r="O1004" s="177"/>
      <c r="P1004" s="177"/>
      <c r="Q1004" s="177"/>
      <c r="R1004" s="177"/>
      <c r="S1004" s="177"/>
      <c r="T1004" s="177"/>
      <c r="U1004" s="177"/>
      <c r="V1004" s="177"/>
      <c r="W1004" s="177"/>
      <c r="X1004" s="177"/>
      <c r="Y1004" s="177"/>
      <c r="Z1004" s="177"/>
      <c r="AA1004" s="177"/>
      <c r="AB1004" s="177"/>
      <c r="AC1004" s="177"/>
    </row>
    <row r="1005" spans="1:29" ht="13">
      <c r="A1005" s="161"/>
      <c r="B1005" s="161"/>
      <c r="C1005" s="177"/>
      <c r="D1005" s="177"/>
      <c r="E1005" s="177"/>
      <c r="F1005" s="177"/>
      <c r="G1005" s="206"/>
      <c r="H1005" s="177"/>
      <c r="I1005" s="177"/>
      <c r="J1005" s="177"/>
      <c r="K1005" s="177"/>
      <c r="L1005" s="178"/>
      <c r="M1005" s="177"/>
      <c r="N1005" s="177"/>
      <c r="O1005" s="177"/>
      <c r="P1005" s="177"/>
      <c r="Q1005" s="177"/>
      <c r="R1005" s="177"/>
      <c r="S1005" s="177"/>
      <c r="T1005" s="177"/>
      <c r="U1005" s="177"/>
      <c r="V1005" s="177"/>
      <c r="W1005" s="177"/>
      <c r="X1005" s="177"/>
      <c r="Y1005" s="177"/>
      <c r="Z1005" s="177"/>
      <c r="AA1005" s="177"/>
      <c r="AB1005" s="177"/>
      <c r="AC1005" s="177"/>
    </row>
    <row r="1006" spans="1:29" ht="13">
      <c r="A1006" s="161"/>
      <c r="B1006" s="161"/>
      <c r="C1006" s="177"/>
      <c r="D1006" s="177"/>
      <c r="E1006" s="177"/>
      <c r="F1006" s="177"/>
      <c r="G1006" s="206"/>
      <c r="H1006" s="177"/>
      <c r="I1006" s="177"/>
      <c r="J1006" s="177"/>
      <c r="K1006" s="177"/>
      <c r="L1006" s="178"/>
      <c r="M1006" s="177"/>
      <c r="N1006" s="177"/>
      <c r="O1006" s="177"/>
      <c r="P1006" s="177"/>
      <c r="Q1006" s="177"/>
      <c r="R1006" s="177"/>
      <c r="S1006" s="177"/>
      <c r="T1006" s="177"/>
      <c r="U1006" s="177"/>
      <c r="V1006" s="177"/>
      <c r="W1006" s="177"/>
      <c r="X1006" s="177"/>
      <c r="Y1006" s="177"/>
      <c r="Z1006" s="177"/>
      <c r="AA1006" s="177"/>
      <c r="AB1006" s="177"/>
      <c r="AC1006" s="177"/>
    </row>
    <row r="1007" spans="1:29" ht="13">
      <c r="A1007" s="161"/>
      <c r="B1007" s="161"/>
      <c r="C1007" s="177"/>
      <c r="D1007" s="177"/>
      <c r="E1007" s="177"/>
      <c r="F1007" s="177"/>
      <c r="G1007" s="206"/>
      <c r="H1007" s="177"/>
      <c r="I1007" s="177"/>
      <c r="J1007" s="177"/>
      <c r="K1007" s="177"/>
      <c r="L1007" s="178"/>
      <c r="M1007" s="177"/>
      <c r="N1007" s="177"/>
      <c r="O1007" s="177"/>
      <c r="P1007" s="177"/>
      <c r="Q1007" s="177"/>
      <c r="R1007" s="177"/>
      <c r="S1007" s="177"/>
      <c r="T1007" s="177"/>
      <c r="U1007" s="177"/>
      <c r="V1007" s="177"/>
      <c r="W1007" s="177"/>
      <c r="X1007" s="177"/>
      <c r="Y1007" s="177"/>
      <c r="Z1007" s="177"/>
      <c r="AA1007" s="177"/>
      <c r="AB1007" s="177"/>
      <c r="AC1007" s="177"/>
    </row>
    <row r="1008" spans="1:29" ht="13">
      <c r="A1008" s="161"/>
      <c r="B1008" s="161"/>
      <c r="C1008" s="177"/>
      <c r="D1008" s="177"/>
      <c r="E1008" s="177"/>
      <c r="F1008" s="177"/>
      <c r="G1008" s="206"/>
      <c r="H1008" s="177"/>
      <c r="I1008" s="177"/>
      <c r="J1008" s="177"/>
      <c r="K1008" s="177"/>
      <c r="L1008" s="178"/>
      <c r="M1008" s="177"/>
      <c r="N1008" s="177"/>
      <c r="O1008" s="177"/>
      <c r="P1008" s="177"/>
      <c r="Q1008" s="177"/>
      <c r="R1008" s="177"/>
      <c r="S1008" s="177"/>
      <c r="T1008" s="177"/>
      <c r="U1008" s="177"/>
      <c r="V1008" s="177"/>
      <c r="W1008" s="177"/>
      <c r="X1008" s="177"/>
      <c r="Y1008" s="177"/>
      <c r="Z1008" s="177"/>
      <c r="AA1008" s="177"/>
      <c r="AB1008" s="177"/>
      <c r="AC1008" s="177"/>
    </row>
    <row r="1009" spans="1:29" ht="13">
      <c r="A1009" s="161"/>
      <c r="B1009" s="161"/>
      <c r="C1009" s="177"/>
      <c r="D1009" s="177"/>
      <c r="E1009" s="177"/>
      <c r="F1009" s="177"/>
      <c r="G1009" s="206"/>
      <c r="H1009" s="177"/>
      <c r="I1009" s="177"/>
      <c r="J1009" s="177"/>
      <c r="K1009" s="177"/>
      <c r="L1009" s="178"/>
      <c r="M1009" s="177"/>
      <c r="N1009" s="177"/>
      <c r="O1009" s="177"/>
      <c r="P1009" s="177"/>
      <c r="Q1009" s="177"/>
      <c r="R1009" s="177"/>
      <c r="S1009" s="177"/>
      <c r="T1009" s="177"/>
      <c r="U1009" s="177"/>
      <c r="V1009" s="177"/>
      <c r="W1009" s="177"/>
      <c r="X1009" s="177"/>
      <c r="Y1009" s="177"/>
      <c r="Z1009" s="177"/>
      <c r="AA1009" s="177"/>
      <c r="AB1009" s="177"/>
      <c r="AC1009" s="177"/>
    </row>
    <row r="1010" spans="1:29" ht="13">
      <c r="A1010" s="161"/>
      <c r="B1010" s="161"/>
      <c r="C1010" s="177"/>
      <c r="D1010" s="177"/>
      <c r="E1010" s="177"/>
      <c r="F1010" s="177"/>
      <c r="G1010" s="206"/>
      <c r="H1010" s="177"/>
      <c r="I1010" s="177"/>
      <c r="J1010" s="177"/>
      <c r="K1010" s="177"/>
      <c r="L1010" s="178"/>
      <c r="M1010" s="177"/>
      <c r="N1010" s="177"/>
      <c r="O1010" s="177"/>
      <c r="P1010" s="177"/>
      <c r="Q1010" s="177"/>
      <c r="R1010" s="177"/>
      <c r="S1010" s="177"/>
      <c r="T1010" s="177"/>
      <c r="U1010" s="177"/>
      <c r="V1010" s="177"/>
      <c r="W1010" s="177"/>
      <c r="X1010" s="177"/>
      <c r="Y1010" s="177"/>
      <c r="Z1010" s="177"/>
      <c r="AA1010" s="177"/>
      <c r="AB1010" s="177"/>
      <c r="AC1010" s="177"/>
    </row>
    <row r="1011" spans="1:29" ht="13">
      <c r="A1011" s="161"/>
      <c r="B1011" s="161"/>
      <c r="C1011" s="177"/>
      <c r="D1011" s="177"/>
      <c r="E1011" s="177"/>
      <c r="F1011" s="177"/>
      <c r="G1011" s="206"/>
      <c r="H1011" s="177"/>
      <c r="I1011" s="177"/>
      <c r="J1011" s="177"/>
      <c r="K1011" s="177"/>
      <c r="L1011" s="178"/>
      <c r="M1011" s="177"/>
      <c r="N1011" s="177"/>
      <c r="O1011" s="177"/>
      <c r="P1011" s="177"/>
      <c r="Q1011" s="177"/>
      <c r="R1011" s="177"/>
      <c r="S1011" s="177"/>
      <c r="T1011" s="177"/>
      <c r="U1011" s="177"/>
      <c r="V1011" s="177"/>
      <c r="W1011" s="177"/>
      <c r="X1011" s="177"/>
      <c r="Y1011" s="177"/>
      <c r="Z1011" s="177"/>
      <c r="AA1011" s="177"/>
      <c r="AB1011" s="177"/>
      <c r="AC1011" s="177"/>
    </row>
    <row r="1012" spans="1:29" ht="13">
      <c r="A1012" s="161"/>
      <c r="B1012" s="161"/>
      <c r="C1012" s="177"/>
      <c r="D1012" s="177"/>
      <c r="E1012" s="177"/>
      <c r="F1012" s="177"/>
      <c r="G1012" s="206"/>
      <c r="H1012" s="177"/>
      <c r="I1012" s="177"/>
      <c r="J1012" s="177"/>
      <c r="K1012" s="177"/>
      <c r="L1012" s="178"/>
      <c r="M1012" s="177"/>
      <c r="N1012" s="177"/>
      <c r="O1012" s="177"/>
      <c r="P1012" s="177"/>
      <c r="Q1012" s="177"/>
      <c r="R1012" s="177"/>
      <c r="S1012" s="177"/>
      <c r="T1012" s="177"/>
      <c r="U1012" s="177"/>
      <c r="V1012" s="177"/>
      <c r="W1012" s="177"/>
      <c r="X1012" s="177"/>
      <c r="Y1012" s="177"/>
      <c r="Z1012" s="177"/>
      <c r="AA1012" s="177"/>
      <c r="AB1012" s="177"/>
      <c r="AC1012" s="177"/>
    </row>
    <row r="1013" spans="1:29" ht="13">
      <c r="A1013" s="161"/>
      <c r="B1013" s="161"/>
      <c r="C1013" s="177"/>
      <c r="D1013" s="177"/>
      <c r="E1013" s="177"/>
      <c r="F1013" s="177"/>
      <c r="G1013" s="206"/>
      <c r="H1013" s="177"/>
      <c r="I1013" s="177"/>
      <c r="J1013" s="177"/>
      <c r="K1013" s="177"/>
      <c r="L1013" s="178"/>
      <c r="M1013" s="177"/>
      <c r="N1013" s="177"/>
      <c r="O1013" s="177"/>
      <c r="P1013" s="177"/>
      <c r="Q1013" s="177"/>
      <c r="R1013" s="177"/>
      <c r="S1013" s="177"/>
      <c r="T1013" s="177"/>
      <c r="U1013" s="177"/>
      <c r="V1013" s="177"/>
      <c r="W1013" s="177"/>
      <c r="X1013" s="177"/>
      <c r="Y1013" s="177"/>
      <c r="Z1013" s="177"/>
      <c r="AA1013" s="177"/>
      <c r="AB1013" s="177"/>
      <c r="AC1013" s="177"/>
    </row>
    <row r="1014" spans="1:29" ht="13">
      <c r="A1014" s="161"/>
      <c r="B1014" s="161"/>
      <c r="C1014" s="177"/>
      <c r="D1014" s="177"/>
      <c r="E1014" s="177"/>
      <c r="F1014" s="177"/>
      <c r="G1014" s="206"/>
      <c r="H1014" s="177"/>
      <c r="I1014" s="177"/>
      <c r="J1014" s="177"/>
      <c r="K1014" s="177"/>
      <c r="L1014" s="178"/>
      <c r="M1014" s="177"/>
      <c r="N1014" s="177"/>
      <c r="O1014" s="177"/>
      <c r="P1014" s="177"/>
      <c r="Q1014" s="177"/>
      <c r="R1014" s="177"/>
      <c r="S1014" s="177"/>
      <c r="T1014" s="177"/>
      <c r="U1014" s="177"/>
      <c r="V1014" s="177"/>
      <c r="W1014" s="177"/>
      <c r="X1014" s="177"/>
      <c r="Y1014" s="177"/>
      <c r="Z1014" s="177"/>
      <c r="AA1014" s="177"/>
      <c r="AB1014" s="177"/>
      <c r="AC1014" s="177"/>
    </row>
    <row r="1015" spans="1:29" ht="13">
      <c r="A1015" s="161"/>
      <c r="B1015" s="161"/>
      <c r="C1015" s="177"/>
      <c r="D1015" s="177"/>
      <c r="E1015" s="177"/>
      <c r="F1015" s="177"/>
      <c r="G1015" s="206"/>
      <c r="H1015" s="177"/>
      <c r="I1015" s="177"/>
      <c r="J1015" s="177"/>
      <c r="K1015" s="177"/>
      <c r="L1015" s="178"/>
      <c r="M1015" s="177"/>
      <c r="N1015" s="177"/>
      <c r="O1015" s="177"/>
      <c r="P1015" s="177"/>
      <c r="Q1015" s="177"/>
      <c r="R1015" s="177"/>
      <c r="S1015" s="177"/>
      <c r="T1015" s="177"/>
      <c r="U1015" s="177"/>
      <c r="V1015" s="177"/>
      <c r="W1015" s="177"/>
      <c r="X1015" s="177"/>
      <c r="Y1015" s="177"/>
      <c r="Z1015" s="177"/>
      <c r="AA1015" s="177"/>
      <c r="AB1015" s="177"/>
      <c r="AC1015" s="177"/>
    </row>
    <row r="1016" spans="1:29" ht="13">
      <c r="A1016" s="161"/>
      <c r="B1016" s="161"/>
      <c r="C1016" s="177"/>
      <c r="D1016" s="177"/>
      <c r="E1016" s="177"/>
      <c r="F1016" s="177"/>
      <c r="G1016" s="206"/>
      <c r="H1016" s="177"/>
      <c r="I1016" s="177"/>
      <c r="J1016" s="177"/>
      <c r="K1016" s="177"/>
      <c r="L1016" s="178"/>
      <c r="M1016" s="177"/>
      <c r="N1016" s="177"/>
      <c r="O1016" s="177"/>
      <c r="P1016" s="177"/>
      <c r="Q1016" s="177"/>
      <c r="R1016" s="177"/>
      <c r="S1016" s="177"/>
      <c r="T1016" s="177"/>
      <c r="U1016" s="177"/>
      <c r="V1016" s="177"/>
      <c r="W1016" s="177"/>
      <c r="X1016" s="177"/>
      <c r="Y1016" s="177"/>
      <c r="Z1016" s="177"/>
      <c r="AA1016" s="177"/>
      <c r="AB1016" s="177"/>
      <c r="AC1016" s="177"/>
    </row>
    <row r="1017" spans="1:29" ht="13">
      <c r="A1017" s="161"/>
      <c r="B1017" s="161"/>
      <c r="C1017" s="177"/>
      <c r="D1017" s="177"/>
      <c r="E1017" s="177"/>
      <c r="F1017" s="177"/>
      <c r="G1017" s="206"/>
      <c r="H1017" s="177"/>
      <c r="I1017" s="177"/>
      <c r="J1017" s="177"/>
      <c r="K1017" s="177"/>
      <c r="L1017" s="178"/>
      <c r="M1017" s="177"/>
      <c r="N1017" s="177"/>
      <c r="O1017" s="177"/>
      <c r="P1017" s="177"/>
      <c r="Q1017" s="177"/>
      <c r="R1017" s="177"/>
      <c r="S1017" s="177"/>
      <c r="T1017" s="177"/>
      <c r="U1017" s="177"/>
      <c r="V1017" s="177"/>
      <c r="W1017" s="177"/>
      <c r="X1017" s="177"/>
      <c r="Y1017" s="177"/>
      <c r="Z1017" s="177"/>
      <c r="AA1017" s="177"/>
      <c r="AB1017" s="177"/>
      <c r="AC1017" s="177"/>
    </row>
    <row r="1018" spans="1:29" ht="13">
      <c r="A1018" s="161"/>
      <c r="B1018" s="161"/>
      <c r="C1018" s="177"/>
      <c r="D1018" s="177"/>
      <c r="E1018" s="177"/>
      <c r="F1018" s="177"/>
      <c r="G1018" s="206"/>
      <c r="H1018" s="177"/>
      <c r="I1018" s="177"/>
      <c r="J1018" s="177"/>
      <c r="K1018" s="177"/>
      <c r="L1018" s="178"/>
      <c r="M1018" s="177"/>
      <c r="N1018" s="177"/>
      <c r="O1018" s="177"/>
      <c r="P1018" s="177"/>
      <c r="Q1018" s="177"/>
      <c r="R1018" s="177"/>
      <c r="S1018" s="177"/>
      <c r="T1018" s="177"/>
      <c r="U1018" s="177"/>
      <c r="V1018" s="177"/>
      <c r="W1018" s="177"/>
      <c r="X1018" s="177"/>
      <c r="Y1018" s="177"/>
      <c r="Z1018" s="177"/>
      <c r="AA1018" s="177"/>
      <c r="AB1018" s="177"/>
      <c r="AC1018" s="177"/>
    </row>
    <row r="1019" spans="1:29" ht="13">
      <c r="A1019" s="161"/>
      <c r="B1019" s="161"/>
      <c r="C1019" s="177"/>
      <c r="D1019" s="177"/>
      <c r="E1019" s="177"/>
      <c r="F1019" s="177"/>
      <c r="G1019" s="206"/>
      <c r="H1019" s="177"/>
      <c r="I1019" s="177"/>
      <c r="J1019" s="177"/>
      <c r="K1019" s="177"/>
      <c r="L1019" s="178"/>
      <c r="M1019" s="177"/>
      <c r="N1019" s="177"/>
      <c r="O1019" s="177"/>
      <c r="P1019" s="177"/>
      <c r="Q1019" s="177"/>
      <c r="R1019" s="177"/>
      <c r="S1019" s="177"/>
      <c r="T1019" s="177"/>
      <c r="U1019" s="177"/>
      <c r="V1019" s="177"/>
      <c r="W1019" s="177"/>
      <c r="X1019" s="177"/>
      <c r="Y1019" s="177"/>
      <c r="Z1019" s="177"/>
      <c r="AA1019" s="177"/>
      <c r="AB1019" s="177"/>
      <c r="AC1019" s="177"/>
    </row>
  </sheetData>
  <mergeCells count="1">
    <mergeCell ref="H1:M2"/>
  </mergeCells>
  <conditionalFormatting sqref="I23:J120">
    <cfRule type="cellIs" dxfId="1" priority="1" operator="greaterThan">
      <formula>0</formula>
    </cfRule>
    <cfRule type="cellIs" dxfId="0" priority="2" operator="lessThan">
      <formula>0</formula>
    </cfRule>
  </conditionalFormatting>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C2F333-AE17-3442-934D-5C2AEAF73FED}">
  <dimension ref="A1:CU23"/>
  <sheetViews>
    <sheetView workbookViewId="0">
      <selection activeCell="B2" sqref="B2"/>
    </sheetView>
  </sheetViews>
  <sheetFormatPr baseColWidth="10" defaultRowHeight="13"/>
  <cols>
    <col min="1" max="1" width="16.33203125" style="251" bestFit="1" customWidth="1"/>
  </cols>
  <sheetData>
    <row r="1" spans="1:99" ht="16">
      <c r="A1" s="249"/>
      <c r="B1" s="216"/>
    </row>
    <row r="2" spans="1:99" ht="16">
      <c r="A2" s="250" t="s">
        <v>378</v>
      </c>
      <c r="B2" s="216" t="str" cm="1">
        <f t="array" aca="1" ref="B2:CE2" ca="1">TRANSPOSE(Portfolio!F25:F106)</f>
        <v>AAPL</v>
      </c>
      <c r="C2" t="str">
        <f ca="1"/>
        <v>GOOG</v>
      </c>
      <c r="D2" t="str">
        <f ca="1"/>
        <v>SPY</v>
      </c>
      <c r="E2" t="str">
        <f ca="1"/>
        <v>MSFT</v>
      </c>
      <c r="F2" s="83" t="str">
        <f ca="1"/>
        <v>JNJ</v>
      </c>
      <c r="G2" t="str">
        <f ca="1"/>
        <v>NVDA</v>
      </c>
      <c r="H2" t="str">
        <f ca="1"/>
        <v>UNH</v>
      </c>
      <c r="I2" t="str">
        <f ca="1"/>
        <v>JPM</v>
      </c>
      <c r="J2" t="str">
        <f ca="1"/>
        <v>XOM</v>
      </c>
      <c r="K2" t="str">
        <f ca="1"/>
        <v>SNAP</v>
      </c>
      <c r="L2" t="str">
        <f ca="1"/>
        <v>META</v>
      </c>
      <c r="M2" t="str">
        <f ca="1"/>
        <v>DG</v>
      </c>
      <c r="N2" t="str">
        <f ca="1"/>
        <v/>
      </c>
      <c r="O2" t="str">
        <f ca="1"/>
        <v/>
      </c>
      <c r="P2" t="str">
        <f ca="1"/>
        <v/>
      </c>
      <c r="Q2" t="str">
        <f ca="1"/>
        <v/>
      </c>
      <c r="R2" t="str">
        <f ca="1"/>
        <v/>
      </c>
      <c r="S2" t="str">
        <f ca="1"/>
        <v/>
      </c>
      <c r="T2" t="str">
        <f ca="1"/>
        <v/>
      </c>
      <c r="U2" t="str">
        <f ca="1"/>
        <v/>
      </c>
      <c r="V2" t="str">
        <f ca="1"/>
        <v/>
      </c>
      <c r="W2" t="str">
        <f ca="1"/>
        <v/>
      </c>
      <c r="X2" t="str">
        <f ca="1"/>
        <v/>
      </c>
      <c r="Y2" t="str">
        <f ca="1"/>
        <v/>
      </c>
      <c r="Z2" t="str">
        <f ca="1"/>
        <v/>
      </c>
      <c r="AA2" t="str">
        <f ca="1"/>
        <v/>
      </c>
      <c r="AB2" t="str">
        <f ca="1"/>
        <v/>
      </c>
      <c r="AC2" t="str">
        <f ca="1"/>
        <v/>
      </c>
      <c r="AD2" t="str">
        <f ca="1"/>
        <v/>
      </c>
      <c r="AE2" t="str">
        <f ca="1"/>
        <v/>
      </c>
      <c r="AF2" t="str">
        <f ca="1"/>
        <v/>
      </c>
      <c r="AG2" t="str">
        <f ca="1"/>
        <v/>
      </c>
      <c r="AH2" t="str">
        <f ca="1"/>
        <v/>
      </c>
      <c r="AI2" t="str">
        <f ca="1"/>
        <v/>
      </c>
      <c r="AJ2" t="str">
        <f ca="1"/>
        <v/>
      </c>
      <c r="AK2" t="str">
        <f ca="1"/>
        <v/>
      </c>
      <c r="AL2" t="str">
        <f ca="1"/>
        <v/>
      </c>
      <c r="AM2" t="str">
        <f ca="1"/>
        <v/>
      </c>
      <c r="AN2" t="str">
        <f ca="1"/>
        <v/>
      </c>
      <c r="AO2" t="str">
        <f ca="1"/>
        <v/>
      </c>
      <c r="AP2" t="str">
        <f ca="1"/>
        <v/>
      </c>
      <c r="AQ2" t="str">
        <f ca="1"/>
        <v/>
      </c>
      <c r="AR2" t="str">
        <f ca="1"/>
        <v/>
      </c>
      <c r="AS2" t="str">
        <f ca="1"/>
        <v/>
      </c>
      <c r="AT2" t="str">
        <f ca="1"/>
        <v/>
      </c>
      <c r="AU2" t="str">
        <f ca="1"/>
        <v/>
      </c>
      <c r="AV2" t="str">
        <f ca="1"/>
        <v/>
      </c>
      <c r="AW2" t="str">
        <f ca="1"/>
        <v/>
      </c>
      <c r="AX2" t="str">
        <f ca="1"/>
        <v/>
      </c>
      <c r="AY2" t="str">
        <f ca="1"/>
        <v/>
      </c>
      <c r="AZ2" t="str">
        <f ca="1"/>
        <v/>
      </c>
      <c r="BA2" t="str">
        <f ca="1"/>
        <v/>
      </c>
      <c r="BB2" t="str">
        <f ca="1"/>
        <v/>
      </c>
      <c r="BC2" t="str">
        <f ca="1"/>
        <v/>
      </c>
      <c r="BD2" t="str">
        <f ca="1"/>
        <v/>
      </c>
      <c r="BE2" t="str">
        <f ca="1"/>
        <v/>
      </c>
      <c r="BF2" t="str">
        <f ca="1"/>
        <v/>
      </c>
      <c r="BG2" t="str">
        <f ca="1"/>
        <v/>
      </c>
      <c r="BH2" t="str">
        <f ca="1"/>
        <v/>
      </c>
      <c r="BI2" t="str">
        <f ca="1"/>
        <v/>
      </c>
      <c r="BJ2" t="str">
        <f ca="1"/>
        <v/>
      </c>
      <c r="BK2" t="str">
        <f ca="1"/>
        <v/>
      </c>
      <c r="BL2" t="str">
        <f ca="1"/>
        <v/>
      </c>
      <c r="BM2" t="str">
        <f ca="1"/>
        <v/>
      </c>
      <c r="BN2" t="str">
        <f ca="1"/>
        <v/>
      </c>
      <c r="BO2" t="str">
        <f ca="1"/>
        <v/>
      </c>
      <c r="BP2" t="str">
        <f ca="1"/>
        <v/>
      </c>
      <c r="BQ2" t="str">
        <f ca="1"/>
        <v/>
      </c>
      <c r="BR2" t="str">
        <f ca="1"/>
        <v/>
      </c>
      <c r="BS2" t="str">
        <f ca="1"/>
        <v/>
      </c>
      <c r="BT2" t="str">
        <f ca="1"/>
        <v/>
      </c>
      <c r="BU2" t="str">
        <f ca="1"/>
        <v/>
      </c>
      <c r="BV2" t="str">
        <f ca="1"/>
        <v/>
      </c>
      <c r="BW2" t="str">
        <f ca="1"/>
        <v/>
      </c>
      <c r="BX2" t="str">
        <f ca="1"/>
        <v/>
      </c>
      <c r="BY2" t="str">
        <f ca="1"/>
        <v/>
      </c>
      <c r="BZ2" t="str">
        <f ca="1"/>
        <v/>
      </c>
      <c r="CA2" t="str">
        <f ca="1"/>
        <v/>
      </c>
      <c r="CB2" t="str">
        <f ca="1"/>
        <v/>
      </c>
      <c r="CC2" t="str">
        <f ca="1"/>
        <v/>
      </c>
      <c r="CD2" t="str">
        <f ca="1"/>
        <v/>
      </c>
      <c r="CE2" t="str">
        <f ca="1"/>
        <v/>
      </c>
    </row>
    <row r="3" spans="1:99" ht="16">
      <c r="A3" s="249"/>
      <c r="B3" s="217"/>
      <c r="E3" s="23"/>
      <c r="F3" s="83"/>
    </row>
    <row r="4" spans="1:99" ht="16">
      <c r="A4" s="249"/>
      <c r="B4" s="216"/>
    </row>
    <row r="5" spans="1:99" ht="16">
      <c r="A5" s="249"/>
      <c r="B5" s="216"/>
    </row>
    <row r="6" spans="1:99" ht="16">
      <c r="A6" s="250" t="s">
        <v>379</v>
      </c>
      <c r="B6" s="218">
        <f ca="1">B8-365*10</f>
        <v>42192</v>
      </c>
    </row>
    <row r="8" spans="1:99">
      <c r="A8" s="252" t="s">
        <v>380</v>
      </c>
      <c r="B8" s="24">
        <f ca="1">TODAY()</f>
        <v>45842</v>
      </c>
    </row>
    <row r="10" spans="1:99">
      <c r="A10" s="252" t="s">
        <v>381</v>
      </c>
      <c r="B10">
        <f ca="1">Portfolio!C7</f>
        <v>277752.5</v>
      </c>
    </row>
    <row r="12" spans="1:99" s="106" customFormat="1">
      <c r="A12" s="253" t="s">
        <v>382</v>
      </c>
      <c r="B12" s="106" cm="1">
        <f t="array" aca="1" ref="B12:CU12" ca="1">TRANSPOSE(Stocks!L23:L120)</f>
        <v>7.6884996534684655E-2</v>
      </c>
      <c r="C12" s="106">
        <f ca="1"/>
        <v>6.5003915356297418E-2</v>
      </c>
      <c r="D12" s="106">
        <f ca="1"/>
        <v>0.11257144400140413</v>
      </c>
      <c r="E12" s="106">
        <f ca="1"/>
        <v>0.17959874348565719</v>
      </c>
      <c r="F12" s="106">
        <f ca="1"/>
        <v>5.6168711352733096E-2</v>
      </c>
      <c r="G12" s="106">
        <f ca="1"/>
        <v>5.7367620453461263E-2</v>
      </c>
      <c r="H12" s="106">
        <f ca="1"/>
        <v>0.11108810901792063</v>
      </c>
      <c r="I12" s="106">
        <f ca="1"/>
        <v>0.11722666762675403</v>
      </c>
      <c r="J12" s="106">
        <f ca="1"/>
        <v>2.0197838003258296E-2</v>
      </c>
      <c r="K12" s="106">
        <f ca="1"/>
        <v>3.3375037128378686E-2</v>
      </c>
      <c r="L12" s="106">
        <f ca="1"/>
        <v>0.12943357845563946</v>
      </c>
      <c r="M12" s="106">
        <f ca="1"/>
        <v>4.1083338583811128E-2</v>
      </c>
      <c r="N12" s="106" t="str">
        <f ca="1"/>
        <v/>
      </c>
      <c r="O12" s="106" t="str">
        <f ca="1"/>
        <v/>
      </c>
      <c r="P12" s="106" t="str">
        <f ca="1"/>
        <v/>
      </c>
      <c r="Q12" s="106" t="str">
        <f ca="1"/>
        <v/>
      </c>
      <c r="R12" s="106" t="str">
        <f ca="1"/>
        <v/>
      </c>
      <c r="S12" s="106" t="str">
        <f ca="1"/>
        <v/>
      </c>
      <c r="T12" s="106" t="str">
        <f ca="1"/>
        <v/>
      </c>
      <c r="U12" s="106" t="str">
        <f ca="1"/>
        <v/>
      </c>
      <c r="V12" s="106" t="str">
        <f ca="1"/>
        <v/>
      </c>
      <c r="W12" s="106" t="str">
        <f ca="1"/>
        <v/>
      </c>
      <c r="X12" s="106" t="str">
        <f ca="1"/>
        <v/>
      </c>
      <c r="Y12" s="106" t="str">
        <f ca="1"/>
        <v/>
      </c>
      <c r="Z12" s="106" t="str">
        <f ca="1"/>
        <v/>
      </c>
      <c r="AA12" s="106" t="str">
        <f ca="1"/>
        <v/>
      </c>
      <c r="AB12" s="106" t="str">
        <f ca="1"/>
        <v/>
      </c>
      <c r="AC12" s="106" t="str">
        <f ca="1"/>
        <v/>
      </c>
      <c r="AD12" s="106" t="str">
        <f ca="1"/>
        <v/>
      </c>
      <c r="AE12" s="106" t="str">
        <f ca="1"/>
        <v/>
      </c>
      <c r="AF12" s="106" t="str">
        <f ca="1"/>
        <v/>
      </c>
      <c r="AG12" s="106" t="str">
        <f ca="1"/>
        <v/>
      </c>
      <c r="AH12" s="106" t="str">
        <f ca="1"/>
        <v/>
      </c>
      <c r="AI12" s="106" t="str">
        <f ca="1"/>
        <v/>
      </c>
      <c r="AJ12" s="106" t="str">
        <f ca="1"/>
        <v/>
      </c>
      <c r="AK12" s="106" t="str">
        <f ca="1"/>
        <v/>
      </c>
      <c r="AL12" s="106" t="str">
        <f ca="1"/>
        <v/>
      </c>
      <c r="AM12" s="106" t="str">
        <f ca="1"/>
        <v/>
      </c>
      <c r="AN12" s="106" t="str">
        <f ca="1"/>
        <v/>
      </c>
      <c r="AO12" s="106" t="str">
        <f ca="1"/>
        <v/>
      </c>
      <c r="AP12" s="106" t="str">
        <f ca="1"/>
        <v/>
      </c>
      <c r="AQ12" s="106" t="str">
        <f ca="1"/>
        <v/>
      </c>
      <c r="AR12" s="106" t="str">
        <f ca="1"/>
        <v/>
      </c>
      <c r="AS12" s="106" t="str">
        <f ca="1"/>
        <v/>
      </c>
      <c r="AT12" s="106" t="str">
        <f ca="1"/>
        <v/>
      </c>
      <c r="AU12" s="106" t="str">
        <f ca="1"/>
        <v/>
      </c>
      <c r="AV12" s="106" t="str">
        <f ca="1"/>
        <v/>
      </c>
      <c r="AW12" s="106" t="str">
        <f ca="1"/>
        <v/>
      </c>
      <c r="AX12" s="106" t="str">
        <f ca="1"/>
        <v/>
      </c>
      <c r="AY12" s="106" t="str">
        <f ca="1"/>
        <v/>
      </c>
      <c r="AZ12" s="106" t="str">
        <f ca="1"/>
        <v/>
      </c>
      <c r="BA12" s="106" t="str">
        <f ca="1"/>
        <v/>
      </c>
      <c r="BB12" s="106" t="str">
        <f ca="1"/>
        <v/>
      </c>
      <c r="BC12" s="106" t="str">
        <f ca="1"/>
        <v/>
      </c>
      <c r="BD12" s="106" t="str">
        <f ca="1"/>
        <v/>
      </c>
      <c r="BE12" s="106" t="str">
        <f ca="1"/>
        <v/>
      </c>
      <c r="BF12" s="106" t="str">
        <f ca="1"/>
        <v/>
      </c>
      <c r="BG12" s="106" t="str">
        <f ca="1"/>
        <v/>
      </c>
      <c r="BH12" s="106" t="str">
        <f ca="1"/>
        <v/>
      </c>
      <c r="BI12" s="106" t="str">
        <f ca="1"/>
        <v/>
      </c>
      <c r="BJ12" s="106" t="str">
        <f ca="1"/>
        <v/>
      </c>
      <c r="BK12" s="106" t="str">
        <f ca="1"/>
        <v/>
      </c>
      <c r="BL12" s="106" t="str">
        <f ca="1"/>
        <v/>
      </c>
      <c r="BM12" s="106" t="str">
        <f ca="1"/>
        <v/>
      </c>
      <c r="BN12" s="106" t="str">
        <f ca="1"/>
        <v/>
      </c>
      <c r="BO12" s="106" t="str">
        <f ca="1"/>
        <v/>
      </c>
      <c r="BP12" s="106" t="str">
        <f ca="1"/>
        <v/>
      </c>
      <c r="BQ12" s="106" t="str">
        <f ca="1"/>
        <v/>
      </c>
      <c r="BR12" s="106" t="str">
        <f ca="1"/>
        <v/>
      </c>
      <c r="BS12" s="106" t="str">
        <f ca="1"/>
        <v/>
      </c>
      <c r="BT12" s="106" t="str">
        <f ca="1"/>
        <v/>
      </c>
      <c r="BU12" s="106" t="str">
        <f ca="1"/>
        <v/>
      </c>
      <c r="BV12" s="106" t="str">
        <f ca="1"/>
        <v/>
      </c>
      <c r="BW12" s="106" t="str">
        <f ca="1"/>
        <v/>
      </c>
      <c r="BX12" s="106" t="str">
        <f ca="1"/>
        <v/>
      </c>
      <c r="BY12" s="106" t="str">
        <f ca="1"/>
        <v/>
      </c>
      <c r="BZ12" s="106" t="str">
        <f ca="1"/>
        <v/>
      </c>
      <c r="CA12" s="106" t="str">
        <f ca="1"/>
        <v/>
      </c>
      <c r="CB12" s="106" t="str">
        <f ca="1"/>
        <v/>
      </c>
      <c r="CC12" s="106" t="str">
        <f ca="1"/>
        <v/>
      </c>
      <c r="CD12" s="106" t="str">
        <f ca="1"/>
        <v/>
      </c>
      <c r="CE12" s="106" t="str">
        <f ca="1"/>
        <v/>
      </c>
      <c r="CF12" s="106" t="str">
        <f ca="1"/>
        <v/>
      </c>
      <c r="CG12" s="106" t="str">
        <f ca="1"/>
        <v/>
      </c>
      <c r="CH12" s="106" t="str">
        <f ca="1"/>
        <v/>
      </c>
      <c r="CI12" s="106" t="str">
        <f ca="1"/>
        <v/>
      </c>
      <c r="CJ12" s="106" t="str">
        <f ca="1"/>
        <v/>
      </c>
      <c r="CK12" s="106" t="str">
        <f ca="1"/>
        <v/>
      </c>
      <c r="CL12" s="106" t="str">
        <f ca="1"/>
        <v/>
      </c>
      <c r="CM12" s="106" t="str">
        <f ca="1"/>
        <v/>
      </c>
      <c r="CN12" s="106" t="str">
        <f ca="1"/>
        <v/>
      </c>
      <c r="CO12" s="106" t="str">
        <f ca="1"/>
        <v/>
      </c>
      <c r="CP12" s="106" t="str">
        <f ca="1"/>
        <v/>
      </c>
      <c r="CQ12" s="106" t="str">
        <f ca="1"/>
        <v/>
      </c>
      <c r="CR12" s="106" t="str">
        <f ca="1"/>
        <v/>
      </c>
      <c r="CS12" s="106" t="str">
        <f ca="1"/>
        <v/>
      </c>
      <c r="CT12" s="106" t="str">
        <f ca="1"/>
        <v/>
      </c>
      <c r="CU12" s="106" t="str">
        <f ca="1"/>
        <v/>
      </c>
    </row>
    <row r="14" spans="1:99">
      <c r="A14" s="252" t="s">
        <v>383</v>
      </c>
      <c r="B14" s="21">
        <v>30</v>
      </c>
    </row>
    <row r="16" spans="1:99">
      <c r="A16" s="252" t="s">
        <v>384</v>
      </c>
      <c r="B16" s="21">
        <v>1000000</v>
      </c>
    </row>
    <row r="18" spans="1:4">
      <c r="A18" s="252" t="s">
        <v>385</v>
      </c>
      <c r="B18" s="21">
        <v>0.95</v>
      </c>
    </row>
    <row r="21" spans="1:4">
      <c r="B21" s="21"/>
      <c r="C21" s="232" t="s">
        <v>493</v>
      </c>
      <c r="D21" s="23" t="s">
        <v>494</v>
      </c>
    </row>
    <row r="23" spans="1:4">
      <c r="C23" s="23" t="s">
        <v>495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B9232-FA4C-5049-B895-690DC6D672F1}">
  <dimension ref="A1:Q60"/>
  <sheetViews>
    <sheetView workbookViewId="0">
      <selection activeCell="B12" sqref="B12"/>
    </sheetView>
  </sheetViews>
  <sheetFormatPr baseColWidth="10" defaultRowHeight="13"/>
  <cols>
    <col min="1" max="1" width="21.5" customWidth="1"/>
    <col min="2" max="2" width="11.5" bestFit="1" customWidth="1"/>
    <col min="4" max="4" width="12.33203125" style="26" customWidth="1"/>
  </cols>
  <sheetData>
    <row r="1" spans="1:17" ht="25">
      <c r="A1" s="336" t="s">
        <v>497</v>
      </c>
      <c r="B1" s="336"/>
    </row>
    <row r="2" spans="1:17" ht="16">
      <c r="A2" s="235" t="s">
        <v>186</v>
      </c>
      <c r="B2" s="254" t="s">
        <v>508</v>
      </c>
    </row>
    <row r="3" spans="1:17" ht="16">
      <c r="A3" s="235" t="s">
        <v>498</v>
      </c>
      <c r="B3" s="255">
        <v>43861</v>
      </c>
    </row>
    <row r="4" spans="1:17" ht="16">
      <c r="A4" s="235" t="s">
        <v>499</v>
      </c>
      <c r="B4" s="255">
        <f ca="1">TODAY()</f>
        <v>45842</v>
      </c>
    </row>
    <row r="5" spans="1:17" ht="16">
      <c r="A5" s="235" t="s">
        <v>505</v>
      </c>
      <c r="B5" s="254">
        <v>1000</v>
      </c>
    </row>
    <row r="6" spans="1:17" ht="16">
      <c r="A6" s="235" t="s">
        <v>500</v>
      </c>
      <c r="B6" s="254">
        <v>250</v>
      </c>
    </row>
    <row r="7" spans="1:17" ht="16">
      <c r="A7" s="235" t="s">
        <v>506</v>
      </c>
      <c r="B7" s="254">
        <v>900</v>
      </c>
    </row>
    <row r="8" spans="1:17" ht="16">
      <c r="B8" s="256"/>
    </row>
    <row r="9" spans="1:17" ht="21" customHeight="1">
      <c r="A9" s="337" t="s">
        <v>488</v>
      </c>
      <c r="B9" s="337"/>
    </row>
    <row r="10" spans="1:17" ht="16">
      <c r="A10" s="235" t="s">
        <v>501</v>
      </c>
      <c r="B10" s="257">
        <v>0.23476727007115528</v>
      </c>
      <c r="D10" s="26" t="s">
        <v>503</v>
      </c>
      <c r="E10" t="s">
        <v>504</v>
      </c>
      <c r="Q10" s="23"/>
    </row>
    <row r="11" spans="1:17" ht="16">
      <c r="A11" s="235" t="s">
        <v>502</v>
      </c>
      <c r="B11" s="257">
        <v>0.45333137638328097</v>
      </c>
      <c r="D11" s="26">
        <v>215.029328912208</v>
      </c>
      <c r="E11">
        <v>8</v>
      </c>
    </row>
    <row r="12" spans="1:17" ht="16">
      <c r="B12" s="256"/>
      <c r="D12" s="26">
        <v>287.48685430688255</v>
      </c>
      <c r="E12">
        <v>14</v>
      </c>
      <c r="Q12" s="23"/>
    </row>
    <row r="13" spans="1:17" ht="16">
      <c r="A13" s="235" t="s">
        <v>509</v>
      </c>
      <c r="B13" s="257">
        <v>0.52</v>
      </c>
      <c r="D13" s="26">
        <v>359.94437970155712</v>
      </c>
      <c r="E13">
        <v>39</v>
      </c>
    </row>
    <row r="14" spans="1:17" ht="16">
      <c r="A14" s="235" t="s">
        <v>510</v>
      </c>
      <c r="B14" s="257">
        <v>0.48</v>
      </c>
      <c r="D14" s="26">
        <v>432.40190509623164</v>
      </c>
      <c r="E14">
        <v>43</v>
      </c>
    </row>
    <row r="15" spans="1:17">
      <c r="D15" s="26">
        <v>504.85943049090622</v>
      </c>
      <c r="E15">
        <v>64</v>
      </c>
    </row>
    <row r="16" spans="1:17">
      <c r="D16" s="26">
        <v>577.3169558855808</v>
      </c>
      <c r="E16">
        <v>61</v>
      </c>
      <c r="Q16" s="23"/>
    </row>
    <row r="17" spans="4:5">
      <c r="D17" s="26">
        <v>649.77448128025537</v>
      </c>
      <c r="E17">
        <v>81</v>
      </c>
    </row>
    <row r="18" spans="4:5">
      <c r="D18" s="26">
        <v>722.23200667492995</v>
      </c>
      <c r="E18">
        <v>65</v>
      </c>
    </row>
    <row r="19" spans="4:5">
      <c r="D19" s="26">
        <v>794.68953206960452</v>
      </c>
      <c r="E19">
        <v>74</v>
      </c>
    </row>
    <row r="20" spans="4:5">
      <c r="D20" s="26">
        <v>867.1470574642791</v>
      </c>
      <c r="E20">
        <v>76</v>
      </c>
    </row>
    <row r="21" spans="4:5">
      <c r="D21" s="26">
        <v>939.60458285895368</v>
      </c>
      <c r="E21">
        <v>64</v>
      </c>
    </row>
    <row r="22" spans="4:5">
      <c r="D22" s="26">
        <v>1012.0621082536283</v>
      </c>
      <c r="E22">
        <v>50</v>
      </c>
    </row>
    <row r="23" spans="4:5">
      <c r="D23" s="26">
        <v>1084.5196336483027</v>
      </c>
      <c r="E23">
        <v>58</v>
      </c>
    </row>
    <row r="24" spans="4:5">
      <c r="D24" s="26">
        <v>1156.9771590429773</v>
      </c>
      <c r="E24">
        <v>38</v>
      </c>
    </row>
    <row r="25" spans="4:5">
      <c r="D25" s="26">
        <v>1229.4346844376519</v>
      </c>
      <c r="E25">
        <v>47</v>
      </c>
    </row>
    <row r="26" spans="4:5">
      <c r="D26" s="26">
        <v>1301.8922098323264</v>
      </c>
      <c r="E26">
        <v>31</v>
      </c>
    </row>
    <row r="27" spans="4:5">
      <c r="D27" s="26">
        <v>1374.349735227001</v>
      </c>
      <c r="E27">
        <v>33</v>
      </c>
    </row>
    <row r="28" spans="4:5">
      <c r="D28" s="26">
        <v>1446.8072606216756</v>
      </c>
      <c r="E28">
        <v>24</v>
      </c>
    </row>
    <row r="29" spans="4:5">
      <c r="D29" s="26">
        <v>1519.2647860163502</v>
      </c>
      <c r="E29">
        <v>22</v>
      </c>
    </row>
    <row r="30" spans="4:5">
      <c r="D30" s="26">
        <v>1591.7223114110247</v>
      </c>
      <c r="E30">
        <v>19</v>
      </c>
    </row>
    <row r="31" spans="4:5">
      <c r="D31" s="26">
        <v>1664.1798368056993</v>
      </c>
      <c r="E31">
        <v>17</v>
      </c>
    </row>
    <row r="32" spans="4:5">
      <c r="D32" s="26">
        <v>1736.6373622003739</v>
      </c>
      <c r="E32">
        <v>7</v>
      </c>
    </row>
    <row r="33" spans="4:5">
      <c r="D33" s="26">
        <v>1809.0948875950485</v>
      </c>
      <c r="E33">
        <v>10</v>
      </c>
    </row>
    <row r="34" spans="4:5">
      <c r="D34" s="26">
        <v>1881.5524129897231</v>
      </c>
      <c r="E34">
        <v>11</v>
      </c>
    </row>
    <row r="35" spans="4:5">
      <c r="D35" s="26">
        <v>1954.0099383843974</v>
      </c>
      <c r="E35">
        <v>8</v>
      </c>
    </row>
    <row r="36" spans="4:5">
      <c r="D36" s="26">
        <v>2026.467463779072</v>
      </c>
      <c r="E36">
        <v>8</v>
      </c>
    </row>
    <row r="37" spans="4:5">
      <c r="D37" s="26">
        <v>2098.9249891737463</v>
      </c>
      <c r="E37">
        <v>2</v>
      </c>
    </row>
    <row r="38" spans="4:5">
      <c r="D38" s="26">
        <v>2171.3825145684209</v>
      </c>
      <c r="E38">
        <v>5</v>
      </c>
    </row>
    <row r="39" spans="4:5">
      <c r="D39" s="26">
        <v>2243.8400399630955</v>
      </c>
      <c r="E39">
        <v>3</v>
      </c>
    </row>
    <row r="40" spans="4:5">
      <c r="D40" s="26">
        <v>2316.2975653577701</v>
      </c>
      <c r="E40">
        <v>3</v>
      </c>
    </row>
    <row r="41" spans="4:5">
      <c r="D41" s="26">
        <v>2388.7550907524446</v>
      </c>
      <c r="E41">
        <v>2</v>
      </c>
    </row>
    <row r="42" spans="4:5">
      <c r="D42" s="26">
        <v>2461.2126161471192</v>
      </c>
      <c r="E42">
        <v>5</v>
      </c>
    </row>
    <row r="43" spans="4:5">
      <c r="D43" s="26">
        <v>2533.6701415417938</v>
      </c>
      <c r="E43">
        <v>2</v>
      </c>
    </row>
    <row r="44" spans="4:5">
      <c r="D44" s="26">
        <v>2606.1276669364684</v>
      </c>
      <c r="E44">
        <v>2</v>
      </c>
    </row>
    <row r="45" spans="4:5">
      <c r="D45" s="26">
        <v>2678.5851923311429</v>
      </c>
      <c r="E45">
        <v>0</v>
      </c>
    </row>
    <row r="46" spans="4:5">
      <c r="D46" s="26">
        <v>2751.0427177258175</v>
      </c>
      <c r="E46">
        <v>2</v>
      </c>
    </row>
    <row r="47" spans="4:5">
      <c r="D47" s="26">
        <v>2823.5002431204921</v>
      </c>
      <c r="E47">
        <v>0</v>
      </c>
    </row>
    <row r="48" spans="4:5">
      <c r="D48" s="26">
        <v>2895.9577685151667</v>
      </c>
      <c r="E48">
        <v>0</v>
      </c>
    </row>
    <row r="49" spans="4:5">
      <c r="D49" s="26">
        <v>2968.4152939098412</v>
      </c>
      <c r="E49">
        <v>0</v>
      </c>
    </row>
    <row r="50" spans="4:5">
      <c r="D50" s="26">
        <v>3040.8728193045158</v>
      </c>
      <c r="E50">
        <v>1</v>
      </c>
    </row>
    <row r="51" spans="4:5">
      <c r="D51" s="26">
        <v>3113.3303446991904</v>
      </c>
      <c r="E51">
        <v>0</v>
      </c>
    </row>
    <row r="52" spans="4:5">
      <c r="D52" s="26">
        <v>3185.787870093865</v>
      </c>
      <c r="E52">
        <v>0</v>
      </c>
    </row>
    <row r="53" spans="4:5">
      <c r="D53" s="26">
        <v>3258.2453954885395</v>
      </c>
      <c r="E53">
        <v>0</v>
      </c>
    </row>
    <row r="54" spans="4:5">
      <c r="D54" s="26">
        <v>3330.7029208832141</v>
      </c>
      <c r="E54">
        <v>0</v>
      </c>
    </row>
    <row r="55" spans="4:5">
      <c r="D55" s="26">
        <v>3403.1604462778887</v>
      </c>
      <c r="E55">
        <v>0</v>
      </c>
    </row>
    <row r="56" spans="4:5">
      <c r="D56" s="26">
        <v>3475.6179716725633</v>
      </c>
      <c r="E56">
        <v>0</v>
      </c>
    </row>
    <row r="57" spans="4:5">
      <c r="D57" s="26">
        <v>3548.0754970672378</v>
      </c>
      <c r="E57">
        <v>0</v>
      </c>
    </row>
    <row r="58" spans="4:5">
      <c r="D58" s="26">
        <v>3620.5330224619124</v>
      </c>
      <c r="E58">
        <v>0</v>
      </c>
    </row>
    <row r="59" spans="4:5">
      <c r="D59" s="26">
        <v>3692.9905478565865</v>
      </c>
      <c r="E59">
        <v>0</v>
      </c>
    </row>
    <row r="60" spans="4:5">
      <c r="D60" s="26">
        <v>3765.4480732512611</v>
      </c>
      <c r="E60">
        <v>1</v>
      </c>
    </row>
  </sheetData>
  <mergeCells count="2">
    <mergeCell ref="A1:B1"/>
    <mergeCell ref="A9:B9"/>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3F56D-4541-DC4D-A8D9-0D4F8FAF2D77}">
  <sheetPr codeName="Sheet4"/>
  <dimension ref="A1:P21"/>
  <sheetViews>
    <sheetView zoomScale="120" zoomScaleNormal="120" workbookViewId="0">
      <selection activeCell="B15" sqref="B15"/>
    </sheetView>
  </sheetViews>
  <sheetFormatPr baseColWidth="10" defaultRowHeight="13"/>
  <cols>
    <col min="2" max="2" width="18.1640625" customWidth="1"/>
    <col min="5" max="5" width="20.33203125" bestFit="1" customWidth="1"/>
    <col min="6" max="6" width="12.6640625" bestFit="1" customWidth="1"/>
    <col min="8" max="8" width="11.6640625" bestFit="1" customWidth="1"/>
    <col min="11" max="11" width="11.6640625" bestFit="1" customWidth="1"/>
  </cols>
  <sheetData>
    <row r="1" spans="1:11">
      <c r="A1" s="23"/>
      <c r="E1" s="23"/>
    </row>
    <row r="2" spans="1:11">
      <c r="A2" s="23"/>
      <c r="B2" s="83"/>
    </row>
    <row r="6" spans="1:11">
      <c r="H6" s="23"/>
    </row>
    <row r="7" spans="1:11" ht="25">
      <c r="A7" s="336" t="s">
        <v>335</v>
      </c>
      <c r="B7" s="336"/>
      <c r="D7" s="336" t="s">
        <v>489</v>
      </c>
      <c r="E7" s="336"/>
      <c r="F7" s="82"/>
      <c r="G7" s="336" t="s">
        <v>354</v>
      </c>
      <c r="H7" s="336"/>
      <c r="J7" s="336" t="s">
        <v>219</v>
      </c>
      <c r="K7" s="336"/>
    </row>
    <row r="8" spans="1:11" ht="14">
      <c r="A8" s="234" t="s">
        <v>342</v>
      </c>
      <c r="B8" s="246" t="s">
        <v>348</v>
      </c>
      <c r="C8" s="83"/>
      <c r="E8" s="23"/>
      <c r="F8" s="82"/>
      <c r="H8" s="23"/>
    </row>
    <row r="9" spans="1:11" ht="14">
      <c r="A9" s="234" t="s">
        <v>485</v>
      </c>
      <c r="B9" s="246">
        <v>250</v>
      </c>
      <c r="D9" s="238" t="s">
        <v>338</v>
      </c>
      <c r="E9" s="239">
        <f ca="1">(LN(B15/B9)+B12+(B17^2)/2*B16)/(B17*SQRT(B16))</f>
        <v>-0.31351938982219052</v>
      </c>
      <c r="F9" s="82"/>
      <c r="G9" s="235" t="s">
        <v>341</v>
      </c>
      <c r="H9" s="242">
        <f>'BSM data'!B8</f>
        <v>0.3481714288082815</v>
      </c>
      <c r="J9" s="235" t="s">
        <v>491</v>
      </c>
      <c r="K9" s="233">
        <v>36</v>
      </c>
    </row>
    <row r="10" spans="1:11" ht="14">
      <c r="A10" s="234" t="s">
        <v>487</v>
      </c>
      <c r="B10" s="247">
        <v>46191</v>
      </c>
      <c r="C10" s="231"/>
      <c r="D10" s="238" t="s">
        <v>339</v>
      </c>
      <c r="E10" s="239">
        <f ca="1">E9-B17*SQRT(B16)</f>
        <v>-0.55812605671811144</v>
      </c>
      <c r="F10" s="82"/>
      <c r="G10" s="235" t="s">
        <v>350</v>
      </c>
      <c r="H10" s="243">
        <f>'BSM data'!E8</f>
        <v>7.121987595213636E-3</v>
      </c>
      <c r="J10" s="235" t="s">
        <v>490</v>
      </c>
      <c r="K10" s="237">
        <f>B15</f>
        <v>213.44000244140625</v>
      </c>
    </row>
    <row r="11" spans="1:11" ht="14">
      <c r="A11" s="234" t="s">
        <v>346</v>
      </c>
      <c r="B11" s="246" t="s">
        <v>347</v>
      </c>
      <c r="C11" s="84"/>
      <c r="E11" s="84"/>
      <c r="F11" s="82"/>
      <c r="G11" s="235" t="s">
        <v>351</v>
      </c>
      <c r="H11" s="244">
        <f>'BSM data'!F8</f>
        <v>0.75027829931737422</v>
      </c>
      <c r="J11" s="235" t="s">
        <v>492</v>
      </c>
      <c r="K11" s="242">
        <f>H9</f>
        <v>0.3481714288082815</v>
      </c>
    </row>
    <row r="12" spans="1:11" ht="14">
      <c r="A12" s="234" t="s">
        <v>337</v>
      </c>
      <c r="B12" s="248">
        <v>5.1499999999999997E-2</v>
      </c>
      <c r="C12" s="160"/>
      <c r="D12" s="238" t="s">
        <v>331</v>
      </c>
      <c r="E12" s="239">
        <f ca="1">_xlfn.NORM.DIST(E9,0,1,TRUE)</f>
        <v>0.37694304588585337</v>
      </c>
      <c r="F12" s="82"/>
      <c r="G12" s="235" t="s">
        <v>352</v>
      </c>
      <c r="H12" s="242">
        <f>'BSM data'!G8</f>
        <v>-3.4323280869040372E-2</v>
      </c>
    </row>
    <row r="13" spans="1:11">
      <c r="B13" s="23"/>
      <c r="C13" s="23"/>
      <c r="D13" s="238" t="s">
        <v>332</v>
      </c>
      <c r="E13" s="239">
        <f ca="1">_xlfn.NORM.DIST(E10,0,1,TRUE)</f>
        <v>0.28837915439508122</v>
      </c>
      <c r="F13" s="82"/>
      <c r="G13" s="235" t="s">
        <v>336</v>
      </c>
      <c r="H13" s="245">
        <f>'BSM data'!A8</f>
        <v>0.2501508647594492</v>
      </c>
      <c r="J13" s="235" t="s">
        <v>219</v>
      </c>
      <c r="K13" s="236">
        <f>(K11*K10)/K9</f>
        <v>2.0642697393018752</v>
      </c>
    </row>
    <row r="14" spans="1:11">
      <c r="A14" s="338" t="s">
        <v>488</v>
      </c>
      <c r="B14" s="338"/>
      <c r="D14" s="238" t="s">
        <v>333</v>
      </c>
      <c r="E14" s="240">
        <f ca="1">_xlfn.NORM.DIST(-E9,0,1,TRUE)</f>
        <v>0.62305695411414663</v>
      </c>
      <c r="H14" s="23"/>
    </row>
    <row r="15" spans="1:11">
      <c r="A15" s="235" t="s">
        <v>343</v>
      </c>
      <c r="B15" s="237">
        <f>'BSM data'!H8</f>
        <v>213.44000244140625</v>
      </c>
      <c r="D15" s="238" t="s">
        <v>334</v>
      </c>
      <c r="E15" s="240">
        <f ca="1">_xlfn.NORM.DIST(-E10,0,1,TRUE)</f>
        <v>0.71162084560491878</v>
      </c>
    </row>
    <row r="16" spans="1:11">
      <c r="A16" s="235" t="s">
        <v>486</v>
      </c>
      <c r="B16" s="237">
        <f ca="1">(B10-TODAY())/365</f>
        <v>0.95616438356164379</v>
      </c>
    </row>
    <row r="17" spans="1:16">
      <c r="A17" s="235" t="s">
        <v>336</v>
      </c>
      <c r="B17" s="241">
        <f>'BSM data'!A8</f>
        <v>0.2501508647594492</v>
      </c>
    </row>
    <row r="18" spans="1:16">
      <c r="B18" s="23"/>
    </row>
    <row r="21" spans="1:16">
      <c r="I21" s="23"/>
      <c r="J21" s="23"/>
      <c r="K21" s="23"/>
      <c r="L21" s="23"/>
      <c r="M21" s="23"/>
      <c r="N21" s="23"/>
      <c r="O21" s="23"/>
      <c r="P21" s="23"/>
    </row>
  </sheetData>
  <mergeCells count="5">
    <mergeCell ref="A7:B7"/>
    <mergeCell ref="D7:E7"/>
    <mergeCell ref="G7:H7"/>
    <mergeCell ref="J7:K7"/>
    <mergeCell ref="A14:B14"/>
  </mergeCells>
  <pageMargins left="0.7" right="0.7" top="0.75" bottom="0.75" header="0.3" footer="0.3"/>
  <pageSetup paperSize="9" orientation="portrait" horizontalDpi="0" verticalDpi="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C366F-128C-BE4C-888A-7C5BD0FB7DDE}">
  <sheetPr codeName="Sheet6"/>
  <dimension ref="A2:H8"/>
  <sheetViews>
    <sheetView workbookViewId="0">
      <selection activeCell="D9" sqref="D9"/>
    </sheetView>
  </sheetViews>
  <sheetFormatPr baseColWidth="10" defaultRowHeight="13"/>
  <sheetData>
    <row r="2" spans="1:8">
      <c r="A2" s="23" t="s">
        <v>186</v>
      </c>
      <c r="B2" s="23" t="str">
        <f>BSM!B8</f>
        <v>AAPL</v>
      </c>
    </row>
    <row r="3" spans="1:8">
      <c r="A3" s="23" t="s">
        <v>344</v>
      </c>
      <c r="B3" s="24">
        <f>BSM!B10</f>
        <v>46191</v>
      </c>
      <c r="E3" s="24"/>
    </row>
    <row r="4" spans="1:8">
      <c r="A4" s="23" t="s">
        <v>345</v>
      </c>
      <c r="B4">
        <f>BSM!B9</f>
        <v>250</v>
      </c>
    </row>
    <row r="5" spans="1:8">
      <c r="A5" s="23" t="s">
        <v>346</v>
      </c>
      <c r="B5" s="23" t="str">
        <f>BSM!B11</f>
        <v>C</v>
      </c>
    </row>
    <row r="7" spans="1:8">
      <c r="A7" s="23" t="s">
        <v>336</v>
      </c>
      <c r="B7" s="23" t="s">
        <v>341</v>
      </c>
      <c r="C7" s="23" t="s">
        <v>340</v>
      </c>
      <c r="D7" s="23" t="s">
        <v>349</v>
      </c>
      <c r="E7" s="23" t="s">
        <v>350</v>
      </c>
      <c r="F7" s="23" t="s">
        <v>351</v>
      </c>
      <c r="G7" s="23" t="s">
        <v>352</v>
      </c>
      <c r="H7" s="23" t="s">
        <v>353</v>
      </c>
    </row>
    <row r="8" spans="1:8">
      <c r="A8">
        <v>0.2501508647594492</v>
      </c>
      <c r="B8">
        <v>0.3481714288082815</v>
      </c>
      <c r="C8">
        <v>10.743604430347743</v>
      </c>
      <c r="D8">
        <v>1.0303022991753639</v>
      </c>
      <c r="E8">
        <v>7.121987595213636E-3</v>
      </c>
      <c r="F8">
        <v>0.75027829931737422</v>
      </c>
      <c r="G8">
        <v>-3.4323280869040372E-2</v>
      </c>
      <c r="H8">
        <v>213.44000244140625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5FBE2-4B5C-E44F-85FD-B776E225D73B}">
  <dimension ref="A1:AS331"/>
  <sheetViews>
    <sheetView workbookViewId="0">
      <selection activeCell="F11" sqref="F11"/>
    </sheetView>
  </sheetViews>
  <sheetFormatPr baseColWidth="10" defaultRowHeight="13"/>
  <cols>
    <col min="1" max="1" width="21.5" bestFit="1" customWidth="1"/>
    <col min="2" max="2" width="16.6640625" bestFit="1" customWidth="1"/>
    <col min="3" max="3" width="15.83203125" style="24" bestFit="1" customWidth="1"/>
    <col min="4" max="4" width="12.33203125" style="83" bestFit="1" customWidth="1"/>
    <col min="5" max="5" width="10.33203125" bestFit="1" customWidth="1"/>
    <col min="6" max="6" width="10.1640625" bestFit="1" customWidth="1"/>
    <col min="7" max="7" width="6.6640625" style="83" bestFit="1" customWidth="1"/>
    <col min="8" max="8" width="9.1640625" bestFit="1" customWidth="1"/>
    <col min="9" max="9" width="6.6640625" style="83" bestFit="1" customWidth="1"/>
    <col min="10" max="10" width="18.5" bestFit="1" customWidth="1"/>
    <col min="11" max="11" width="6.1640625" bestFit="1" customWidth="1"/>
    <col min="12" max="12" width="14.6640625" bestFit="1" customWidth="1"/>
    <col min="13" max="13" width="6.1640625" bestFit="1" customWidth="1"/>
    <col min="14" max="14" width="15.1640625" bestFit="1" customWidth="1"/>
    <col min="15" max="15" width="6.1640625" bestFit="1" customWidth="1"/>
    <col min="16" max="16" width="13.6640625" bestFit="1" customWidth="1"/>
    <col min="17" max="17" width="6.1640625" bestFit="1" customWidth="1"/>
    <col min="18" max="18" width="14.6640625" bestFit="1" customWidth="1"/>
    <col min="19" max="19" width="6.1640625" bestFit="1" customWidth="1"/>
    <col min="20" max="20" width="13.83203125" bestFit="1" customWidth="1"/>
    <col min="21" max="21" width="6.1640625" bestFit="1" customWidth="1"/>
    <col min="22" max="22" width="15" bestFit="1" customWidth="1"/>
    <col min="23" max="23" width="6.1640625" bestFit="1" customWidth="1"/>
    <col min="24" max="24" width="14.33203125" bestFit="1" customWidth="1"/>
    <col min="25" max="25" width="6.1640625" bestFit="1" customWidth="1"/>
    <col min="26" max="26" width="16" bestFit="1" customWidth="1"/>
    <col min="27" max="27" width="12.6640625" bestFit="1" customWidth="1"/>
    <col min="28" max="28" width="15.83203125" bestFit="1" customWidth="1"/>
    <col min="29" max="29" width="12.5" bestFit="1" customWidth="1"/>
    <col min="30" max="30" width="19.83203125" bestFit="1" customWidth="1"/>
    <col min="31" max="31" width="16.5" bestFit="1" customWidth="1"/>
    <col min="32" max="32" width="15" bestFit="1" customWidth="1"/>
    <col min="33" max="33" width="11.6640625" bestFit="1" customWidth="1"/>
    <col min="34" max="34" width="19" bestFit="1" customWidth="1"/>
    <col min="35" max="35" width="15.5" bestFit="1" customWidth="1"/>
    <col min="36" max="36" width="16" bestFit="1" customWidth="1"/>
    <col min="37" max="37" width="12.6640625" bestFit="1" customWidth="1"/>
    <col min="38" max="38" width="20.1640625" bestFit="1" customWidth="1"/>
    <col min="39" max="39" width="16.83203125" bestFit="1" customWidth="1"/>
    <col min="40" max="40" width="17.83203125" bestFit="1" customWidth="1"/>
    <col min="41" max="41" width="14.33203125" bestFit="1" customWidth="1"/>
    <col min="42" max="42" width="18.6640625" bestFit="1" customWidth="1"/>
    <col min="43" max="43" width="15.1640625" bestFit="1" customWidth="1"/>
    <col min="44" max="44" width="16.33203125" bestFit="1" customWidth="1"/>
    <col min="45" max="45" width="12.83203125" bestFit="1" customWidth="1"/>
    <col min="46" max="46" width="5.1640625" bestFit="1" customWidth="1"/>
    <col min="47" max="47" width="3.1640625" bestFit="1" customWidth="1"/>
    <col min="48" max="48" width="5.1640625" bestFit="1" customWidth="1"/>
    <col min="49" max="49" width="3.1640625" bestFit="1" customWidth="1"/>
    <col min="50" max="50" width="5.1640625" bestFit="1" customWidth="1"/>
    <col min="51" max="51" width="3.1640625" bestFit="1" customWidth="1"/>
    <col min="52" max="52" width="5.1640625" bestFit="1" customWidth="1"/>
    <col min="53" max="53" width="3.1640625" bestFit="1" customWidth="1"/>
    <col min="54" max="54" width="5.1640625" bestFit="1" customWidth="1"/>
    <col min="55" max="55" width="3.1640625" bestFit="1" customWidth="1"/>
    <col min="56" max="56" width="5.1640625" bestFit="1" customWidth="1"/>
    <col min="57" max="57" width="3.1640625" bestFit="1" customWidth="1"/>
    <col min="58" max="58" width="5.1640625" bestFit="1" customWidth="1"/>
    <col min="59" max="59" width="3.1640625" bestFit="1" customWidth="1"/>
    <col min="60" max="60" width="5.1640625" bestFit="1" customWidth="1"/>
    <col min="61" max="61" width="3.1640625" bestFit="1" customWidth="1"/>
    <col min="62" max="62" width="5.1640625" bestFit="1" customWidth="1"/>
    <col min="63" max="63" width="3.1640625" bestFit="1" customWidth="1"/>
    <col min="64" max="64" width="5.1640625" bestFit="1" customWidth="1"/>
    <col min="65" max="65" width="3.1640625" bestFit="1" customWidth="1"/>
    <col min="66" max="66" width="5.1640625" bestFit="1" customWidth="1"/>
    <col min="67" max="67" width="3.1640625" bestFit="1" customWidth="1"/>
    <col min="68" max="68" width="5.1640625" bestFit="1" customWidth="1"/>
    <col min="69" max="69" width="3.1640625" bestFit="1" customWidth="1"/>
    <col min="70" max="70" width="5.1640625" bestFit="1" customWidth="1"/>
    <col min="71" max="71" width="3.1640625" bestFit="1" customWidth="1"/>
    <col min="72" max="72" width="5.1640625" bestFit="1" customWidth="1"/>
    <col min="73" max="73" width="3.1640625" bestFit="1" customWidth="1"/>
    <col min="74" max="74" width="5.1640625" bestFit="1" customWidth="1"/>
    <col min="75" max="75" width="3.1640625" bestFit="1" customWidth="1"/>
    <col min="76" max="76" width="5.1640625" bestFit="1" customWidth="1"/>
    <col min="77" max="77" width="3.1640625" bestFit="1" customWidth="1"/>
    <col min="78" max="78" width="5.1640625" bestFit="1" customWidth="1"/>
    <col min="79" max="79" width="3.1640625" bestFit="1" customWidth="1"/>
    <col min="80" max="80" width="5.1640625" bestFit="1" customWidth="1"/>
    <col min="81" max="81" width="3.1640625" bestFit="1" customWidth="1"/>
    <col min="82" max="82" width="5.1640625" bestFit="1" customWidth="1"/>
    <col min="83" max="83" width="3.1640625" bestFit="1" customWidth="1"/>
    <col min="84" max="84" width="5.1640625" bestFit="1" customWidth="1"/>
    <col min="85" max="85" width="3.1640625" bestFit="1" customWidth="1"/>
    <col min="86" max="86" width="5.1640625" bestFit="1" customWidth="1"/>
    <col min="87" max="87" width="3.1640625" bestFit="1" customWidth="1"/>
    <col min="88" max="88" width="5.1640625" bestFit="1" customWidth="1"/>
    <col min="89" max="89" width="3.1640625" bestFit="1" customWidth="1"/>
    <col min="90" max="90" width="5.1640625" bestFit="1" customWidth="1"/>
    <col min="91" max="91" width="3.1640625" bestFit="1" customWidth="1"/>
    <col min="92" max="92" width="5.1640625" bestFit="1" customWidth="1"/>
    <col min="93" max="93" width="3.1640625" bestFit="1" customWidth="1"/>
    <col min="94" max="94" width="5.1640625" bestFit="1" customWidth="1"/>
    <col min="95" max="95" width="3.1640625" bestFit="1" customWidth="1"/>
    <col min="96" max="96" width="5.1640625" bestFit="1" customWidth="1"/>
    <col min="97" max="97" width="3.1640625" bestFit="1" customWidth="1"/>
    <col min="98" max="98" width="5.1640625" bestFit="1" customWidth="1"/>
    <col min="99" max="99" width="3.1640625" bestFit="1" customWidth="1"/>
    <col min="100" max="100" width="5.1640625" bestFit="1" customWidth="1"/>
    <col min="101" max="101" width="3.1640625" bestFit="1" customWidth="1"/>
    <col min="102" max="102" width="5.1640625" bestFit="1" customWidth="1"/>
    <col min="103" max="103" width="3.1640625" bestFit="1" customWidth="1"/>
    <col min="104" max="104" width="5.1640625" bestFit="1" customWidth="1"/>
    <col min="105" max="105" width="3.1640625" bestFit="1" customWidth="1"/>
    <col min="106" max="106" width="5.1640625" bestFit="1" customWidth="1"/>
    <col min="107" max="107" width="3.1640625" bestFit="1" customWidth="1"/>
    <col min="108" max="108" width="5.1640625" bestFit="1" customWidth="1"/>
    <col min="109" max="109" width="3.1640625" bestFit="1" customWidth="1"/>
    <col min="110" max="110" width="5.1640625" bestFit="1" customWidth="1"/>
    <col min="111" max="111" width="3.1640625" bestFit="1" customWidth="1"/>
    <col min="112" max="112" width="5.1640625" bestFit="1" customWidth="1"/>
    <col min="113" max="113" width="3.1640625" bestFit="1" customWidth="1"/>
    <col min="114" max="114" width="5.1640625" bestFit="1" customWidth="1"/>
    <col min="115" max="115" width="3.1640625" bestFit="1" customWidth="1"/>
    <col min="116" max="116" width="5.1640625" bestFit="1" customWidth="1"/>
    <col min="117" max="117" width="3.1640625" bestFit="1" customWidth="1"/>
    <col min="118" max="118" width="5.1640625" bestFit="1" customWidth="1"/>
    <col min="119" max="119" width="3.1640625" bestFit="1" customWidth="1"/>
    <col min="120" max="120" width="5.1640625" bestFit="1" customWidth="1"/>
    <col min="121" max="121" width="3.1640625" bestFit="1" customWidth="1"/>
    <col min="122" max="122" width="5.1640625" bestFit="1" customWidth="1"/>
    <col min="123" max="123" width="3.1640625" bestFit="1" customWidth="1"/>
    <col min="124" max="124" width="5.1640625" bestFit="1" customWidth="1"/>
    <col min="125" max="125" width="3.1640625" bestFit="1" customWidth="1"/>
    <col min="126" max="126" width="5.1640625" bestFit="1" customWidth="1"/>
    <col min="127" max="127" width="3.1640625" bestFit="1" customWidth="1"/>
    <col min="128" max="128" width="5.1640625" bestFit="1" customWidth="1"/>
    <col min="129" max="129" width="3.1640625" bestFit="1" customWidth="1"/>
    <col min="130" max="130" width="5.1640625" bestFit="1" customWidth="1"/>
    <col min="131" max="131" width="3.1640625" bestFit="1" customWidth="1"/>
    <col min="132" max="132" width="5.1640625" bestFit="1" customWidth="1"/>
    <col min="133" max="133" width="3.1640625" bestFit="1" customWidth="1"/>
    <col min="134" max="134" width="5.1640625" bestFit="1" customWidth="1"/>
    <col min="135" max="135" width="3.1640625" bestFit="1" customWidth="1"/>
    <col min="136" max="136" width="5.1640625" bestFit="1" customWidth="1"/>
    <col min="137" max="137" width="3.1640625" bestFit="1" customWidth="1"/>
    <col min="138" max="138" width="5.1640625" bestFit="1" customWidth="1"/>
    <col min="139" max="139" width="3.1640625" bestFit="1" customWidth="1"/>
    <col min="140" max="140" width="5.1640625" bestFit="1" customWidth="1"/>
    <col min="141" max="141" width="3.1640625" bestFit="1" customWidth="1"/>
    <col min="142" max="142" width="5.1640625" bestFit="1" customWidth="1"/>
    <col min="143" max="143" width="3.1640625" bestFit="1" customWidth="1"/>
    <col min="144" max="144" width="5.1640625" bestFit="1" customWidth="1"/>
    <col min="145" max="173" width="3.1640625" bestFit="1" customWidth="1"/>
    <col min="174" max="225" width="4.1640625" bestFit="1" customWidth="1"/>
    <col min="226" max="226" width="6.1640625" bestFit="1" customWidth="1"/>
    <col min="227" max="229" width="4.1640625" bestFit="1" customWidth="1"/>
    <col min="230" max="230" width="6.1640625" bestFit="1" customWidth="1"/>
    <col min="231" max="233" width="4.1640625" bestFit="1" customWidth="1"/>
    <col min="234" max="234" width="6.1640625" bestFit="1" customWidth="1"/>
    <col min="235" max="238" width="4.1640625" bestFit="1" customWidth="1"/>
    <col min="239" max="239" width="6.1640625" bestFit="1" customWidth="1"/>
    <col min="240" max="244" width="4.1640625" bestFit="1" customWidth="1"/>
    <col min="245" max="245" width="6.1640625" bestFit="1" customWidth="1"/>
    <col min="246" max="250" width="4.1640625" bestFit="1" customWidth="1"/>
    <col min="251" max="251" width="6.1640625" bestFit="1" customWidth="1"/>
    <col min="252" max="256" width="4.1640625" bestFit="1" customWidth="1"/>
    <col min="257" max="257" width="6.1640625" bestFit="1" customWidth="1"/>
    <col min="258" max="262" width="4.1640625" bestFit="1" customWidth="1"/>
    <col min="263" max="263" width="6.1640625" bestFit="1" customWidth="1"/>
    <col min="264" max="268" width="4.1640625" bestFit="1" customWidth="1"/>
    <col min="269" max="269" width="6.1640625" bestFit="1" customWidth="1"/>
    <col min="270" max="272" width="4.1640625" bestFit="1" customWidth="1"/>
    <col min="273" max="273" width="6.1640625" bestFit="1" customWidth="1"/>
    <col min="274" max="274" width="4.1640625" bestFit="1" customWidth="1"/>
    <col min="275" max="275" width="6.1640625" bestFit="1" customWidth="1"/>
    <col min="276" max="276" width="4.1640625" bestFit="1" customWidth="1"/>
    <col min="277" max="277" width="6.1640625" bestFit="1" customWidth="1"/>
    <col min="278" max="279" width="4.1640625" bestFit="1" customWidth="1"/>
    <col min="280" max="280" width="6.1640625" bestFit="1" customWidth="1"/>
    <col min="281" max="285" width="4.1640625" bestFit="1" customWidth="1"/>
    <col min="286" max="286" width="6.1640625" bestFit="1" customWidth="1"/>
    <col min="287" max="291" width="4.1640625" bestFit="1" customWidth="1"/>
    <col min="292" max="292" width="6.1640625" bestFit="1" customWidth="1"/>
    <col min="293" max="315" width="4.1640625" bestFit="1" customWidth="1"/>
  </cols>
  <sheetData>
    <row r="1" spans="1:8">
      <c r="B1" s="23"/>
    </row>
    <row r="2" spans="1:8" ht="25">
      <c r="A2" s="339" t="s">
        <v>511</v>
      </c>
      <c r="B2" s="339"/>
      <c r="E2" s="336" t="s">
        <v>540</v>
      </c>
      <c r="F2" s="336"/>
    </row>
    <row r="3" spans="1:8" ht="14">
      <c r="A3" s="262" t="s">
        <v>388</v>
      </c>
      <c r="B3" s="260" t="s">
        <v>507</v>
      </c>
      <c r="E3" s="238" t="s">
        <v>246</v>
      </c>
      <c r="F3" s="268">
        <v>46073</v>
      </c>
      <c r="H3" t="str">
        <f>TEXT(F3,"yyyymmdd")</f>
        <v>20260220</v>
      </c>
    </row>
    <row r="4" spans="1:8" ht="20">
      <c r="A4" s="262" t="s">
        <v>389</v>
      </c>
      <c r="B4" s="260" t="s">
        <v>392</v>
      </c>
      <c r="C4" s="265"/>
      <c r="E4" s="238" t="s">
        <v>345</v>
      </c>
      <c r="F4" s="261">
        <v>300</v>
      </c>
      <c r="G4" s="264"/>
    </row>
    <row r="5" spans="1:8" ht="20">
      <c r="A5" s="262" t="s">
        <v>390</v>
      </c>
      <c r="B5" s="260" t="s">
        <v>393</v>
      </c>
      <c r="C5" s="265"/>
      <c r="E5" s="238" t="s">
        <v>402</v>
      </c>
      <c r="F5" s="260" t="s">
        <v>347</v>
      </c>
      <c r="G5" s="264"/>
    </row>
    <row r="6" spans="1:8" ht="20">
      <c r="A6" s="262" t="s">
        <v>391</v>
      </c>
      <c r="B6" s="260" t="s">
        <v>45</v>
      </c>
      <c r="E6" s="238" t="s">
        <v>541</v>
      </c>
      <c r="F6" s="261">
        <v>100</v>
      </c>
      <c r="G6" s="264"/>
    </row>
    <row r="7" spans="1:8" ht="20">
      <c r="A7" s="263"/>
      <c r="G7" s="264"/>
    </row>
    <row r="8" spans="1:8">
      <c r="E8" s="238" t="s">
        <v>403</v>
      </c>
      <c r="F8" s="260" t="s">
        <v>400</v>
      </c>
    </row>
    <row r="9" spans="1:8" ht="25">
      <c r="A9" s="339" t="s">
        <v>519</v>
      </c>
      <c r="B9" s="339"/>
      <c r="E9" s="238" t="s">
        <v>404</v>
      </c>
      <c r="F9" s="260" t="s">
        <v>398</v>
      </c>
    </row>
    <row r="10" spans="1:8">
      <c r="A10" s="233" t="s">
        <v>514</v>
      </c>
      <c r="B10" s="261" t="s">
        <v>507</v>
      </c>
      <c r="E10" s="238" t="s">
        <v>405</v>
      </c>
      <c r="F10" s="261">
        <v>11</v>
      </c>
    </row>
    <row r="11" spans="1:8">
      <c r="A11" s="233" t="s">
        <v>515</v>
      </c>
      <c r="B11" s="261">
        <v>272093</v>
      </c>
    </row>
    <row r="12" spans="1:8">
      <c r="A12" s="233" t="s">
        <v>408</v>
      </c>
      <c r="B12" s="261" t="s">
        <v>393</v>
      </c>
    </row>
    <row r="13" spans="1:8">
      <c r="A13" s="233" t="s">
        <v>516</v>
      </c>
      <c r="B13" s="261" t="s">
        <v>394</v>
      </c>
    </row>
    <row r="14" spans="1:8">
      <c r="A14" s="233" t="s">
        <v>517</v>
      </c>
      <c r="B14" s="261" t="s">
        <v>542</v>
      </c>
    </row>
    <row r="15" spans="1:8">
      <c r="A15" s="233" t="s">
        <v>518</v>
      </c>
      <c r="B15" s="261" t="s">
        <v>395</v>
      </c>
    </row>
    <row r="18" spans="1:45" ht="25">
      <c r="A18" s="340" t="s">
        <v>520</v>
      </c>
      <c r="B18" s="340"/>
    </row>
    <row r="19" spans="1:45">
      <c r="A19" s="235" t="s">
        <v>396</v>
      </c>
      <c r="B19" s="235" t="s">
        <v>397</v>
      </c>
      <c r="C19" s="266" t="s">
        <v>523</v>
      </c>
      <c r="D19" s="267" t="s">
        <v>524</v>
      </c>
      <c r="E19" s="24"/>
      <c r="F19" s="24"/>
      <c r="H19" s="24"/>
      <c r="J19" s="24"/>
      <c r="K19" s="24"/>
      <c r="L19" s="24"/>
      <c r="M19" s="24"/>
      <c r="N19" s="24"/>
      <c r="O19" s="24"/>
      <c r="P19" s="24"/>
      <c r="Q19" s="24"/>
      <c r="R19" s="24"/>
      <c r="S19" s="24"/>
      <c r="T19" s="24"/>
      <c r="U19" s="24"/>
      <c r="V19" s="24"/>
      <c r="W19" s="24"/>
      <c r="X19" s="24"/>
      <c r="AA19" t="s">
        <v>529</v>
      </c>
      <c r="AB19" t="s">
        <v>532</v>
      </c>
      <c r="AC19" t="s">
        <v>533</v>
      </c>
      <c r="AD19" t="s">
        <v>536</v>
      </c>
      <c r="AE19" t="s">
        <v>537</v>
      </c>
      <c r="AF19" t="s">
        <v>523</v>
      </c>
      <c r="AG19" t="s">
        <v>524</v>
      </c>
      <c r="AH19" t="s">
        <v>527</v>
      </c>
      <c r="AI19" t="s">
        <v>528</v>
      </c>
      <c r="AJ19" t="s">
        <v>525</v>
      </c>
      <c r="AK19" t="s">
        <v>526</v>
      </c>
      <c r="AL19" t="s">
        <v>521</v>
      </c>
      <c r="AM19" t="s">
        <v>522</v>
      </c>
      <c r="AN19" t="s">
        <v>538</v>
      </c>
      <c r="AO19" t="s">
        <v>539</v>
      </c>
      <c r="AP19" t="s">
        <v>534</v>
      </c>
      <c r="AQ19" t="s">
        <v>535</v>
      </c>
      <c r="AR19" t="s">
        <v>530</v>
      </c>
      <c r="AS19" t="s">
        <v>531</v>
      </c>
    </row>
    <row r="20" spans="1:45">
      <c r="A20" t="s">
        <v>401</v>
      </c>
      <c r="B20" t="s">
        <v>507</v>
      </c>
      <c r="C20" s="265">
        <v>45841</v>
      </c>
      <c r="D20" s="83">
        <v>125</v>
      </c>
      <c r="E20" s="24"/>
      <c r="F20" s="24"/>
      <c r="H20" s="24"/>
      <c r="J20" s="24"/>
      <c r="K20" s="24"/>
      <c r="L20" s="24"/>
      <c r="M20" s="24"/>
      <c r="N20" s="24"/>
      <c r="O20" s="24"/>
      <c r="P20" s="24"/>
      <c r="Q20" s="24"/>
      <c r="R20" s="24"/>
      <c r="S20" s="24"/>
      <c r="T20" s="24"/>
      <c r="U20" s="24"/>
      <c r="V20" s="24"/>
      <c r="W20" s="24"/>
      <c r="X20" s="24"/>
      <c r="Z20" s="24"/>
      <c r="AA20">
        <v>5</v>
      </c>
      <c r="AB20" s="24">
        <v>45841</v>
      </c>
      <c r="AC20">
        <v>5</v>
      </c>
      <c r="AD20" s="24">
        <v>45841</v>
      </c>
      <c r="AE20">
        <v>5</v>
      </c>
      <c r="AF20" s="24">
        <v>45841</v>
      </c>
      <c r="AG20">
        <v>5</v>
      </c>
      <c r="AH20" s="24">
        <v>45841</v>
      </c>
      <c r="AI20">
        <v>5</v>
      </c>
      <c r="AJ20" s="24">
        <v>45841</v>
      </c>
      <c r="AK20">
        <v>5</v>
      </c>
      <c r="AL20" s="24">
        <v>45841</v>
      </c>
      <c r="AM20">
        <v>5</v>
      </c>
      <c r="AN20" s="24">
        <v>45841</v>
      </c>
      <c r="AO20">
        <v>5</v>
      </c>
      <c r="AP20" s="24">
        <v>45841</v>
      </c>
      <c r="AQ20">
        <v>5</v>
      </c>
      <c r="AR20" s="24">
        <v>45841</v>
      </c>
      <c r="AS20">
        <v>5</v>
      </c>
    </row>
    <row r="21" spans="1:45">
      <c r="C21" s="24">
        <v>45849</v>
      </c>
      <c r="D21" s="83">
        <v>130</v>
      </c>
      <c r="E21" s="24"/>
      <c r="F21" s="24"/>
      <c r="H21" s="24"/>
      <c r="J21" s="24"/>
      <c r="K21" s="24"/>
      <c r="L21" s="24"/>
      <c r="M21" s="24"/>
      <c r="N21" s="24"/>
      <c r="O21" s="24"/>
      <c r="P21" s="24"/>
      <c r="Q21" s="24"/>
      <c r="R21" s="24"/>
      <c r="S21" s="24"/>
      <c r="T21" s="24"/>
      <c r="U21" s="24"/>
      <c r="V21" s="24"/>
      <c r="W21" s="24"/>
      <c r="X21" s="24"/>
      <c r="Z21" s="24"/>
      <c r="AA21">
        <v>10</v>
      </c>
      <c r="AB21" s="24">
        <v>45849</v>
      </c>
      <c r="AC21">
        <v>10</v>
      </c>
      <c r="AD21" s="24">
        <v>45849</v>
      </c>
      <c r="AE21">
        <v>10</v>
      </c>
      <c r="AF21" s="24">
        <v>45849</v>
      </c>
      <c r="AG21">
        <v>10</v>
      </c>
      <c r="AH21" s="24">
        <v>45849</v>
      </c>
      <c r="AI21">
        <v>10</v>
      </c>
      <c r="AJ21" s="24">
        <v>45849</v>
      </c>
      <c r="AK21">
        <v>10</v>
      </c>
      <c r="AL21" s="24">
        <v>45849</v>
      </c>
      <c r="AM21">
        <v>10</v>
      </c>
      <c r="AN21" s="24">
        <v>45849</v>
      </c>
      <c r="AO21">
        <v>10</v>
      </c>
      <c r="AP21" s="24">
        <v>45849</v>
      </c>
      <c r="AQ21">
        <v>10</v>
      </c>
      <c r="AR21" s="24">
        <v>45849</v>
      </c>
      <c r="AS21">
        <v>10</v>
      </c>
    </row>
    <row r="22" spans="1:45">
      <c r="C22" s="24">
        <v>45856</v>
      </c>
      <c r="D22" s="83">
        <v>135</v>
      </c>
      <c r="E22" s="24"/>
      <c r="F22" s="24"/>
      <c r="H22" s="24"/>
      <c r="J22" s="24"/>
      <c r="K22" s="24"/>
      <c r="L22" s="24"/>
      <c r="M22" s="24"/>
      <c r="N22" s="24"/>
      <c r="O22" s="24"/>
      <c r="P22" s="24"/>
      <c r="Q22" s="24"/>
      <c r="R22" s="24"/>
      <c r="S22" s="24"/>
      <c r="T22" s="24"/>
      <c r="U22" s="24"/>
      <c r="V22" s="24"/>
      <c r="W22" s="24"/>
      <c r="X22" s="24"/>
      <c r="Z22" s="24"/>
      <c r="AA22">
        <v>15</v>
      </c>
      <c r="AB22" s="24">
        <v>45856</v>
      </c>
      <c r="AC22">
        <v>15</v>
      </c>
      <c r="AD22" s="24">
        <v>45856</v>
      </c>
      <c r="AE22">
        <v>15</v>
      </c>
      <c r="AF22" s="24">
        <v>45856</v>
      </c>
      <c r="AG22">
        <v>15</v>
      </c>
      <c r="AH22" s="24">
        <v>45856</v>
      </c>
      <c r="AI22">
        <v>15</v>
      </c>
      <c r="AJ22" s="24">
        <v>45856</v>
      </c>
      <c r="AK22">
        <v>15</v>
      </c>
      <c r="AL22" s="24">
        <v>45856</v>
      </c>
      <c r="AM22">
        <v>15</v>
      </c>
      <c r="AN22" s="24">
        <v>45856</v>
      </c>
      <c r="AO22">
        <v>15</v>
      </c>
      <c r="AP22" s="24">
        <v>45856</v>
      </c>
      <c r="AQ22">
        <v>15</v>
      </c>
      <c r="AR22" s="24">
        <v>45856</v>
      </c>
      <c r="AS22">
        <v>15</v>
      </c>
    </row>
    <row r="23" spans="1:45">
      <c r="C23" s="24">
        <v>45863</v>
      </c>
      <c r="D23" s="83">
        <v>140</v>
      </c>
      <c r="E23" s="24"/>
      <c r="F23" s="24"/>
      <c r="H23" s="24"/>
      <c r="J23" s="24"/>
      <c r="K23" s="24"/>
      <c r="L23" s="24"/>
      <c r="M23" s="24"/>
      <c r="N23" s="24"/>
      <c r="O23" s="24"/>
      <c r="P23" s="24"/>
      <c r="Q23" s="24"/>
      <c r="R23" s="24"/>
      <c r="S23" s="24"/>
      <c r="T23" s="24"/>
      <c r="U23" s="24"/>
      <c r="V23" s="24"/>
      <c r="W23" s="24"/>
      <c r="X23" s="24"/>
      <c r="Z23" s="24"/>
      <c r="AA23">
        <v>20</v>
      </c>
      <c r="AB23" s="24">
        <v>45863</v>
      </c>
      <c r="AC23">
        <v>20</v>
      </c>
      <c r="AD23" s="24">
        <v>45863</v>
      </c>
      <c r="AE23">
        <v>20</v>
      </c>
      <c r="AF23" s="24">
        <v>45863</v>
      </c>
      <c r="AG23">
        <v>20</v>
      </c>
      <c r="AH23" s="24">
        <v>45863</v>
      </c>
      <c r="AI23">
        <v>20</v>
      </c>
      <c r="AJ23" s="24">
        <v>45863</v>
      </c>
      <c r="AK23">
        <v>20</v>
      </c>
      <c r="AL23" s="24">
        <v>45863</v>
      </c>
      <c r="AM23">
        <v>20</v>
      </c>
      <c r="AN23" s="24">
        <v>45863</v>
      </c>
      <c r="AO23">
        <v>20</v>
      </c>
      <c r="AP23" s="24">
        <v>45863</v>
      </c>
      <c r="AQ23">
        <v>20</v>
      </c>
      <c r="AR23" s="24">
        <v>45863</v>
      </c>
      <c r="AS23">
        <v>20</v>
      </c>
    </row>
    <row r="24" spans="1:45">
      <c r="C24" s="24">
        <v>45870</v>
      </c>
      <c r="D24" s="83">
        <v>145</v>
      </c>
      <c r="F24" s="24"/>
      <c r="H24" s="24"/>
      <c r="J24" s="24"/>
      <c r="L24" s="24"/>
      <c r="N24" s="24"/>
      <c r="P24" s="24"/>
      <c r="R24" s="24"/>
      <c r="T24" s="24"/>
      <c r="V24" s="24"/>
      <c r="X24" s="24"/>
      <c r="Z24" s="24"/>
      <c r="AA24">
        <v>25</v>
      </c>
      <c r="AB24" s="24">
        <v>45870</v>
      </c>
      <c r="AC24">
        <v>25</v>
      </c>
      <c r="AD24" s="24">
        <v>45870</v>
      </c>
      <c r="AE24">
        <v>25</v>
      </c>
      <c r="AF24" s="24">
        <v>45870</v>
      </c>
      <c r="AG24">
        <v>25</v>
      </c>
      <c r="AH24" s="24">
        <v>45870</v>
      </c>
      <c r="AI24">
        <v>25</v>
      </c>
      <c r="AJ24" s="24">
        <v>45870</v>
      </c>
      <c r="AK24">
        <v>25</v>
      </c>
      <c r="AL24" s="24">
        <v>45870</v>
      </c>
      <c r="AM24">
        <v>25</v>
      </c>
      <c r="AN24" s="24">
        <v>45870</v>
      </c>
      <c r="AO24">
        <v>25</v>
      </c>
      <c r="AP24" s="24">
        <v>45870</v>
      </c>
      <c r="AQ24">
        <v>25</v>
      </c>
      <c r="AR24" s="24">
        <v>45870</v>
      </c>
      <c r="AS24">
        <v>25</v>
      </c>
    </row>
    <row r="25" spans="1:45">
      <c r="C25" s="24">
        <v>45877</v>
      </c>
      <c r="D25" s="83">
        <v>150</v>
      </c>
      <c r="F25" s="24"/>
      <c r="H25" s="24"/>
      <c r="J25" s="24"/>
      <c r="L25" s="24"/>
      <c r="N25" s="24"/>
      <c r="P25" s="24"/>
      <c r="R25" s="24"/>
      <c r="T25" s="24"/>
      <c r="V25" s="24"/>
      <c r="X25" s="24"/>
      <c r="Z25" s="24"/>
      <c r="AA25">
        <v>30</v>
      </c>
      <c r="AB25" s="24">
        <v>45877</v>
      </c>
      <c r="AC25">
        <v>30</v>
      </c>
      <c r="AD25" s="24">
        <v>45877</v>
      </c>
      <c r="AE25">
        <v>30</v>
      </c>
      <c r="AF25" s="24">
        <v>45877</v>
      </c>
      <c r="AG25">
        <v>30</v>
      </c>
      <c r="AH25" s="24">
        <v>45877</v>
      </c>
      <c r="AI25">
        <v>30</v>
      </c>
      <c r="AJ25" s="24">
        <v>45877</v>
      </c>
      <c r="AK25">
        <v>30</v>
      </c>
      <c r="AL25" s="24">
        <v>45877</v>
      </c>
      <c r="AM25">
        <v>30</v>
      </c>
      <c r="AN25" s="24">
        <v>45877</v>
      </c>
      <c r="AO25">
        <v>30</v>
      </c>
      <c r="AP25" s="24">
        <v>45877</v>
      </c>
      <c r="AQ25">
        <v>30</v>
      </c>
      <c r="AR25" s="24">
        <v>45877</v>
      </c>
      <c r="AS25">
        <v>30</v>
      </c>
    </row>
    <row r="26" spans="1:45">
      <c r="A26" s="23"/>
      <c r="C26" s="24">
        <v>45884</v>
      </c>
      <c r="D26" s="83">
        <v>155</v>
      </c>
      <c r="F26" s="24"/>
      <c r="H26" s="24"/>
      <c r="J26" s="24"/>
      <c r="L26" s="24"/>
      <c r="N26" s="24"/>
      <c r="P26" s="24"/>
      <c r="R26" s="24"/>
      <c r="T26" s="24"/>
      <c r="V26" s="24"/>
      <c r="X26" s="24"/>
      <c r="Z26" s="24"/>
      <c r="AA26">
        <v>35</v>
      </c>
      <c r="AB26" s="24">
        <v>45884</v>
      </c>
      <c r="AC26">
        <v>35</v>
      </c>
      <c r="AD26" s="24">
        <v>45884</v>
      </c>
      <c r="AE26">
        <v>35</v>
      </c>
      <c r="AF26" s="24">
        <v>45884</v>
      </c>
      <c r="AG26">
        <v>35</v>
      </c>
      <c r="AH26" s="24">
        <v>45884</v>
      </c>
      <c r="AI26">
        <v>35</v>
      </c>
      <c r="AJ26" s="24">
        <v>45884</v>
      </c>
      <c r="AK26">
        <v>35</v>
      </c>
      <c r="AL26" s="24">
        <v>45884</v>
      </c>
      <c r="AM26">
        <v>35</v>
      </c>
      <c r="AN26" s="24">
        <v>45884</v>
      </c>
      <c r="AO26">
        <v>35</v>
      </c>
      <c r="AP26" s="24">
        <v>45884</v>
      </c>
      <c r="AQ26">
        <v>35</v>
      </c>
      <c r="AR26" s="24">
        <v>45884</v>
      </c>
      <c r="AS26">
        <v>35</v>
      </c>
    </row>
    <row r="27" spans="1:45">
      <c r="B27" s="26"/>
      <c r="C27" s="24">
        <v>45891</v>
      </c>
      <c r="D27" s="83">
        <v>160</v>
      </c>
      <c r="F27" s="24"/>
      <c r="H27" s="24"/>
      <c r="J27" s="24"/>
      <c r="L27" s="24"/>
      <c r="N27" s="24"/>
      <c r="P27" s="24"/>
      <c r="R27" s="24"/>
      <c r="T27" s="24"/>
      <c r="V27" s="24"/>
      <c r="X27" s="24"/>
      <c r="Z27" s="24"/>
      <c r="AA27">
        <v>40</v>
      </c>
      <c r="AB27" s="24">
        <v>45891</v>
      </c>
      <c r="AC27">
        <v>40</v>
      </c>
      <c r="AD27" s="24">
        <v>45891</v>
      </c>
      <c r="AE27">
        <v>40</v>
      </c>
      <c r="AF27" s="24">
        <v>45891</v>
      </c>
      <c r="AG27">
        <v>40</v>
      </c>
      <c r="AH27" s="24">
        <v>45891</v>
      </c>
      <c r="AI27">
        <v>40</v>
      </c>
      <c r="AJ27" s="24">
        <v>45891</v>
      </c>
      <c r="AK27">
        <v>40</v>
      </c>
      <c r="AL27" s="24">
        <v>45891</v>
      </c>
      <c r="AM27">
        <v>40</v>
      </c>
      <c r="AN27" s="24">
        <v>45891</v>
      </c>
      <c r="AO27">
        <v>40</v>
      </c>
      <c r="AP27" s="24">
        <v>45891</v>
      </c>
      <c r="AQ27">
        <v>40</v>
      </c>
      <c r="AR27" s="24">
        <v>45891</v>
      </c>
      <c r="AS27">
        <v>40</v>
      </c>
    </row>
    <row r="28" spans="1:45">
      <c r="A28" s="157"/>
      <c r="C28" s="24">
        <v>45919</v>
      </c>
      <c r="D28" s="83">
        <v>165</v>
      </c>
      <c r="E28" s="24"/>
      <c r="F28" s="24"/>
      <c r="H28" s="24"/>
      <c r="J28" s="24"/>
      <c r="K28" s="24"/>
      <c r="L28" s="24"/>
      <c r="M28" s="24"/>
      <c r="N28" s="24"/>
      <c r="O28" s="24"/>
      <c r="P28" s="24"/>
      <c r="Q28" s="24"/>
      <c r="R28" s="24"/>
      <c r="S28" s="24"/>
      <c r="T28" s="24"/>
      <c r="U28" s="24"/>
      <c r="V28" s="24"/>
      <c r="W28" s="24"/>
      <c r="X28" s="24"/>
      <c r="Z28" s="24"/>
      <c r="AA28">
        <v>45</v>
      </c>
      <c r="AB28" s="24">
        <v>45919</v>
      </c>
      <c r="AC28">
        <v>45</v>
      </c>
      <c r="AD28" s="24">
        <v>45919</v>
      </c>
      <c r="AE28">
        <v>45</v>
      </c>
      <c r="AF28" s="24">
        <v>45919</v>
      </c>
      <c r="AG28">
        <v>45</v>
      </c>
      <c r="AH28" s="24">
        <v>45919</v>
      </c>
      <c r="AI28">
        <v>45</v>
      </c>
      <c r="AJ28" s="24">
        <v>45919</v>
      </c>
      <c r="AK28">
        <v>45</v>
      </c>
      <c r="AL28" s="24">
        <v>45919</v>
      </c>
      <c r="AM28">
        <v>45</v>
      </c>
      <c r="AN28" s="24">
        <v>45919</v>
      </c>
      <c r="AO28">
        <v>45</v>
      </c>
      <c r="AP28" s="24">
        <v>45919</v>
      </c>
      <c r="AQ28">
        <v>45</v>
      </c>
      <c r="AR28" s="24">
        <v>45919</v>
      </c>
      <c r="AS28">
        <v>45</v>
      </c>
    </row>
    <row r="29" spans="1:45">
      <c r="C29" s="24">
        <v>45947</v>
      </c>
      <c r="D29" s="83">
        <v>170</v>
      </c>
      <c r="E29" s="24"/>
      <c r="F29" s="24"/>
      <c r="H29" s="24"/>
      <c r="J29" s="24"/>
      <c r="K29" s="24"/>
      <c r="L29" s="24"/>
      <c r="M29" s="24"/>
      <c r="N29" s="24"/>
      <c r="O29" s="24"/>
      <c r="P29" s="24"/>
      <c r="Q29" s="24"/>
      <c r="R29" s="24"/>
      <c r="S29" s="24"/>
      <c r="T29" s="24"/>
      <c r="U29" s="24"/>
      <c r="V29" s="24"/>
      <c r="W29" s="24"/>
      <c r="X29" s="24"/>
      <c r="Z29" s="24"/>
      <c r="AA29">
        <v>50</v>
      </c>
      <c r="AB29" s="24">
        <v>45947</v>
      </c>
      <c r="AC29">
        <v>50</v>
      </c>
      <c r="AD29" s="24">
        <v>45947</v>
      </c>
      <c r="AE29">
        <v>50</v>
      </c>
      <c r="AF29" s="24">
        <v>45947</v>
      </c>
      <c r="AG29">
        <v>50</v>
      </c>
      <c r="AH29" s="24">
        <v>45947</v>
      </c>
      <c r="AI29">
        <v>50</v>
      </c>
      <c r="AJ29" s="24">
        <v>45947</v>
      </c>
      <c r="AK29">
        <v>50</v>
      </c>
      <c r="AL29" s="24">
        <v>45947</v>
      </c>
      <c r="AM29">
        <v>50</v>
      </c>
      <c r="AN29" s="24">
        <v>45947</v>
      </c>
      <c r="AO29">
        <v>50</v>
      </c>
      <c r="AP29" s="24">
        <v>45947</v>
      </c>
      <c r="AQ29">
        <v>50</v>
      </c>
      <c r="AR29" s="24">
        <v>45947</v>
      </c>
      <c r="AS29">
        <v>50</v>
      </c>
    </row>
    <row r="30" spans="1:45">
      <c r="C30" s="24">
        <v>46010</v>
      </c>
      <c r="D30" s="83">
        <v>175</v>
      </c>
      <c r="F30" s="24"/>
      <c r="H30" s="24"/>
      <c r="J30" s="24"/>
      <c r="L30" s="24"/>
      <c r="N30" s="24"/>
      <c r="P30" s="24"/>
      <c r="R30" s="24"/>
      <c r="T30" s="24"/>
      <c r="V30" s="24"/>
      <c r="X30" s="24"/>
      <c r="Z30" s="24"/>
      <c r="AA30">
        <v>55</v>
      </c>
      <c r="AB30" s="24">
        <v>45982</v>
      </c>
      <c r="AC30">
        <v>55</v>
      </c>
      <c r="AD30" s="24">
        <v>45982</v>
      </c>
      <c r="AE30">
        <v>55</v>
      </c>
      <c r="AF30" s="24">
        <v>45982</v>
      </c>
      <c r="AG30">
        <v>55</v>
      </c>
      <c r="AH30" s="24">
        <v>45982</v>
      </c>
      <c r="AI30">
        <v>55</v>
      </c>
      <c r="AJ30" s="24">
        <v>45982</v>
      </c>
      <c r="AK30">
        <v>55</v>
      </c>
      <c r="AL30" s="24">
        <v>45982</v>
      </c>
      <c r="AM30">
        <v>55</v>
      </c>
      <c r="AN30" s="24">
        <v>45982</v>
      </c>
      <c r="AO30">
        <v>55</v>
      </c>
      <c r="AP30" s="24">
        <v>45982</v>
      </c>
      <c r="AQ30">
        <v>55</v>
      </c>
      <c r="AR30" s="24">
        <v>45982</v>
      </c>
      <c r="AS30">
        <v>55</v>
      </c>
    </row>
    <row r="31" spans="1:45">
      <c r="C31" s="24">
        <v>46038</v>
      </c>
      <c r="D31" s="83">
        <v>180</v>
      </c>
      <c r="E31" s="24"/>
      <c r="F31" s="24"/>
      <c r="H31" s="24"/>
      <c r="J31" s="24"/>
      <c r="K31" s="24"/>
      <c r="L31" s="24"/>
      <c r="M31" s="24"/>
      <c r="N31" s="24"/>
      <c r="O31" s="24"/>
      <c r="P31" s="24"/>
      <c r="Q31" s="24"/>
      <c r="R31" s="24"/>
      <c r="S31" s="24"/>
      <c r="T31" s="24"/>
      <c r="U31" s="24"/>
      <c r="V31" s="24"/>
      <c r="W31" s="24"/>
      <c r="X31" s="24"/>
      <c r="Z31" s="24"/>
      <c r="AA31">
        <v>60</v>
      </c>
      <c r="AB31" s="24">
        <v>46010</v>
      </c>
      <c r="AC31">
        <v>60</v>
      </c>
      <c r="AD31" s="24">
        <v>46010</v>
      </c>
      <c r="AE31">
        <v>60</v>
      </c>
      <c r="AF31" s="24">
        <v>46010</v>
      </c>
      <c r="AG31">
        <v>60</v>
      </c>
      <c r="AH31" s="24">
        <v>46010</v>
      </c>
      <c r="AI31">
        <v>60</v>
      </c>
      <c r="AJ31" s="24">
        <v>46010</v>
      </c>
      <c r="AK31">
        <v>60</v>
      </c>
      <c r="AL31" s="24">
        <v>46010</v>
      </c>
      <c r="AM31">
        <v>60</v>
      </c>
      <c r="AN31" s="24">
        <v>46010</v>
      </c>
      <c r="AO31">
        <v>60</v>
      </c>
      <c r="AP31" s="24">
        <v>46010</v>
      </c>
      <c r="AQ31">
        <v>60</v>
      </c>
      <c r="AR31" s="24">
        <v>46010</v>
      </c>
      <c r="AS31">
        <v>60</v>
      </c>
    </row>
    <row r="32" spans="1:45">
      <c r="C32" s="24">
        <v>46073</v>
      </c>
      <c r="D32" s="83">
        <v>185</v>
      </c>
      <c r="F32" s="24"/>
      <c r="H32" s="24"/>
      <c r="J32" s="24"/>
      <c r="L32" s="24"/>
      <c r="N32" s="24"/>
      <c r="P32" s="24"/>
      <c r="R32" s="24"/>
      <c r="T32" s="24"/>
      <c r="V32" s="24"/>
      <c r="X32" s="24"/>
      <c r="Z32" s="24"/>
      <c r="AA32">
        <v>65</v>
      </c>
      <c r="AB32" s="24">
        <v>46038</v>
      </c>
      <c r="AC32">
        <v>65</v>
      </c>
      <c r="AD32" s="24">
        <v>46038</v>
      </c>
      <c r="AE32">
        <v>65</v>
      </c>
      <c r="AF32" s="24">
        <v>46038</v>
      </c>
      <c r="AG32">
        <v>65</v>
      </c>
      <c r="AH32" s="24">
        <v>46038</v>
      </c>
      <c r="AI32">
        <v>65</v>
      </c>
      <c r="AJ32" s="24">
        <v>46038</v>
      </c>
      <c r="AK32">
        <v>65</v>
      </c>
      <c r="AL32" s="24">
        <v>46038</v>
      </c>
      <c r="AM32">
        <v>65</v>
      </c>
      <c r="AN32" s="24">
        <v>46038</v>
      </c>
      <c r="AO32">
        <v>65</v>
      </c>
      <c r="AP32" s="24">
        <v>46038</v>
      </c>
      <c r="AQ32">
        <v>65</v>
      </c>
      <c r="AR32" s="24">
        <v>46038</v>
      </c>
      <c r="AS32">
        <v>65</v>
      </c>
    </row>
    <row r="33" spans="3:45">
      <c r="C33" s="24">
        <v>46101</v>
      </c>
      <c r="D33" s="83">
        <v>190</v>
      </c>
      <c r="F33" s="24"/>
      <c r="H33" s="24"/>
      <c r="J33" s="24"/>
      <c r="L33" s="24"/>
      <c r="N33" s="24"/>
      <c r="P33" s="24"/>
      <c r="R33" s="24"/>
      <c r="T33" s="24"/>
      <c r="V33" s="24"/>
      <c r="X33" s="24"/>
      <c r="Z33" s="24"/>
      <c r="AA33">
        <v>70</v>
      </c>
      <c r="AB33" s="24">
        <v>46073</v>
      </c>
      <c r="AC33">
        <v>70</v>
      </c>
      <c r="AD33" s="24">
        <v>46073</v>
      </c>
      <c r="AE33">
        <v>70</v>
      </c>
      <c r="AF33" s="24">
        <v>46073</v>
      </c>
      <c r="AG33">
        <v>70</v>
      </c>
      <c r="AH33" s="24">
        <v>46073</v>
      </c>
      <c r="AI33">
        <v>70</v>
      </c>
      <c r="AJ33" s="24">
        <v>46073</v>
      </c>
      <c r="AK33">
        <v>70</v>
      </c>
      <c r="AL33" s="24">
        <v>46073</v>
      </c>
      <c r="AM33">
        <v>70</v>
      </c>
      <c r="AN33" s="24">
        <v>46073</v>
      </c>
      <c r="AO33">
        <v>70</v>
      </c>
      <c r="AP33" s="24">
        <v>46073</v>
      </c>
      <c r="AQ33">
        <v>70</v>
      </c>
      <c r="AR33" s="24">
        <v>46073</v>
      </c>
      <c r="AS33">
        <v>70</v>
      </c>
    </row>
    <row r="34" spans="3:45">
      <c r="C34" s="24">
        <v>46157</v>
      </c>
      <c r="D34" s="83">
        <v>195</v>
      </c>
      <c r="E34" s="24"/>
      <c r="F34" s="24"/>
      <c r="H34" s="24"/>
      <c r="J34" s="24"/>
      <c r="K34" s="24"/>
      <c r="L34" s="24"/>
      <c r="M34" s="24"/>
      <c r="N34" s="24"/>
      <c r="O34" s="24"/>
      <c r="P34" s="24"/>
      <c r="Q34" s="24"/>
      <c r="R34" s="24"/>
      <c r="S34" s="24"/>
      <c r="T34" s="24"/>
      <c r="U34" s="24"/>
      <c r="V34" s="24"/>
      <c r="W34" s="24"/>
      <c r="X34" s="24"/>
      <c r="Z34" s="24"/>
      <c r="AA34">
        <v>75</v>
      </c>
      <c r="AB34" s="24">
        <v>46101</v>
      </c>
      <c r="AC34">
        <v>75</v>
      </c>
      <c r="AD34" s="24">
        <v>46101</v>
      </c>
      <c r="AE34">
        <v>75</v>
      </c>
      <c r="AF34" s="24">
        <v>46101</v>
      </c>
      <c r="AG34">
        <v>75</v>
      </c>
      <c r="AH34" s="24">
        <v>46101</v>
      </c>
      <c r="AI34">
        <v>75</v>
      </c>
      <c r="AJ34" s="24">
        <v>46101</v>
      </c>
      <c r="AK34">
        <v>75</v>
      </c>
      <c r="AL34" s="24">
        <v>46101</v>
      </c>
      <c r="AM34">
        <v>75</v>
      </c>
      <c r="AN34" s="24">
        <v>46101</v>
      </c>
      <c r="AO34">
        <v>75</v>
      </c>
      <c r="AP34" s="24">
        <v>46101</v>
      </c>
      <c r="AQ34">
        <v>75</v>
      </c>
      <c r="AR34" s="24">
        <v>46101</v>
      </c>
      <c r="AS34">
        <v>75</v>
      </c>
    </row>
    <row r="35" spans="3:45">
      <c r="C35" s="24">
        <v>46191</v>
      </c>
      <c r="D35" s="83">
        <v>200</v>
      </c>
      <c r="E35" s="24"/>
      <c r="F35" s="24"/>
      <c r="H35" s="24"/>
      <c r="J35" s="24"/>
      <c r="K35" s="24"/>
      <c r="L35" s="24"/>
      <c r="M35" s="24"/>
      <c r="N35" s="24"/>
      <c r="O35" s="24"/>
      <c r="P35" s="24"/>
      <c r="Q35" s="24"/>
      <c r="R35" s="24"/>
      <c r="S35" s="24"/>
      <c r="T35" s="24"/>
      <c r="U35" s="24"/>
      <c r="V35" s="24"/>
      <c r="W35" s="24"/>
      <c r="X35" s="24"/>
      <c r="Z35" s="24"/>
      <c r="AA35">
        <v>80</v>
      </c>
      <c r="AB35" s="24">
        <v>46157</v>
      </c>
      <c r="AC35">
        <v>80</v>
      </c>
      <c r="AD35" s="24">
        <v>46157</v>
      </c>
      <c r="AE35">
        <v>80</v>
      </c>
      <c r="AF35" s="24">
        <v>46157</v>
      </c>
      <c r="AG35">
        <v>80</v>
      </c>
      <c r="AH35" s="24">
        <v>46157</v>
      </c>
      <c r="AI35">
        <v>80</v>
      </c>
      <c r="AJ35" s="24">
        <v>46157</v>
      </c>
      <c r="AK35">
        <v>80</v>
      </c>
      <c r="AL35" s="24">
        <v>46157</v>
      </c>
      <c r="AM35">
        <v>80</v>
      </c>
      <c r="AN35" s="24">
        <v>46157</v>
      </c>
      <c r="AO35">
        <v>80</v>
      </c>
      <c r="AP35" s="24">
        <v>46157</v>
      </c>
      <c r="AQ35">
        <v>80</v>
      </c>
      <c r="AR35" s="24">
        <v>46157</v>
      </c>
      <c r="AS35">
        <v>80</v>
      </c>
    </row>
    <row r="36" spans="3:45">
      <c r="C36" s="24">
        <v>46283</v>
      </c>
      <c r="D36" s="83">
        <v>205</v>
      </c>
      <c r="F36" s="24"/>
      <c r="H36" s="24"/>
      <c r="J36" s="24"/>
      <c r="L36" s="24"/>
      <c r="N36" s="24"/>
      <c r="P36" s="24"/>
      <c r="R36" s="24"/>
      <c r="T36" s="24"/>
      <c r="V36" s="24"/>
      <c r="X36" s="24"/>
      <c r="Z36" s="24"/>
      <c r="AA36">
        <v>85</v>
      </c>
      <c r="AB36" s="24">
        <v>46191</v>
      </c>
      <c r="AC36">
        <v>85</v>
      </c>
      <c r="AD36" s="24">
        <v>46191</v>
      </c>
      <c r="AE36">
        <v>85</v>
      </c>
      <c r="AF36" s="24">
        <v>46191</v>
      </c>
      <c r="AG36">
        <v>85</v>
      </c>
      <c r="AH36" s="24">
        <v>46191</v>
      </c>
      <c r="AI36">
        <v>85</v>
      </c>
      <c r="AJ36" s="24">
        <v>46191</v>
      </c>
      <c r="AK36">
        <v>85</v>
      </c>
      <c r="AL36" s="24">
        <v>46191</v>
      </c>
      <c r="AM36">
        <v>85</v>
      </c>
      <c r="AN36" s="24">
        <v>46191</v>
      </c>
      <c r="AO36">
        <v>85</v>
      </c>
      <c r="AP36" s="24">
        <v>46191</v>
      </c>
      <c r="AQ36">
        <v>85</v>
      </c>
      <c r="AR36" s="24">
        <v>46191</v>
      </c>
      <c r="AS36">
        <v>85</v>
      </c>
    </row>
    <row r="37" spans="3:45">
      <c r="C37" s="24">
        <v>46374</v>
      </c>
      <c r="D37" s="83">
        <v>210</v>
      </c>
      <c r="F37" s="24"/>
      <c r="H37" s="24"/>
      <c r="J37" s="24"/>
      <c r="L37" s="24"/>
      <c r="N37" s="24"/>
      <c r="P37" s="24"/>
      <c r="R37" s="24"/>
      <c r="T37" s="24"/>
      <c r="V37" s="24"/>
      <c r="X37" s="24"/>
      <c r="Z37" s="24"/>
      <c r="AA37">
        <v>90</v>
      </c>
      <c r="AB37" s="24">
        <v>46283</v>
      </c>
      <c r="AC37">
        <v>90</v>
      </c>
      <c r="AD37" s="24">
        <v>46283</v>
      </c>
      <c r="AE37">
        <v>90</v>
      </c>
      <c r="AF37" s="24">
        <v>46283</v>
      </c>
      <c r="AG37">
        <v>90</v>
      </c>
      <c r="AH37" s="24">
        <v>46283</v>
      </c>
      <c r="AI37">
        <v>90</v>
      </c>
      <c r="AJ37" s="24">
        <v>46283</v>
      </c>
      <c r="AK37">
        <v>90</v>
      </c>
      <c r="AL37" s="24">
        <v>46283</v>
      </c>
      <c r="AM37">
        <v>90</v>
      </c>
      <c r="AN37" s="24">
        <v>46283</v>
      </c>
      <c r="AO37">
        <v>90</v>
      </c>
      <c r="AP37" s="24">
        <v>46283</v>
      </c>
      <c r="AQ37">
        <v>90</v>
      </c>
      <c r="AR37" s="24">
        <v>46283</v>
      </c>
      <c r="AS37">
        <v>90</v>
      </c>
    </row>
    <row r="38" spans="3:45">
      <c r="C38" s="24">
        <v>46402</v>
      </c>
      <c r="D38" s="83">
        <v>215</v>
      </c>
      <c r="E38" s="24"/>
      <c r="F38" s="24"/>
      <c r="H38" s="24"/>
      <c r="J38" s="24"/>
      <c r="K38" s="24"/>
      <c r="L38" s="24"/>
      <c r="M38" s="24"/>
      <c r="N38" s="24"/>
      <c r="O38" s="24"/>
      <c r="P38" s="24"/>
      <c r="Q38" s="24"/>
      <c r="R38" s="24"/>
      <c r="S38" s="24"/>
      <c r="T38" s="24"/>
      <c r="U38" s="24"/>
      <c r="V38" s="24"/>
      <c r="W38" s="24"/>
      <c r="X38" s="24"/>
      <c r="Z38" s="24"/>
      <c r="AA38">
        <v>95</v>
      </c>
      <c r="AB38" s="24">
        <v>46374</v>
      </c>
      <c r="AC38">
        <v>95</v>
      </c>
      <c r="AD38" s="24">
        <v>46374</v>
      </c>
      <c r="AE38">
        <v>95</v>
      </c>
      <c r="AF38" s="24">
        <v>46374</v>
      </c>
      <c r="AG38">
        <v>95</v>
      </c>
      <c r="AH38" s="24">
        <v>46374</v>
      </c>
      <c r="AI38">
        <v>95</v>
      </c>
      <c r="AJ38" s="24">
        <v>46374</v>
      </c>
      <c r="AK38">
        <v>95</v>
      </c>
      <c r="AL38" s="24">
        <v>46374</v>
      </c>
      <c r="AM38">
        <v>95</v>
      </c>
      <c r="AN38" s="24">
        <v>46374</v>
      </c>
      <c r="AO38">
        <v>95</v>
      </c>
      <c r="AP38" s="24">
        <v>46374</v>
      </c>
      <c r="AQ38">
        <v>95</v>
      </c>
      <c r="AR38" s="24">
        <v>46374</v>
      </c>
      <c r="AS38">
        <v>95</v>
      </c>
    </row>
    <row r="39" spans="3:45">
      <c r="C39" s="24">
        <v>46555</v>
      </c>
      <c r="D39" s="83">
        <v>220</v>
      </c>
      <c r="E39" s="24"/>
      <c r="F39" s="24"/>
      <c r="H39" s="24"/>
      <c r="J39" s="24"/>
      <c r="K39" s="24"/>
      <c r="L39" s="24"/>
      <c r="M39" s="24"/>
      <c r="N39" s="24"/>
      <c r="O39" s="24"/>
      <c r="P39" s="24"/>
      <c r="Q39" s="24"/>
      <c r="R39" s="24"/>
      <c r="S39" s="24"/>
      <c r="T39" s="24"/>
      <c r="U39" s="24"/>
      <c r="V39" s="24"/>
      <c r="W39" s="24"/>
      <c r="X39" s="24"/>
      <c r="Z39" s="24"/>
      <c r="AA39">
        <v>100</v>
      </c>
      <c r="AB39" s="24">
        <v>46402</v>
      </c>
      <c r="AC39">
        <v>100</v>
      </c>
      <c r="AD39" s="24">
        <v>46402</v>
      </c>
      <c r="AE39">
        <v>100</v>
      </c>
      <c r="AF39" s="24">
        <v>46402</v>
      </c>
      <c r="AG39">
        <v>100</v>
      </c>
      <c r="AH39" s="24">
        <v>46402</v>
      </c>
      <c r="AI39">
        <v>100</v>
      </c>
      <c r="AJ39" s="24">
        <v>46402</v>
      </c>
      <c r="AK39">
        <v>100</v>
      </c>
      <c r="AL39" s="24">
        <v>46402</v>
      </c>
      <c r="AM39">
        <v>100</v>
      </c>
      <c r="AN39" s="24">
        <v>46402</v>
      </c>
      <c r="AO39">
        <v>100</v>
      </c>
      <c r="AP39" s="24">
        <v>46402</v>
      </c>
      <c r="AQ39">
        <v>100</v>
      </c>
      <c r="AR39" s="24">
        <v>46402</v>
      </c>
      <c r="AS39">
        <v>100</v>
      </c>
    </row>
    <row r="40" spans="3:45">
      <c r="C40" s="24">
        <v>46738</v>
      </c>
      <c r="D40" s="83">
        <v>225</v>
      </c>
      <c r="E40" s="24"/>
      <c r="F40" s="24"/>
      <c r="H40" s="24"/>
      <c r="J40" s="24"/>
      <c r="K40" s="24"/>
      <c r="L40" s="24"/>
      <c r="M40" s="24"/>
      <c r="N40" s="24"/>
      <c r="O40" s="24"/>
      <c r="P40" s="24"/>
      <c r="Q40" s="24"/>
      <c r="R40" s="24"/>
      <c r="S40" s="24"/>
      <c r="T40" s="24"/>
      <c r="U40" s="24"/>
      <c r="V40" s="24"/>
      <c r="W40" s="24"/>
      <c r="X40" s="24"/>
      <c r="Z40" s="24"/>
      <c r="AA40">
        <v>105</v>
      </c>
      <c r="AB40" s="24">
        <v>46555</v>
      </c>
      <c r="AC40">
        <v>105</v>
      </c>
      <c r="AD40" s="24">
        <v>46555</v>
      </c>
      <c r="AE40">
        <v>105</v>
      </c>
      <c r="AF40" s="24">
        <v>46555</v>
      </c>
      <c r="AG40">
        <v>105</v>
      </c>
      <c r="AH40" s="24">
        <v>46555</v>
      </c>
      <c r="AI40">
        <v>105</v>
      </c>
      <c r="AJ40" s="24">
        <v>46555</v>
      </c>
      <c r="AK40">
        <v>105</v>
      </c>
      <c r="AL40" s="24">
        <v>46555</v>
      </c>
      <c r="AM40">
        <v>105</v>
      </c>
      <c r="AN40" s="24">
        <v>46555</v>
      </c>
      <c r="AO40">
        <v>105</v>
      </c>
      <c r="AP40" s="24">
        <v>46555</v>
      </c>
      <c r="AQ40">
        <v>105</v>
      </c>
      <c r="AR40" s="24">
        <v>46555</v>
      </c>
      <c r="AS40">
        <v>105</v>
      </c>
    </row>
    <row r="41" spans="3:45">
      <c r="D41" s="83">
        <v>230</v>
      </c>
      <c r="F41" s="24"/>
      <c r="H41" s="24"/>
      <c r="J41" s="24"/>
      <c r="L41" s="24"/>
      <c r="N41" s="24"/>
      <c r="P41" s="24"/>
      <c r="R41" s="24"/>
      <c r="T41" s="24"/>
      <c r="V41" s="24"/>
      <c r="X41" s="24"/>
      <c r="Z41" s="24"/>
      <c r="AA41">
        <v>110</v>
      </c>
      <c r="AB41" s="24">
        <v>46738</v>
      </c>
      <c r="AC41">
        <v>110</v>
      </c>
      <c r="AD41" s="24">
        <v>46738</v>
      </c>
      <c r="AE41">
        <v>110</v>
      </c>
      <c r="AF41" s="24">
        <v>46738</v>
      </c>
      <c r="AG41">
        <v>110</v>
      </c>
      <c r="AH41" s="24">
        <v>46738</v>
      </c>
      <c r="AI41">
        <v>110</v>
      </c>
      <c r="AJ41" s="24">
        <v>46738</v>
      </c>
      <c r="AK41">
        <v>110</v>
      </c>
      <c r="AL41" s="24">
        <v>46738</v>
      </c>
      <c r="AM41">
        <v>110</v>
      </c>
      <c r="AN41" s="24">
        <v>46738</v>
      </c>
      <c r="AO41">
        <v>110</v>
      </c>
      <c r="AP41" s="24">
        <v>46738</v>
      </c>
      <c r="AQ41">
        <v>110</v>
      </c>
      <c r="AR41" s="24">
        <v>46738</v>
      </c>
      <c r="AS41">
        <v>110</v>
      </c>
    </row>
    <row r="42" spans="3:45">
      <c r="D42" s="83">
        <v>235</v>
      </c>
      <c r="E42" s="24"/>
      <c r="F42" s="24"/>
      <c r="H42" s="24"/>
      <c r="J42" s="24"/>
      <c r="K42" s="24"/>
      <c r="L42" s="24"/>
      <c r="M42" s="24"/>
      <c r="N42" s="24"/>
      <c r="O42" s="24"/>
      <c r="P42" s="24"/>
      <c r="Q42" s="24"/>
      <c r="R42" s="24"/>
      <c r="S42" s="24"/>
      <c r="T42" s="24"/>
      <c r="U42" s="24"/>
      <c r="V42" s="24"/>
      <c r="W42" s="24"/>
      <c r="AA42">
        <v>115</v>
      </c>
      <c r="AC42">
        <v>115</v>
      </c>
      <c r="AE42">
        <v>115</v>
      </c>
      <c r="AG42">
        <v>115</v>
      </c>
      <c r="AI42">
        <v>115</v>
      </c>
      <c r="AK42">
        <v>115</v>
      </c>
      <c r="AM42">
        <v>115</v>
      </c>
      <c r="AO42">
        <v>115</v>
      </c>
      <c r="AQ42">
        <v>115</v>
      </c>
      <c r="AS42">
        <v>115</v>
      </c>
    </row>
    <row r="43" spans="3:45">
      <c r="D43" s="83">
        <v>240</v>
      </c>
      <c r="E43" s="24"/>
      <c r="F43" s="24"/>
      <c r="H43" s="24"/>
      <c r="J43" s="24"/>
      <c r="K43" s="24"/>
      <c r="L43" s="24"/>
      <c r="M43" s="24"/>
      <c r="N43" s="24"/>
      <c r="O43" s="24"/>
      <c r="P43" s="24"/>
      <c r="Q43" s="24"/>
      <c r="R43" s="24"/>
      <c r="S43" s="24"/>
      <c r="T43" s="24"/>
      <c r="U43" s="24"/>
      <c r="V43" s="24"/>
      <c r="W43" s="24"/>
      <c r="AA43">
        <v>120</v>
      </c>
      <c r="AC43">
        <v>120</v>
      </c>
      <c r="AE43">
        <v>120</v>
      </c>
      <c r="AG43">
        <v>120</v>
      </c>
      <c r="AI43">
        <v>120</v>
      </c>
      <c r="AK43">
        <v>120</v>
      </c>
      <c r="AM43">
        <v>120</v>
      </c>
      <c r="AO43">
        <v>120</v>
      </c>
      <c r="AQ43">
        <v>120</v>
      </c>
      <c r="AS43">
        <v>120</v>
      </c>
    </row>
    <row r="44" spans="3:45">
      <c r="D44" s="83">
        <v>245</v>
      </c>
      <c r="AA44">
        <v>125</v>
      </c>
      <c r="AC44">
        <v>125</v>
      </c>
      <c r="AE44">
        <v>125</v>
      </c>
      <c r="AG44">
        <v>125</v>
      </c>
      <c r="AI44">
        <v>125</v>
      </c>
      <c r="AK44">
        <v>125</v>
      </c>
      <c r="AM44">
        <v>125</v>
      </c>
      <c r="AO44">
        <v>125</v>
      </c>
      <c r="AQ44">
        <v>125</v>
      </c>
      <c r="AS44">
        <v>125</v>
      </c>
    </row>
    <row r="45" spans="3:45">
      <c r="D45" s="83">
        <v>250</v>
      </c>
      <c r="E45" s="24"/>
      <c r="F45" s="24"/>
      <c r="H45" s="24"/>
      <c r="J45" s="24"/>
      <c r="K45" s="24"/>
      <c r="L45" s="24"/>
      <c r="M45" s="24"/>
      <c r="N45" s="24"/>
      <c r="O45" s="24"/>
      <c r="P45" s="24"/>
      <c r="Q45" s="24"/>
      <c r="R45" s="24"/>
      <c r="S45" s="24"/>
      <c r="T45" s="24"/>
      <c r="U45" s="24"/>
      <c r="V45" s="24"/>
      <c r="W45" s="24"/>
      <c r="AA45">
        <v>130</v>
      </c>
      <c r="AC45">
        <v>130</v>
      </c>
      <c r="AE45">
        <v>130</v>
      </c>
      <c r="AG45">
        <v>130</v>
      </c>
      <c r="AI45">
        <v>130</v>
      </c>
      <c r="AK45">
        <v>130</v>
      </c>
      <c r="AM45">
        <v>130</v>
      </c>
      <c r="AO45">
        <v>130</v>
      </c>
      <c r="AQ45">
        <v>130</v>
      </c>
      <c r="AS45">
        <v>130</v>
      </c>
    </row>
    <row r="46" spans="3:45">
      <c r="D46" s="83">
        <v>255</v>
      </c>
      <c r="E46" s="24"/>
      <c r="F46" s="24"/>
      <c r="H46" s="24"/>
      <c r="J46" s="24"/>
      <c r="K46" s="24"/>
      <c r="L46" s="24"/>
      <c r="M46" s="24"/>
      <c r="N46" s="24"/>
      <c r="O46" s="24"/>
      <c r="P46" s="24"/>
      <c r="Q46" s="24"/>
      <c r="R46" s="24"/>
      <c r="S46" s="24"/>
      <c r="T46" s="24"/>
      <c r="U46" s="24"/>
      <c r="V46" s="24"/>
      <c r="W46" s="24"/>
      <c r="AA46">
        <v>135</v>
      </c>
      <c r="AC46">
        <v>135</v>
      </c>
      <c r="AE46">
        <v>135</v>
      </c>
      <c r="AG46">
        <v>135</v>
      </c>
      <c r="AI46">
        <v>135</v>
      </c>
      <c r="AK46">
        <v>135</v>
      </c>
      <c r="AM46">
        <v>135</v>
      </c>
      <c r="AO46">
        <v>135</v>
      </c>
      <c r="AQ46">
        <v>135</v>
      </c>
      <c r="AS46">
        <v>135</v>
      </c>
    </row>
    <row r="47" spans="3:45">
      <c r="D47" s="83">
        <v>260</v>
      </c>
      <c r="E47" s="24"/>
      <c r="F47" s="24"/>
      <c r="H47" s="24"/>
      <c r="J47" s="24"/>
      <c r="K47" s="24"/>
      <c r="L47" s="24"/>
      <c r="M47" s="24"/>
      <c r="N47" s="24"/>
      <c r="O47" s="24"/>
      <c r="P47" s="24"/>
      <c r="Q47" s="24"/>
      <c r="R47" s="24"/>
      <c r="S47" s="24"/>
      <c r="T47" s="24"/>
      <c r="U47" s="24"/>
      <c r="V47" s="24"/>
      <c r="W47" s="24"/>
      <c r="AA47">
        <v>140</v>
      </c>
      <c r="AC47">
        <v>140</v>
      </c>
      <c r="AE47">
        <v>140</v>
      </c>
      <c r="AG47">
        <v>140</v>
      </c>
      <c r="AI47">
        <v>140</v>
      </c>
      <c r="AK47">
        <v>140</v>
      </c>
      <c r="AM47">
        <v>140</v>
      </c>
      <c r="AO47">
        <v>140</v>
      </c>
      <c r="AQ47">
        <v>140</v>
      </c>
      <c r="AS47">
        <v>140</v>
      </c>
    </row>
    <row r="48" spans="3:45">
      <c r="D48" s="83">
        <v>265</v>
      </c>
      <c r="AA48">
        <v>145</v>
      </c>
      <c r="AC48">
        <v>145</v>
      </c>
      <c r="AE48">
        <v>145</v>
      </c>
      <c r="AG48">
        <v>145</v>
      </c>
      <c r="AI48">
        <v>145</v>
      </c>
      <c r="AK48">
        <v>145</v>
      </c>
      <c r="AM48">
        <v>145</v>
      </c>
      <c r="AO48">
        <v>145</v>
      </c>
      <c r="AQ48">
        <v>145</v>
      </c>
      <c r="AS48">
        <v>145</v>
      </c>
    </row>
    <row r="49" spans="4:45">
      <c r="D49" s="83">
        <v>270</v>
      </c>
      <c r="AA49">
        <v>150</v>
      </c>
      <c r="AC49">
        <v>150</v>
      </c>
      <c r="AE49">
        <v>150</v>
      </c>
      <c r="AG49">
        <v>150</v>
      </c>
      <c r="AI49">
        <v>150</v>
      </c>
      <c r="AK49">
        <v>150</v>
      </c>
      <c r="AM49">
        <v>150</v>
      </c>
      <c r="AO49">
        <v>150</v>
      </c>
      <c r="AQ49">
        <v>150</v>
      </c>
      <c r="AS49">
        <v>150</v>
      </c>
    </row>
    <row r="50" spans="4:45">
      <c r="D50" s="83">
        <v>275</v>
      </c>
      <c r="AA50">
        <v>155</v>
      </c>
      <c r="AC50">
        <v>155</v>
      </c>
      <c r="AE50">
        <v>155</v>
      </c>
      <c r="AG50">
        <v>155</v>
      </c>
      <c r="AI50">
        <v>155</v>
      </c>
      <c r="AK50">
        <v>155</v>
      </c>
      <c r="AM50">
        <v>155</v>
      </c>
      <c r="AO50">
        <v>155</v>
      </c>
      <c r="AQ50">
        <v>155</v>
      </c>
      <c r="AS50">
        <v>155</v>
      </c>
    </row>
    <row r="51" spans="4:45">
      <c r="D51" s="83">
        <v>280</v>
      </c>
      <c r="E51" s="24"/>
      <c r="F51" s="24"/>
      <c r="H51" s="24"/>
      <c r="J51" s="24"/>
      <c r="K51" s="24"/>
      <c r="L51" s="24"/>
      <c r="M51" s="24"/>
      <c r="N51" s="24"/>
      <c r="O51" s="24"/>
      <c r="P51" s="24"/>
      <c r="Q51" s="24"/>
      <c r="R51" s="24"/>
      <c r="S51" s="24"/>
      <c r="T51" s="24"/>
      <c r="U51" s="24"/>
      <c r="V51" s="24"/>
      <c r="W51" s="24"/>
      <c r="AA51">
        <v>160</v>
      </c>
      <c r="AC51">
        <v>160</v>
      </c>
      <c r="AE51">
        <v>160</v>
      </c>
      <c r="AG51">
        <v>160</v>
      </c>
      <c r="AI51">
        <v>160</v>
      </c>
      <c r="AK51">
        <v>160</v>
      </c>
      <c r="AM51">
        <v>160</v>
      </c>
      <c r="AO51">
        <v>160</v>
      </c>
      <c r="AQ51">
        <v>160</v>
      </c>
      <c r="AS51">
        <v>160</v>
      </c>
    </row>
    <row r="52" spans="4:45">
      <c r="D52" s="83">
        <v>285</v>
      </c>
      <c r="AA52">
        <v>165</v>
      </c>
      <c r="AC52">
        <v>165</v>
      </c>
      <c r="AE52">
        <v>165</v>
      </c>
      <c r="AG52">
        <v>165</v>
      </c>
      <c r="AI52">
        <v>165</v>
      </c>
      <c r="AK52">
        <v>165</v>
      </c>
      <c r="AM52">
        <v>165</v>
      </c>
      <c r="AO52">
        <v>165</v>
      </c>
      <c r="AQ52">
        <v>165</v>
      </c>
      <c r="AS52">
        <v>165</v>
      </c>
    </row>
    <row r="53" spans="4:45">
      <c r="D53" s="83">
        <v>290</v>
      </c>
      <c r="E53" s="24"/>
      <c r="F53" s="24"/>
      <c r="H53" s="24"/>
      <c r="J53" s="24"/>
      <c r="K53" s="24"/>
      <c r="L53" s="24"/>
      <c r="M53" s="24"/>
      <c r="N53" s="24"/>
      <c r="O53" s="24"/>
      <c r="P53" s="24"/>
      <c r="Q53" s="24"/>
      <c r="R53" s="24"/>
      <c r="S53" s="24"/>
      <c r="T53" s="24"/>
      <c r="U53" s="24"/>
      <c r="V53" s="24"/>
      <c r="W53" s="24"/>
      <c r="AA53">
        <v>170</v>
      </c>
      <c r="AC53">
        <v>170</v>
      </c>
      <c r="AE53">
        <v>170</v>
      </c>
      <c r="AG53">
        <v>170</v>
      </c>
      <c r="AI53">
        <v>170</v>
      </c>
      <c r="AK53">
        <v>170</v>
      </c>
      <c r="AM53">
        <v>170</v>
      </c>
      <c r="AO53">
        <v>170</v>
      </c>
      <c r="AQ53">
        <v>170</v>
      </c>
      <c r="AS53">
        <v>170</v>
      </c>
    </row>
    <row r="54" spans="4:45">
      <c r="D54" s="83">
        <v>295</v>
      </c>
      <c r="AA54">
        <v>172.5</v>
      </c>
      <c r="AC54">
        <v>172.5</v>
      </c>
      <c r="AE54">
        <v>172.5</v>
      </c>
      <c r="AG54">
        <v>172.5</v>
      </c>
      <c r="AI54">
        <v>172.5</v>
      </c>
      <c r="AK54">
        <v>172.5</v>
      </c>
      <c r="AM54">
        <v>172.5</v>
      </c>
      <c r="AO54">
        <v>172.5</v>
      </c>
      <c r="AQ54">
        <v>172.5</v>
      </c>
      <c r="AS54">
        <v>172.5</v>
      </c>
    </row>
    <row r="55" spans="4:45">
      <c r="D55" s="83">
        <v>300</v>
      </c>
      <c r="E55" s="24"/>
      <c r="F55" s="24"/>
      <c r="H55" s="24"/>
      <c r="J55" s="24"/>
      <c r="K55" s="24"/>
      <c r="L55" s="24"/>
      <c r="M55" s="24"/>
      <c r="N55" s="24"/>
      <c r="O55" s="24"/>
      <c r="P55" s="24"/>
      <c r="Q55" s="24"/>
      <c r="R55" s="24"/>
      <c r="S55" s="24"/>
      <c r="T55" s="24"/>
      <c r="U55" s="24"/>
      <c r="V55" s="24"/>
      <c r="W55" s="24"/>
      <c r="AA55">
        <v>175</v>
      </c>
      <c r="AC55">
        <v>175</v>
      </c>
      <c r="AE55">
        <v>175</v>
      </c>
      <c r="AG55">
        <v>175</v>
      </c>
      <c r="AI55">
        <v>175</v>
      </c>
      <c r="AK55">
        <v>175</v>
      </c>
      <c r="AM55">
        <v>175</v>
      </c>
      <c r="AO55">
        <v>175</v>
      </c>
      <c r="AQ55">
        <v>175</v>
      </c>
      <c r="AS55">
        <v>175</v>
      </c>
    </row>
    <row r="56" spans="4:45">
      <c r="D56" s="83">
        <v>305</v>
      </c>
      <c r="AA56">
        <v>177.5</v>
      </c>
      <c r="AC56">
        <v>177.5</v>
      </c>
      <c r="AE56">
        <v>177.5</v>
      </c>
      <c r="AG56">
        <v>177.5</v>
      </c>
      <c r="AI56">
        <v>177.5</v>
      </c>
      <c r="AK56">
        <v>177.5</v>
      </c>
      <c r="AM56">
        <v>177.5</v>
      </c>
      <c r="AO56">
        <v>177.5</v>
      </c>
      <c r="AQ56">
        <v>177.5</v>
      </c>
      <c r="AS56">
        <v>177.5</v>
      </c>
    </row>
    <row r="57" spans="4:45">
      <c r="D57" s="83">
        <v>310</v>
      </c>
      <c r="AA57">
        <v>180</v>
      </c>
      <c r="AC57">
        <v>180</v>
      </c>
      <c r="AE57">
        <v>180</v>
      </c>
      <c r="AG57">
        <v>180</v>
      </c>
      <c r="AI57">
        <v>180</v>
      </c>
      <c r="AK57">
        <v>180</v>
      </c>
      <c r="AM57">
        <v>180</v>
      </c>
      <c r="AO57">
        <v>180</v>
      </c>
      <c r="AQ57">
        <v>180</v>
      </c>
      <c r="AS57">
        <v>180</v>
      </c>
    </row>
    <row r="58" spans="4:45">
      <c r="D58" s="83">
        <v>315</v>
      </c>
      <c r="AA58">
        <v>182.5</v>
      </c>
      <c r="AC58">
        <v>182.5</v>
      </c>
      <c r="AE58">
        <v>182.5</v>
      </c>
      <c r="AG58">
        <v>182.5</v>
      </c>
      <c r="AI58">
        <v>182.5</v>
      </c>
      <c r="AK58">
        <v>182.5</v>
      </c>
      <c r="AM58">
        <v>182.5</v>
      </c>
      <c r="AO58">
        <v>182.5</v>
      </c>
      <c r="AQ58">
        <v>182.5</v>
      </c>
      <c r="AS58">
        <v>182.5</v>
      </c>
    </row>
    <row r="59" spans="4:45">
      <c r="D59" s="83">
        <v>320</v>
      </c>
      <c r="AA59">
        <v>185</v>
      </c>
      <c r="AC59">
        <v>185</v>
      </c>
      <c r="AE59">
        <v>185</v>
      </c>
      <c r="AG59">
        <v>185</v>
      </c>
      <c r="AI59">
        <v>185</v>
      </c>
      <c r="AK59">
        <v>185</v>
      </c>
      <c r="AM59">
        <v>185</v>
      </c>
      <c r="AO59">
        <v>185</v>
      </c>
      <c r="AQ59">
        <v>185</v>
      </c>
      <c r="AS59">
        <v>185</v>
      </c>
    </row>
    <row r="60" spans="4:45">
      <c r="D60" s="83">
        <v>325</v>
      </c>
      <c r="AA60">
        <v>187.5</v>
      </c>
      <c r="AC60">
        <v>187.5</v>
      </c>
      <c r="AE60">
        <v>187.5</v>
      </c>
      <c r="AG60">
        <v>187.5</v>
      </c>
      <c r="AI60">
        <v>187.5</v>
      </c>
      <c r="AK60">
        <v>187.5</v>
      </c>
      <c r="AM60">
        <v>187.5</v>
      </c>
      <c r="AO60">
        <v>187.5</v>
      </c>
      <c r="AQ60">
        <v>187.5</v>
      </c>
      <c r="AS60">
        <v>187.5</v>
      </c>
    </row>
    <row r="61" spans="4:45">
      <c r="D61" s="83">
        <v>330</v>
      </c>
      <c r="AA61">
        <v>190</v>
      </c>
      <c r="AC61">
        <v>190</v>
      </c>
      <c r="AE61">
        <v>190</v>
      </c>
      <c r="AG61">
        <v>190</v>
      </c>
      <c r="AI61">
        <v>190</v>
      </c>
      <c r="AK61">
        <v>190</v>
      </c>
      <c r="AM61">
        <v>190</v>
      </c>
      <c r="AO61">
        <v>190</v>
      </c>
      <c r="AQ61">
        <v>190</v>
      </c>
      <c r="AS61">
        <v>190</v>
      </c>
    </row>
    <row r="62" spans="4:45">
      <c r="D62" s="83">
        <v>335</v>
      </c>
      <c r="AA62">
        <v>192.5</v>
      </c>
      <c r="AC62">
        <v>192.5</v>
      </c>
      <c r="AE62">
        <v>192.5</v>
      </c>
      <c r="AG62">
        <v>192.5</v>
      </c>
      <c r="AI62">
        <v>192.5</v>
      </c>
      <c r="AK62">
        <v>192.5</v>
      </c>
      <c r="AM62">
        <v>192.5</v>
      </c>
      <c r="AO62">
        <v>192.5</v>
      </c>
      <c r="AQ62">
        <v>192.5</v>
      </c>
      <c r="AS62">
        <v>192.5</v>
      </c>
    </row>
    <row r="63" spans="4:45">
      <c r="D63" s="83">
        <v>340</v>
      </c>
      <c r="AA63">
        <v>195</v>
      </c>
      <c r="AC63">
        <v>195</v>
      </c>
      <c r="AE63">
        <v>195</v>
      </c>
      <c r="AG63">
        <v>195</v>
      </c>
      <c r="AI63">
        <v>195</v>
      </c>
      <c r="AK63">
        <v>195</v>
      </c>
      <c r="AM63">
        <v>195</v>
      </c>
      <c r="AO63">
        <v>195</v>
      </c>
      <c r="AQ63">
        <v>195</v>
      </c>
      <c r="AS63">
        <v>195</v>
      </c>
    </row>
    <row r="64" spans="4:45">
      <c r="D64" s="83">
        <v>345</v>
      </c>
      <c r="AA64">
        <v>197.5</v>
      </c>
      <c r="AC64">
        <v>197.5</v>
      </c>
      <c r="AE64">
        <v>197.5</v>
      </c>
      <c r="AG64">
        <v>197.5</v>
      </c>
      <c r="AI64">
        <v>197.5</v>
      </c>
      <c r="AK64">
        <v>197.5</v>
      </c>
      <c r="AM64">
        <v>197.5</v>
      </c>
      <c r="AO64">
        <v>197.5</v>
      </c>
      <c r="AQ64">
        <v>197.5</v>
      </c>
      <c r="AS64">
        <v>197.5</v>
      </c>
    </row>
    <row r="65" spans="4:45">
      <c r="D65" s="83">
        <v>350</v>
      </c>
      <c r="AA65">
        <v>200</v>
      </c>
      <c r="AC65">
        <v>200</v>
      </c>
      <c r="AE65">
        <v>200</v>
      </c>
      <c r="AG65">
        <v>200</v>
      </c>
      <c r="AI65">
        <v>200</v>
      </c>
      <c r="AK65">
        <v>200</v>
      </c>
      <c r="AM65">
        <v>200</v>
      </c>
      <c r="AO65">
        <v>200</v>
      </c>
      <c r="AQ65">
        <v>200</v>
      </c>
      <c r="AS65">
        <v>200</v>
      </c>
    </row>
    <row r="66" spans="4:45">
      <c r="D66" s="83">
        <v>352.5</v>
      </c>
      <c r="AA66">
        <v>202.5</v>
      </c>
      <c r="AC66">
        <v>202.5</v>
      </c>
      <c r="AE66">
        <v>202.5</v>
      </c>
      <c r="AG66">
        <v>202.5</v>
      </c>
      <c r="AI66">
        <v>202.5</v>
      </c>
      <c r="AK66">
        <v>202.5</v>
      </c>
      <c r="AM66">
        <v>202.5</v>
      </c>
      <c r="AO66">
        <v>202.5</v>
      </c>
      <c r="AQ66">
        <v>202.5</v>
      </c>
      <c r="AS66">
        <v>202.5</v>
      </c>
    </row>
    <row r="67" spans="4:45">
      <c r="D67" s="83">
        <v>355</v>
      </c>
      <c r="AA67">
        <v>205</v>
      </c>
      <c r="AC67">
        <v>205</v>
      </c>
      <c r="AE67">
        <v>205</v>
      </c>
      <c r="AG67">
        <v>205</v>
      </c>
      <c r="AI67">
        <v>205</v>
      </c>
      <c r="AK67">
        <v>205</v>
      </c>
      <c r="AM67">
        <v>205</v>
      </c>
      <c r="AO67">
        <v>205</v>
      </c>
      <c r="AQ67">
        <v>205</v>
      </c>
      <c r="AS67">
        <v>205</v>
      </c>
    </row>
    <row r="68" spans="4:45">
      <c r="D68" s="83">
        <v>357.5</v>
      </c>
      <c r="AA68">
        <v>207.5</v>
      </c>
      <c r="AC68">
        <v>207.5</v>
      </c>
      <c r="AE68">
        <v>207.5</v>
      </c>
      <c r="AG68">
        <v>207.5</v>
      </c>
      <c r="AI68">
        <v>207.5</v>
      </c>
      <c r="AK68">
        <v>207.5</v>
      </c>
      <c r="AM68">
        <v>207.5</v>
      </c>
      <c r="AO68">
        <v>207.5</v>
      </c>
      <c r="AQ68">
        <v>207.5</v>
      </c>
      <c r="AS68">
        <v>207.5</v>
      </c>
    </row>
    <row r="69" spans="4:45">
      <c r="D69" s="83">
        <v>360</v>
      </c>
      <c r="AA69">
        <v>210</v>
      </c>
      <c r="AC69">
        <v>210</v>
      </c>
      <c r="AE69">
        <v>210</v>
      </c>
      <c r="AG69">
        <v>210</v>
      </c>
      <c r="AI69">
        <v>210</v>
      </c>
      <c r="AK69">
        <v>210</v>
      </c>
      <c r="AM69">
        <v>210</v>
      </c>
      <c r="AO69">
        <v>210</v>
      </c>
      <c r="AQ69">
        <v>210</v>
      </c>
      <c r="AS69">
        <v>210</v>
      </c>
    </row>
    <row r="70" spans="4:45">
      <c r="D70" s="83">
        <v>362.5</v>
      </c>
      <c r="AA70">
        <v>212.5</v>
      </c>
      <c r="AC70">
        <v>212.5</v>
      </c>
      <c r="AE70">
        <v>212.5</v>
      </c>
      <c r="AG70">
        <v>212.5</v>
      </c>
      <c r="AI70">
        <v>212.5</v>
      </c>
      <c r="AK70">
        <v>212.5</v>
      </c>
      <c r="AM70">
        <v>212.5</v>
      </c>
      <c r="AO70">
        <v>212.5</v>
      </c>
      <c r="AQ70">
        <v>212.5</v>
      </c>
      <c r="AS70">
        <v>212.5</v>
      </c>
    </row>
    <row r="71" spans="4:45">
      <c r="D71" s="83">
        <v>365</v>
      </c>
      <c r="AA71">
        <v>215</v>
      </c>
      <c r="AC71">
        <v>215</v>
      </c>
      <c r="AE71">
        <v>215</v>
      </c>
      <c r="AG71">
        <v>215</v>
      </c>
      <c r="AI71">
        <v>215</v>
      </c>
      <c r="AK71">
        <v>215</v>
      </c>
      <c r="AM71">
        <v>215</v>
      </c>
      <c r="AO71">
        <v>215</v>
      </c>
      <c r="AQ71">
        <v>215</v>
      </c>
      <c r="AS71">
        <v>215</v>
      </c>
    </row>
    <row r="72" spans="4:45">
      <c r="D72" s="83">
        <v>367.5</v>
      </c>
      <c r="AA72">
        <v>217.5</v>
      </c>
      <c r="AC72">
        <v>217.5</v>
      </c>
      <c r="AE72">
        <v>217.5</v>
      </c>
      <c r="AG72">
        <v>217.5</v>
      </c>
      <c r="AI72">
        <v>217.5</v>
      </c>
      <c r="AK72">
        <v>217.5</v>
      </c>
      <c r="AM72">
        <v>217.5</v>
      </c>
      <c r="AO72">
        <v>217.5</v>
      </c>
      <c r="AQ72">
        <v>217.5</v>
      </c>
      <c r="AS72">
        <v>217.5</v>
      </c>
    </row>
    <row r="73" spans="4:45">
      <c r="D73" s="83">
        <v>370</v>
      </c>
      <c r="AA73">
        <v>220</v>
      </c>
      <c r="AC73">
        <v>220</v>
      </c>
      <c r="AE73">
        <v>220</v>
      </c>
      <c r="AG73">
        <v>220</v>
      </c>
      <c r="AI73">
        <v>220</v>
      </c>
      <c r="AK73">
        <v>220</v>
      </c>
      <c r="AM73">
        <v>220</v>
      </c>
      <c r="AO73">
        <v>220</v>
      </c>
      <c r="AQ73">
        <v>220</v>
      </c>
      <c r="AS73">
        <v>220</v>
      </c>
    </row>
    <row r="74" spans="4:45">
      <c r="D74" s="83">
        <v>372.5</v>
      </c>
      <c r="AA74">
        <v>222.5</v>
      </c>
      <c r="AC74">
        <v>222.5</v>
      </c>
      <c r="AE74">
        <v>222.5</v>
      </c>
      <c r="AG74">
        <v>222.5</v>
      </c>
      <c r="AI74">
        <v>222.5</v>
      </c>
      <c r="AK74">
        <v>222.5</v>
      </c>
      <c r="AM74">
        <v>222.5</v>
      </c>
      <c r="AO74">
        <v>222.5</v>
      </c>
      <c r="AQ74">
        <v>222.5</v>
      </c>
      <c r="AS74">
        <v>222.5</v>
      </c>
    </row>
    <row r="75" spans="4:45">
      <c r="D75" s="83">
        <v>375</v>
      </c>
      <c r="AA75">
        <v>225</v>
      </c>
      <c r="AC75">
        <v>225</v>
      </c>
      <c r="AE75">
        <v>225</v>
      </c>
      <c r="AG75">
        <v>225</v>
      </c>
      <c r="AI75">
        <v>225</v>
      </c>
      <c r="AK75">
        <v>225</v>
      </c>
      <c r="AM75">
        <v>225</v>
      </c>
      <c r="AO75">
        <v>225</v>
      </c>
      <c r="AQ75">
        <v>225</v>
      </c>
      <c r="AS75">
        <v>225</v>
      </c>
    </row>
    <row r="76" spans="4:45">
      <c r="D76" s="83">
        <v>377.5</v>
      </c>
      <c r="AA76">
        <v>227.5</v>
      </c>
      <c r="AC76">
        <v>227.5</v>
      </c>
      <c r="AE76">
        <v>227.5</v>
      </c>
      <c r="AG76">
        <v>227.5</v>
      </c>
      <c r="AI76">
        <v>227.5</v>
      </c>
      <c r="AK76">
        <v>227.5</v>
      </c>
      <c r="AM76">
        <v>227.5</v>
      </c>
      <c r="AO76">
        <v>227.5</v>
      </c>
      <c r="AQ76">
        <v>227.5</v>
      </c>
      <c r="AS76">
        <v>227.5</v>
      </c>
    </row>
    <row r="77" spans="4:45">
      <c r="D77" s="83">
        <v>380</v>
      </c>
      <c r="AA77">
        <v>230</v>
      </c>
      <c r="AC77">
        <v>230</v>
      </c>
      <c r="AE77">
        <v>230</v>
      </c>
      <c r="AG77">
        <v>230</v>
      </c>
      <c r="AI77">
        <v>230</v>
      </c>
      <c r="AK77">
        <v>230</v>
      </c>
      <c r="AM77">
        <v>230</v>
      </c>
      <c r="AO77">
        <v>230</v>
      </c>
      <c r="AQ77">
        <v>230</v>
      </c>
      <c r="AS77">
        <v>230</v>
      </c>
    </row>
    <row r="78" spans="4:45">
      <c r="D78" s="83">
        <v>382.5</v>
      </c>
      <c r="AA78">
        <v>232.5</v>
      </c>
      <c r="AC78">
        <v>232.5</v>
      </c>
      <c r="AE78">
        <v>232.5</v>
      </c>
      <c r="AG78">
        <v>232.5</v>
      </c>
      <c r="AI78">
        <v>232.5</v>
      </c>
      <c r="AK78">
        <v>232.5</v>
      </c>
      <c r="AM78">
        <v>232.5</v>
      </c>
      <c r="AO78">
        <v>232.5</v>
      </c>
      <c r="AQ78">
        <v>232.5</v>
      </c>
      <c r="AS78">
        <v>232.5</v>
      </c>
    </row>
    <row r="79" spans="4:45">
      <c r="D79" s="83">
        <v>385</v>
      </c>
      <c r="AA79">
        <v>235</v>
      </c>
      <c r="AC79">
        <v>235</v>
      </c>
      <c r="AE79">
        <v>235</v>
      </c>
      <c r="AG79">
        <v>235</v>
      </c>
      <c r="AI79">
        <v>235</v>
      </c>
      <c r="AK79">
        <v>235</v>
      </c>
      <c r="AM79">
        <v>235</v>
      </c>
      <c r="AO79">
        <v>235</v>
      </c>
      <c r="AQ79">
        <v>235</v>
      </c>
      <c r="AS79">
        <v>235</v>
      </c>
    </row>
    <row r="80" spans="4:45">
      <c r="D80" s="83">
        <v>387.5</v>
      </c>
      <c r="AA80">
        <v>240</v>
      </c>
      <c r="AC80">
        <v>240</v>
      </c>
      <c r="AE80">
        <v>240</v>
      </c>
      <c r="AG80">
        <v>240</v>
      </c>
      <c r="AI80">
        <v>240</v>
      </c>
      <c r="AK80">
        <v>240</v>
      </c>
      <c r="AM80">
        <v>240</v>
      </c>
      <c r="AO80">
        <v>240</v>
      </c>
      <c r="AQ80">
        <v>240</v>
      </c>
      <c r="AS80">
        <v>240</v>
      </c>
    </row>
    <row r="81" spans="4:45">
      <c r="D81" s="83">
        <v>390</v>
      </c>
      <c r="AA81">
        <v>245</v>
      </c>
      <c r="AC81">
        <v>245</v>
      </c>
      <c r="AE81">
        <v>245</v>
      </c>
      <c r="AG81">
        <v>245</v>
      </c>
      <c r="AI81">
        <v>245</v>
      </c>
      <c r="AK81">
        <v>245</v>
      </c>
      <c r="AM81">
        <v>245</v>
      </c>
      <c r="AO81">
        <v>245</v>
      </c>
      <c r="AQ81">
        <v>245</v>
      </c>
      <c r="AS81">
        <v>245</v>
      </c>
    </row>
    <row r="82" spans="4:45">
      <c r="D82" s="83">
        <v>392.5</v>
      </c>
      <c r="AA82">
        <v>250</v>
      </c>
      <c r="AC82">
        <v>250</v>
      </c>
      <c r="AE82">
        <v>250</v>
      </c>
      <c r="AG82">
        <v>250</v>
      </c>
      <c r="AI82">
        <v>250</v>
      </c>
      <c r="AK82">
        <v>250</v>
      </c>
      <c r="AM82">
        <v>250</v>
      </c>
      <c r="AO82">
        <v>250</v>
      </c>
      <c r="AQ82">
        <v>250</v>
      </c>
      <c r="AS82">
        <v>250</v>
      </c>
    </row>
    <row r="83" spans="4:45">
      <c r="D83" s="83">
        <v>395</v>
      </c>
      <c r="AA83">
        <v>255</v>
      </c>
      <c r="AC83">
        <v>255</v>
      </c>
      <c r="AE83">
        <v>255</v>
      </c>
      <c r="AG83">
        <v>255</v>
      </c>
      <c r="AI83">
        <v>255</v>
      </c>
      <c r="AK83">
        <v>255</v>
      </c>
      <c r="AM83">
        <v>255</v>
      </c>
      <c r="AO83">
        <v>255</v>
      </c>
      <c r="AQ83">
        <v>255</v>
      </c>
      <c r="AS83">
        <v>255</v>
      </c>
    </row>
    <row r="84" spans="4:45">
      <c r="D84" s="83">
        <v>397.5</v>
      </c>
      <c r="AA84">
        <v>260</v>
      </c>
      <c r="AC84">
        <v>260</v>
      </c>
      <c r="AE84">
        <v>260</v>
      </c>
      <c r="AG84">
        <v>260</v>
      </c>
      <c r="AI84">
        <v>260</v>
      </c>
      <c r="AK84">
        <v>260</v>
      </c>
      <c r="AM84">
        <v>260</v>
      </c>
      <c r="AO84">
        <v>260</v>
      </c>
      <c r="AQ84">
        <v>260</v>
      </c>
      <c r="AS84">
        <v>260</v>
      </c>
    </row>
    <row r="85" spans="4:45">
      <c r="D85" s="83">
        <v>400</v>
      </c>
      <c r="AA85">
        <v>265</v>
      </c>
      <c r="AC85">
        <v>265</v>
      </c>
      <c r="AE85">
        <v>265</v>
      </c>
      <c r="AG85">
        <v>265</v>
      </c>
      <c r="AI85">
        <v>265</v>
      </c>
      <c r="AK85">
        <v>265</v>
      </c>
      <c r="AM85">
        <v>265</v>
      </c>
      <c r="AO85">
        <v>265</v>
      </c>
      <c r="AQ85">
        <v>265</v>
      </c>
      <c r="AS85">
        <v>265</v>
      </c>
    </row>
    <row r="86" spans="4:45">
      <c r="D86" s="83">
        <v>405</v>
      </c>
      <c r="AA86">
        <v>270</v>
      </c>
      <c r="AC86">
        <v>270</v>
      </c>
      <c r="AE86">
        <v>270</v>
      </c>
      <c r="AG86">
        <v>270</v>
      </c>
      <c r="AI86">
        <v>270</v>
      </c>
      <c r="AK86">
        <v>270</v>
      </c>
      <c r="AM86">
        <v>270</v>
      </c>
      <c r="AO86">
        <v>270</v>
      </c>
      <c r="AQ86">
        <v>270</v>
      </c>
      <c r="AS86">
        <v>270</v>
      </c>
    </row>
    <row r="87" spans="4:45">
      <c r="D87" s="83">
        <v>407.5</v>
      </c>
      <c r="AA87">
        <v>275</v>
      </c>
      <c r="AC87">
        <v>275</v>
      </c>
      <c r="AE87">
        <v>275</v>
      </c>
      <c r="AG87">
        <v>275</v>
      </c>
      <c r="AI87">
        <v>275</v>
      </c>
      <c r="AK87">
        <v>275</v>
      </c>
      <c r="AM87">
        <v>275</v>
      </c>
      <c r="AO87">
        <v>275</v>
      </c>
      <c r="AQ87">
        <v>275</v>
      </c>
      <c r="AS87">
        <v>275</v>
      </c>
    </row>
    <row r="88" spans="4:45">
      <c r="D88" s="83">
        <v>410</v>
      </c>
      <c r="AA88">
        <v>280</v>
      </c>
      <c r="AC88">
        <v>280</v>
      </c>
      <c r="AE88">
        <v>280</v>
      </c>
      <c r="AG88">
        <v>280</v>
      </c>
      <c r="AI88">
        <v>280</v>
      </c>
      <c r="AK88">
        <v>280</v>
      </c>
      <c r="AM88">
        <v>280</v>
      </c>
      <c r="AO88">
        <v>280</v>
      </c>
      <c r="AQ88">
        <v>280</v>
      </c>
      <c r="AS88">
        <v>280</v>
      </c>
    </row>
    <row r="89" spans="4:45">
      <c r="D89" s="83">
        <v>412.5</v>
      </c>
      <c r="AA89">
        <v>285</v>
      </c>
      <c r="AC89">
        <v>285</v>
      </c>
      <c r="AE89">
        <v>285</v>
      </c>
      <c r="AG89">
        <v>285</v>
      </c>
      <c r="AI89">
        <v>285</v>
      </c>
      <c r="AK89">
        <v>285</v>
      </c>
      <c r="AM89">
        <v>285</v>
      </c>
      <c r="AO89">
        <v>285</v>
      </c>
      <c r="AQ89">
        <v>285</v>
      </c>
      <c r="AS89">
        <v>285</v>
      </c>
    </row>
    <row r="90" spans="4:45">
      <c r="D90" s="83">
        <v>415</v>
      </c>
      <c r="AA90">
        <v>290</v>
      </c>
      <c r="AC90">
        <v>290</v>
      </c>
      <c r="AE90">
        <v>290</v>
      </c>
      <c r="AG90">
        <v>290</v>
      </c>
      <c r="AI90">
        <v>290</v>
      </c>
      <c r="AK90">
        <v>290</v>
      </c>
      <c r="AM90">
        <v>290</v>
      </c>
      <c r="AO90">
        <v>290</v>
      </c>
      <c r="AQ90">
        <v>290</v>
      </c>
      <c r="AS90">
        <v>290</v>
      </c>
    </row>
    <row r="91" spans="4:45">
      <c r="D91" s="83">
        <v>417.5</v>
      </c>
      <c r="AA91">
        <v>295</v>
      </c>
      <c r="AC91">
        <v>295</v>
      </c>
      <c r="AE91">
        <v>295</v>
      </c>
      <c r="AG91">
        <v>295</v>
      </c>
      <c r="AI91">
        <v>295</v>
      </c>
      <c r="AK91">
        <v>295</v>
      </c>
      <c r="AM91">
        <v>295</v>
      </c>
      <c r="AO91">
        <v>295</v>
      </c>
      <c r="AQ91">
        <v>295</v>
      </c>
      <c r="AS91">
        <v>295</v>
      </c>
    </row>
    <row r="92" spans="4:45">
      <c r="D92" s="83">
        <v>420</v>
      </c>
      <c r="AA92">
        <v>300</v>
      </c>
      <c r="AC92">
        <v>300</v>
      </c>
      <c r="AE92">
        <v>300</v>
      </c>
      <c r="AG92">
        <v>300</v>
      </c>
      <c r="AI92">
        <v>300</v>
      </c>
      <c r="AK92">
        <v>300</v>
      </c>
      <c r="AM92">
        <v>300</v>
      </c>
      <c r="AO92">
        <v>300</v>
      </c>
      <c r="AQ92">
        <v>300</v>
      </c>
      <c r="AS92">
        <v>300</v>
      </c>
    </row>
    <row r="93" spans="4:45">
      <c r="D93" s="83">
        <v>422.5</v>
      </c>
      <c r="AA93">
        <v>305</v>
      </c>
      <c r="AC93">
        <v>305</v>
      </c>
      <c r="AE93">
        <v>305</v>
      </c>
      <c r="AG93">
        <v>305</v>
      </c>
      <c r="AI93">
        <v>305</v>
      </c>
      <c r="AK93">
        <v>305</v>
      </c>
      <c r="AM93">
        <v>305</v>
      </c>
      <c r="AO93">
        <v>305</v>
      </c>
      <c r="AQ93">
        <v>305</v>
      </c>
      <c r="AS93">
        <v>305</v>
      </c>
    </row>
    <row r="94" spans="4:45">
      <c r="D94" s="83">
        <v>425</v>
      </c>
      <c r="AA94">
        <v>310</v>
      </c>
      <c r="AC94">
        <v>310</v>
      </c>
      <c r="AE94">
        <v>310</v>
      </c>
      <c r="AG94">
        <v>310</v>
      </c>
      <c r="AI94">
        <v>310</v>
      </c>
      <c r="AK94">
        <v>310</v>
      </c>
      <c r="AM94">
        <v>310</v>
      </c>
      <c r="AO94">
        <v>310</v>
      </c>
      <c r="AQ94">
        <v>310</v>
      </c>
      <c r="AS94">
        <v>310</v>
      </c>
    </row>
    <row r="95" spans="4:45">
      <c r="D95" s="83">
        <v>427.5</v>
      </c>
      <c r="AA95">
        <v>315</v>
      </c>
      <c r="AC95">
        <v>315</v>
      </c>
      <c r="AE95">
        <v>315</v>
      </c>
      <c r="AG95">
        <v>315</v>
      </c>
      <c r="AI95">
        <v>315</v>
      </c>
      <c r="AK95">
        <v>315</v>
      </c>
      <c r="AM95">
        <v>315</v>
      </c>
      <c r="AO95">
        <v>315</v>
      </c>
      <c r="AQ95">
        <v>315</v>
      </c>
      <c r="AS95">
        <v>315</v>
      </c>
    </row>
    <row r="96" spans="4:45">
      <c r="D96" s="83">
        <v>430</v>
      </c>
      <c r="AA96">
        <v>320</v>
      </c>
      <c r="AC96">
        <v>320</v>
      </c>
      <c r="AE96">
        <v>320</v>
      </c>
      <c r="AG96">
        <v>320</v>
      </c>
      <c r="AI96">
        <v>320</v>
      </c>
      <c r="AK96">
        <v>320</v>
      </c>
      <c r="AM96">
        <v>320</v>
      </c>
      <c r="AO96">
        <v>320</v>
      </c>
      <c r="AQ96">
        <v>320</v>
      </c>
      <c r="AS96">
        <v>320</v>
      </c>
    </row>
    <row r="97" spans="4:45">
      <c r="D97" s="83">
        <v>432.5</v>
      </c>
      <c r="AA97">
        <v>325</v>
      </c>
      <c r="AC97">
        <v>325</v>
      </c>
      <c r="AE97">
        <v>325</v>
      </c>
      <c r="AG97">
        <v>325</v>
      </c>
      <c r="AI97">
        <v>325</v>
      </c>
      <c r="AK97">
        <v>325</v>
      </c>
      <c r="AM97">
        <v>325</v>
      </c>
      <c r="AO97">
        <v>325</v>
      </c>
      <c r="AQ97">
        <v>325</v>
      </c>
      <c r="AS97">
        <v>325</v>
      </c>
    </row>
    <row r="98" spans="4:45">
      <c r="D98" s="83">
        <v>435</v>
      </c>
      <c r="AA98">
        <v>330</v>
      </c>
      <c r="AC98">
        <v>330</v>
      </c>
      <c r="AE98">
        <v>330</v>
      </c>
      <c r="AG98">
        <v>330</v>
      </c>
      <c r="AI98">
        <v>330</v>
      </c>
      <c r="AK98">
        <v>330</v>
      </c>
      <c r="AM98">
        <v>330</v>
      </c>
      <c r="AO98">
        <v>330</v>
      </c>
      <c r="AQ98">
        <v>330</v>
      </c>
      <c r="AS98">
        <v>330</v>
      </c>
    </row>
    <row r="99" spans="4:45">
      <c r="D99" s="83">
        <v>437.5</v>
      </c>
      <c r="AA99">
        <v>335</v>
      </c>
      <c r="AC99">
        <v>335</v>
      </c>
      <c r="AE99">
        <v>335</v>
      </c>
      <c r="AG99">
        <v>335</v>
      </c>
      <c r="AI99">
        <v>335</v>
      </c>
      <c r="AK99">
        <v>335</v>
      </c>
      <c r="AM99">
        <v>335</v>
      </c>
      <c r="AO99">
        <v>335</v>
      </c>
      <c r="AQ99">
        <v>335</v>
      </c>
      <c r="AS99">
        <v>335</v>
      </c>
    </row>
    <row r="100" spans="4:45">
      <c r="D100" s="83">
        <v>440</v>
      </c>
      <c r="AA100">
        <v>340</v>
      </c>
      <c r="AC100">
        <v>340</v>
      </c>
      <c r="AE100">
        <v>340</v>
      </c>
      <c r="AG100">
        <v>340</v>
      </c>
      <c r="AI100">
        <v>340</v>
      </c>
      <c r="AK100">
        <v>340</v>
      </c>
      <c r="AM100">
        <v>340</v>
      </c>
      <c r="AO100">
        <v>340</v>
      </c>
      <c r="AQ100">
        <v>340</v>
      </c>
      <c r="AS100">
        <v>340</v>
      </c>
    </row>
    <row r="101" spans="4:45">
      <c r="D101" s="83">
        <v>442.5</v>
      </c>
      <c r="AA101">
        <v>345</v>
      </c>
      <c r="AC101">
        <v>345</v>
      </c>
      <c r="AE101">
        <v>345</v>
      </c>
      <c r="AG101">
        <v>345</v>
      </c>
      <c r="AI101">
        <v>345</v>
      </c>
      <c r="AK101">
        <v>345</v>
      </c>
      <c r="AM101">
        <v>345</v>
      </c>
      <c r="AO101">
        <v>345</v>
      </c>
      <c r="AQ101">
        <v>345</v>
      </c>
      <c r="AS101">
        <v>345</v>
      </c>
    </row>
    <row r="102" spans="4:45">
      <c r="D102" s="83">
        <v>445</v>
      </c>
      <c r="AA102">
        <v>350</v>
      </c>
      <c r="AC102">
        <v>350</v>
      </c>
      <c r="AE102">
        <v>350</v>
      </c>
      <c r="AG102">
        <v>350</v>
      </c>
      <c r="AI102">
        <v>350</v>
      </c>
      <c r="AK102">
        <v>350</v>
      </c>
      <c r="AM102">
        <v>350</v>
      </c>
      <c r="AO102">
        <v>350</v>
      </c>
      <c r="AQ102">
        <v>350</v>
      </c>
      <c r="AS102">
        <v>350</v>
      </c>
    </row>
    <row r="103" spans="4:45">
      <c r="D103" s="83">
        <v>447.5</v>
      </c>
      <c r="AA103">
        <v>355</v>
      </c>
      <c r="AC103">
        <v>355</v>
      </c>
      <c r="AE103">
        <v>355</v>
      </c>
      <c r="AG103">
        <v>355</v>
      </c>
      <c r="AI103">
        <v>355</v>
      </c>
      <c r="AK103">
        <v>355</v>
      </c>
      <c r="AM103">
        <v>355</v>
      </c>
      <c r="AO103">
        <v>355</v>
      </c>
      <c r="AQ103">
        <v>355</v>
      </c>
      <c r="AS103">
        <v>355</v>
      </c>
    </row>
    <row r="104" spans="4:45">
      <c r="D104" s="83">
        <v>450</v>
      </c>
      <c r="AA104">
        <v>360</v>
      </c>
      <c r="AC104">
        <v>360</v>
      </c>
      <c r="AE104">
        <v>360</v>
      </c>
      <c r="AG104">
        <v>360</v>
      </c>
      <c r="AI104">
        <v>360</v>
      </c>
      <c r="AK104">
        <v>360</v>
      </c>
      <c r="AM104">
        <v>360</v>
      </c>
      <c r="AO104">
        <v>360</v>
      </c>
      <c r="AQ104">
        <v>360</v>
      </c>
      <c r="AS104">
        <v>360</v>
      </c>
    </row>
    <row r="105" spans="4:45">
      <c r="D105" s="83">
        <v>452.5</v>
      </c>
      <c r="AA105">
        <v>365</v>
      </c>
      <c r="AC105">
        <v>365</v>
      </c>
      <c r="AE105">
        <v>365</v>
      </c>
      <c r="AG105">
        <v>365</v>
      </c>
      <c r="AI105">
        <v>365</v>
      </c>
      <c r="AK105">
        <v>365</v>
      </c>
      <c r="AM105">
        <v>365</v>
      </c>
      <c r="AO105">
        <v>365</v>
      </c>
      <c r="AQ105">
        <v>365</v>
      </c>
      <c r="AS105">
        <v>365</v>
      </c>
    </row>
    <row r="106" spans="4:45">
      <c r="D106" s="83">
        <v>455</v>
      </c>
      <c r="AA106">
        <v>370</v>
      </c>
      <c r="AC106">
        <v>370</v>
      </c>
      <c r="AE106">
        <v>370</v>
      </c>
      <c r="AG106">
        <v>370</v>
      </c>
      <c r="AI106">
        <v>370</v>
      </c>
      <c r="AK106">
        <v>370</v>
      </c>
      <c r="AM106">
        <v>370</v>
      </c>
      <c r="AO106">
        <v>370</v>
      </c>
      <c r="AQ106">
        <v>370</v>
      </c>
      <c r="AS106">
        <v>370</v>
      </c>
    </row>
    <row r="107" spans="4:45">
      <c r="D107" s="83">
        <v>457.5</v>
      </c>
      <c r="AA107">
        <v>375</v>
      </c>
      <c r="AC107">
        <v>375</v>
      </c>
      <c r="AE107">
        <v>375</v>
      </c>
      <c r="AG107">
        <v>375</v>
      </c>
      <c r="AI107">
        <v>375</v>
      </c>
      <c r="AK107">
        <v>375</v>
      </c>
      <c r="AM107">
        <v>375</v>
      </c>
      <c r="AO107">
        <v>375</v>
      </c>
      <c r="AQ107">
        <v>375</v>
      </c>
      <c r="AS107">
        <v>375</v>
      </c>
    </row>
    <row r="108" spans="4:45">
      <c r="D108" s="83">
        <v>460</v>
      </c>
      <c r="AA108">
        <v>380</v>
      </c>
      <c r="AC108">
        <v>380</v>
      </c>
      <c r="AE108">
        <v>380</v>
      </c>
      <c r="AG108">
        <v>380</v>
      </c>
      <c r="AI108">
        <v>380</v>
      </c>
      <c r="AK108">
        <v>380</v>
      </c>
      <c r="AM108">
        <v>380</v>
      </c>
      <c r="AO108">
        <v>380</v>
      </c>
      <c r="AQ108">
        <v>380</v>
      </c>
      <c r="AS108">
        <v>380</v>
      </c>
    </row>
    <row r="109" spans="4:45">
      <c r="D109" s="83">
        <v>462.5</v>
      </c>
      <c r="AA109">
        <v>385</v>
      </c>
      <c r="AC109">
        <v>385</v>
      </c>
      <c r="AE109">
        <v>385</v>
      </c>
      <c r="AG109">
        <v>385</v>
      </c>
      <c r="AI109">
        <v>385</v>
      </c>
      <c r="AK109">
        <v>385</v>
      </c>
      <c r="AM109">
        <v>385</v>
      </c>
      <c r="AO109">
        <v>385</v>
      </c>
      <c r="AQ109">
        <v>385</v>
      </c>
      <c r="AS109">
        <v>385</v>
      </c>
    </row>
    <row r="110" spans="4:45">
      <c r="D110" s="83">
        <v>465</v>
      </c>
      <c r="AA110">
        <v>390</v>
      </c>
      <c r="AC110">
        <v>390</v>
      </c>
      <c r="AE110">
        <v>390</v>
      </c>
      <c r="AG110">
        <v>390</v>
      </c>
      <c r="AI110">
        <v>390</v>
      </c>
      <c r="AK110">
        <v>390</v>
      </c>
      <c r="AM110">
        <v>390</v>
      </c>
      <c r="AO110">
        <v>390</v>
      </c>
      <c r="AQ110">
        <v>390</v>
      </c>
      <c r="AS110">
        <v>390</v>
      </c>
    </row>
    <row r="111" spans="4:45">
      <c r="D111" s="83">
        <v>467.5</v>
      </c>
      <c r="AA111">
        <v>395</v>
      </c>
      <c r="AC111">
        <v>395</v>
      </c>
      <c r="AE111">
        <v>395</v>
      </c>
      <c r="AG111">
        <v>395</v>
      </c>
      <c r="AI111">
        <v>395</v>
      </c>
      <c r="AK111">
        <v>395</v>
      </c>
      <c r="AM111">
        <v>395</v>
      </c>
      <c r="AO111">
        <v>395</v>
      </c>
      <c r="AQ111">
        <v>395</v>
      </c>
      <c r="AS111">
        <v>395</v>
      </c>
    </row>
    <row r="112" spans="4:45">
      <c r="D112" s="83">
        <v>470</v>
      </c>
      <c r="AA112">
        <v>400</v>
      </c>
      <c r="AC112">
        <v>400</v>
      </c>
      <c r="AE112">
        <v>400</v>
      </c>
      <c r="AG112">
        <v>400</v>
      </c>
      <c r="AI112">
        <v>400</v>
      </c>
      <c r="AK112">
        <v>400</v>
      </c>
      <c r="AM112">
        <v>400</v>
      </c>
      <c r="AO112">
        <v>400</v>
      </c>
      <c r="AQ112">
        <v>400</v>
      </c>
      <c r="AS112">
        <v>400</v>
      </c>
    </row>
    <row r="113" spans="4:45">
      <c r="D113" s="83">
        <v>472.5</v>
      </c>
      <c r="AA113">
        <v>405</v>
      </c>
      <c r="AC113">
        <v>405</v>
      </c>
      <c r="AE113">
        <v>405</v>
      </c>
      <c r="AG113">
        <v>405</v>
      </c>
      <c r="AI113">
        <v>405</v>
      </c>
      <c r="AK113">
        <v>405</v>
      </c>
      <c r="AM113">
        <v>405</v>
      </c>
      <c r="AO113">
        <v>405</v>
      </c>
      <c r="AQ113">
        <v>405</v>
      </c>
      <c r="AS113">
        <v>405</v>
      </c>
    </row>
    <row r="114" spans="4:45">
      <c r="D114" s="83">
        <v>475</v>
      </c>
      <c r="AA114">
        <v>410</v>
      </c>
      <c r="AC114">
        <v>410</v>
      </c>
      <c r="AE114">
        <v>410</v>
      </c>
      <c r="AG114">
        <v>410</v>
      </c>
      <c r="AI114">
        <v>410</v>
      </c>
      <c r="AK114">
        <v>410</v>
      </c>
      <c r="AM114">
        <v>410</v>
      </c>
      <c r="AO114">
        <v>410</v>
      </c>
      <c r="AQ114">
        <v>410</v>
      </c>
      <c r="AS114">
        <v>410</v>
      </c>
    </row>
    <row r="115" spans="4:45">
      <c r="D115" s="83">
        <v>477.5</v>
      </c>
      <c r="AA115">
        <v>415</v>
      </c>
      <c r="AC115">
        <v>415</v>
      </c>
      <c r="AE115">
        <v>415</v>
      </c>
      <c r="AG115">
        <v>415</v>
      </c>
      <c r="AI115">
        <v>415</v>
      </c>
      <c r="AK115">
        <v>415</v>
      </c>
      <c r="AM115">
        <v>415</v>
      </c>
      <c r="AO115">
        <v>415</v>
      </c>
      <c r="AQ115">
        <v>415</v>
      </c>
      <c r="AS115">
        <v>415</v>
      </c>
    </row>
    <row r="116" spans="4:45">
      <c r="D116" s="83">
        <v>480</v>
      </c>
      <c r="AA116">
        <v>420</v>
      </c>
      <c r="AC116">
        <v>420</v>
      </c>
      <c r="AE116">
        <v>420</v>
      </c>
      <c r="AG116">
        <v>420</v>
      </c>
      <c r="AI116">
        <v>420</v>
      </c>
      <c r="AK116">
        <v>420</v>
      </c>
      <c r="AM116">
        <v>420</v>
      </c>
      <c r="AO116">
        <v>420</v>
      </c>
      <c r="AQ116">
        <v>420</v>
      </c>
      <c r="AS116">
        <v>420</v>
      </c>
    </row>
    <row r="117" spans="4:45">
      <c r="D117" s="83">
        <v>482.5</v>
      </c>
      <c r="AA117">
        <v>425</v>
      </c>
      <c r="AC117">
        <v>425</v>
      </c>
      <c r="AE117">
        <v>425</v>
      </c>
      <c r="AG117">
        <v>425</v>
      </c>
      <c r="AI117">
        <v>425</v>
      </c>
      <c r="AK117">
        <v>425</v>
      </c>
      <c r="AM117">
        <v>425</v>
      </c>
      <c r="AO117">
        <v>425</v>
      </c>
      <c r="AQ117">
        <v>425</v>
      </c>
      <c r="AS117">
        <v>425</v>
      </c>
    </row>
    <row r="118" spans="4:45">
      <c r="D118" s="83">
        <v>485</v>
      </c>
      <c r="AA118">
        <v>430</v>
      </c>
      <c r="AC118">
        <v>430</v>
      </c>
      <c r="AE118">
        <v>430</v>
      </c>
      <c r="AG118">
        <v>430</v>
      </c>
      <c r="AI118">
        <v>430</v>
      </c>
      <c r="AK118">
        <v>430</v>
      </c>
      <c r="AM118">
        <v>430</v>
      </c>
      <c r="AO118">
        <v>430</v>
      </c>
      <c r="AQ118">
        <v>430</v>
      </c>
      <c r="AS118">
        <v>430</v>
      </c>
    </row>
    <row r="119" spans="4:45">
      <c r="D119" s="83">
        <v>487.5</v>
      </c>
      <c r="AA119">
        <v>435</v>
      </c>
      <c r="AC119">
        <v>435</v>
      </c>
      <c r="AE119">
        <v>435</v>
      </c>
      <c r="AG119">
        <v>435</v>
      </c>
      <c r="AI119">
        <v>435</v>
      </c>
      <c r="AK119">
        <v>435</v>
      </c>
      <c r="AM119">
        <v>435</v>
      </c>
      <c r="AO119">
        <v>435</v>
      </c>
      <c r="AQ119">
        <v>435</v>
      </c>
      <c r="AS119">
        <v>435</v>
      </c>
    </row>
    <row r="120" spans="4:45">
      <c r="D120" s="83">
        <v>490</v>
      </c>
      <c r="G120" s="83">
        <v>440</v>
      </c>
      <c r="I120" s="83">
        <v>440</v>
      </c>
      <c r="K120">
        <v>440</v>
      </c>
      <c r="M120">
        <v>440</v>
      </c>
      <c r="O120">
        <v>440</v>
      </c>
      <c r="Q120">
        <v>440</v>
      </c>
      <c r="S120">
        <v>440</v>
      </c>
      <c r="U120">
        <v>440</v>
      </c>
      <c r="W120">
        <v>440</v>
      </c>
      <c r="Y120">
        <v>440</v>
      </c>
      <c r="AA120">
        <v>440</v>
      </c>
      <c r="AC120">
        <v>440</v>
      </c>
      <c r="AE120">
        <v>440</v>
      </c>
      <c r="AG120">
        <v>440</v>
      </c>
      <c r="AI120">
        <v>440</v>
      </c>
      <c r="AK120">
        <v>440</v>
      </c>
      <c r="AM120">
        <v>440</v>
      </c>
      <c r="AO120">
        <v>440</v>
      </c>
      <c r="AQ120">
        <v>440</v>
      </c>
      <c r="AS120">
        <v>440</v>
      </c>
    </row>
    <row r="121" spans="4:45">
      <c r="D121" s="83">
        <v>492.5</v>
      </c>
      <c r="G121" s="83">
        <v>450</v>
      </c>
      <c r="I121" s="83">
        <v>450</v>
      </c>
      <c r="K121">
        <v>450</v>
      </c>
      <c r="M121">
        <v>450</v>
      </c>
      <c r="O121">
        <v>450</v>
      </c>
      <c r="Q121">
        <v>450</v>
      </c>
      <c r="S121">
        <v>450</v>
      </c>
      <c r="U121">
        <v>450</v>
      </c>
      <c r="W121">
        <v>450</v>
      </c>
      <c r="Y121">
        <v>450</v>
      </c>
      <c r="AA121">
        <v>450</v>
      </c>
      <c r="AC121">
        <v>450</v>
      </c>
      <c r="AE121">
        <v>450</v>
      </c>
      <c r="AG121">
        <v>450</v>
      </c>
      <c r="AI121">
        <v>450</v>
      </c>
      <c r="AK121">
        <v>450</v>
      </c>
      <c r="AM121">
        <v>450</v>
      </c>
      <c r="AO121">
        <v>450</v>
      </c>
      <c r="AQ121">
        <v>450</v>
      </c>
      <c r="AS121">
        <v>450</v>
      </c>
    </row>
    <row r="122" spans="4:45">
      <c r="D122" s="83">
        <v>495</v>
      </c>
      <c r="G122" s="83">
        <v>51.5</v>
      </c>
      <c r="I122" s="83">
        <v>51.5</v>
      </c>
      <c r="K122">
        <v>51.5</v>
      </c>
      <c r="M122">
        <v>51.5</v>
      </c>
      <c r="O122">
        <v>51.5</v>
      </c>
      <c r="Q122">
        <v>51.5</v>
      </c>
      <c r="S122">
        <v>51.5</v>
      </c>
      <c r="U122">
        <v>51.5</v>
      </c>
      <c r="W122">
        <v>51.5</v>
      </c>
      <c r="Y122">
        <v>51.5</v>
      </c>
      <c r="AA122">
        <v>51.5</v>
      </c>
      <c r="AC122">
        <v>51.5</v>
      </c>
      <c r="AE122">
        <v>51.5</v>
      </c>
      <c r="AG122">
        <v>51.5</v>
      </c>
      <c r="AI122">
        <v>51.5</v>
      </c>
      <c r="AK122">
        <v>51.5</v>
      </c>
      <c r="AM122">
        <v>51.5</v>
      </c>
      <c r="AO122">
        <v>51.5</v>
      </c>
      <c r="AQ122">
        <v>51.5</v>
      </c>
      <c r="AS122">
        <v>51.5</v>
      </c>
    </row>
    <row r="123" spans="4:45">
      <c r="D123" s="83">
        <v>497.5</v>
      </c>
      <c r="G123" s="83">
        <v>52</v>
      </c>
      <c r="I123" s="83">
        <v>52</v>
      </c>
      <c r="K123">
        <v>52</v>
      </c>
      <c r="M123">
        <v>52</v>
      </c>
      <c r="O123">
        <v>52</v>
      </c>
      <c r="Q123">
        <v>52</v>
      </c>
      <c r="S123">
        <v>52</v>
      </c>
      <c r="U123">
        <v>52</v>
      </c>
      <c r="W123">
        <v>52</v>
      </c>
      <c r="Y123">
        <v>52</v>
      </c>
      <c r="AA123">
        <v>52</v>
      </c>
      <c r="AC123">
        <v>52</v>
      </c>
      <c r="AE123">
        <v>52</v>
      </c>
      <c r="AG123">
        <v>52</v>
      </c>
      <c r="AI123">
        <v>52</v>
      </c>
      <c r="AK123">
        <v>52</v>
      </c>
      <c r="AM123">
        <v>52</v>
      </c>
      <c r="AO123">
        <v>52</v>
      </c>
      <c r="AQ123">
        <v>52</v>
      </c>
      <c r="AS123">
        <v>52</v>
      </c>
    </row>
    <row r="124" spans="4:45">
      <c r="D124" s="83">
        <v>500</v>
      </c>
      <c r="G124" s="83">
        <v>52.5</v>
      </c>
      <c r="I124" s="83">
        <v>52.5</v>
      </c>
      <c r="K124">
        <v>52.5</v>
      </c>
      <c r="M124">
        <v>52.5</v>
      </c>
      <c r="O124">
        <v>52.5</v>
      </c>
      <c r="Q124">
        <v>52.5</v>
      </c>
      <c r="S124">
        <v>52.5</v>
      </c>
      <c r="U124">
        <v>52.5</v>
      </c>
      <c r="W124">
        <v>52.5</v>
      </c>
      <c r="Y124">
        <v>52.5</v>
      </c>
      <c r="AA124">
        <v>52.5</v>
      </c>
      <c r="AC124">
        <v>52.5</v>
      </c>
      <c r="AE124">
        <v>52.5</v>
      </c>
      <c r="AG124">
        <v>52.5</v>
      </c>
      <c r="AI124">
        <v>52.5</v>
      </c>
      <c r="AK124">
        <v>52.5</v>
      </c>
      <c r="AM124">
        <v>52.5</v>
      </c>
      <c r="AO124">
        <v>52.5</v>
      </c>
      <c r="AQ124">
        <v>52.5</v>
      </c>
      <c r="AS124">
        <v>52.5</v>
      </c>
    </row>
    <row r="125" spans="4:45">
      <c r="D125" s="83">
        <v>502.5</v>
      </c>
      <c r="G125" s="83">
        <v>53</v>
      </c>
      <c r="I125" s="83">
        <v>53</v>
      </c>
      <c r="K125">
        <v>53</v>
      </c>
      <c r="M125">
        <v>53</v>
      </c>
      <c r="O125">
        <v>53</v>
      </c>
      <c r="Q125">
        <v>53</v>
      </c>
      <c r="S125">
        <v>53</v>
      </c>
      <c r="U125">
        <v>53</v>
      </c>
      <c r="W125">
        <v>53</v>
      </c>
      <c r="Y125">
        <v>53</v>
      </c>
      <c r="AA125">
        <v>53</v>
      </c>
      <c r="AC125">
        <v>53</v>
      </c>
      <c r="AE125">
        <v>53</v>
      </c>
      <c r="AG125">
        <v>53</v>
      </c>
      <c r="AI125">
        <v>53</v>
      </c>
      <c r="AK125">
        <v>53</v>
      </c>
      <c r="AM125">
        <v>53</v>
      </c>
      <c r="AO125">
        <v>53</v>
      </c>
      <c r="AQ125">
        <v>53</v>
      </c>
      <c r="AS125">
        <v>53</v>
      </c>
    </row>
    <row r="126" spans="4:45">
      <c r="D126" s="83">
        <v>505</v>
      </c>
      <c r="G126" s="83">
        <v>53.5</v>
      </c>
      <c r="I126" s="83">
        <v>53.5</v>
      </c>
      <c r="K126">
        <v>53.5</v>
      </c>
      <c r="M126">
        <v>53.5</v>
      </c>
      <c r="O126">
        <v>53.5</v>
      </c>
      <c r="Q126">
        <v>53.5</v>
      </c>
      <c r="S126">
        <v>53.5</v>
      </c>
      <c r="U126">
        <v>53.5</v>
      </c>
      <c r="W126">
        <v>53.5</v>
      </c>
      <c r="Y126">
        <v>53.5</v>
      </c>
      <c r="AA126">
        <v>53.5</v>
      </c>
      <c r="AC126">
        <v>53.5</v>
      </c>
      <c r="AE126">
        <v>53.5</v>
      </c>
      <c r="AG126">
        <v>53.5</v>
      </c>
      <c r="AI126">
        <v>53.5</v>
      </c>
      <c r="AK126">
        <v>53.5</v>
      </c>
      <c r="AM126">
        <v>53.5</v>
      </c>
      <c r="AO126">
        <v>53.5</v>
      </c>
      <c r="AQ126">
        <v>53.5</v>
      </c>
      <c r="AS126">
        <v>53.5</v>
      </c>
    </row>
    <row r="127" spans="4:45">
      <c r="D127" s="83">
        <v>507.5</v>
      </c>
      <c r="G127" s="83">
        <v>54</v>
      </c>
      <c r="I127" s="83">
        <v>54</v>
      </c>
      <c r="K127">
        <v>54</v>
      </c>
      <c r="M127">
        <v>54</v>
      </c>
      <c r="O127">
        <v>54</v>
      </c>
      <c r="Q127">
        <v>54</v>
      </c>
      <c r="S127">
        <v>54</v>
      </c>
      <c r="U127">
        <v>54</v>
      </c>
      <c r="W127">
        <v>54</v>
      </c>
      <c r="Y127">
        <v>54</v>
      </c>
      <c r="AA127">
        <v>54</v>
      </c>
      <c r="AC127">
        <v>54</v>
      </c>
      <c r="AE127">
        <v>54</v>
      </c>
      <c r="AG127">
        <v>54</v>
      </c>
      <c r="AI127">
        <v>54</v>
      </c>
      <c r="AK127">
        <v>54</v>
      </c>
      <c r="AM127">
        <v>54</v>
      </c>
      <c r="AO127">
        <v>54</v>
      </c>
      <c r="AQ127">
        <v>54</v>
      </c>
      <c r="AS127">
        <v>54</v>
      </c>
    </row>
    <row r="128" spans="4:45">
      <c r="D128" s="83">
        <v>510</v>
      </c>
      <c r="G128" s="83">
        <v>54.5</v>
      </c>
      <c r="I128" s="83">
        <v>54.5</v>
      </c>
      <c r="K128">
        <v>54.5</v>
      </c>
      <c r="M128">
        <v>54.5</v>
      </c>
      <c r="O128">
        <v>54.5</v>
      </c>
      <c r="Q128">
        <v>54.5</v>
      </c>
      <c r="S128">
        <v>54.5</v>
      </c>
      <c r="U128">
        <v>54.5</v>
      </c>
      <c r="W128">
        <v>54.5</v>
      </c>
      <c r="Y128">
        <v>54.5</v>
      </c>
      <c r="AA128">
        <v>54.5</v>
      </c>
      <c r="AC128">
        <v>54.5</v>
      </c>
      <c r="AE128">
        <v>54.5</v>
      </c>
      <c r="AG128">
        <v>54.5</v>
      </c>
      <c r="AI128">
        <v>54.5</v>
      </c>
      <c r="AK128">
        <v>54.5</v>
      </c>
      <c r="AM128">
        <v>54.5</v>
      </c>
      <c r="AO128">
        <v>54.5</v>
      </c>
      <c r="AQ128">
        <v>54.5</v>
      </c>
      <c r="AS128">
        <v>54.5</v>
      </c>
    </row>
    <row r="129" spans="4:45">
      <c r="D129" s="83">
        <v>512.5</v>
      </c>
      <c r="G129" s="83">
        <v>55</v>
      </c>
      <c r="I129" s="83">
        <v>55</v>
      </c>
      <c r="K129">
        <v>55</v>
      </c>
      <c r="M129">
        <v>55</v>
      </c>
      <c r="O129">
        <v>55</v>
      </c>
      <c r="Q129">
        <v>55</v>
      </c>
      <c r="S129">
        <v>55</v>
      </c>
      <c r="U129">
        <v>55</v>
      </c>
      <c r="W129">
        <v>55</v>
      </c>
      <c r="Y129">
        <v>55</v>
      </c>
      <c r="AA129">
        <v>55</v>
      </c>
      <c r="AC129">
        <v>55</v>
      </c>
      <c r="AE129">
        <v>55</v>
      </c>
      <c r="AG129">
        <v>55</v>
      </c>
      <c r="AI129">
        <v>55</v>
      </c>
      <c r="AK129">
        <v>55</v>
      </c>
      <c r="AM129">
        <v>55</v>
      </c>
      <c r="AO129">
        <v>55</v>
      </c>
      <c r="AQ129">
        <v>55</v>
      </c>
      <c r="AS129">
        <v>55</v>
      </c>
    </row>
    <row r="130" spans="4:45">
      <c r="D130" s="83">
        <v>515</v>
      </c>
      <c r="G130" s="83">
        <v>55.5</v>
      </c>
      <c r="I130" s="83">
        <v>55.5</v>
      </c>
      <c r="K130">
        <v>55.5</v>
      </c>
      <c r="M130">
        <v>55.5</v>
      </c>
      <c r="O130">
        <v>55.5</v>
      </c>
      <c r="Q130">
        <v>55.5</v>
      </c>
      <c r="S130">
        <v>55.5</v>
      </c>
      <c r="U130">
        <v>55.5</v>
      </c>
      <c r="W130">
        <v>55.5</v>
      </c>
      <c r="Y130">
        <v>55.5</v>
      </c>
      <c r="AA130">
        <v>55.5</v>
      </c>
      <c r="AC130">
        <v>55.5</v>
      </c>
      <c r="AE130">
        <v>55.5</v>
      </c>
      <c r="AG130">
        <v>55.5</v>
      </c>
      <c r="AI130">
        <v>55.5</v>
      </c>
      <c r="AK130">
        <v>55.5</v>
      </c>
      <c r="AM130">
        <v>55.5</v>
      </c>
      <c r="AO130">
        <v>55.5</v>
      </c>
      <c r="AQ130">
        <v>55.5</v>
      </c>
      <c r="AS130">
        <v>55.5</v>
      </c>
    </row>
    <row r="131" spans="4:45">
      <c r="D131" s="83">
        <v>517.5</v>
      </c>
      <c r="G131" s="83">
        <v>56</v>
      </c>
      <c r="I131" s="83">
        <v>56</v>
      </c>
      <c r="K131">
        <v>56</v>
      </c>
      <c r="M131">
        <v>56</v>
      </c>
      <c r="O131">
        <v>56</v>
      </c>
      <c r="Q131">
        <v>56</v>
      </c>
      <c r="S131">
        <v>56</v>
      </c>
      <c r="U131">
        <v>56</v>
      </c>
      <c r="W131">
        <v>56</v>
      </c>
      <c r="Y131">
        <v>56</v>
      </c>
      <c r="AA131">
        <v>56</v>
      </c>
      <c r="AC131">
        <v>56</v>
      </c>
      <c r="AE131">
        <v>56</v>
      </c>
      <c r="AG131">
        <v>56</v>
      </c>
      <c r="AI131">
        <v>56</v>
      </c>
      <c r="AK131">
        <v>56</v>
      </c>
      <c r="AM131">
        <v>56</v>
      </c>
      <c r="AO131">
        <v>56</v>
      </c>
      <c r="AQ131">
        <v>56</v>
      </c>
      <c r="AS131">
        <v>56</v>
      </c>
    </row>
    <row r="132" spans="4:45">
      <c r="D132" s="83">
        <v>520</v>
      </c>
      <c r="G132" s="83">
        <v>56.5</v>
      </c>
      <c r="I132" s="83">
        <v>56.5</v>
      </c>
      <c r="K132">
        <v>56.5</v>
      </c>
      <c r="M132">
        <v>56.5</v>
      </c>
      <c r="O132">
        <v>56.5</v>
      </c>
      <c r="Q132">
        <v>56.5</v>
      </c>
      <c r="S132">
        <v>56.5</v>
      </c>
      <c r="U132">
        <v>56.5</v>
      </c>
      <c r="W132">
        <v>56.5</v>
      </c>
      <c r="Y132">
        <v>56.5</v>
      </c>
      <c r="AA132">
        <v>56.5</v>
      </c>
      <c r="AC132">
        <v>56.5</v>
      </c>
      <c r="AE132">
        <v>56.5</v>
      </c>
      <c r="AG132">
        <v>56.5</v>
      </c>
      <c r="AI132">
        <v>56.5</v>
      </c>
      <c r="AK132">
        <v>56.5</v>
      </c>
      <c r="AM132">
        <v>56.5</v>
      </c>
      <c r="AO132">
        <v>56.5</v>
      </c>
      <c r="AQ132">
        <v>56.5</v>
      </c>
      <c r="AS132">
        <v>56.5</v>
      </c>
    </row>
    <row r="133" spans="4:45">
      <c r="D133" s="83">
        <v>522.5</v>
      </c>
      <c r="G133" s="83">
        <v>57</v>
      </c>
      <c r="I133" s="83">
        <v>57</v>
      </c>
      <c r="K133">
        <v>57</v>
      </c>
      <c r="M133">
        <v>57</v>
      </c>
      <c r="O133">
        <v>57</v>
      </c>
      <c r="Q133">
        <v>57</v>
      </c>
      <c r="S133">
        <v>57</v>
      </c>
      <c r="U133">
        <v>57</v>
      </c>
      <c r="W133">
        <v>57</v>
      </c>
      <c r="Y133">
        <v>57</v>
      </c>
      <c r="AA133">
        <v>57</v>
      </c>
      <c r="AC133">
        <v>57</v>
      </c>
      <c r="AE133">
        <v>57</v>
      </c>
      <c r="AG133">
        <v>57</v>
      </c>
      <c r="AI133">
        <v>57</v>
      </c>
      <c r="AK133">
        <v>57</v>
      </c>
      <c r="AM133">
        <v>57</v>
      </c>
      <c r="AO133">
        <v>57</v>
      </c>
      <c r="AQ133">
        <v>57</v>
      </c>
      <c r="AS133">
        <v>57</v>
      </c>
    </row>
    <row r="134" spans="4:45">
      <c r="D134" s="83">
        <v>525</v>
      </c>
      <c r="G134" s="83">
        <v>57.5</v>
      </c>
      <c r="I134" s="83">
        <v>57.5</v>
      </c>
      <c r="K134">
        <v>57.5</v>
      </c>
      <c r="M134">
        <v>57.5</v>
      </c>
      <c r="O134">
        <v>57.5</v>
      </c>
      <c r="Q134">
        <v>57.5</v>
      </c>
      <c r="S134">
        <v>57.5</v>
      </c>
      <c r="U134">
        <v>57.5</v>
      </c>
      <c r="W134">
        <v>57.5</v>
      </c>
      <c r="Y134">
        <v>57.5</v>
      </c>
      <c r="AA134">
        <v>57.5</v>
      </c>
      <c r="AC134">
        <v>57.5</v>
      </c>
      <c r="AE134">
        <v>57.5</v>
      </c>
      <c r="AG134">
        <v>57.5</v>
      </c>
      <c r="AI134">
        <v>57.5</v>
      </c>
      <c r="AK134">
        <v>57.5</v>
      </c>
      <c r="AM134">
        <v>57.5</v>
      </c>
      <c r="AO134">
        <v>57.5</v>
      </c>
      <c r="AQ134">
        <v>57.5</v>
      </c>
      <c r="AS134">
        <v>57.5</v>
      </c>
    </row>
    <row r="135" spans="4:45">
      <c r="D135" s="83">
        <v>527.5</v>
      </c>
      <c r="G135" s="83">
        <v>58</v>
      </c>
      <c r="I135" s="83">
        <v>58</v>
      </c>
      <c r="K135">
        <v>58</v>
      </c>
      <c r="M135">
        <v>58</v>
      </c>
      <c r="O135">
        <v>58</v>
      </c>
      <c r="Q135">
        <v>58</v>
      </c>
      <c r="S135">
        <v>58</v>
      </c>
      <c r="U135">
        <v>58</v>
      </c>
      <c r="W135">
        <v>58</v>
      </c>
      <c r="Y135">
        <v>58</v>
      </c>
      <c r="AA135">
        <v>58</v>
      </c>
      <c r="AC135">
        <v>58</v>
      </c>
      <c r="AE135">
        <v>58</v>
      </c>
      <c r="AG135">
        <v>58</v>
      </c>
      <c r="AI135">
        <v>58</v>
      </c>
      <c r="AK135">
        <v>58</v>
      </c>
      <c r="AM135">
        <v>58</v>
      </c>
      <c r="AO135">
        <v>58</v>
      </c>
      <c r="AQ135">
        <v>58</v>
      </c>
      <c r="AS135">
        <v>58</v>
      </c>
    </row>
    <row r="136" spans="4:45">
      <c r="D136" s="83">
        <v>530</v>
      </c>
      <c r="G136" s="83">
        <v>58.5</v>
      </c>
      <c r="I136" s="83">
        <v>58.5</v>
      </c>
      <c r="K136">
        <v>58.5</v>
      </c>
      <c r="M136">
        <v>58.5</v>
      </c>
      <c r="O136">
        <v>58.5</v>
      </c>
      <c r="Q136">
        <v>58.5</v>
      </c>
      <c r="S136">
        <v>58.5</v>
      </c>
      <c r="U136">
        <v>58.5</v>
      </c>
      <c r="W136">
        <v>58.5</v>
      </c>
      <c r="Y136">
        <v>58.5</v>
      </c>
      <c r="AA136">
        <v>58.5</v>
      </c>
      <c r="AC136">
        <v>58.5</v>
      </c>
      <c r="AE136">
        <v>58.5</v>
      </c>
      <c r="AG136">
        <v>58.5</v>
      </c>
      <c r="AI136">
        <v>58.5</v>
      </c>
      <c r="AK136">
        <v>58.5</v>
      </c>
      <c r="AM136">
        <v>58.5</v>
      </c>
      <c r="AO136">
        <v>58.5</v>
      </c>
      <c r="AQ136">
        <v>58.5</v>
      </c>
      <c r="AS136">
        <v>58.5</v>
      </c>
    </row>
    <row r="137" spans="4:45">
      <c r="D137" s="83">
        <v>532.5</v>
      </c>
      <c r="G137" s="83">
        <v>59</v>
      </c>
      <c r="I137" s="83">
        <v>59</v>
      </c>
      <c r="K137">
        <v>59</v>
      </c>
      <c r="M137">
        <v>59</v>
      </c>
      <c r="O137">
        <v>59</v>
      </c>
      <c r="Q137">
        <v>59</v>
      </c>
      <c r="S137">
        <v>59</v>
      </c>
      <c r="U137">
        <v>59</v>
      </c>
      <c r="W137">
        <v>59</v>
      </c>
      <c r="Y137">
        <v>59</v>
      </c>
      <c r="AA137">
        <v>59</v>
      </c>
      <c r="AC137">
        <v>59</v>
      </c>
      <c r="AE137">
        <v>59</v>
      </c>
      <c r="AG137">
        <v>59</v>
      </c>
      <c r="AI137">
        <v>59</v>
      </c>
      <c r="AK137">
        <v>59</v>
      </c>
      <c r="AM137">
        <v>59</v>
      </c>
      <c r="AO137">
        <v>59</v>
      </c>
      <c r="AQ137">
        <v>59</v>
      </c>
      <c r="AS137">
        <v>59</v>
      </c>
    </row>
    <row r="138" spans="4:45">
      <c r="D138" s="83">
        <v>535</v>
      </c>
      <c r="G138" s="83">
        <v>59.5</v>
      </c>
      <c r="I138" s="83">
        <v>59.5</v>
      </c>
      <c r="K138">
        <v>59.5</v>
      </c>
      <c r="M138">
        <v>59.5</v>
      </c>
      <c r="O138">
        <v>59.5</v>
      </c>
      <c r="Q138">
        <v>59.5</v>
      </c>
      <c r="S138">
        <v>59.5</v>
      </c>
      <c r="U138">
        <v>59.5</v>
      </c>
      <c r="W138">
        <v>59.5</v>
      </c>
      <c r="Y138">
        <v>59.5</v>
      </c>
      <c r="AA138">
        <v>59.5</v>
      </c>
      <c r="AC138">
        <v>59.5</v>
      </c>
      <c r="AE138">
        <v>59.5</v>
      </c>
      <c r="AG138">
        <v>59.5</v>
      </c>
      <c r="AI138">
        <v>59.5</v>
      </c>
      <c r="AK138">
        <v>59.5</v>
      </c>
      <c r="AM138">
        <v>59.5</v>
      </c>
      <c r="AO138">
        <v>59.5</v>
      </c>
      <c r="AQ138">
        <v>59.5</v>
      </c>
      <c r="AS138">
        <v>59.5</v>
      </c>
    </row>
    <row r="139" spans="4:45">
      <c r="D139" s="83">
        <v>537.5</v>
      </c>
      <c r="G139" s="83">
        <v>60</v>
      </c>
      <c r="I139" s="83">
        <v>60</v>
      </c>
      <c r="K139">
        <v>60</v>
      </c>
      <c r="M139">
        <v>60</v>
      </c>
      <c r="O139">
        <v>60</v>
      </c>
      <c r="Q139">
        <v>60</v>
      </c>
      <c r="S139">
        <v>60</v>
      </c>
      <c r="U139">
        <v>60</v>
      </c>
      <c r="W139">
        <v>60</v>
      </c>
      <c r="Y139">
        <v>60</v>
      </c>
      <c r="AA139">
        <v>60</v>
      </c>
      <c r="AC139">
        <v>60</v>
      </c>
      <c r="AE139">
        <v>60</v>
      </c>
      <c r="AG139">
        <v>60</v>
      </c>
      <c r="AI139">
        <v>60</v>
      </c>
      <c r="AK139">
        <v>60</v>
      </c>
      <c r="AM139">
        <v>60</v>
      </c>
      <c r="AO139">
        <v>60</v>
      </c>
      <c r="AQ139">
        <v>60</v>
      </c>
      <c r="AS139">
        <v>60</v>
      </c>
    </row>
    <row r="140" spans="4:45">
      <c r="D140" s="83">
        <v>540</v>
      </c>
      <c r="G140" s="83">
        <v>60.5</v>
      </c>
      <c r="I140" s="83">
        <v>60.5</v>
      </c>
      <c r="K140">
        <v>60.5</v>
      </c>
      <c r="M140">
        <v>60.5</v>
      </c>
      <c r="O140">
        <v>60.5</v>
      </c>
      <c r="Q140">
        <v>60.5</v>
      </c>
      <c r="S140">
        <v>60.5</v>
      </c>
      <c r="U140">
        <v>60.5</v>
      </c>
      <c r="W140">
        <v>60.5</v>
      </c>
      <c r="Y140">
        <v>60.5</v>
      </c>
      <c r="AA140">
        <v>60.5</v>
      </c>
      <c r="AC140">
        <v>60.5</v>
      </c>
      <c r="AE140">
        <v>60.5</v>
      </c>
      <c r="AG140">
        <v>60.5</v>
      </c>
      <c r="AI140">
        <v>60.5</v>
      </c>
      <c r="AK140">
        <v>60.5</v>
      </c>
      <c r="AM140">
        <v>60.5</v>
      </c>
      <c r="AO140">
        <v>60.5</v>
      </c>
      <c r="AQ140">
        <v>60.5</v>
      </c>
      <c r="AS140">
        <v>60.5</v>
      </c>
    </row>
    <row r="141" spans="4:45">
      <c r="D141" s="83">
        <v>542.5</v>
      </c>
      <c r="G141" s="83">
        <v>61</v>
      </c>
      <c r="I141" s="83">
        <v>61</v>
      </c>
      <c r="K141">
        <v>61</v>
      </c>
      <c r="M141">
        <v>61</v>
      </c>
      <c r="O141">
        <v>61</v>
      </c>
      <c r="Q141">
        <v>61</v>
      </c>
      <c r="S141">
        <v>61</v>
      </c>
      <c r="U141">
        <v>61</v>
      </c>
      <c r="W141">
        <v>61</v>
      </c>
      <c r="Y141">
        <v>61</v>
      </c>
      <c r="AA141">
        <v>61</v>
      </c>
      <c r="AC141">
        <v>61</v>
      </c>
      <c r="AE141">
        <v>61</v>
      </c>
      <c r="AG141">
        <v>61</v>
      </c>
      <c r="AI141">
        <v>61</v>
      </c>
      <c r="AK141">
        <v>61</v>
      </c>
      <c r="AM141">
        <v>61</v>
      </c>
      <c r="AO141">
        <v>61</v>
      </c>
      <c r="AQ141">
        <v>61</v>
      </c>
      <c r="AS141">
        <v>61</v>
      </c>
    </row>
    <row r="142" spans="4:45">
      <c r="D142" s="83">
        <v>545</v>
      </c>
      <c r="G142" s="83">
        <v>61.5</v>
      </c>
      <c r="I142" s="83">
        <v>61.5</v>
      </c>
      <c r="K142">
        <v>61.5</v>
      </c>
      <c r="M142">
        <v>61.5</v>
      </c>
      <c r="O142">
        <v>61.5</v>
      </c>
      <c r="Q142">
        <v>61.5</v>
      </c>
      <c r="S142">
        <v>61.5</v>
      </c>
      <c r="U142">
        <v>61.5</v>
      </c>
      <c r="W142">
        <v>61.5</v>
      </c>
      <c r="Y142">
        <v>61.5</v>
      </c>
      <c r="AA142">
        <v>61.5</v>
      </c>
      <c r="AC142">
        <v>61.5</v>
      </c>
      <c r="AE142">
        <v>61.5</v>
      </c>
      <c r="AG142">
        <v>61.5</v>
      </c>
      <c r="AI142">
        <v>61.5</v>
      </c>
      <c r="AK142">
        <v>61.5</v>
      </c>
      <c r="AM142">
        <v>61.5</v>
      </c>
      <c r="AO142">
        <v>61.5</v>
      </c>
      <c r="AQ142">
        <v>61.5</v>
      </c>
      <c r="AS142">
        <v>61.5</v>
      </c>
    </row>
    <row r="143" spans="4:45">
      <c r="D143" s="83">
        <v>550</v>
      </c>
      <c r="G143" s="83">
        <v>62</v>
      </c>
      <c r="I143" s="83">
        <v>62</v>
      </c>
      <c r="K143">
        <v>62</v>
      </c>
      <c r="M143">
        <v>62</v>
      </c>
      <c r="O143">
        <v>62</v>
      </c>
      <c r="Q143">
        <v>62</v>
      </c>
      <c r="S143">
        <v>62</v>
      </c>
      <c r="U143">
        <v>62</v>
      </c>
      <c r="W143">
        <v>62</v>
      </c>
      <c r="Y143">
        <v>62</v>
      </c>
      <c r="AA143">
        <v>62</v>
      </c>
      <c r="AC143">
        <v>62</v>
      </c>
      <c r="AE143">
        <v>62</v>
      </c>
      <c r="AG143">
        <v>62</v>
      </c>
      <c r="AI143">
        <v>62</v>
      </c>
      <c r="AK143">
        <v>62</v>
      </c>
      <c r="AM143">
        <v>62</v>
      </c>
      <c r="AO143">
        <v>62</v>
      </c>
      <c r="AQ143">
        <v>62</v>
      </c>
      <c r="AS143">
        <v>62</v>
      </c>
    </row>
    <row r="144" spans="4:45">
      <c r="D144" s="83">
        <v>555</v>
      </c>
      <c r="G144" s="83">
        <v>62.5</v>
      </c>
      <c r="I144" s="83">
        <v>62.5</v>
      </c>
      <c r="K144">
        <v>62.5</v>
      </c>
      <c r="M144">
        <v>62.5</v>
      </c>
      <c r="O144">
        <v>62.5</v>
      </c>
      <c r="Q144">
        <v>62.5</v>
      </c>
      <c r="S144">
        <v>62.5</v>
      </c>
      <c r="U144">
        <v>62.5</v>
      </c>
      <c r="W144">
        <v>62.5</v>
      </c>
      <c r="Y144">
        <v>62.5</v>
      </c>
      <c r="AA144">
        <v>62.5</v>
      </c>
      <c r="AC144">
        <v>62.5</v>
      </c>
      <c r="AE144">
        <v>62.5</v>
      </c>
      <c r="AG144">
        <v>62.5</v>
      </c>
      <c r="AI144">
        <v>62.5</v>
      </c>
      <c r="AK144">
        <v>62.5</v>
      </c>
      <c r="AM144">
        <v>62.5</v>
      </c>
      <c r="AO144">
        <v>62.5</v>
      </c>
      <c r="AQ144">
        <v>62.5</v>
      </c>
      <c r="AS144">
        <v>62.5</v>
      </c>
    </row>
    <row r="145" spans="4:45">
      <c r="D145" s="83">
        <v>560</v>
      </c>
      <c r="G145" s="83">
        <v>63</v>
      </c>
      <c r="I145" s="83">
        <v>63</v>
      </c>
      <c r="K145">
        <v>63</v>
      </c>
      <c r="M145">
        <v>63</v>
      </c>
      <c r="O145">
        <v>63</v>
      </c>
      <c r="Q145">
        <v>63</v>
      </c>
      <c r="S145">
        <v>63</v>
      </c>
      <c r="U145">
        <v>63</v>
      </c>
      <c r="W145">
        <v>63</v>
      </c>
      <c r="Y145">
        <v>63</v>
      </c>
      <c r="AA145">
        <v>63</v>
      </c>
      <c r="AC145">
        <v>63</v>
      </c>
      <c r="AE145">
        <v>63</v>
      </c>
      <c r="AG145">
        <v>63</v>
      </c>
      <c r="AI145">
        <v>63</v>
      </c>
      <c r="AK145">
        <v>63</v>
      </c>
      <c r="AM145">
        <v>63</v>
      </c>
      <c r="AO145">
        <v>63</v>
      </c>
      <c r="AQ145">
        <v>63</v>
      </c>
      <c r="AS145">
        <v>63</v>
      </c>
    </row>
    <row r="146" spans="4:45">
      <c r="D146" s="83">
        <v>565</v>
      </c>
      <c r="G146" s="83">
        <v>63.5</v>
      </c>
      <c r="I146" s="83">
        <v>63.5</v>
      </c>
      <c r="K146">
        <v>63.5</v>
      </c>
      <c r="M146">
        <v>63.5</v>
      </c>
      <c r="O146">
        <v>63.5</v>
      </c>
      <c r="Q146">
        <v>63.5</v>
      </c>
      <c r="S146">
        <v>63.5</v>
      </c>
      <c r="U146">
        <v>63.5</v>
      </c>
      <c r="W146">
        <v>63.5</v>
      </c>
      <c r="Y146">
        <v>63.5</v>
      </c>
      <c r="AA146">
        <v>63.5</v>
      </c>
      <c r="AC146">
        <v>63.5</v>
      </c>
      <c r="AE146">
        <v>63.5</v>
      </c>
      <c r="AG146">
        <v>63.5</v>
      </c>
      <c r="AI146">
        <v>63.5</v>
      </c>
      <c r="AK146">
        <v>63.5</v>
      </c>
      <c r="AM146">
        <v>63.5</v>
      </c>
      <c r="AO146">
        <v>63.5</v>
      </c>
      <c r="AQ146">
        <v>63.5</v>
      </c>
      <c r="AS146">
        <v>63.5</v>
      </c>
    </row>
    <row r="147" spans="4:45">
      <c r="D147" s="83">
        <v>570</v>
      </c>
      <c r="G147" s="83">
        <v>64</v>
      </c>
      <c r="I147" s="83">
        <v>64</v>
      </c>
      <c r="K147">
        <v>64</v>
      </c>
      <c r="M147">
        <v>64</v>
      </c>
      <c r="O147">
        <v>64</v>
      </c>
      <c r="Q147">
        <v>64</v>
      </c>
      <c r="S147">
        <v>64</v>
      </c>
      <c r="U147">
        <v>64</v>
      </c>
      <c r="W147">
        <v>64</v>
      </c>
      <c r="Y147">
        <v>64</v>
      </c>
      <c r="AA147">
        <v>64</v>
      </c>
      <c r="AC147">
        <v>64</v>
      </c>
      <c r="AE147">
        <v>64</v>
      </c>
      <c r="AG147">
        <v>64</v>
      </c>
      <c r="AI147">
        <v>64</v>
      </c>
      <c r="AK147">
        <v>64</v>
      </c>
      <c r="AM147">
        <v>64</v>
      </c>
      <c r="AO147">
        <v>64</v>
      </c>
      <c r="AQ147">
        <v>64</v>
      </c>
      <c r="AS147">
        <v>64</v>
      </c>
    </row>
    <row r="148" spans="4:45">
      <c r="D148" s="83">
        <v>575</v>
      </c>
      <c r="G148" s="83">
        <v>64.5</v>
      </c>
      <c r="I148" s="83">
        <v>64.5</v>
      </c>
      <c r="K148">
        <v>64.5</v>
      </c>
      <c r="M148">
        <v>64.5</v>
      </c>
      <c r="O148">
        <v>64.5</v>
      </c>
      <c r="Q148">
        <v>64.5</v>
      </c>
      <c r="S148">
        <v>64.5</v>
      </c>
      <c r="U148">
        <v>64.5</v>
      </c>
      <c r="W148">
        <v>64.5</v>
      </c>
      <c r="Y148">
        <v>64.5</v>
      </c>
      <c r="AA148">
        <v>64.5</v>
      </c>
      <c r="AC148">
        <v>64.5</v>
      </c>
      <c r="AE148">
        <v>64.5</v>
      </c>
      <c r="AG148">
        <v>64.5</v>
      </c>
      <c r="AI148">
        <v>64.5</v>
      </c>
      <c r="AK148">
        <v>64.5</v>
      </c>
      <c r="AM148">
        <v>64.5</v>
      </c>
      <c r="AO148">
        <v>64.5</v>
      </c>
      <c r="AQ148">
        <v>64.5</v>
      </c>
      <c r="AS148">
        <v>64.5</v>
      </c>
    </row>
    <row r="149" spans="4:45">
      <c r="D149" s="83">
        <v>580</v>
      </c>
      <c r="G149" s="83">
        <v>65</v>
      </c>
      <c r="I149" s="83">
        <v>65</v>
      </c>
      <c r="K149">
        <v>65</v>
      </c>
      <c r="M149">
        <v>65</v>
      </c>
      <c r="O149">
        <v>65</v>
      </c>
      <c r="Q149">
        <v>65</v>
      </c>
      <c r="S149">
        <v>65</v>
      </c>
      <c r="U149">
        <v>65</v>
      </c>
      <c r="W149">
        <v>65</v>
      </c>
      <c r="Y149">
        <v>65</v>
      </c>
      <c r="AA149">
        <v>65</v>
      </c>
      <c r="AC149">
        <v>65</v>
      </c>
      <c r="AE149">
        <v>65</v>
      </c>
      <c r="AG149">
        <v>65</v>
      </c>
      <c r="AI149">
        <v>65</v>
      </c>
      <c r="AK149">
        <v>65</v>
      </c>
      <c r="AM149">
        <v>65</v>
      </c>
      <c r="AO149">
        <v>65</v>
      </c>
      <c r="AQ149">
        <v>65</v>
      </c>
      <c r="AS149">
        <v>65</v>
      </c>
    </row>
    <row r="150" spans="4:45">
      <c r="D150" s="83">
        <v>585</v>
      </c>
      <c r="G150" s="83">
        <v>65.5</v>
      </c>
      <c r="I150" s="83">
        <v>65.5</v>
      </c>
      <c r="K150">
        <v>65.5</v>
      </c>
      <c r="M150">
        <v>65.5</v>
      </c>
      <c r="O150">
        <v>65.5</v>
      </c>
      <c r="Q150">
        <v>65.5</v>
      </c>
      <c r="S150">
        <v>65.5</v>
      </c>
      <c r="U150">
        <v>65.5</v>
      </c>
      <c r="W150">
        <v>65.5</v>
      </c>
      <c r="Y150">
        <v>65.5</v>
      </c>
      <c r="AA150">
        <v>65.5</v>
      </c>
      <c r="AC150">
        <v>65.5</v>
      </c>
      <c r="AE150">
        <v>65.5</v>
      </c>
      <c r="AG150">
        <v>65.5</v>
      </c>
      <c r="AI150">
        <v>65.5</v>
      </c>
      <c r="AK150">
        <v>65.5</v>
      </c>
      <c r="AM150">
        <v>65.5</v>
      </c>
      <c r="AO150">
        <v>65.5</v>
      </c>
      <c r="AQ150">
        <v>65.5</v>
      </c>
      <c r="AS150">
        <v>65.5</v>
      </c>
    </row>
    <row r="151" spans="4:45">
      <c r="D151" s="83">
        <v>590</v>
      </c>
      <c r="G151" s="83">
        <v>66</v>
      </c>
      <c r="I151" s="83">
        <v>66</v>
      </c>
      <c r="K151">
        <v>66</v>
      </c>
      <c r="M151">
        <v>66</v>
      </c>
      <c r="O151">
        <v>66</v>
      </c>
      <c r="Q151">
        <v>66</v>
      </c>
      <c r="S151">
        <v>66</v>
      </c>
      <c r="U151">
        <v>66</v>
      </c>
      <c r="W151">
        <v>66</v>
      </c>
      <c r="Y151">
        <v>66</v>
      </c>
      <c r="AA151">
        <v>66</v>
      </c>
      <c r="AC151">
        <v>66</v>
      </c>
      <c r="AE151">
        <v>66</v>
      </c>
      <c r="AG151">
        <v>66</v>
      </c>
      <c r="AI151">
        <v>66</v>
      </c>
      <c r="AK151">
        <v>66</v>
      </c>
      <c r="AM151">
        <v>66</v>
      </c>
      <c r="AO151">
        <v>66</v>
      </c>
      <c r="AQ151">
        <v>66</v>
      </c>
      <c r="AS151">
        <v>66</v>
      </c>
    </row>
    <row r="152" spans="4:45">
      <c r="D152" s="83">
        <v>595</v>
      </c>
      <c r="G152" s="83">
        <v>66.5</v>
      </c>
      <c r="I152" s="83">
        <v>66.5</v>
      </c>
      <c r="K152">
        <v>66.5</v>
      </c>
      <c r="M152">
        <v>66.5</v>
      </c>
      <c r="O152">
        <v>66.5</v>
      </c>
      <c r="Q152">
        <v>66.5</v>
      </c>
      <c r="S152">
        <v>66.5</v>
      </c>
      <c r="U152">
        <v>66.5</v>
      </c>
      <c r="W152">
        <v>66.5</v>
      </c>
      <c r="Y152">
        <v>66.5</v>
      </c>
      <c r="AA152">
        <v>66.5</v>
      </c>
      <c r="AC152">
        <v>66.5</v>
      </c>
      <c r="AE152">
        <v>66.5</v>
      </c>
      <c r="AG152">
        <v>66.5</v>
      </c>
      <c r="AI152">
        <v>66.5</v>
      </c>
      <c r="AK152">
        <v>66.5</v>
      </c>
      <c r="AM152">
        <v>66.5</v>
      </c>
      <c r="AO152">
        <v>66.5</v>
      </c>
      <c r="AQ152">
        <v>66.5</v>
      </c>
      <c r="AS152">
        <v>66.5</v>
      </c>
    </row>
    <row r="153" spans="4:45">
      <c r="D153" s="83">
        <v>600</v>
      </c>
      <c r="G153" s="83">
        <v>67</v>
      </c>
      <c r="I153" s="83">
        <v>67</v>
      </c>
      <c r="K153">
        <v>67</v>
      </c>
      <c r="M153">
        <v>67</v>
      </c>
      <c r="O153">
        <v>67</v>
      </c>
      <c r="Q153">
        <v>67</v>
      </c>
      <c r="S153">
        <v>67</v>
      </c>
      <c r="U153">
        <v>67</v>
      </c>
      <c r="W153">
        <v>67</v>
      </c>
      <c r="Y153">
        <v>67</v>
      </c>
      <c r="AA153">
        <v>67</v>
      </c>
      <c r="AC153">
        <v>67</v>
      </c>
      <c r="AE153">
        <v>67</v>
      </c>
      <c r="AG153">
        <v>67</v>
      </c>
      <c r="AI153">
        <v>67</v>
      </c>
      <c r="AK153">
        <v>67</v>
      </c>
      <c r="AM153">
        <v>67</v>
      </c>
      <c r="AO153">
        <v>67</v>
      </c>
      <c r="AQ153">
        <v>67</v>
      </c>
      <c r="AS153">
        <v>67</v>
      </c>
    </row>
    <row r="154" spans="4:45">
      <c r="D154" s="83">
        <v>605</v>
      </c>
      <c r="G154" s="83">
        <v>67.5</v>
      </c>
      <c r="I154" s="83">
        <v>67.5</v>
      </c>
      <c r="K154">
        <v>67.5</v>
      </c>
      <c r="M154">
        <v>67.5</v>
      </c>
      <c r="O154">
        <v>67.5</v>
      </c>
      <c r="Q154">
        <v>67.5</v>
      </c>
      <c r="S154">
        <v>67.5</v>
      </c>
      <c r="U154">
        <v>67.5</v>
      </c>
      <c r="W154">
        <v>67.5</v>
      </c>
      <c r="Y154">
        <v>67.5</v>
      </c>
      <c r="AA154">
        <v>67.5</v>
      </c>
      <c r="AC154">
        <v>67.5</v>
      </c>
      <c r="AE154">
        <v>67.5</v>
      </c>
      <c r="AG154">
        <v>67.5</v>
      </c>
      <c r="AI154">
        <v>67.5</v>
      </c>
      <c r="AK154">
        <v>67.5</v>
      </c>
      <c r="AM154">
        <v>67.5</v>
      </c>
      <c r="AO154">
        <v>67.5</v>
      </c>
      <c r="AQ154">
        <v>67.5</v>
      </c>
      <c r="AS154">
        <v>67.5</v>
      </c>
    </row>
    <row r="155" spans="4:45">
      <c r="D155" s="83">
        <v>610</v>
      </c>
      <c r="G155" s="83">
        <v>68</v>
      </c>
      <c r="I155" s="83">
        <v>68</v>
      </c>
      <c r="K155">
        <v>68</v>
      </c>
      <c r="M155">
        <v>68</v>
      </c>
      <c r="O155">
        <v>68</v>
      </c>
      <c r="Q155">
        <v>68</v>
      </c>
      <c r="S155">
        <v>68</v>
      </c>
      <c r="U155">
        <v>68</v>
      </c>
      <c r="W155">
        <v>68</v>
      </c>
      <c r="Y155">
        <v>68</v>
      </c>
      <c r="AA155">
        <v>68</v>
      </c>
      <c r="AC155">
        <v>68</v>
      </c>
      <c r="AE155">
        <v>68</v>
      </c>
      <c r="AG155">
        <v>68</v>
      </c>
      <c r="AI155">
        <v>68</v>
      </c>
      <c r="AK155">
        <v>68</v>
      </c>
      <c r="AM155">
        <v>68</v>
      </c>
      <c r="AO155">
        <v>68</v>
      </c>
      <c r="AQ155">
        <v>68</v>
      </c>
      <c r="AS155">
        <v>68</v>
      </c>
    </row>
    <row r="156" spans="4:45">
      <c r="D156" s="83">
        <v>615</v>
      </c>
      <c r="G156" s="83">
        <v>68.5</v>
      </c>
      <c r="I156" s="83">
        <v>68.5</v>
      </c>
      <c r="K156">
        <v>68.5</v>
      </c>
      <c r="M156">
        <v>68.5</v>
      </c>
      <c r="O156">
        <v>68.5</v>
      </c>
      <c r="Q156">
        <v>68.5</v>
      </c>
      <c r="S156">
        <v>68.5</v>
      </c>
      <c r="U156">
        <v>68.5</v>
      </c>
      <c r="W156">
        <v>68.5</v>
      </c>
      <c r="Y156">
        <v>68.5</v>
      </c>
      <c r="AA156">
        <v>68.5</v>
      </c>
      <c r="AC156">
        <v>68.5</v>
      </c>
      <c r="AE156">
        <v>68.5</v>
      </c>
      <c r="AG156">
        <v>68.5</v>
      </c>
      <c r="AI156">
        <v>68.5</v>
      </c>
      <c r="AK156">
        <v>68.5</v>
      </c>
      <c r="AM156">
        <v>68.5</v>
      </c>
      <c r="AO156">
        <v>68.5</v>
      </c>
      <c r="AQ156">
        <v>68.5</v>
      </c>
      <c r="AS156">
        <v>68.5</v>
      </c>
    </row>
    <row r="157" spans="4:45">
      <c r="D157" s="83">
        <v>620</v>
      </c>
      <c r="G157" s="83">
        <v>69</v>
      </c>
      <c r="I157" s="83">
        <v>69</v>
      </c>
      <c r="K157">
        <v>69</v>
      </c>
      <c r="M157">
        <v>69</v>
      </c>
      <c r="O157">
        <v>69</v>
      </c>
      <c r="Q157">
        <v>69</v>
      </c>
      <c r="S157">
        <v>69</v>
      </c>
      <c r="U157">
        <v>69</v>
      </c>
      <c r="W157">
        <v>69</v>
      </c>
      <c r="Y157">
        <v>69</v>
      </c>
      <c r="AA157">
        <v>69</v>
      </c>
      <c r="AC157">
        <v>69</v>
      </c>
      <c r="AE157">
        <v>69</v>
      </c>
      <c r="AG157">
        <v>69</v>
      </c>
      <c r="AI157">
        <v>69</v>
      </c>
      <c r="AK157">
        <v>69</v>
      </c>
      <c r="AM157">
        <v>69</v>
      </c>
      <c r="AO157">
        <v>69</v>
      </c>
      <c r="AQ157">
        <v>69</v>
      </c>
      <c r="AS157">
        <v>69</v>
      </c>
    </row>
    <row r="158" spans="4:45">
      <c r="D158" s="83">
        <v>625</v>
      </c>
      <c r="G158" s="83">
        <v>69.5</v>
      </c>
      <c r="I158" s="83">
        <v>69.5</v>
      </c>
      <c r="K158">
        <v>69.5</v>
      </c>
      <c r="M158">
        <v>69.5</v>
      </c>
      <c r="O158">
        <v>69.5</v>
      </c>
      <c r="Q158">
        <v>69.5</v>
      </c>
      <c r="S158">
        <v>69.5</v>
      </c>
      <c r="U158">
        <v>69.5</v>
      </c>
      <c r="W158">
        <v>69.5</v>
      </c>
      <c r="Y158">
        <v>69.5</v>
      </c>
      <c r="AA158">
        <v>69.5</v>
      </c>
      <c r="AC158">
        <v>69.5</v>
      </c>
      <c r="AE158">
        <v>69.5</v>
      </c>
      <c r="AG158">
        <v>69.5</v>
      </c>
      <c r="AI158">
        <v>69.5</v>
      </c>
      <c r="AK158">
        <v>69.5</v>
      </c>
      <c r="AM158">
        <v>69.5</v>
      </c>
      <c r="AO158">
        <v>69.5</v>
      </c>
      <c r="AQ158">
        <v>69.5</v>
      </c>
      <c r="AS158">
        <v>69.5</v>
      </c>
    </row>
    <row r="159" spans="4:45">
      <c r="D159" s="83">
        <v>630</v>
      </c>
      <c r="G159" s="83">
        <v>70</v>
      </c>
      <c r="I159" s="83">
        <v>70</v>
      </c>
      <c r="K159">
        <v>70</v>
      </c>
      <c r="M159">
        <v>70</v>
      </c>
      <c r="O159">
        <v>70</v>
      </c>
      <c r="Q159">
        <v>70</v>
      </c>
      <c r="S159">
        <v>70</v>
      </c>
      <c r="U159">
        <v>70</v>
      </c>
      <c r="W159">
        <v>70</v>
      </c>
      <c r="Y159">
        <v>70</v>
      </c>
      <c r="AA159">
        <v>70</v>
      </c>
      <c r="AC159">
        <v>70</v>
      </c>
      <c r="AE159">
        <v>70</v>
      </c>
      <c r="AG159">
        <v>70</v>
      </c>
      <c r="AI159">
        <v>70</v>
      </c>
      <c r="AK159">
        <v>70</v>
      </c>
      <c r="AM159">
        <v>70</v>
      </c>
      <c r="AO159">
        <v>70</v>
      </c>
      <c r="AQ159">
        <v>70</v>
      </c>
      <c r="AS159">
        <v>70</v>
      </c>
    </row>
    <row r="160" spans="4:45">
      <c r="D160" s="83">
        <v>635</v>
      </c>
      <c r="G160" s="83">
        <v>70.5</v>
      </c>
      <c r="I160" s="83">
        <v>70.5</v>
      </c>
      <c r="K160">
        <v>70.5</v>
      </c>
      <c r="M160">
        <v>70.5</v>
      </c>
      <c r="O160">
        <v>70.5</v>
      </c>
      <c r="Q160">
        <v>70.5</v>
      </c>
      <c r="S160">
        <v>70.5</v>
      </c>
      <c r="U160">
        <v>70.5</v>
      </c>
      <c r="W160">
        <v>70.5</v>
      </c>
      <c r="Y160">
        <v>70.5</v>
      </c>
      <c r="AA160">
        <v>70.5</v>
      </c>
      <c r="AC160">
        <v>70.5</v>
      </c>
      <c r="AE160">
        <v>70.5</v>
      </c>
      <c r="AG160">
        <v>70.5</v>
      </c>
      <c r="AI160">
        <v>70.5</v>
      </c>
      <c r="AK160">
        <v>70.5</v>
      </c>
      <c r="AM160">
        <v>70.5</v>
      </c>
      <c r="AO160">
        <v>70.5</v>
      </c>
      <c r="AQ160">
        <v>70.5</v>
      </c>
      <c r="AS160">
        <v>70.5</v>
      </c>
    </row>
    <row r="161" spans="4:45">
      <c r="D161" s="83">
        <v>640</v>
      </c>
      <c r="G161" s="83">
        <v>71</v>
      </c>
      <c r="I161" s="83">
        <v>71</v>
      </c>
      <c r="K161">
        <v>71</v>
      </c>
      <c r="M161">
        <v>71</v>
      </c>
      <c r="O161">
        <v>71</v>
      </c>
      <c r="Q161">
        <v>71</v>
      </c>
      <c r="S161">
        <v>71</v>
      </c>
      <c r="U161">
        <v>71</v>
      </c>
      <c r="W161">
        <v>71</v>
      </c>
      <c r="Y161">
        <v>71</v>
      </c>
      <c r="AA161">
        <v>71</v>
      </c>
      <c r="AC161">
        <v>71</v>
      </c>
      <c r="AE161">
        <v>71</v>
      </c>
      <c r="AG161">
        <v>71</v>
      </c>
      <c r="AI161">
        <v>71</v>
      </c>
      <c r="AK161">
        <v>71</v>
      </c>
      <c r="AM161">
        <v>71</v>
      </c>
      <c r="AO161">
        <v>71</v>
      </c>
      <c r="AQ161">
        <v>71</v>
      </c>
      <c r="AS161">
        <v>71</v>
      </c>
    </row>
    <row r="162" spans="4:45">
      <c r="D162" s="83">
        <v>645</v>
      </c>
      <c r="G162" s="83">
        <v>72</v>
      </c>
      <c r="I162" s="83">
        <v>72</v>
      </c>
      <c r="K162">
        <v>72</v>
      </c>
      <c r="M162">
        <v>72</v>
      </c>
      <c r="O162">
        <v>72</v>
      </c>
      <c r="Q162">
        <v>72</v>
      </c>
      <c r="S162">
        <v>72</v>
      </c>
      <c r="U162">
        <v>72</v>
      </c>
      <c r="W162">
        <v>72</v>
      </c>
      <c r="Y162">
        <v>72</v>
      </c>
      <c r="AA162">
        <v>72</v>
      </c>
      <c r="AC162">
        <v>72</v>
      </c>
      <c r="AE162">
        <v>72</v>
      </c>
      <c r="AG162">
        <v>72</v>
      </c>
      <c r="AI162">
        <v>72</v>
      </c>
      <c r="AK162">
        <v>72</v>
      </c>
      <c r="AM162">
        <v>72</v>
      </c>
      <c r="AO162">
        <v>72</v>
      </c>
      <c r="AQ162">
        <v>72</v>
      </c>
      <c r="AS162">
        <v>72</v>
      </c>
    </row>
    <row r="163" spans="4:45">
      <c r="D163" s="83">
        <v>650</v>
      </c>
      <c r="G163" s="83">
        <v>73</v>
      </c>
      <c r="I163" s="83">
        <v>73</v>
      </c>
      <c r="K163">
        <v>73</v>
      </c>
      <c r="M163">
        <v>73</v>
      </c>
      <c r="O163">
        <v>73</v>
      </c>
      <c r="Q163">
        <v>73</v>
      </c>
      <c r="S163">
        <v>73</v>
      </c>
      <c r="U163">
        <v>73</v>
      </c>
      <c r="W163">
        <v>73</v>
      </c>
      <c r="Y163">
        <v>73</v>
      </c>
      <c r="AA163">
        <v>73</v>
      </c>
      <c r="AC163">
        <v>73</v>
      </c>
      <c r="AE163">
        <v>73</v>
      </c>
      <c r="AG163">
        <v>73</v>
      </c>
      <c r="AI163">
        <v>73</v>
      </c>
      <c r="AK163">
        <v>73</v>
      </c>
      <c r="AM163">
        <v>73</v>
      </c>
      <c r="AO163">
        <v>73</v>
      </c>
      <c r="AQ163">
        <v>73</v>
      </c>
      <c r="AS163">
        <v>73</v>
      </c>
    </row>
    <row r="164" spans="4:45">
      <c r="D164" s="83">
        <v>655</v>
      </c>
      <c r="G164" s="83">
        <v>74</v>
      </c>
      <c r="I164" s="83">
        <v>74</v>
      </c>
      <c r="K164">
        <v>74</v>
      </c>
      <c r="M164">
        <v>74</v>
      </c>
      <c r="O164">
        <v>74</v>
      </c>
      <c r="Q164">
        <v>74</v>
      </c>
      <c r="S164">
        <v>74</v>
      </c>
      <c r="U164">
        <v>74</v>
      </c>
      <c r="W164">
        <v>74</v>
      </c>
      <c r="Y164">
        <v>74</v>
      </c>
      <c r="AA164">
        <v>74</v>
      </c>
      <c r="AC164">
        <v>74</v>
      </c>
      <c r="AE164">
        <v>74</v>
      </c>
      <c r="AG164">
        <v>74</v>
      </c>
      <c r="AI164">
        <v>74</v>
      </c>
      <c r="AK164">
        <v>74</v>
      </c>
      <c r="AM164">
        <v>74</v>
      </c>
      <c r="AO164">
        <v>74</v>
      </c>
      <c r="AQ164">
        <v>74</v>
      </c>
      <c r="AS164">
        <v>74</v>
      </c>
    </row>
    <row r="165" spans="4:45">
      <c r="D165" s="83">
        <v>660</v>
      </c>
      <c r="G165" s="83">
        <v>75</v>
      </c>
      <c r="I165" s="83">
        <v>75</v>
      </c>
      <c r="K165">
        <v>75</v>
      </c>
      <c r="M165">
        <v>75</v>
      </c>
      <c r="O165">
        <v>75</v>
      </c>
      <c r="Q165">
        <v>75</v>
      </c>
      <c r="S165">
        <v>75</v>
      </c>
      <c r="U165">
        <v>75</v>
      </c>
      <c r="W165">
        <v>75</v>
      </c>
      <c r="Y165">
        <v>75</v>
      </c>
      <c r="AA165">
        <v>75</v>
      </c>
      <c r="AC165">
        <v>75</v>
      </c>
      <c r="AE165">
        <v>75</v>
      </c>
      <c r="AG165">
        <v>75</v>
      </c>
      <c r="AI165">
        <v>75</v>
      </c>
      <c r="AK165">
        <v>75</v>
      </c>
      <c r="AM165">
        <v>75</v>
      </c>
      <c r="AO165">
        <v>75</v>
      </c>
      <c r="AQ165">
        <v>75</v>
      </c>
      <c r="AS165">
        <v>75</v>
      </c>
    </row>
    <row r="166" spans="4:45">
      <c r="D166" s="83">
        <v>665</v>
      </c>
      <c r="G166" s="83">
        <v>76</v>
      </c>
      <c r="I166" s="83">
        <v>76</v>
      </c>
      <c r="K166">
        <v>76</v>
      </c>
      <c r="M166">
        <v>76</v>
      </c>
      <c r="O166">
        <v>76</v>
      </c>
      <c r="Q166">
        <v>76</v>
      </c>
      <c r="S166">
        <v>76</v>
      </c>
      <c r="U166">
        <v>76</v>
      </c>
      <c r="W166">
        <v>76</v>
      </c>
      <c r="Y166">
        <v>76</v>
      </c>
      <c r="AA166">
        <v>76</v>
      </c>
      <c r="AC166">
        <v>76</v>
      </c>
      <c r="AE166">
        <v>76</v>
      </c>
      <c r="AG166">
        <v>76</v>
      </c>
      <c r="AI166">
        <v>76</v>
      </c>
      <c r="AK166">
        <v>76</v>
      </c>
      <c r="AM166">
        <v>76</v>
      </c>
      <c r="AO166">
        <v>76</v>
      </c>
      <c r="AQ166">
        <v>76</v>
      </c>
      <c r="AS166">
        <v>76</v>
      </c>
    </row>
    <row r="167" spans="4:45">
      <c r="D167" s="83">
        <v>670</v>
      </c>
      <c r="G167" s="83">
        <v>77</v>
      </c>
      <c r="I167" s="83">
        <v>77</v>
      </c>
      <c r="K167">
        <v>77</v>
      </c>
      <c r="M167">
        <v>77</v>
      </c>
      <c r="O167">
        <v>77</v>
      </c>
      <c r="Q167">
        <v>77</v>
      </c>
      <c r="S167">
        <v>77</v>
      </c>
      <c r="U167">
        <v>77</v>
      </c>
      <c r="W167">
        <v>77</v>
      </c>
      <c r="Y167">
        <v>77</v>
      </c>
      <c r="AA167">
        <v>77</v>
      </c>
      <c r="AC167">
        <v>77</v>
      </c>
      <c r="AE167">
        <v>77</v>
      </c>
      <c r="AG167">
        <v>77</v>
      </c>
      <c r="AI167">
        <v>77</v>
      </c>
      <c r="AK167">
        <v>77</v>
      </c>
      <c r="AM167">
        <v>77</v>
      </c>
      <c r="AO167">
        <v>77</v>
      </c>
      <c r="AQ167">
        <v>77</v>
      </c>
      <c r="AS167">
        <v>77</v>
      </c>
    </row>
    <row r="168" spans="4:45">
      <c r="D168" s="83">
        <v>675</v>
      </c>
      <c r="G168" s="83">
        <v>78</v>
      </c>
      <c r="I168" s="83">
        <v>78</v>
      </c>
      <c r="K168">
        <v>78</v>
      </c>
      <c r="M168">
        <v>78</v>
      </c>
      <c r="O168">
        <v>78</v>
      </c>
      <c r="Q168">
        <v>78</v>
      </c>
      <c r="S168">
        <v>78</v>
      </c>
      <c r="U168">
        <v>78</v>
      </c>
      <c r="W168">
        <v>78</v>
      </c>
      <c r="Y168">
        <v>78</v>
      </c>
      <c r="AA168">
        <v>78</v>
      </c>
      <c r="AC168">
        <v>78</v>
      </c>
      <c r="AE168">
        <v>78</v>
      </c>
      <c r="AG168">
        <v>78</v>
      </c>
      <c r="AI168">
        <v>78</v>
      </c>
      <c r="AK168">
        <v>78</v>
      </c>
      <c r="AM168">
        <v>78</v>
      </c>
      <c r="AO168">
        <v>78</v>
      </c>
      <c r="AQ168">
        <v>78</v>
      </c>
      <c r="AS168">
        <v>78</v>
      </c>
    </row>
    <row r="169" spans="4:45">
      <c r="D169" s="83">
        <v>680</v>
      </c>
      <c r="G169" s="83">
        <v>79</v>
      </c>
      <c r="I169" s="83">
        <v>79</v>
      </c>
      <c r="K169">
        <v>79</v>
      </c>
      <c r="M169">
        <v>79</v>
      </c>
      <c r="O169">
        <v>79</v>
      </c>
      <c r="Q169">
        <v>79</v>
      </c>
      <c r="S169">
        <v>79</v>
      </c>
      <c r="U169">
        <v>79</v>
      </c>
      <c r="W169">
        <v>79</v>
      </c>
      <c r="Y169">
        <v>79</v>
      </c>
      <c r="AA169">
        <v>79</v>
      </c>
      <c r="AC169">
        <v>79</v>
      </c>
      <c r="AE169">
        <v>79</v>
      </c>
      <c r="AG169">
        <v>79</v>
      </c>
      <c r="AI169">
        <v>79</v>
      </c>
      <c r="AK169">
        <v>79</v>
      </c>
      <c r="AM169">
        <v>79</v>
      </c>
      <c r="AO169">
        <v>79</v>
      </c>
      <c r="AQ169">
        <v>79</v>
      </c>
      <c r="AS169">
        <v>79</v>
      </c>
    </row>
    <row r="170" spans="4:45">
      <c r="D170" s="83">
        <v>685</v>
      </c>
      <c r="G170" s="83">
        <v>80</v>
      </c>
      <c r="I170" s="83">
        <v>80</v>
      </c>
      <c r="K170">
        <v>80</v>
      </c>
      <c r="M170">
        <v>80</v>
      </c>
      <c r="O170">
        <v>80</v>
      </c>
      <c r="Q170">
        <v>80</v>
      </c>
      <c r="S170">
        <v>80</v>
      </c>
      <c r="U170">
        <v>80</v>
      </c>
      <c r="W170">
        <v>80</v>
      </c>
      <c r="Y170">
        <v>80</v>
      </c>
      <c r="AA170">
        <v>80</v>
      </c>
      <c r="AC170">
        <v>80</v>
      </c>
      <c r="AE170">
        <v>80</v>
      </c>
      <c r="AG170">
        <v>80</v>
      </c>
      <c r="AI170">
        <v>80</v>
      </c>
      <c r="AK170">
        <v>80</v>
      </c>
      <c r="AM170">
        <v>80</v>
      </c>
      <c r="AO170">
        <v>80</v>
      </c>
      <c r="AQ170">
        <v>80</v>
      </c>
      <c r="AS170">
        <v>80</v>
      </c>
    </row>
    <row r="171" spans="4:45">
      <c r="D171" s="83">
        <v>690</v>
      </c>
      <c r="G171" s="83">
        <v>81</v>
      </c>
      <c r="I171" s="83">
        <v>81</v>
      </c>
      <c r="K171">
        <v>81</v>
      </c>
      <c r="M171">
        <v>81</v>
      </c>
      <c r="O171">
        <v>81</v>
      </c>
      <c r="Q171">
        <v>81</v>
      </c>
      <c r="S171">
        <v>81</v>
      </c>
      <c r="U171">
        <v>81</v>
      </c>
      <c r="W171">
        <v>81</v>
      </c>
      <c r="Y171">
        <v>81</v>
      </c>
      <c r="AA171">
        <v>81</v>
      </c>
      <c r="AC171">
        <v>81</v>
      </c>
      <c r="AE171">
        <v>81</v>
      </c>
      <c r="AG171">
        <v>81</v>
      </c>
      <c r="AI171">
        <v>81</v>
      </c>
      <c r="AK171">
        <v>81</v>
      </c>
      <c r="AM171">
        <v>81</v>
      </c>
      <c r="AO171">
        <v>81</v>
      </c>
      <c r="AQ171">
        <v>81</v>
      </c>
      <c r="AS171">
        <v>81</v>
      </c>
    </row>
    <row r="172" spans="4:45">
      <c r="D172" s="83">
        <v>695</v>
      </c>
      <c r="G172" s="83">
        <v>82</v>
      </c>
      <c r="I172" s="83">
        <v>82</v>
      </c>
      <c r="K172">
        <v>82</v>
      </c>
      <c r="M172">
        <v>82</v>
      </c>
      <c r="O172">
        <v>82</v>
      </c>
      <c r="Q172">
        <v>82</v>
      </c>
      <c r="S172">
        <v>82</v>
      </c>
      <c r="U172">
        <v>82</v>
      </c>
      <c r="W172">
        <v>82</v>
      </c>
      <c r="Y172">
        <v>82</v>
      </c>
      <c r="AA172">
        <v>82</v>
      </c>
      <c r="AC172">
        <v>82</v>
      </c>
      <c r="AE172">
        <v>82</v>
      </c>
      <c r="AG172">
        <v>82</v>
      </c>
      <c r="AI172">
        <v>82</v>
      </c>
      <c r="AK172">
        <v>82</v>
      </c>
      <c r="AM172">
        <v>82</v>
      </c>
      <c r="AO172">
        <v>82</v>
      </c>
      <c r="AQ172">
        <v>82</v>
      </c>
      <c r="AS172">
        <v>82</v>
      </c>
    </row>
    <row r="173" spans="4:45">
      <c r="D173" s="83">
        <v>700</v>
      </c>
      <c r="G173" s="83">
        <v>83</v>
      </c>
      <c r="I173" s="83">
        <v>83</v>
      </c>
      <c r="K173">
        <v>83</v>
      </c>
      <c r="M173">
        <v>83</v>
      </c>
      <c r="O173">
        <v>83</v>
      </c>
      <c r="Q173">
        <v>83</v>
      </c>
      <c r="S173">
        <v>83</v>
      </c>
      <c r="U173">
        <v>83</v>
      </c>
      <c r="W173">
        <v>83</v>
      </c>
      <c r="Y173">
        <v>83</v>
      </c>
      <c r="AA173">
        <v>83</v>
      </c>
      <c r="AC173">
        <v>83</v>
      </c>
      <c r="AE173">
        <v>83</v>
      </c>
      <c r="AG173">
        <v>83</v>
      </c>
      <c r="AI173">
        <v>83</v>
      </c>
      <c r="AK173">
        <v>83</v>
      </c>
      <c r="AM173">
        <v>83</v>
      </c>
      <c r="AO173">
        <v>83</v>
      </c>
      <c r="AQ173">
        <v>83</v>
      </c>
      <c r="AS173">
        <v>83</v>
      </c>
    </row>
    <row r="174" spans="4:45">
      <c r="G174" s="83">
        <v>84</v>
      </c>
      <c r="I174" s="83">
        <v>84</v>
      </c>
      <c r="K174">
        <v>84</v>
      </c>
      <c r="M174">
        <v>84</v>
      </c>
      <c r="O174">
        <v>84</v>
      </c>
      <c r="Q174">
        <v>84</v>
      </c>
      <c r="S174">
        <v>84</v>
      </c>
      <c r="U174">
        <v>84</v>
      </c>
      <c r="W174">
        <v>84</v>
      </c>
      <c r="Y174">
        <v>84</v>
      </c>
      <c r="AA174">
        <v>84</v>
      </c>
      <c r="AC174">
        <v>84</v>
      </c>
      <c r="AE174">
        <v>84</v>
      </c>
      <c r="AG174">
        <v>84</v>
      </c>
      <c r="AI174">
        <v>84</v>
      </c>
      <c r="AK174">
        <v>84</v>
      </c>
      <c r="AM174">
        <v>84</v>
      </c>
      <c r="AO174">
        <v>84</v>
      </c>
      <c r="AQ174">
        <v>84</v>
      </c>
      <c r="AS174">
        <v>84</v>
      </c>
    </row>
    <row r="175" spans="4:45">
      <c r="G175" s="83">
        <v>85</v>
      </c>
      <c r="I175" s="83">
        <v>85</v>
      </c>
      <c r="K175">
        <v>85</v>
      </c>
      <c r="M175">
        <v>85</v>
      </c>
      <c r="O175">
        <v>85</v>
      </c>
      <c r="Q175">
        <v>85</v>
      </c>
      <c r="S175">
        <v>85</v>
      </c>
      <c r="U175">
        <v>85</v>
      </c>
      <c r="W175">
        <v>85</v>
      </c>
      <c r="Y175">
        <v>85</v>
      </c>
      <c r="AA175">
        <v>85</v>
      </c>
      <c r="AC175">
        <v>85</v>
      </c>
      <c r="AE175">
        <v>85</v>
      </c>
      <c r="AG175">
        <v>85</v>
      </c>
      <c r="AI175">
        <v>85</v>
      </c>
      <c r="AK175">
        <v>85</v>
      </c>
      <c r="AM175">
        <v>85</v>
      </c>
      <c r="AO175">
        <v>85</v>
      </c>
      <c r="AQ175">
        <v>85</v>
      </c>
      <c r="AS175">
        <v>85</v>
      </c>
    </row>
    <row r="176" spans="4:45">
      <c r="G176" s="83">
        <v>86</v>
      </c>
      <c r="I176" s="83">
        <v>86</v>
      </c>
      <c r="K176">
        <v>86</v>
      </c>
      <c r="M176">
        <v>86</v>
      </c>
      <c r="O176">
        <v>86</v>
      </c>
      <c r="Q176">
        <v>86</v>
      </c>
      <c r="S176">
        <v>86</v>
      </c>
      <c r="U176">
        <v>86</v>
      </c>
      <c r="W176">
        <v>86</v>
      </c>
      <c r="Y176">
        <v>86</v>
      </c>
      <c r="AA176">
        <v>86</v>
      </c>
      <c r="AC176">
        <v>86</v>
      </c>
      <c r="AE176">
        <v>86</v>
      </c>
      <c r="AG176">
        <v>86</v>
      </c>
      <c r="AI176">
        <v>86</v>
      </c>
      <c r="AK176">
        <v>86</v>
      </c>
      <c r="AM176">
        <v>86</v>
      </c>
      <c r="AO176">
        <v>86</v>
      </c>
      <c r="AQ176">
        <v>86</v>
      </c>
      <c r="AS176">
        <v>86</v>
      </c>
    </row>
    <row r="177" spans="7:45">
      <c r="G177" s="83">
        <v>87</v>
      </c>
      <c r="I177" s="83">
        <v>87</v>
      </c>
      <c r="K177">
        <v>87</v>
      </c>
      <c r="M177">
        <v>87</v>
      </c>
      <c r="O177">
        <v>87</v>
      </c>
      <c r="Q177">
        <v>87</v>
      </c>
      <c r="S177">
        <v>87</v>
      </c>
      <c r="U177">
        <v>87</v>
      </c>
      <c r="W177">
        <v>87</v>
      </c>
      <c r="Y177">
        <v>87</v>
      </c>
      <c r="AA177">
        <v>87</v>
      </c>
      <c r="AC177">
        <v>87</v>
      </c>
      <c r="AE177">
        <v>87</v>
      </c>
      <c r="AG177">
        <v>87</v>
      </c>
      <c r="AI177">
        <v>87</v>
      </c>
      <c r="AK177">
        <v>87</v>
      </c>
      <c r="AM177">
        <v>87</v>
      </c>
      <c r="AO177">
        <v>87</v>
      </c>
      <c r="AQ177">
        <v>87</v>
      </c>
      <c r="AS177">
        <v>87</v>
      </c>
    </row>
    <row r="178" spans="7:45">
      <c r="G178" s="83">
        <v>88</v>
      </c>
      <c r="I178" s="83">
        <v>88</v>
      </c>
      <c r="K178">
        <v>88</v>
      </c>
      <c r="M178">
        <v>88</v>
      </c>
      <c r="O178">
        <v>88</v>
      </c>
      <c r="Q178">
        <v>88</v>
      </c>
      <c r="S178">
        <v>88</v>
      </c>
      <c r="U178">
        <v>88</v>
      </c>
      <c r="W178">
        <v>88</v>
      </c>
      <c r="Y178">
        <v>88</v>
      </c>
      <c r="AA178">
        <v>88</v>
      </c>
      <c r="AC178">
        <v>88</v>
      </c>
      <c r="AE178">
        <v>88</v>
      </c>
      <c r="AG178">
        <v>88</v>
      </c>
      <c r="AI178">
        <v>88</v>
      </c>
      <c r="AK178">
        <v>88</v>
      </c>
      <c r="AM178">
        <v>88</v>
      </c>
      <c r="AO178">
        <v>88</v>
      </c>
      <c r="AQ178">
        <v>88</v>
      </c>
      <c r="AS178">
        <v>88</v>
      </c>
    </row>
    <row r="179" spans="7:45">
      <c r="G179" s="83">
        <v>89</v>
      </c>
      <c r="I179" s="83">
        <v>89</v>
      </c>
      <c r="K179">
        <v>89</v>
      </c>
      <c r="M179">
        <v>89</v>
      </c>
      <c r="O179">
        <v>89</v>
      </c>
      <c r="Q179">
        <v>89</v>
      </c>
      <c r="S179">
        <v>89</v>
      </c>
      <c r="U179">
        <v>89</v>
      </c>
      <c r="W179">
        <v>89</v>
      </c>
      <c r="Y179">
        <v>89</v>
      </c>
      <c r="AA179">
        <v>89</v>
      </c>
      <c r="AC179">
        <v>89</v>
      </c>
      <c r="AE179">
        <v>89</v>
      </c>
      <c r="AG179">
        <v>89</v>
      </c>
      <c r="AI179">
        <v>89</v>
      </c>
      <c r="AK179">
        <v>89</v>
      </c>
      <c r="AM179">
        <v>89</v>
      </c>
      <c r="AO179">
        <v>89</v>
      </c>
      <c r="AQ179">
        <v>89</v>
      </c>
      <c r="AS179">
        <v>89</v>
      </c>
    </row>
    <row r="180" spans="7:45">
      <c r="G180" s="83">
        <v>90</v>
      </c>
      <c r="I180" s="83">
        <v>90</v>
      </c>
      <c r="K180">
        <v>90</v>
      </c>
      <c r="M180">
        <v>90</v>
      </c>
      <c r="O180">
        <v>90</v>
      </c>
      <c r="Q180">
        <v>90</v>
      </c>
      <c r="S180">
        <v>90</v>
      </c>
      <c r="U180">
        <v>90</v>
      </c>
      <c r="W180">
        <v>90</v>
      </c>
      <c r="Y180">
        <v>90</v>
      </c>
      <c r="AA180">
        <v>90</v>
      </c>
      <c r="AC180">
        <v>90</v>
      </c>
      <c r="AE180">
        <v>90</v>
      </c>
      <c r="AG180">
        <v>90</v>
      </c>
      <c r="AI180">
        <v>90</v>
      </c>
      <c r="AK180">
        <v>90</v>
      </c>
      <c r="AM180">
        <v>90</v>
      </c>
      <c r="AO180">
        <v>90</v>
      </c>
      <c r="AQ180">
        <v>90</v>
      </c>
      <c r="AS180">
        <v>90</v>
      </c>
    </row>
    <row r="181" spans="7:45">
      <c r="G181" s="83">
        <v>91</v>
      </c>
      <c r="I181" s="83">
        <v>91</v>
      </c>
      <c r="K181">
        <v>91</v>
      </c>
      <c r="M181">
        <v>91</v>
      </c>
      <c r="O181">
        <v>91</v>
      </c>
      <c r="Q181">
        <v>91</v>
      </c>
      <c r="S181">
        <v>91</v>
      </c>
      <c r="U181">
        <v>91</v>
      </c>
      <c r="W181">
        <v>91</v>
      </c>
      <c r="Y181">
        <v>91</v>
      </c>
      <c r="AA181">
        <v>91</v>
      </c>
      <c r="AC181">
        <v>91</v>
      </c>
      <c r="AE181">
        <v>91</v>
      </c>
      <c r="AG181">
        <v>91</v>
      </c>
      <c r="AI181">
        <v>91</v>
      </c>
      <c r="AK181">
        <v>91</v>
      </c>
      <c r="AM181">
        <v>91</v>
      </c>
      <c r="AO181">
        <v>91</v>
      </c>
      <c r="AQ181">
        <v>91</v>
      </c>
      <c r="AS181">
        <v>91</v>
      </c>
    </row>
    <row r="182" spans="7:45">
      <c r="G182" s="83">
        <v>92</v>
      </c>
      <c r="I182" s="83">
        <v>92</v>
      </c>
      <c r="K182">
        <v>92</v>
      </c>
      <c r="M182">
        <v>92</v>
      </c>
      <c r="O182">
        <v>92</v>
      </c>
      <c r="Q182">
        <v>92</v>
      </c>
      <c r="S182">
        <v>92</v>
      </c>
      <c r="U182">
        <v>92</v>
      </c>
      <c r="W182">
        <v>92</v>
      </c>
      <c r="Y182">
        <v>92</v>
      </c>
      <c r="AA182">
        <v>92</v>
      </c>
      <c r="AC182">
        <v>92</v>
      </c>
      <c r="AE182">
        <v>92</v>
      </c>
      <c r="AG182">
        <v>92</v>
      </c>
      <c r="AI182">
        <v>92</v>
      </c>
      <c r="AK182">
        <v>92</v>
      </c>
      <c r="AM182">
        <v>92</v>
      </c>
      <c r="AO182">
        <v>92</v>
      </c>
      <c r="AQ182">
        <v>92</v>
      </c>
      <c r="AS182">
        <v>92</v>
      </c>
    </row>
    <row r="183" spans="7:45">
      <c r="G183" s="83">
        <v>93</v>
      </c>
      <c r="I183" s="83">
        <v>93</v>
      </c>
      <c r="K183">
        <v>93</v>
      </c>
      <c r="M183">
        <v>93</v>
      </c>
      <c r="O183">
        <v>93</v>
      </c>
      <c r="Q183">
        <v>93</v>
      </c>
      <c r="S183">
        <v>93</v>
      </c>
      <c r="U183">
        <v>93</v>
      </c>
      <c r="W183">
        <v>93</v>
      </c>
      <c r="Y183">
        <v>93</v>
      </c>
      <c r="AA183">
        <v>93</v>
      </c>
      <c r="AC183">
        <v>93</v>
      </c>
      <c r="AE183">
        <v>93</v>
      </c>
      <c r="AG183">
        <v>93</v>
      </c>
      <c r="AI183">
        <v>93</v>
      </c>
      <c r="AK183">
        <v>93</v>
      </c>
      <c r="AM183">
        <v>93</v>
      </c>
      <c r="AO183">
        <v>93</v>
      </c>
      <c r="AQ183">
        <v>93</v>
      </c>
      <c r="AS183">
        <v>93</v>
      </c>
    </row>
    <row r="184" spans="7:45">
      <c r="G184" s="83">
        <v>94</v>
      </c>
      <c r="I184" s="83">
        <v>94</v>
      </c>
      <c r="K184">
        <v>94</v>
      </c>
      <c r="M184">
        <v>94</v>
      </c>
      <c r="O184">
        <v>94</v>
      </c>
      <c r="Q184">
        <v>94</v>
      </c>
      <c r="S184">
        <v>94</v>
      </c>
      <c r="U184">
        <v>94</v>
      </c>
      <c r="W184">
        <v>94</v>
      </c>
      <c r="Y184">
        <v>94</v>
      </c>
      <c r="AA184">
        <v>94</v>
      </c>
      <c r="AC184">
        <v>94</v>
      </c>
      <c r="AE184">
        <v>94</v>
      </c>
      <c r="AG184">
        <v>94</v>
      </c>
      <c r="AI184">
        <v>94</v>
      </c>
      <c r="AK184">
        <v>94</v>
      </c>
      <c r="AM184">
        <v>94</v>
      </c>
      <c r="AO184">
        <v>94</v>
      </c>
      <c r="AQ184">
        <v>94</v>
      </c>
      <c r="AS184">
        <v>94</v>
      </c>
    </row>
    <row r="185" spans="7:45">
      <c r="G185" s="83">
        <v>95</v>
      </c>
      <c r="I185" s="83">
        <v>95</v>
      </c>
      <c r="K185">
        <v>95</v>
      </c>
      <c r="M185">
        <v>95</v>
      </c>
      <c r="O185">
        <v>95</v>
      </c>
      <c r="Q185">
        <v>95</v>
      </c>
      <c r="S185">
        <v>95</v>
      </c>
      <c r="U185">
        <v>95</v>
      </c>
      <c r="W185">
        <v>95</v>
      </c>
      <c r="Y185">
        <v>95</v>
      </c>
      <c r="AA185">
        <v>95</v>
      </c>
      <c r="AC185">
        <v>95</v>
      </c>
      <c r="AE185">
        <v>95</v>
      </c>
      <c r="AG185">
        <v>95</v>
      </c>
      <c r="AI185">
        <v>95</v>
      </c>
      <c r="AK185">
        <v>95</v>
      </c>
      <c r="AM185">
        <v>95</v>
      </c>
      <c r="AO185">
        <v>95</v>
      </c>
      <c r="AQ185">
        <v>95</v>
      </c>
      <c r="AS185">
        <v>95</v>
      </c>
    </row>
    <row r="186" spans="7:45">
      <c r="G186" s="83">
        <v>96</v>
      </c>
      <c r="I186" s="83">
        <v>96</v>
      </c>
      <c r="K186">
        <v>96</v>
      </c>
      <c r="M186">
        <v>96</v>
      </c>
      <c r="O186">
        <v>96</v>
      </c>
      <c r="Q186">
        <v>96</v>
      </c>
      <c r="S186">
        <v>96</v>
      </c>
      <c r="U186">
        <v>96</v>
      </c>
      <c r="W186">
        <v>96</v>
      </c>
      <c r="Y186">
        <v>96</v>
      </c>
      <c r="AA186">
        <v>96</v>
      </c>
      <c r="AC186">
        <v>96</v>
      </c>
      <c r="AE186">
        <v>96</v>
      </c>
      <c r="AG186">
        <v>96</v>
      </c>
      <c r="AI186">
        <v>96</v>
      </c>
      <c r="AK186">
        <v>96</v>
      </c>
      <c r="AM186">
        <v>96</v>
      </c>
      <c r="AO186">
        <v>96</v>
      </c>
      <c r="AQ186">
        <v>96</v>
      </c>
      <c r="AS186">
        <v>96</v>
      </c>
    </row>
    <row r="187" spans="7:45">
      <c r="G187" s="83">
        <v>97</v>
      </c>
      <c r="I187" s="83">
        <v>97</v>
      </c>
      <c r="K187">
        <v>97</v>
      </c>
      <c r="M187">
        <v>97</v>
      </c>
      <c r="O187">
        <v>97</v>
      </c>
      <c r="Q187">
        <v>97</v>
      </c>
      <c r="S187">
        <v>97</v>
      </c>
      <c r="U187">
        <v>97</v>
      </c>
      <c r="W187">
        <v>97</v>
      </c>
      <c r="Y187">
        <v>97</v>
      </c>
      <c r="AA187">
        <v>97</v>
      </c>
      <c r="AC187">
        <v>97</v>
      </c>
      <c r="AE187">
        <v>97</v>
      </c>
      <c r="AG187">
        <v>97</v>
      </c>
      <c r="AI187">
        <v>97</v>
      </c>
      <c r="AK187">
        <v>97</v>
      </c>
      <c r="AM187">
        <v>97</v>
      </c>
      <c r="AO187">
        <v>97</v>
      </c>
      <c r="AQ187">
        <v>97</v>
      </c>
      <c r="AS187">
        <v>97</v>
      </c>
    </row>
    <row r="188" spans="7:45">
      <c r="G188" s="83">
        <v>98</v>
      </c>
      <c r="I188" s="83">
        <v>98</v>
      </c>
      <c r="K188">
        <v>98</v>
      </c>
      <c r="M188">
        <v>98</v>
      </c>
      <c r="O188">
        <v>98</v>
      </c>
      <c r="Q188">
        <v>98</v>
      </c>
      <c r="S188">
        <v>98</v>
      </c>
      <c r="U188">
        <v>98</v>
      </c>
      <c r="W188">
        <v>98</v>
      </c>
      <c r="Y188">
        <v>98</v>
      </c>
      <c r="AA188">
        <v>98</v>
      </c>
      <c r="AC188">
        <v>98</v>
      </c>
      <c r="AE188">
        <v>98</v>
      </c>
      <c r="AG188">
        <v>98</v>
      </c>
      <c r="AI188">
        <v>98</v>
      </c>
      <c r="AK188">
        <v>98</v>
      </c>
      <c r="AM188">
        <v>98</v>
      </c>
      <c r="AO188">
        <v>98</v>
      </c>
      <c r="AQ188">
        <v>98</v>
      </c>
      <c r="AS188">
        <v>98</v>
      </c>
    </row>
    <row r="189" spans="7:45">
      <c r="G189" s="83">
        <v>99</v>
      </c>
      <c r="I189" s="83">
        <v>99</v>
      </c>
      <c r="K189">
        <v>99</v>
      </c>
      <c r="M189">
        <v>99</v>
      </c>
      <c r="O189">
        <v>99</v>
      </c>
      <c r="Q189">
        <v>99</v>
      </c>
      <c r="S189">
        <v>99</v>
      </c>
      <c r="U189">
        <v>99</v>
      </c>
      <c r="W189">
        <v>99</v>
      </c>
      <c r="Y189">
        <v>99</v>
      </c>
      <c r="AA189">
        <v>99</v>
      </c>
      <c r="AC189">
        <v>99</v>
      </c>
      <c r="AE189">
        <v>99</v>
      </c>
      <c r="AG189">
        <v>99</v>
      </c>
      <c r="AI189">
        <v>99</v>
      </c>
      <c r="AK189">
        <v>99</v>
      </c>
      <c r="AM189">
        <v>99</v>
      </c>
      <c r="AO189">
        <v>99</v>
      </c>
      <c r="AQ189">
        <v>99</v>
      </c>
      <c r="AS189">
        <v>99</v>
      </c>
    </row>
    <row r="190" spans="7:45">
      <c r="G190" s="83">
        <v>100</v>
      </c>
      <c r="I190" s="83">
        <v>100</v>
      </c>
      <c r="K190">
        <v>100</v>
      </c>
      <c r="M190">
        <v>100</v>
      </c>
      <c r="O190">
        <v>100</v>
      </c>
      <c r="Q190">
        <v>100</v>
      </c>
      <c r="S190">
        <v>100</v>
      </c>
      <c r="U190">
        <v>100</v>
      </c>
      <c r="W190">
        <v>100</v>
      </c>
      <c r="Y190">
        <v>100</v>
      </c>
      <c r="AA190">
        <v>100</v>
      </c>
      <c r="AC190">
        <v>100</v>
      </c>
      <c r="AE190">
        <v>100</v>
      </c>
      <c r="AG190">
        <v>100</v>
      </c>
      <c r="AI190">
        <v>100</v>
      </c>
      <c r="AK190">
        <v>100</v>
      </c>
      <c r="AM190">
        <v>100</v>
      </c>
      <c r="AO190">
        <v>100</v>
      </c>
      <c r="AQ190">
        <v>100</v>
      </c>
      <c r="AS190">
        <v>100</v>
      </c>
    </row>
    <row r="191" spans="7:45">
      <c r="G191" s="83">
        <v>101</v>
      </c>
      <c r="I191" s="83">
        <v>101</v>
      </c>
      <c r="K191">
        <v>101</v>
      </c>
      <c r="M191">
        <v>101</v>
      </c>
      <c r="O191">
        <v>101</v>
      </c>
      <c r="Q191">
        <v>101</v>
      </c>
      <c r="S191">
        <v>101</v>
      </c>
      <c r="U191">
        <v>101</v>
      </c>
      <c r="W191">
        <v>101</v>
      </c>
      <c r="Y191">
        <v>101</v>
      </c>
      <c r="AA191">
        <v>101</v>
      </c>
      <c r="AC191">
        <v>101</v>
      </c>
      <c r="AE191">
        <v>101</v>
      </c>
      <c r="AG191">
        <v>101</v>
      </c>
      <c r="AI191">
        <v>101</v>
      </c>
      <c r="AK191">
        <v>101</v>
      </c>
      <c r="AM191">
        <v>101</v>
      </c>
      <c r="AO191">
        <v>101</v>
      </c>
      <c r="AQ191">
        <v>101</v>
      </c>
      <c r="AS191">
        <v>101</v>
      </c>
    </row>
    <row r="192" spans="7:45">
      <c r="G192" s="83">
        <v>102</v>
      </c>
      <c r="I192" s="83">
        <v>102</v>
      </c>
      <c r="K192">
        <v>102</v>
      </c>
      <c r="M192">
        <v>102</v>
      </c>
      <c r="O192">
        <v>102</v>
      </c>
      <c r="Q192">
        <v>102</v>
      </c>
      <c r="S192">
        <v>102</v>
      </c>
      <c r="U192">
        <v>102</v>
      </c>
      <c r="W192">
        <v>102</v>
      </c>
      <c r="Y192">
        <v>102</v>
      </c>
      <c r="AA192">
        <v>102</v>
      </c>
      <c r="AC192">
        <v>102</v>
      </c>
      <c r="AE192">
        <v>102</v>
      </c>
      <c r="AG192">
        <v>102</v>
      </c>
      <c r="AI192">
        <v>102</v>
      </c>
      <c r="AK192">
        <v>102</v>
      </c>
      <c r="AM192">
        <v>102</v>
      </c>
      <c r="AO192">
        <v>102</v>
      </c>
      <c r="AQ192">
        <v>102</v>
      </c>
      <c r="AS192">
        <v>102</v>
      </c>
    </row>
    <row r="193" spans="7:45">
      <c r="G193" s="83">
        <v>103</v>
      </c>
      <c r="I193" s="83">
        <v>103</v>
      </c>
      <c r="K193">
        <v>103</v>
      </c>
      <c r="M193">
        <v>103</v>
      </c>
      <c r="O193">
        <v>103</v>
      </c>
      <c r="Q193">
        <v>103</v>
      </c>
      <c r="S193">
        <v>103</v>
      </c>
      <c r="U193">
        <v>103</v>
      </c>
      <c r="W193">
        <v>103</v>
      </c>
      <c r="Y193">
        <v>103</v>
      </c>
      <c r="AA193">
        <v>103</v>
      </c>
      <c r="AC193">
        <v>103</v>
      </c>
      <c r="AE193">
        <v>103</v>
      </c>
      <c r="AG193">
        <v>103</v>
      </c>
      <c r="AI193">
        <v>103</v>
      </c>
      <c r="AK193">
        <v>103</v>
      </c>
      <c r="AM193">
        <v>103</v>
      </c>
      <c r="AO193">
        <v>103</v>
      </c>
      <c r="AQ193">
        <v>103</v>
      </c>
      <c r="AS193">
        <v>103</v>
      </c>
    </row>
    <row r="194" spans="7:45">
      <c r="G194" s="83">
        <v>104</v>
      </c>
      <c r="I194" s="83">
        <v>104</v>
      </c>
      <c r="K194">
        <v>104</v>
      </c>
      <c r="M194">
        <v>104</v>
      </c>
      <c r="O194">
        <v>104</v>
      </c>
      <c r="Q194">
        <v>104</v>
      </c>
      <c r="S194">
        <v>104</v>
      </c>
      <c r="U194">
        <v>104</v>
      </c>
      <c r="W194">
        <v>104</v>
      </c>
      <c r="Y194">
        <v>104</v>
      </c>
      <c r="AA194">
        <v>104</v>
      </c>
      <c r="AC194">
        <v>104</v>
      </c>
      <c r="AE194">
        <v>104</v>
      </c>
      <c r="AG194">
        <v>104</v>
      </c>
      <c r="AI194">
        <v>104</v>
      </c>
      <c r="AK194">
        <v>104</v>
      </c>
      <c r="AM194">
        <v>104</v>
      </c>
      <c r="AO194">
        <v>104</v>
      </c>
      <c r="AQ194">
        <v>104</v>
      </c>
      <c r="AS194">
        <v>104</v>
      </c>
    </row>
    <row r="195" spans="7:45">
      <c r="G195" s="83">
        <v>105</v>
      </c>
      <c r="I195" s="83">
        <v>105</v>
      </c>
      <c r="K195">
        <v>105</v>
      </c>
      <c r="M195">
        <v>105</v>
      </c>
      <c r="O195">
        <v>105</v>
      </c>
      <c r="Q195">
        <v>105</v>
      </c>
      <c r="S195">
        <v>105</v>
      </c>
      <c r="U195">
        <v>105</v>
      </c>
      <c r="W195">
        <v>105</v>
      </c>
      <c r="Y195">
        <v>105</v>
      </c>
      <c r="AA195">
        <v>105</v>
      </c>
      <c r="AC195">
        <v>105</v>
      </c>
      <c r="AE195">
        <v>105</v>
      </c>
      <c r="AG195">
        <v>105</v>
      </c>
      <c r="AI195">
        <v>105</v>
      </c>
      <c r="AK195">
        <v>105</v>
      </c>
      <c r="AM195">
        <v>105</v>
      </c>
      <c r="AO195">
        <v>105</v>
      </c>
      <c r="AQ195">
        <v>105</v>
      </c>
      <c r="AS195">
        <v>105</v>
      </c>
    </row>
    <row r="196" spans="7:45">
      <c r="G196" s="83">
        <v>106</v>
      </c>
      <c r="I196" s="83">
        <v>106</v>
      </c>
      <c r="K196">
        <v>106</v>
      </c>
      <c r="M196">
        <v>106</v>
      </c>
      <c r="O196">
        <v>106</v>
      </c>
      <c r="Q196">
        <v>106</v>
      </c>
      <c r="S196">
        <v>106</v>
      </c>
      <c r="U196">
        <v>106</v>
      </c>
      <c r="W196">
        <v>106</v>
      </c>
      <c r="Y196">
        <v>106</v>
      </c>
      <c r="AA196">
        <v>106</v>
      </c>
      <c r="AC196">
        <v>106</v>
      </c>
      <c r="AE196">
        <v>106</v>
      </c>
      <c r="AG196">
        <v>106</v>
      </c>
      <c r="AI196">
        <v>106</v>
      </c>
      <c r="AK196">
        <v>106</v>
      </c>
      <c r="AM196">
        <v>106</v>
      </c>
      <c r="AO196">
        <v>106</v>
      </c>
      <c r="AQ196">
        <v>106</v>
      </c>
      <c r="AS196">
        <v>106</v>
      </c>
    </row>
    <row r="197" spans="7:45">
      <c r="G197" s="83">
        <v>107</v>
      </c>
      <c r="I197" s="83">
        <v>107</v>
      </c>
      <c r="K197">
        <v>107</v>
      </c>
      <c r="M197">
        <v>107</v>
      </c>
      <c r="O197">
        <v>107</v>
      </c>
      <c r="Q197">
        <v>107</v>
      </c>
      <c r="S197">
        <v>107</v>
      </c>
      <c r="U197">
        <v>107</v>
      </c>
      <c r="W197">
        <v>107</v>
      </c>
      <c r="Y197">
        <v>107</v>
      </c>
      <c r="AA197">
        <v>107</v>
      </c>
      <c r="AC197">
        <v>107</v>
      </c>
      <c r="AE197">
        <v>107</v>
      </c>
      <c r="AG197">
        <v>107</v>
      </c>
      <c r="AI197">
        <v>107</v>
      </c>
      <c r="AK197">
        <v>107</v>
      </c>
      <c r="AM197">
        <v>107</v>
      </c>
      <c r="AO197">
        <v>107</v>
      </c>
      <c r="AQ197">
        <v>107</v>
      </c>
      <c r="AS197">
        <v>107</v>
      </c>
    </row>
    <row r="198" spans="7:45">
      <c r="G198" s="83">
        <v>108</v>
      </c>
      <c r="I198" s="83">
        <v>108</v>
      </c>
      <c r="K198">
        <v>108</v>
      </c>
      <c r="M198">
        <v>108</v>
      </c>
      <c r="O198">
        <v>108</v>
      </c>
      <c r="Q198">
        <v>108</v>
      </c>
      <c r="S198">
        <v>108</v>
      </c>
      <c r="U198">
        <v>108</v>
      </c>
      <c r="W198">
        <v>108</v>
      </c>
      <c r="Y198">
        <v>108</v>
      </c>
      <c r="AA198">
        <v>108</v>
      </c>
      <c r="AC198">
        <v>108</v>
      </c>
      <c r="AE198">
        <v>108</v>
      </c>
      <c r="AG198">
        <v>108</v>
      </c>
      <c r="AI198">
        <v>108</v>
      </c>
      <c r="AK198">
        <v>108</v>
      </c>
      <c r="AM198">
        <v>108</v>
      </c>
      <c r="AO198">
        <v>108</v>
      </c>
      <c r="AQ198">
        <v>108</v>
      </c>
      <c r="AS198">
        <v>108</v>
      </c>
    </row>
    <row r="199" spans="7:45">
      <c r="G199" s="83">
        <v>109</v>
      </c>
      <c r="I199" s="83">
        <v>109</v>
      </c>
      <c r="K199">
        <v>109</v>
      </c>
      <c r="M199">
        <v>109</v>
      </c>
      <c r="O199">
        <v>109</v>
      </c>
      <c r="Q199">
        <v>109</v>
      </c>
      <c r="S199">
        <v>109</v>
      </c>
      <c r="U199">
        <v>109</v>
      </c>
      <c r="W199">
        <v>109</v>
      </c>
      <c r="Y199">
        <v>109</v>
      </c>
      <c r="AA199">
        <v>109</v>
      </c>
      <c r="AC199">
        <v>109</v>
      </c>
      <c r="AE199">
        <v>109</v>
      </c>
      <c r="AG199">
        <v>109</v>
      </c>
      <c r="AI199">
        <v>109</v>
      </c>
      <c r="AK199">
        <v>109</v>
      </c>
      <c r="AM199">
        <v>109</v>
      </c>
      <c r="AO199">
        <v>109</v>
      </c>
      <c r="AQ199">
        <v>109</v>
      </c>
      <c r="AS199">
        <v>109</v>
      </c>
    </row>
    <row r="200" spans="7:45">
      <c r="G200" s="83">
        <v>110</v>
      </c>
      <c r="I200" s="83">
        <v>110</v>
      </c>
      <c r="K200">
        <v>110</v>
      </c>
      <c r="M200">
        <v>110</v>
      </c>
      <c r="O200">
        <v>110</v>
      </c>
      <c r="Q200">
        <v>110</v>
      </c>
      <c r="S200">
        <v>110</v>
      </c>
      <c r="U200">
        <v>110</v>
      </c>
      <c r="W200">
        <v>110</v>
      </c>
      <c r="Y200">
        <v>110</v>
      </c>
      <c r="AA200">
        <v>110</v>
      </c>
      <c r="AC200">
        <v>110</v>
      </c>
      <c r="AE200">
        <v>110</v>
      </c>
      <c r="AG200">
        <v>110</v>
      </c>
      <c r="AI200">
        <v>110</v>
      </c>
      <c r="AK200">
        <v>110</v>
      </c>
      <c r="AM200">
        <v>110</v>
      </c>
      <c r="AO200">
        <v>110</v>
      </c>
      <c r="AQ200">
        <v>110</v>
      </c>
      <c r="AS200">
        <v>110</v>
      </c>
    </row>
    <row r="201" spans="7:45">
      <c r="G201" s="83">
        <v>111</v>
      </c>
      <c r="I201" s="83">
        <v>111</v>
      </c>
      <c r="K201">
        <v>111</v>
      </c>
      <c r="M201">
        <v>111</v>
      </c>
      <c r="O201">
        <v>111</v>
      </c>
      <c r="Q201">
        <v>111</v>
      </c>
      <c r="S201">
        <v>111</v>
      </c>
      <c r="U201">
        <v>111</v>
      </c>
      <c r="W201">
        <v>111</v>
      </c>
      <c r="Y201">
        <v>111</v>
      </c>
      <c r="AA201">
        <v>111</v>
      </c>
      <c r="AC201">
        <v>111</v>
      </c>
      <c r="AE201">
        <v>111</v>
      </c>
      <c r="AG201">
        <v>111</v>
      </c>
      <c r="AI201">
        <v>111</v>
      </c>
      <c r="AK201">
        <v>111</v>
      </c>
      <c r="AM201">
        <v>111</v>
      </c>
      <c r="AO201">
        <v>111</v>
      </c>
      <c r="AQ201">
        <v>111</v>
      </c>
      <c r="AS201">
        <v>111</v>
      </c>
    </row>
    <row r="202" spans="7:45">
      <c r="G202" s="83">
        <v>112</v>
      </c>
      <c r="I202" s="83">
        <v>112</v>
      </c>
      <c r="K202">
        <v>112</v>
      </c>
      <c r="M202">
        <v>112</v>
      </c>
      <c r="O202">
        <v>112</v>
      </c>
      <c r="Q202">
        <v>112</v>
      </c>
      <c r="S202">
        <v>112</v>
      </c>
      <c r="U202">
        <v>112</v>
      </c>
      <c r="W202">
        <v>112</v>
      </c>
      <c r="Y202">
        <v>112</v>
      </c>
      <c r="AA202">
        <v>112</v>
      </c>
      <c r="AC202">
        <v>112</v>
      </c>
      <c r="AE202">
        <v>112</v>
      </c>
      <c r="AG202">
        <v>112</v>
      </c>
      <c r="AI202">
        <v>112</v>
      </c>
      <c r="AK202">
        <v>112</v>
      </c>
      <c r="AM202">
        <v>112</v>
      </c>
      <c r="AO202">
        <v>112</v>
      </c>
      <c r="AQ202">
        <v>112</v>
      </c>
      <c r="AS202">
        <v>112</v>
      </c>
    </row>
    <row r="203" spans="7:45">
      <c r="G203" s="83">
        <v>113</v>
      </c>
      <c r="I203" s="83">
        <v>113</v>
      </c>
      <c r="K203">
        <v>113</v>
      </c>
      <c r="M203">
        <v>113</v>
      </c>
      <c r="O203">
        <v>113</v>
      </c>
      <c r="Q203">
        <v>113</v>
      </c>
      <c r="S203">
        <v>113</v>
      </c>
      <c r="U203">
        <v>113</v>
      </c>
      <c r="W203">
        <v>113</v>
      </c>
      <c r="Y203">
        <v>113</v>
      </c>
      <c r="AA203">
        <v>113</v>
      </c>
      <c r="AC203">
        <v>113</v>
      </c>
      <c r="AE203">
        <v>113</v>
      </c>
      <c r="AG203">
        <v>113</v>
      </c>
      <c r="AI203">
        <v>113</v>
      </c>
      <c r="AK203">
        <v>113</v>
      </c>
      <c r="AM203">
        <v>113</v>
      </c>
      <c r="AO203">
        <v>113</v>
      </c>
      <c r="AQ203">
        <v>113</v>
      </c>
      <c r="AS203">
        <v>113</v>
      </c>
    </row>
    <row r="204" spans="7:45">
      <c r="G204" s="83">
        <v>114</v>
      </c>
      <c r="I204" s="83">
        <v>114</v>
      </c>
      <c r="K204">
        <v>114</v>
      </c>
      <c r="M204">
        <v>114</v>
      </c>
      <c r="O204">
        <v>114</v>
      </c>
      <c r="Q204">
        <v>114</v>
      </c>
      <c r="S204">
        <v>114</v>
      </c>
      <c r="U204">
        <v>114</v>
      </c>
      <c r="W204">
        <v>114</v>
      </c>
      <c r="Y204">
        <v>114</v>
      </c>
      <c r="AA204">
        <v>114</v>
      </c>
      <c r="AC204">
        <v>114</v>
      </c>
      <c r="AE204">
        <v>114</v>
      </c>
      <c r="AG204">
        <v>114</v>
      </c>
      <c r="AI204">
        <v>114</v>
      </c>
      <c r="AK204">
        <v>114</v>
      </c>
      <c r="AM204">
        <v>114</v>
      </c>
      <c r="AO204">
        <v>114</v>
      </c>
      <c r="AQ204">
        <v>114</v>
      </c>
      <c r="AS204">
        <v>114</v>
      </c>
    </row>
    <row r="205" spans="7:45">
      <c r="G205" s="83">
        <v>115</v>
      </c>
      <c r="I205" s="83">
        <v>115</v>
      </c>
      <c r="K205">
        <v>115</v>
      </c>
      <c r="M205">
        <v>115</v>
      </c>
      <c r="O205">
        <v>115</v>
      </c>
      <c r="Q205">
        <v>115</v>
      </c>
      <c r="S205">
        <v>115</v>
      </c>
      <c r="U205">
        <v>115</v>
      </c>
      <c r="W205">
        <v>115</v>
      </c>
      <c r="Y205">
        <v>115</v>
      </c>
      <c r="AA205">
        <v>115</v>
      </c>
      <c r="AC205">
        <v>115</v>
      </c>
      <c r="AE205">
        <v>115</v>
      </c>
      <c r="AG205">
        <v>115</v>
      </c>
      <c r="AI205">
        <v>115</v>
      </c>
      <c r="AK205">
        <v>115</v>
      </c>
      <c r="AM205">
        <v>115</v>
      </c>
      <c r="AO205">
        <v>115</v>
      </c>
      <c r="AQ205">
        <v>115</v>
      </c>
      <c r="AS205">
        <v>115</v>
      </c>
    </row>
    <row r="206" spans="7:45">
      <c r="G206" s="83">
        <v>116</v>
      </c>
      <c r="I206" s="83">
        <v>116</v>
      </c>
      <c r="K206">
        <v>116</v>
      </c>
      <c r="M206">
        <v>116</v>
      </c>
      <c r="O206">
        <v>116</v>
      </c>
      <c r="Q206">
        <v>116</v>
      </c>
      <c r="S206">
        <v>116</v>
      </c>
      <c r="U206">
        <v>116</v>
      </c>
      <c r="W206">
        <v>116</v>
      </c>
      <c r="Y206">
        <v>116</v>
      </c>
      <c r="AA206">
        <v>116</v>
      </c>
      <c r="AC206">
        <v>116</v>
      </c>
      <c r="AE206">
        <v>116</v>
      </c>
      <c r="AG206">
        <v>116</v>
      </c>
      <c r="AI206">
        <v>116</v>
      </c>
      <c r="AK206">
        <v>116</v>
      </c>
      <c r="AM206">
        <v>116</v>
      </c>
      <c r="AO206">
        <v>116</v>
      </c>
      <c r="AQ206">
        <v>116</v>
      </c>
      <c r="AS206">
        <v>116</v>
      </c>
    </row>
    <row r="207" spans="7:45">
      <c r="G207" s="83">
        <v>117</v>
      </c>
      <c r="I207" s="83">
        <v>117</v>
      </c>
      <c r="K207">
        <v>117</v>
      </c>
      <c r="M207">
        <v>117</v>
      </c>
      <c r="O207">
        <v>117</v>
      </c>
      <c r="Q207">
        <v>117</v>
      </c>
      <c r="S207">
        <v>117</v>
      </c>
      <c r="U207">
        <v>117</v>
      </c>
      <c r="W207">
        <v>117</v>
      </c>
      <c r="Y207">
        <v>117</v>
      </c>
      <c r="AA207">
        <v>117</v>
      </c>
      <c r="AC207">
        <v>117</v>
      </c>
      <c r="AE207">
        <v>117</v>
      </c>
      <c r="AG207">
        <v>117</v>
      </c>
      <c r="AI207">
        <v>117</v>
      </c>
      <c r="AK207">
        <v>117</v>
      </c>
      <c r="AM207">
        <v>117</v>
      </c>
      <c r="AO207">
        <v>117</v>
      </c>
      <c r="AQ207">
        <v>117</v>
      </c>
      <c r="AS207">
        <v>117</v>
      </c>
    </row>
    <row r="208" spans="7:45">
      <c r="G208" s="83">
        <v>118</v>
      </c>
      <c r="I208" s="83">
        <v>118</v>
      </c>
      <c r="K208">
        <v>118</v>
      </c>
      <c r="M208">
        <v>118</v>
      </c>
      <c r="O208">
        <v>118</v>
      </c>
      <c r="Q208">
        <v>118</v>
      </c>
      <c r="S208">
        <v>118</v>
      </c>
      <c r="U208">
        <v>118</v>
      </c>
      <c r="W208">
        <v>118</v>
      </c>
      <c r="Y208">
        <v>118</v>
      </c>
      <c r="AA208">
        <v>118</v>
      </c>
      <c r="AC208">
        <v>118</v>
      </c>
      <c r="AE208">
        <v>118</v>
      </c>
      <c r="AG208">
        <v>118</v>
      </c>
      <c r="AI208">
        <v>118</v>
      </c>
      <c r="AK208">
        <v>118</v>
      </c>
      <c r="AM208">
        <v>118</v>
      </c>
      <c r="AO208">
        <v>118</v>
      </c>
      <c r="AQ208">
        <v>118</v>
      </c>
      <c r="AS208">
        <v>118</v>
      </c>
    </row>
    <row r="209" spans="7:45">
      <c r="G209" s="83">
        <v>119</v>
      </c>
      <c r="I209" s="83">
        <v>119</v>
      </c>
      <c r="K209">
        <v>119</v>
      </c>
      <c r="M209">
        <v>119</v>
      </c>
      <c r="O209">
        <v>119</v>
      </c>
      <c r="Q209">
        <v>119</v>
      </c>
      <c r="S209">
        <v>119</v>
      </c>
      <c r="U209">
        <v>119</v>
      </c>
      <c r="W209">
        <v>119</v>
      </c>
      <c r="Y209">
        <v>119</v>
      </c>
      <c r="AA209">
        <v>119</v>
      </c>
      <c r="AC209">
        <v>119</v>
      </c>
      <c r="AE209">
        <v>119</v>
      </c>
      <c r="AG209">
        <v>119</v>
      </c>
      <c r="AI209">
        <v>119</v>
      </c>
      <c r="AK209">
        <v>119</v>
      </c>
      <c r="AM209">
        <v>119</v>
      </c>
      <c r="AO209">
        <v>119</v>
      </c>
      <c r="AQ209">
        <v>119</v>
      </c>
      <c r="AS209">
        <v>119</v>
      </c>
    </row>
    <row r="210" spans="7:45">
      <c r="G210" s="83">
        <v>120</v>
      </c>
      <c r="I210" s="83">
        <v>120</v>
      </c>
      <c r="K210">
        <v>120</v>
      </c>
      <c r="M210">
        <v>120</v>
      </c>
      <c r="O210">
        <v>120</v>
      </c>
      <c r="Q210">
        <v>120</v>
      </c>
      <c r="S210">
        <v>120</v>
      </c>
      <c r="U210">
        <v>120</v>
      </c>
      <c r="W210">
        <v>120</v>
      </c>
      <c r="Y210">
        <v>120</v>
      </c>
      <c r="AA210">
        <v>120</v>
      </c>
      <c r="AC210">
        <v>120</v>
      </c>
      <c r="AE210">
        <v>120</v>
      </c>
      <c r="AG210">
        <v>120</v>
      </c>
      <c r="AI210">
        <v>120</v>
      </c>
      <c r="AK210">
        <v>120</v>
      </c>
      <c r="AM210">
        <v>120</v>
      </c>
      <c r="AO210">
        <v>120</v>
      </c>
      <c r="AQ210">
        <v>120</v>
      </c>
      <c r="AS210">
        <v>120</v>
      </c>
    </row>
    <row r="211" spans="7:45">
      <c r="G211" s="83">
        <v>121</v>
      </c>
      <c r="I211" s="83">
        <v>121</v>
      </c>
      <c r="K211">
        <v>121</v>
      </c>
      <c r="M211">
        <v>121</v>
      </c>
      <c r="O211">
        <v>121</v>
      </c>
      <c r="Q211">
        <v>121</v>
      </c>
      <c r="S211">
        <v>121</v>
      </c>
      <c r="U211">
        <v>121</v>
      </c>
      <c r="W211">
        <v>121</v>
      </c>
      <c r="Y211">
        <v>121</v>
      </c>
      <c r="AA211">
        <v>121</v>
      </c>
      <c r="AC211">
        <v>121</v>
      </c>
      <c r="AE211">
        <v>121</v>
      </c>
      <c r="AG211">
        <v>121</v>
      </c>
      <c r="AI211">
        <v>121</v>
      </c>
      <c r="AK211">
        <v>121</v>
      </c>
      <c r="AM211">
        <v>121</v>
      </c>
      <c r="AO211">
        <v>121</v>
      </c>
      <c r="AQ211">
        <v>121</v>
      </c>
      <c r="AS211">
        <v>121</v>
      </c>
    </row>
    <row r="212" spans="7:45">
      <c r="G212" s="83">
        <v>122</v>
      </c>
      <c r="I212" s="83">
        <v>122</v>
      </c>
      <c r="K212">
        <v>122</v>
      </c>
      <c r="M212">
        <v>122</v>
      </c>
      <c r="O212">
        <v>122</v>
      </c>
      <c r="Q212">
        <v>122</v>
      </c>
      <c r="S212">
        <v>122</v>
      </c>
      <c r="U212">
        <v>122</v>
      </c>
      <c r="W212">
        <v>122</v>
      </c>
      <c r="Y212">
        <v>122</v>
      </c>
      <c r="AA212">
        <v>122</v>
      </c>
      <c r="AC212">
        <v>122</v>
      </c>
      <c r="AE212">
        <v>122</v>
      </c>
      <c r="AG212">
        <v>122</v>
      </c>
      <c r="AI212">
        <v>122</v>
      </c>
      <c r="AK212">
        <v>122</v>
      </c>
      <c r="AM212">
        <v>122</v>
      </c>
      <c r="AO212">
        <v>122</v>
      </c>
      <c r="AQ212">
        <v>122</v>
      </c>
      <c r="AS212">
        <v>122</v>
      </c>
    </row>
    <row r="213" spans="7:45">
      <c r="G213" s="83">
        <v>123</v>
      </c>
      <c r="I213" s="83">
        <v>123</v>
      </c>
      <c r="K213">
        <v>123</v>
      </c>
      <c r="M213">
        <v>123</v>
      </c>
      <c r="O213">
        <v>123</v>
      </c>
      <c r="Q213">
        <v>123</v>
      </c>
      <c r="S213">
        <v>123</v>
      </c>
      <c r="U213">
        <v>123</v>
      </c>
      <c r="W213">
        <v>123</v>
      </c>
      <c r="Y213">
        <v>123</v>
      </c>
      <c r="AA213">
        <v>123</v>
      </c>
      <c r="AC213">
        <v>123</v>
      </c>
      <c r="AE213">
        <v>123</v>
      </c>
      <c r="AG213">
        <v>123</v>
      </c>
      <c r="AI213">
        <v>123</v>
      </c>
      <c r="AK213">
        <v>123</v>
      </c>
      <c r="AM213">
        <v>123</v>
      </c>
      <c r="AO213">
        <v>123</v>
      </c>
      <c r="AQ213">
        <v>123</v>
      </c>
      <c r="AS213">
        <v>123</v>
      </c>
    </row>
    <row r="214" spans="7:45">
      <c r="G214" s="83">
        <v>124</v>
      </c>
      <c r="I214" s="83">
        <v>124</v>
      </c>
      <c r="K214">
        <v>124</v>
      </c>
      <c r="M214">
        <v>124</v>
      </c>
      <c r="O214">
        <v>124</v>
      </c>
      <c r="Q214">
        <v>124</v>
      </c>
      <c r="S214">
        <v>124</v>
      </c>
      <c r="U214">
        <v>124</v>
      </c>
      <c r="W214">
        <v>124</v>
      </c>
      <c r="Y214">
        <v>124</v>
      </c>
      <c r="AA214">
        <v>124</v>
      </c>
      <c r="AC214">
        <v>124</v>
      </c>
      <c r="AE214">
        <v>124</v>
      </c>
      <c r="AG214">
        <v>124</v>
      </c>
      <c r="AI214">
        <v>124</v>
      </c>
      <c r="AK214">
        <v>124</v>
      </c>
      <c r="AM214">
        <v>124</v>
      </c>
      <c r="AO214">
        <v>124</v>
      </c>
      <c r="AQ214">
        <v>124</v>
      </c>
      <c r="AS214">
        <v>124</v>
      </c>
    </row>
    <row r="215" spans="7:45">
      <c r="G215" s="83">
        <v>125</v>
      </c>
      <c r="I215" s="83">
        <v>125</v>
      </c>
      <c r="K215">
        <v>125</v>
      </c>
      <c r="M215">
        <v>125</v>
      </c>
      <c r="O215">
        <v>125</v>
      </c>
      <c r="Q215">
        <v>125</v>
      </c>
      <c r="S215">
        <v>125</v>
      </c>
      <c r="U215">
        <v>125</v>
      </c>
      <c r="W215">
        <v>125</v>
      </c>
      <c r="Y215">
        <v>125</v>
      </c>
      <c r="AA215">
        <v>125</v>
      </c>
      <c r="AC215">
        <v>125</v>
      </c>
      <c r="AE215">
        <v>125</v>
      </c>
      <c r="AG215">
        <v>125</v>
      </c>
      <c r="AI215">
        <v>125</v>
      </c>
      <c r="AK215">
        <v>125</v>
      </c>
      <c r="AM215">
        <v>125</v>
      </c>
      <c r="AO215">
        <v>125</v>
      </c>
      <c r="AQ215">
        <v>125</v>
      </c>
      <c r="AS215">
        <v>125</v>
      </c>
    </row>
    <row r="216" spans="7:45">
      <c r="G216" s="83">
        <v>126</v>
      </c>
      <c r="I216" s="83">
        <v>126</v>
      </c>
      <c r="K216">
        <v>126</v>
      </c>
      <c r="M216">
        <v>126</v>
      </c>
      <c r="O216">
        <v>126</v>
      </c>
      <c r="Q216">
        <v>126</v>
      </c>
      <c r="S216">
        <v>126</v>
      </c>
      <c r="U216">
        <v>126</v>
      </c>
      <c r="W216">
        <v>126</v>
      </c>
      <c r="Y216">
        <v>126</v>
      </c>
      <c r="AA216">
        <v>126</v>
      </c>
      <c r="AC216">
        <v>126</v>
      </c>
      <c r="AE216">
        <v>126</v>
      </c>
      <c r="AG216">
        <v>126</v>
      </c>
      <c r="AI216">
        <v>126</v>
      </c>
      <c r="AK216">
        <v>126</v>
      </c>
      <c r="AM216">
        <v>126</v>
      </c>
      <c r="AO216">
        <v>126</v>
      </c>
      <c r="AQ216">
        <v>126</v>
      </c>
      <c r="AS216">
        <v>126</v>
      </c>
    </row>
    <row r="217" spans="7:45">
      <c r="G217" s="83">
        <v>127</v>
      </c>
      <c r="I217" s="83">
        <v>127</v>
      </c>
      <c r="K217">
        <v>127</v>
      </c>
      <c r="M217">
        <v>127</v>
      </c>
      <c r="O217">
        <v>127</v>
      </c>
      <c r="Q217">
        <v>127</v>
      </c>
      <c r="S217">
        <v>127</v>
      </c>
      <c r="U217">
        <v>127</v>
      </c>
      <c r="W217">
        <v>127</v>
      </c>
      <c r="Y217">
        <v>127</v>
      </c>
      <c r="AA217">
        <v>127</v>
      </c>
      <c r="AC217">
        <v>127</v>
      </c>
      <c r="AE217">
        <v>127</v>
      </c>
      <c r="AG217">
        <v>127</v>
      </c>
      <c r="AI217">
        <v>127</v>
      </c>
      <c r="AK217">
        <v>127</v>
      </c>
      <c r="AM217">
        <v>127</v>
      </c>
      <c r="AO217">
        <v>127</v>
      </c>
      <c r="AQ217">
        <v>127</v>
      </c>
      <c r="AS217">
        <v>127</v>
      </c>
    </row>
    <row r="218" spans="7:45">
      <c r="G218" s="83">
        <v>128</v>
      </c>
      <c r="I218" s="83">
        <v>128</v>
      </c>
      <c r="K218">
        <v>128</v>
      </c>
      <c r="M218">
        <v>128</v>
      </c>
      <c r="O218">
        <v>128</v>
      </c>
      <c r="Q218">
        <v>128</v>
      </c>
      <c r="S218">
        <v>128</v>
      </c>
      <c r="U218">
        <v>128</v>
      </c>
      <c r="W218">
        <v>128</v>
      </c>
      <c r="Y218">
        <v>128</v>
      </c>
      <c r="AA218">
        <v>128</v>
      </c>
      <c r="AC218">
        <v>128</v>
      </c>
      <c r="AE218">
        <v>128</v>
      </c>
      <c r="AG218">
        <v>128</v>
      </c>
      <c r="AI218">
        <v>128</v>
      </c>
      <c r="AK218">
        <v>128</v>
      </c>
      <c r="AM218">
        <v>128</v>
      </c>
      <c r="AO218">
        <v>128</v>
      </c>
      <c r="AQ218">
        <v>128</v>
      </c>
      <c r="AS218">
        <v>128</v>
      </c>
    </row>
    <row r="219" spans="7:45">
      <c r="G219" s="83">
        <v>129</v>
      </c>
      <c r="I219" s="83">
        <v>129</v>
      </c>
      <c r="K219">
        <v>129</v>
      </c>
      <c r="M219">
        <v>129</v>
      </c>
      <c r="O219">
        <v>129</v>
      </c>
      <c r="Q219">
        <v>129</v>
      </c>
      <c r="S219">
        <v>129</v>
      </c>
      <c r="U219">
        <v>129</v>
      </c>
      <c r="W219">
        <v>129</v>
      </c>
      <c r="Y219">
        <v>129</v>
      </c>
      <c r="AA219">
        <v>129</v>
      </c>
      <c r="AC219">
        <v>129</v>
      </c>
      <c r="AE219">
        <v>129</v>
      </c>
      <c r="AG219">
        <v>129</v>
      </c>
      <c r="AI219">
        <v>129</v>
      </c>
      <c r="AK219">
        <v>129</v>
      </c>
      <c r="AM219">
        <v>129</v>
      </c>
      <c r="AO219">
        <v>129</v>
      </c>
      <c r="AQ219">
        <v>129</v>
      </c>
      <c r="AS219">
        <v>129</v>
      </c>
    </row>
    <row r="220" spans="7:45">
      <c r="G220" s="83">
        <v>130</v>
      </c>
      <c r="I220" s="83">
        <v>130</v>
      </c>
      <c r="K220">
        <v>130</v>
      </c>
      <c r="M220">
        <v>130</v>
      </c>
      <c r="O220">
        <v>130</v>
      </c>
      <c r="Q220">
        <v>130</v>
      </c>
      <c r="S220">
        <v>130</v>
      </c>
      <c r="U220">
        <v>130</v>
      </c>
      <c r="W220">
        <v>130</v>
      </c>
      <c r="Y220">
        <v>130</v>
      </c>
      <c r="AA220">
        <v>130</v>
      </c>
      <c r="AC220">
        <v>130</v>
      </c>
      <c r="AE220">
        <v>130</v>
      </c>
      <c r="AG220">
        <v>130</v>
      </c>
      <c r="AI220">
        <v>130</v>
      </c>
      <c r="AK220">
        <v>130</v>
      </c>
      <c r="AM220">
        <v>130</v>
      </c>
      <c r="AO220">
        <v>130</v>
      </c>
      <c r="AQ220">
        <v>130</v>
      </c>
      <c r="AS220">
        <v>130</v>
      </c>
    </row>
    <row r="221" spans="7:45">
      <c r="G221" s="83">
        <v>131</v>
      </c>
      <c r="I221" s="83">
        <v>131</v>
      </c>
      <c r="K221">
        <v>131</v>
      </c>
      <c r="M221">
        <v>131</v>
      </c>
      <c r="O221">
        <v>131</v>
      </c>
      <c r="Q221">
        <v>131</v>
      </c>
      <c r="S221">
        <v>131</v>
      </c>
      <c r="U221">
        <v>131</v>
      </c>
      <c r="W221">
        <v>131</v>
      </c>
      <c r="Y221">
        <v>131</v>
      </c>
      <c r="AA221">
        <v>131</v>
      </c>
      <c r="AC221">
        <v>131</v>
      </c>
      <c r="AE221">
        <v>131</v>
      </c>
      <c r="AG221">
        <v>131</v>
      </c>
      <c r="AI221">
        <v>131</v>
      </c>
      <c r="AK221">
        <v>131</v>
      </c>
      <c r="AM221">
        <v>131</v>
      </c>
      <c r="AO221">
        <v>131</v>
      </c>
      <c r="AQ221">
        <v>131</v>
      </c>
      <c r="AS221">
        <v>131</v>
      </c>
    </row>
    <row r="222" spans="7:45">
      <c r="G222" s="83">
        <v>132</v>
      </c>
      <c r="I222" s="83">
        <v>132</v>
      </c>
      <c r="K222">
        <v>132</v>
      </c>
      <c r="M222">
        <v>132</v>
      </c>
      <c r="O222">
        <v>132</v>
      </c>
      <c r="Q222">
        <v>132</v>
      </c>
      <c r="S222">
        <v>132</v>
      </c>
      <c r="U222">
        <v>132</v>
      </c>
      <c r="W222">
        <v>132</v>
      </c>
      <c r="Y222">
        <v>132</v>
      </c>
      <c r="AA222">
        <v>132</v>
      </c>
      <c r="AC222">
        <v>132</v>
      </c>
      <c r="AE222">
        <v>132</v>
      </c>
      <c r="AG222">
        <v>132</v>
      </c>
      <c r="AI222">
        <v>132</v>
      </c>
      <c r="AK222">
        <v>132</v>
      </c>
      <c r="AM222">
        <v>132</v>
      </c>
      <c r="AO222">
        <v>132</v>
      </c>
      <c r="AQ222">
        <v>132</v>
      </c>
      <c r="AS222">
        <v>132</v>
      </c>
    </row>
    <row r="223" spans="7:45">
      <c r="G223" s="83">
        <v>133</v>
      </c>
      <c r="I223" s="83">
        <v>133</v>
      </c>
      <c r="K223">
        <v>133</v>
      </c>
      <c r="M223">
        <v>133</v>
      </c>
      <c r="O223">
        <v>133</v>
      </c>
      <c r="Q223">
        <v>133</v>
      </c>
      <c r="S223">
        <v>133</v>
      </c>
      <c r="U223">
        <v>133</v>
      </c>
      <c r="W223">
        <v>133</v>
      </c>
      <c r="Y223">
        <v>133</v>
      </c>
      <c r="AA223">
        <v>133</v>
      </c>
      <c r="AC223">
        <v>133</v>
      </c>
      <c r="AE223">
        <v>133</v>
      </c>
      <c r="AG223">
        <v>133</v>
      </c>
      <c r="AI223">
        <v>133</v>
      </c>
      <c r="AK223">
        <v>133</v>
      </c>
      <c r="AM223">
        <v>133</v>
      </c>
      <c r="AO223">
        <v>133</v>
      </c>
      <c r="AQ223">
        <v>133</v>
      </c>
      <c r="AS223">
        <v>133</v>
      </c>
    </row>
    <row r="224" spans="7:45">
      <c r="G224" s="83">
        <v>134</v>
      </c>
      <c r="I224" s="83">
        <v>134</v>
      </c>
      <c r="K224">
        <v>134</v>
      </c>
      <c r="M224">
        <v>134</v>
      </c>
      <c r="O224">
        <v>134</v>
      </c>
      <c r="Q224">
        <v>134</v>
      </c>
      <c r="S224">
        <v>134</v>
      </c>
      <c r="U224">
        <v>134</v>
      </c>
      <c r="W224">
        <v>134</v>
      </c>
      <c r="Y224">
        <v>134</v>
      </c>
      <c r="AA224">
        <v>134</v>
      </c>
      <c r="AC224">
        <v>134</v>
      </c>
      <c r="AE224">
        <v>134</v>
      </c>
      <c r="AG224">
        <v>134</v>
      </c>
      <c r="AI224">
        <v>134</v>
      </c>
      <c r="AK224">
        <v>134</v>
      </c>
      <c r="AM224">
        <v>134</v>
      </c>
      <c r="AO224">
        <v>134</v>
      </c>
      <c r="AQ224">
        <v>134</v>
      </c>
      <c r="AS224">
        <v>134</v>
      </c>
    </row>
    <row r="225" spans="7:45">
      <c r="G225" s="83">
        <v>135</v>
      </c>
      <c r="I225" s="83">
        <v>135</v>
      </c>
      <c r="K225">
        <v>135</v>
      </c>
      <c r="M225">
        <v>135</v>
      </c>
      <c r="O225">
        <v>135</v>
      </c>
      <c r="Q225">
        <v>135</v>
      </c>
      <c r="S225">
        <v>135</v>
      </c>
      <c r="U225">
        <v>135</v>
      </c>
      <c r="W225">
        <v>135</v>
      </c>
      <c r="Y225">
        <v>135</v>
      </c>
      <c r="AA225">
        <v>135</v>
      </c>
      <c r="AC225">
        <v>135</v>
      </c>
      <c r="AE225">
        <v>135</v>
      </c>
      <c r="AG225">
        <v>135</v>
      </c>
      <c r="AI225">
        <v>135</v>
      </c>
      <c r="AK225">
        <v>135</v>
      </c>
      <c r="AM225">
        <v>135</v>
      </c>
      <c r="AO225">
        <v>135</v>
      </c>
      <c r="AQ225">
        <v>135</v>
      </c>
      <c r="AS225">
        <v>135</v>
      </c>
    </row>
    <row r="226" spans="7:45">
      <c r="G226" s="83">
        <v>136</v>
      </c>
      <c r="I226" s="83">
        <v>136</v>
      </c>
      <c r="K226">
        <v>136</v>
      </c>
      <c r="M226">
        <v>136</v>
      </c>
      <c r="O226">
        <v>136</v>
      </c>
      <c r="Q226">
        <v>136</v>
      </c>
      <c r="S226">
        <v>136</v>
      </c>
      <c r="U226">
        <v>136</v>
      </c>
      <c r="W226">
        <v>136</v>
      </c>
      <c r="Y226">
        <v>136</v>
      </c>
      <c r="AA226">
        <v>136</v>
      </c>
      <c r="AC226">
        <v>136</v>
      </c>
      <c r="AE226">
        <v>136</v>
      </c>
      <c r="AG226">
        <v>136</v>
      </c>
      <c r="AI226">
        <v>136</v>
      </c>
      <c r="AK226">
        <v>136</v>
      </c>
      <c r="AM226">
        <v>136</v>
      </c>
      <c r="AO226">
        <v>136</v>
      </c>
      <c r="AQ226">
        <v>136</v>
      </c>
      <c r="AS226">
        <v>136</v>
      </c>
    </row>
    <row r="227" spans="7:45">
      <c r="G227" s="83">
        <v>137</v>
      </c>
      <c r="I227" s="83">
        <v>137</v>
      </c>
      <c r="K227">
        <v>137</v>
      </c>
      <c r="M227">
        <v>137</v>
      </c>
      <c r="O227">
        <v>137</v>
      </c>
      <c r="Q227">
        <v>137</v>
      </c>
      <c r="S227">
        <v>137</v>
      </c>
      <c r="U227">
        <v>137</v>
      </c>
      <c r="W227">
        <v>137</v>
      </c>
      <c r="Y227">
        <v>137</v>
      </c>
      <c r="AA227">
        <v>137</v>
      </c>
      <c r="AC227">
        <v>137</v>
      </c>
      <c r="AE227">
        <v>137</v>
      </c>
      <c r="AG227">
        <v>137</v>
      </c>
      <c r="AI227">
        <v>137</v>
      </c>
      <c r="AK227">
        <v>137</v>
      </c>
      <c r="AM227">
        <v>137</v>
      </c>
      <c r="AO227">
        <v>137</v>
      </c>
      <c r="AQ227">
        <v>137</v>
      </c>
      <c r="AS227">
        <v>137</v>
      </c>
    </row>
    <row r="228" spans="7:45">
      <c r="G228" s="83">
        <v>138</v>
      </c>
      <c r="I228" s="83">
        <v>138</v>
      </c>
      <c r="K228">
        <v>138</v>
      </c>
      <c r="M228">
        <v>138</v>
      </c>
      <c r="O228">
        <v>138</v>
      </c>
      <c r="Q228">
        <v>138</v>
      </c>
      <c r="S228">
        <v>138</v>
      </c>
      <c r="U228">
        <v>138</v>
      </c>
      <c r="W228">
        <v>138</v>
      </c>
      <c r="Y228">
        <v>138</v>
      </c>
      <c r="AA228">
        <v>138</v>
      </c>
      <c r="AC228">
        <v>138</v>
      </c>
      <c r="AE228">
        <v>138</v>
      </c>
      <c r="AG228">
        <v>138</v>
      </c>
      <c r="AI228">
        <v>138</v>
      </c>
      <c r="AK228">
        <v>138</v>
      </c>
      <c r="AM228">
        <v>138</v>
      </c>
      <c r="AO228">
        <v>138</v>
      </c>
      <c r="AQ228">
        <v>138</v>
      </c>
      <c r="AS228">
        <v>138</v>
      </c>
    </row>
    <row r="229" spans="7:45">
      <c r="G229" s="83">
        <v>139</v>
      </c>
      <c r="I229" s="83">
        <v>139</v>
      </c>
      <c r="K229">
        <v>139</v>
      </c>
      <c r="M229">
        <v>139</v>
      </c>
      <c r="O229">
        <v>139</v>
      </c>
      <c r="Q229">
        <v>139</v>
      </c>
      <c r="S229">
        <v>139</v>
      </c>
      <c r="U229">
        <v>139</v>
      </c>
      <c r="W229">
        <v>139</v>
      </c>
      <c r="Y229">
        <v>139</v>
      </c>
      <c r="AA229">
        <v>139</v>
      </c>
      <c r="AC229">
        <v>139</v>
      </c>
      <c r="AE229">
        <v>139</v>
      </c>
      <c r="AG229">
        <v>139</v>
      </c>
      <c r="AI229">
        <v>139</v>
      </c>
      <c r="AK229">
        <v>139</v>
      </c>
      <c r="AM229">
        <v>139</v>
      </c>
      <c r="AO229">
        <v>139</v>
      </c>
      <c r="AQ229">
        <v>139</v>
      </c>
      <c r="AS229">
        <v>139</v>
      </c>
    </row>
    <row r="230" spans="7:45">
      <c r="G230" s="83">
        <v>140</v>
      </c>
      <c r="I230" s="83">
        <v>140</v>
      </c>
      <c r="K230">
        <v>140</v>
      </c>
      <c r="M230">
        <v>140</v>
      </c>
      <c r="O230">
        <v>140</v>
      </c>
      <c r="Q230">
        <v>140</v>
      </c>
      <c r="S230">
        <v>140</v>
      </c>
      <c r="U230">
        <v>140</v>
      </c>
      <c r="W230">
        <v>140</v>
      </c>
      <c r="Y230">
        <v>140</v>
      </c>
      <c r="AA230">
        <v>140</v>
      </c>
      <c r="AC230">
        <v>140</v>
      </c>
      <c r="AE230">
        <v>140</v>
      </c>
      <c r="AG230">
        <v>140</v>
      </c>
      <c r="AI230">
        <v>140</v>
      </c>
      <c r="AK230">
        <v>140</v>
      </c>
      <c r="AM230">
        <v>140</v>
      </c>
      <c r="AO230">
        <v>140</v>
      </c>
      <c r="AQ230">
        <v>140</v>
      </c>
      <c r="AS230">
        <v>140</v>
      </c>
    </row>
    <row r="231" spans="7:45">
      <c r="G231" s="83">
        <v>141</v>
      </c>
      <c r="I231" s="83">
        <v>141</v>
      </c>
      <c r="K231">
        <v>141</v>
      </c>
      <c r="M231">
        <v>141</v>
      </c>
      <c r="O231">
        <v>141</v>
      </c>
      <c r="Q231">
        <v>141</v>
      </c>
      <c r="S231">
        <v>141</v>
      </c>
      <c r="U231">
        <v>141</v>
      </c>
      <c r="W231">
        <v>141</v>
      </c>
      <c r="Y231">
        <v>141</v>
      </c>
      <c r="AA231">
        <v>141</v>
      </c>
      <c r="AC231">
        <v>141</v>
      </c>
      <c r="AE231">
        <v>141</v>
      </c>
      <c r="AG231">
        <v>141</v>
      </c>
      <c r="AI231">
        <v>141</v>
      </c>
      <c r="AK231">
        <v>141</v>
      </c>
      <c r="AM231">
        <v>141</v>
      </c>
      <c r="AO231">
        <v>141</v>
      </c>
      <c r="AQ231">
        <v>141</v>
      </c>
      <c r="AS231">
        <v>141</v>
      </c>
    </row>
    <row r="232" spans="7:45">
      <c r="G232" s="83">
        <v>142</v>
      </c>
      <c r="I232" s="83">
        <v>142</v>
      </c>
      <c r="K232">
        <v>142</v>
      </c>
      <c r="M232">
        <v>142</v>
      </c>
      <c r="O232">
        <v>142</v>
      </c>
      <c r="Q232">
        <v>142</v>
      </c>
      <c r="S232">
        <v>142</v>
      </c>
      <c r="U232">
        <v>142</v>
      </c>
      <c r="W232">
        <v>142</v>
      </c>
      <c r="Y232">
        <v>142</v>
      </c>
      <c r="AA232">
        <v>142</v>
      </c>
      <c r="AC232">
        <v>142</v>
      </c>
      <c r="AE232">
        <v>142</v>
      </c>
      <c r="AG232">
        <v>142</v>
      </c>
      <c r="AI232">
        <v>142</v>
      </c>
      <c r="AK232">
        <v>142</v>
      </c>
      <c r="AM232">
        <v>142</v>
      </c>
      <c r="AO232">
        <v>142</v>
      </c>
      <c r="AQ232">
        <v>142</v>
      </c>
      <c r="AS232">
        <v>142</v>
      </c>
    </row>
    <row r="233" spans="7:45">
      <c r="G233" s="83">
        <v>143</v>
      </c>
      <c r="I233" s="83">
        <v>143</v>
      </c>
      <c r="K233">
        <v>143</v>
      </c>
      <c r="M233">
        <v>143</v>
      </c>
      <c r="O233">
        <v>143</v>
      </c>
      <c r="Q233">
        <v>143</v>
      </c>
      <c r="S233">
        <v>143</v>
      </c>
      <c r="U233">
        <v>143</v>
      </c>
      <c r="W233">
        <v>143</v>
      </c>
      <c r="Y233">
        <v>143</v>
      </c>
      <c r="AA233">
        <v>143</v>
      </c>
      <c r="AC233">
        <v>143</v>
      </c>
      <c r="AE233">
        <v>143</v>
      </c>
      <c r="AG233">
        <v>143</v>
      </c>
      <c r="AI233">
        <v>143</v>
      </c>
      <c r="AK233">
        <v>143</v>
      </c>
      <c r="AM233">
        <v>143</v>
      </c>
      <c r="AO233">
        <v>143</v>
      </c>
      <c r="AQ233">
        <v>143</v>
      </c>
      <c r="AS233">
        <v>143</v>
      </c>
    </row>
    <row r="234" spans="7:45">
      <c r="G234" s="83">
        <v>144</v>
      </c>
      <c r="I234" s="83">
        <v>144</v>
      </c>
      <c r="K234">
        <v>144</v>
      </c>
      <c r="M234">
        <v>144</v>
      </c>
      <c r="O234">
        <v>144</v>
      </c>
      <c r="Q234">
        <v>144</v>
      </c>
      <c r="S234">
        <v>144</v>
      </c>
      <c r="U234">
        <v>144</v>
      </c>
      <c r="W234">
        <v>144</v>
      </c>
      <c r="Y234">
        <v>144</v>
      </c>
      <c r="AA234">
        <v>144</v>
      </c>
      <c r="AC234">
        <v>144</v>
      </c>
      <c r="AE234">
        <v>144</v>
      </c>
      <c r="AG234">
        <v>144</v>
      </c>
      <c r="AI234">
        <v>144</v>
      </c>
      <c r="AK234">
        <v>144</v>
      </c>
      <c r="AM234">
        <v>144</v>
      </c>
      <c r="AO234">
        <v>144</v>
      </c>
      <c r="AQ234">
        <v>144</v>
      </c>
      <c r="AS234">
        <v>144</v>
      </c>
    </row>
    <row r="235" spans="7:45">
      <c r="G235" s="83">
        <v>145</v>
      </c>
      <c r="I235" s="83">
        <v>145</v>
      </c>
      <c r="K235">
        <v>145</v>
      </c>
      <c r="M235">
        <v>145</v>
      </c>
      <c r="O235">
        <v>145</v>
      </c>
      <c r="Q235">
        <v>145</v>
      </c>
      <c r="S235">
        <v>145</v>
      </c>
      <c r="U235">
        <v>145</v>
      </c>
      <c r="W235">
        <v>145</v>
      </c>
      <c r="Y235">
        <v>145</v>
      </c>
      <c r="AA235">
        <v>145</v>
      </c>
      <c r="AC235">
        <v>145</v>
      </c>
      <c r="AE235">
        <v>145</v>
      </c>
      <c r="AG235">
        <v>145</v>
      </c>
      <c r="AI235">
        <v>145</v>
      </c>
      <c r="AK235">
        <v>145</v>
      </c>
      <c r="AM235">
        <v>145</v>
      </c>
      <c r="AO235">
        <v>145</v>
      </c>
      <c r="AQ235">
        <v>145</v>
      </c>
      <c r="AS235">
        <v>145</v>
      </c>
    </row>
    <row r="236" spans="7:45">
      <c r="G236" s="83">
        <v>146</v>
      </c>
      <c r="I236" s="83">
        <v>146</v>
      </c>
      <c r="K236">
        <v>146</v>
      </c>
      <c r="M236">
        <v>146</v>
      </c>
      <c r="O236">
        <v>146</v>
      </c>
      <c r="Q236">
        <v>146</v>
      </c>
      <c r="S236">
        <v>146</v>
      </c>
      <c r="U236">
        <v>146</v>
      </c>
      <c r="W236">
        <v>146</v>
      </c>
      <c r="Y236">
        <v>146</v>
      </c>
      <c r="AA236">
        <v>146</v>
      </c>
      <c r="AC236">
        <v>146</v>
      </c>
      <c r="AE236">
        <v>146</v>
      </c>
      <c r="AG236">
        <v>146</v>
      </c>
      <c r="AI236">
        <v>146</v>
      </c>
      <c r="AK236">
        <v>146</v>
      </c>
      <c r="AM236">
        <v>146</v>
      </c>
      <c r="AO236">
        <v>146</v>
      </c>
      <c r="AQ236">
        <v>146</v>
      </c>
      <c r="AS236">
        <v>146</v>
      </c>
    </row>
    <row r="237" spans="7:45">
      <c r="G237" s="83">
        <v>147</v>
      </c>
      <c r="I237" s="83">
        <v>147</v>
      </c>
      <c r="K237">
        <v>147</v>
      </c>
      <c r="M237">
        <v>147</v>
      </c>
      <c r="O237">
        <v>147</v>
      </c>
      <c r="Q237">
        <v>147</v>
      </c>
      <c r="S237">
        <v>147</v>
      </c>
      <c r="U237">
        <v>147</v>
      </c>
      <c r="W237">
        <v>147</v>
      </c>
      <c r="Y237">
        <v>147</v>
      </c>
      <c r="AA237">
        <v>147</v>
      </c>
      <c r="AC237">
        <v>147</v>
      </c>
      <c r="AE237">
        <v>147</v>
      </c>
      <c r="AG237">
        <v>147</v>
      </c>
      <c r="AI237">
        <v>147</v>
      </c>
      <c r="AK237">
        <v>147</v>
      </c>
      <c r="AM237">
        <v>147</v>
      </c>
      <c r="AO237">
        <v>147</v>
      </c>
      <c r="AQ237">
        <v>147</v>
      </c>
      <c r="AS237">
        <v>147</v>
      </c>
    </row>
    <row r="238" spans="7:45">
      <c r="G238" s="83">
        <v>148</v>
      </c>
      <c r="I238" s="83">
        <v>148</v>
      </c>
      <c r="K238">
        <v>148</v>
      </c>
      <c r="M238">
        <v>148</v>
      </c>
      <c r="O238">
        <v>148</v>
      </c>
      <c r="Q238">
        <v>148</v>
      </c>
      <c r="S238">
        <v>148</v>
      </c>
      <c r="U238">
        <v>148</v>
      </c>
      <c r="W238">
        <v>148</v>
      </c>
      <c r="Y238">
        <v>148</v>
      </c>
      <c r="AA238">
        <v>148</v>
      </c>
      <c r="AC238">
        <v>148</v>
      </c>
      <c r="AE238">
        <v>148</v>
      </c>
      <c r="AG238">
        <v>148</v>
      </c>
      <c r="AI238">
        <v>148</v>
      </c>
      <c r="AK238">
        <v>148</v>
      </c>
      <c r="AM238">
        <v>148</v>
      </c>
      <c r="AO238">
        <v>148</v>
      </c>
      <c r="AQ238">
        <v>148</v>
      </c>
      <c r="AS238">
        <v>148</v>
      </c>
    </row>
    <row r="239" spans="7:45">
      <c r="G239" s="83">
        <v>149</v>
      </c>
      <c r="I239" s="83">
        <v>149</v>
      </c>
      <c r="K239">
        <v>149</v>
      </c>
      <c r="M239">
        <v>149</v>
      </c>
      <c r="O239">
        <v>149</v>
      </c>
      <c r="Q239">
        <v>149</v>
      </c>
      <c r="S239">
        <v>149</v>
      </c>
      <c r="U239">
        <v>149</v>
      </c>
      <c r="W239">
        <v>149</v>
      </c>
      <c r="Y239">
        <v>149</v>
      </c>
      <c r="AA239">
        <v>149</v>
      </c>
      <c r="AC239">
        <v>149</v>
      </c>
      <c r="AE239">
        <v>149</v>
      </c>
      <c r="AG239">
        <v>149</v>
      </c>
      <c r="AI239">
        <v>149</v>
      </c>
      <c r="AK239">
        <v>149</v>
      </c>
      <c r="AM239">
        <v>149</v>
      </c>
      <c r="AO239">
        <v>149</v>
      </c>
      <c r="AQ239">
        <v>149</v>
      </c>
      <c r="AS239">
        <v>149</v>
      </c>
    </row>
    <row r="240" spans="7:45">
      <c r="G240" s="83">
        <v>150</v>
      </c>
      <c r="I240" s="83">
        <v>150</v>
      </c>
      <c r="K240">
        <v>150</v>
      </c>
      <c r="M240">
        <v>150</v>
      </c>
      <c r="O240">
        <v>150</v>
      </c>
      <c r="Q240">
        <v>150</v>
      </c>
      <c r="S240">
        <v>150</v>
      </c>
      <c r="U240">
        <v>150</v>
      </c>
      <c r="W240">
        <v>150</v>
      </c>
      <c r="Y240">
        <v>150</v>
      </c>
      <c r="AA240">
        <v>150</v>
      </c>
      <c r="AC240">
        <v>150</v>
      </c>
      <c r="AE240">
        <v>150</v>
      </c>
      <c r="AG240">
        <v>150</v>
      </c>
      <c r="AI240">
        <v>150</v>
      </c>
      <c r="AK240">
        <v>150</v>
      </c>
      <c r="AM240">
        <v>150</v>
      </c>
      <c r="AO240">
        <v>150</v>
      </c>
      <c r="AQ240">
        <v>150</v>
      </c>
      <c r="AS240">
        <v>150</v>
      </c>
    </row>
    <row r="241" spans="7:45">
      <c r="G241" s="83">
        <v>152</v>
      </c>
      <c r="I241" s="83">
        <v>152</v>
      </c>
      <c r="K241">
        <v>152</v>
      </c>
      <c r="M241">
        <v>152</v>
      </c>
      <c r="O241">
        <v>152</v>
      </c>
      <c r="Q241">
        <v>152</v>
      </c>
      <c r="S241">
        <v>152</v>
      </c>
      <c r="U241">
        <v>152</v>
      </c>
      <c r="W241">
        <v>152</v>
      </c>
      <c r="Y241">
        <v>152</v>
      </c>
      <c r="AA241">
        <v>152</v>
      </c>
      <c r="AC241">
        <v>152</v>
      </c>
      <c r="AE241">
        <v>152</v>
      </c>
      <c r="AG241">
        <v>152</v>
      </c>
      <c r="AI241">
        <v>152</v>
      </c>
      <c r="AK241">
        <v>152</v>
      </c>
      <c r="AM241">
        <v>152</v>
      </c>
      <c r="AO241">
        <v>152</v>
      </c>
      <c r="AQ241">
        <v>152</v>
      </c>
      <c r="AS241">
        <v>152</v>
      </c>
    </row>
    <row r="242" spans="7:45">
      <c r="G242" s="83">
        <v>152.5</v>
      </c>
      <c r="I242" s="83">
        <v>152.5</v>
      </c>
      <c r="K242">
        <v>152.5</v>
      </c>
      <c r="M242">
        <v>152.5</v>
      </c>
      <c r="O242">
        <v>152.5</v>
      </c>
      <c r="Q242">
        <v>152.5</v>
      </c>
      <c r="S242">
        <v>152.5</v>
      </c>
      <c r="U242">
        <v>152.5</v>
      </c>
      <c r="W242">
        <v>152.5</v>
      </c>
      <c r="Y242">
        <v>152.5</v>
      </c>
      <c r="AA242">
        <v>152.5</v>
      </c>
      <c r="AC242">
        <v>152.5</v>
      </c>
      <c r="AE242">
        <v>152.5</v>
      </c>
      <c r="AG242">
        <v>152.5</v>
      </c>
      <c r="AI242">
        <v>152.5</v>
      </c>
      <c r="AK242">
        <v>152.5</v>
      </c>
      <c r="AM242">
        <v>152.5</v>
      </c>
      <c r="AO242">
        <v>152.5</v>
      </c>
      <c r="AQ242">
        <v>152.5</v>
      </c>
      <c r="AS242">
        <v>152.5</v>
      </c>
    </row>
    <row r="243" spans="7:45">
      <c r="G243" s="83">
        <v>154</v>
      </c>
      <c r="I243" s="83">
        <v>154</v>
      </c>
      <c r="K243">
        <v>154</v>
      </c>
      <c r="M243">
        <v>154</v>
      </c>
      <c r="O243">
        <v>154</v>
      </c>
      <c r="Q243">
        <v>154</v>
      </c>
      <c r="S243">
        <v>154</v>
      </c>
      <c r="U243">
        <v>154</v>
      </c>
      <c r="W243">
        <v>154</v>
      </c>
      <c r="Y243">
        <v>154</v>
      </c>
      <c r="AA243">
        <v>154</v>
      </c>
      <c r="AC243">
        <v>154</v>
      </c>
      <c r="AE243">
        <v>154</v>
      </c>
      <c r="AG243">
        <v>154</v>
      </c>
      <c r="AI243">
        <v>154</v>
      </c>
      <c r="AK243">
        <v>154</v>
      </c>
      <c r="AM243">
        <v>154</v>
      </c>
      <c r="AO243">
        <v>154</v>
      </c>
      <c r="AQ243">
        <v>154</v>
      </c>
      <c r="AS243">
        <v>154</v>
      </c>
    </row>
    <row r="244" spans="7:45">
      <c r="G244" s="83">
        <v>155</v>
      </c>
      <c r="I244" s="83">
        <v>155</v>
      </c>
      <c r="K244">
        <v>155</v>
      </c>
      <c r="M244">
        <v>155</v>
      </c>
      <c r="O244">
        <v>155</v>
      </c>
      <c r="Q244">
        <v>155</v>
      </c>
      <c r="S244">
        <v>155</v>
      </c>
      <c r="U244">
        <v>155</v>
      </c>
      <c r="W244">
        <v>155</v>
      </c>
      <c r="Y244">
        <v>155</v>
      </c>
      <c r="AA244">
        <v>155</v>
      </c>
      <c r="AC244">
        <v>155</v>
      </c>
      <c r="AE244">
        <v>155</v>
      </c>
      <c r="AG244">
        <v>155</v>
      </c>
      <c r="AI244">
        <v>155</v>
      </c>
      <c r="AK244">
        <v>155</v>
      </c>
      <c r="AM244">
        <v>155</v>
      </c>
      <c r="AO244">
        <v>155</v>
      </c>
      <c r="AQ244">
        <v>155</v>
      </c>
      <c r="AS244">
        <v>155</v>
      </c>
    </row>
    <row r="245" spans="7:45">
      <c r="G245" s="83">
        <v>156</v>
      </c>
      <c r="I245" s="83">
        <v>156</v>
      </c>
      <c r="K245">
        <v>156</v>
      </c>
      <c r="M245">
        <v>156</v>
      </c>
      <c r="O245">
        <v>156</v>
      </c>
      <c r="Q245">
        <v>156</v>
      </c>
      <c r="S245">
        <v>156</v>
      </c>
      <c r="U245">
        <v>156</v>
      </c>
      <c r="W245">
        <v>156</v>
      </c>
      <c r="Y245">
        <v>156</v>
      </c>
      <c r="AA245">
        <v>156</v>
      </c>
      <c r="AC245">
        <v>156</v>
      </c>
      <c r="AE245">
        <v>156</v>
      </c>
      <c r="AG245">
        <v>156</v>
      </c>
      <c r="AI245">
        <v>156</v>
      </c>
      <c r="AK245">
        <v>156</v>
      </c>
      <c r="AM245">
        <v>156</v>
      </c>
      <c r="AO245">
        <v>156</v>
      </c>
      <c r="AQ245">
        <v>156</v>
      </c>
      <c r="AS245">
        <v>156</v>
      </c>
    </row>
    <row r="246" spans="7:45">
      <c r="G246" s="83">
        <v>157.5</v>
      </c>
      <c r="I246" s="83">
        <v>157.5</v>
      </c>
      <c r="K246">
        <v>157.5</v>
      </c>
      <c r="M246">
        <v>157.5</v>
      </c>
      <c r="O246">
        <v>157.5</v>
      </c>
      <c r="Q246">
        <v>157.5</v>
      </c>
      <c r="S246">
        <v>157.5</v>
      </c>
      <c r="U246">
        <v>157.5</v>
      </c>
      <c r="W246">
        <v>157.5</v>
      </c>
      <c r="Y246">
        <v>157.5</v>
      </c>
      <c r="AA246">
        <v>157.5</v>
      </c>
      <c r="AC246">
        <v>157.5</v>
      </c>
      <c r="AE246">
        <v>157.5</v>
      </c>
      <c r="AG246">
        <v>157.5</v>
      </c>
      <c r="AI246">
        <v>157.5</v>
      </c>
      <c r="AK246">
        <v>157.5</v>
      </c>
      <c r="AM246">
        <v>157.5</v>
      </c>
      <c r="AO246">
        <v>157.5</v>
      </c>
      <c r="AQ246">
        <v>157.5</v>
      </c>
      <c r="AS246">
        <v>157.5</v>
      </c>
    </row>
    <row r="247" spans="7:45">
      <c r="G247" s="83">
        <v>158</v>
      </c>
      <c r="I247" s="83">
        <v>158</v>
      </c>
      <c r="K247">
        <v>158</v>
      </c>
      <c r="M247">
        <v>158</v>
      </c>
      <c r="O247">
        <v>158</v>
      </c>
      <c r="Q247">
        <v>158</v>
      </c>
      <c r="S247">
        <v>158</v>
      </c>
      <c r="U247">
        <v>158</v>
      </c>
      <c r="W247">
        <v>158</v>
      </c>
      <c r="Y247">
        <v>158</v>
      </c>
      <c r="AA247">
        <v>158</v>
      </c>
      <c r="AC247">
        <v>158</v>
      </c>
      <c r="AE247">
        <v>158</v>
      </c>
      <c r="AG247">
        <v>158</v>
      </c>
      <c r="AI247">
        <v>158</v>
      </c>
      <c r="AK247">
        <v>158</v>
      </c>
      <c r="AM247">
        <v>158</v>
      </c>
      <c r="AO247">
        <v>158</v>
      </c>
      <c r="AQ247">
        <v>158</v>
      </c>
      <c r="AS247">
        <v>158</v>
      </c>
    </row>
    <row r="248" spans="7:45">
      <c r="G248" s="83">
        <v>160</v>
      </c>
      <c r="I248" s="83">
        <v>160</v>
      </c>
      <c r="K248">
        <v>160</v>
      </c>
      <c r="M248">
        <v>160</v>
      </c>
      <c r="O248">
        <v>160</v>
      </c>
      <c r="Q248">
        <v>160</v>
      </c>
      <c r="S248">
        <v>160</v>
      </c>
      <c r="U248">
        <v>160</v>
      </c>
      <c r="W248">
        <v>160</v>
      </c>
      <c r="Y248">
        <v>160</v>
      </c>
      <c r="AA248">
        <v>160</v>
      </c>
      <c r="AC248">
        <v>160</v>
      </c>
      <c r="AE248">
        <v>160</v>
      </c>
      <c r="AG248">
        <v>160</v>
      </c>
      <c r="AI248">
        <v>160</v>
      </c>
      <c r="AK248">
        <v>160</v>
      </c>
      <c r="AM248">
        <v>160</v>
      </c>
      <c r="AO248">
        <v>160</v>
      </c>
      <c r="AQ248">
        <v>160</v>
      </c>
      <c r="AS248">
        <v>160</v>
      </c>
    </row>
    <row r="249" spans="7:45">
      <c r="G249" s="83">
        <v>162</v>
      </c>
      <c r="I249" s="83">
        <v>162</v>
      </c>
      <c r="K249">
        <v>162</v>
      </c>
      <c r="M249">
        <v>162</v>
      </c>
      <c r="O249">
        <v>162</v>
      </c>
      <c r="Q249">
        <v>162</v>
      </c>
      <c r="S249">
        <v>162</v>
      </c>
      <c r="U249">
        <v>162</v>
      </c>
      <c r="W249">
        <v>162</v>
      </c>
      <c r="Y249">
        <v>162</v>
      </c>
      <c r="AA249">
        <v>162</v>
      </c>
      <c r="AC249">
        <v>162</v>
      </c>
      <c r="AE249">
        <v>162</v>
      </c>
      <c r="AG249">
        <v>162</v>
      </c>
      <c r="AI249">
        <v>162</v>
      </c>
      <c r="AK249">
        <v>162</v>
      </c>
      <c r="AM249">
        <v>162</v>
      </c>
      <c r="AO249">
        <v>162</v>
      </c>
      <c r="AQ249">
        <v>162</v>
      </c>
      <c r="AS249">
        <v>162</v>
      </c>
    </row>
    <row r="250" spans="7:45">
      <c r="G250" s="83">
        <v>162.5</v>
      </c>
      <c r="I250" s="83">
        <v>162.5</v>
      </c>
      <c r="K250">
        <v>162.5</v>
      </c>
      <c r="M250">
        <v>162.5</v>
      </c>
      <c r="O250">
        <v>162.5</v>
      </c>
      <c r="Q250">
        <v>162.5</v>
      </c>
      <c r="S250">
        <v>162.5</v>
      </c>
      <c r="U250">
        <v>162.5</v>
      </c>
      <c r="W250">
        <v>162.5</v>
      </c>
      <c r="Y250">
        <v>162.5</v>
      </c>
      <c r="AA250">
        <v>162.5</v>
      </c>
      <c r="AC250">
        <v>162.5</v>
      </c>
      <c r="AE250">
        <v>162.5</v>
      </c>
      <c r="AG250">
        <v>162.5</v>
      </c>
      <c r="AI250">
        <v>162.5</v>
      </c>
      <c r="AK250">
        <v>162.5</v>
      </c>
      <c r="AM250">
        <v>162.5</v>
      </c>
      <c r="AO250">
        <v>162.5</v>
      </c>
      <c r="AQ250">
        <v>162.5</v>
      </c>
      <c r="AS250">
        <v>162.5</v>
      </c>
    </row>
    <row r="251" spans="7:45">
      <c r="G251" s="83">
        <v>164</v>
      </c>
      <c r="I251" s="83">
        <v>164</v>
      </c>
      <c r="K251">
        <v>164</v>
      </c>
      <c r="M251">
        <v>164</v>
      </c>
      <c r="O251">
        <v>164</v>
      </c>
      <c r="Q251">
        <v>164</v>
      </c>
      <c r="S251">
        <v>164</v>
      </c>
      <c r="U251">
        <v>164</v>
      </c>
      <c r="W251">
        <v>164</v>
      </c>
      <c r="Y251">
        <v>164</v>
      </c>
      <c r="AA251">
        <v>164</v>
      </c>
      <c r="AC251">
        <v>164</v>
      </c>
      <c r="AE251">
        <v>164</v>
      </c>
      <c r="AG251">
        <v>164</v>
      </c>
      <c r="AI251">
        <v>164</v>
      </c>
      <c r="AK251">
        <v>164</v>
      </c>
      <c r="AM251">
        <v>164</v>
      </c>
      <c r="AO251">
        <v>164</v>
      </c>
      <c r="AQ251">
        <v>164</v>
      </c>
      <c r="AS251">
        <v>164</v>
      </c>
    </row>
    <row r="252" spans="7:45">
      <c r="G252" s="83">
        <v>165</v>
      </c>
      <c r="I252" s="83">
        <v>165</v>
      </c>
      <c r="K252">
        <v>165</v>
      </c>
      <c r="M252">
        <v>165</v>
      </c>
      <c r="O252">
        <v>165</v>
      </c>
      <c r="Q252">
        <v>165</v>
      </c>
      <c r="S252">
        <v>165</v>
      </c>
      <c r="U252">
        <v>165</v>
      </c>
      <c r="W252">
        <v>165</v>
      </c>
      <c r="Y252">
        <v>165</v>
      </c>
      <c r="AA252">
        <v>165</v>
      </c>
      <c r="AC252">
        <v>165</v>
      </c>
      <c r="AE252">
        <v>165</v>
      </c>
      <c r="AG252">
        <v>165</v>
      </c>
      <c r="AI252">
        <v>165</v>
      </c>
      <c r="AK252">
        <v>165</v>
      </c>
      <c r="AM252">
        <v>165</v>
      </c>
      <c r="AO252">
        <v>165</v>
      </c>
      <c r="AQ252">
        <v>165</v>
      </c>
      <c r="AS252">
        <v>165</v>
      </c>
    </row>
    <row r="253" spans="7:45">
      <c r="G253" s="83">
        <v>166</v>
      </c>
      <c r="I253" s="83">
        <v>166</v>
      </c>
      <c r="K253">
        <v>166</v>
      </c>
      <c r="M253">
        <v>166</v>
      </c>
      <c r="O253">
        <v>166</v>
      </c>
      <c r="Q253">
        <v>166</v>
      </c>
      <c r="S253">
        <v>166</v>
      </c>
      <c r="U253">
        <v>166</v>
      </c>
      <c r="W253">
        <v>166</v>
      </c>
      <c r="Y253">
        <v>166</v>
      </c>
      <c r="AA253">
        <v>166</v>
      </c>
      <c r="AC253">
        <v>166</v>
      </c>
      <c r="AE253">
        <v>166</v>
      </c>
      <c r="AG253">
        <v>166</v>
      </c>
      <c r="AI253">
        <v>166</v>
      </c>
      <c r="AK253">
        <v>166</v>
      </c>
      <c r="AM253">
        <v>166</v>
      </c>
      <c r="AO253">
        <v>166</v>
      </c>
      <c r="AQ253">
        <v>166</v>
      </c>
      <c r="AS253">
        <v>166</v>
      </c>
    </row>
    <row r="254" spans="7:45">
      <c r="G254" s="83">
        <v>167</v>
      </c>
      <c r="I254" s="83">
        <v>167</v>
      </c>
      <c r="K254">
        <v>167</v>
      </c>
      <c r="M254">
        <v>167</v>
      </c>
      <c r="O254">
        <v>167</v>
      </c>
      <c r="Q254">
        <v>167</v>
      </c>
      <c r="S254">
        <v>167</v>
      </c>
      <c r="U254">
        <v>167</v>
      </c>
      <c r="W254">
        <v>167</v>
      </c>
      <c r="Y254">
        <v>167</v>
      </c>
      <c r="AA254">
        <v>167</v>
      </c>
      <c r="AC254">
        <v>167</v>
      </c>
      <c r="AE254">
        <v>167</v>
      </c>
      <c r="AG254">
        <v>167</v>
      </c>
      <c r="AI254">
        <v>167</v>
      </c>
      <c r="AK254">
        <v>167</v>
      </c>
      <c r="AM254">
        <v>167</v>
      </c>
      <c r="AO254">
        <v>167</v>
      </c>
      <c r="AQ254">
        <v>167</v>
      </c>
      <c r="AS254">
        <v>167</v>
      </c>
    </row>
    <row r="255" spans="7:45">
      <c r="G255" s="83">
        <v>167.5</v>
      </c>
      <c r="I255" s="83">
        <v>167.5</v>
      </c>
      <c r="K255">
        <v>167.5</v>
      </c>
      <c r="M255">
        <v>167.5</v>
      </c>
      <c r="O255">
        <v>167.5</v>
      </c>
      <c r="Q255">
        <v>167.5</v>
      </c>
      <c r="S255">
        <v>167.5</v>
      </c>
      <c r="U255">
        <v>167.5</v>
      </c>
      <c r="W255">
        <v>167.5</v>
      </c>
      <c r="Y255">
        <v>167.5</v>
      </c>
      <c r="AA255">
        <v>167.5</v>
      </c>
      <c r="AC255">
        <v>167.5</v>
      </c>
      <c r="AE255">
        <v>167.5</v>
      </c>
      <c r="AG255">
        <v>167.5</v>
      </c>
      <c r="AI255">
        <v>167.5</v>
      </c>
      <c r="AK255">
        <v>167.5</v>
      </c>
      <c r="AM255">
        <v>167.5</v>
      </c>
      <c r="AO255">
        <v>167.5</v>
      </c>
      <c r="AQ255">
        <v>167.5</v>
      </c>
      <c r="AS255">
        <v>167.5</v>
      </c>
    </row>
    <row r="256" spans="7:45">
      <c r="G256" s="83">
        <v>168</v>
      </c>
      <c r="I256" s="83">
        <v>168</v>
      </c>
      <c r="K256">
        <v>168</v>
      </c>
      <c r="M256">
        <v>168</v>
      </c>
      <c r="O256">
        <v>168</v>
      </c>
      <c r="Q256">
        <v>168</v>
      </c>
      <c r="S256">
        <v>168</v>
      </c>
      <c r="U256">
        <v>168</v>
      </c>
      <c r="W256">
        <v>168</v>
      </c>
      <c r="Y256">
        <v>168</v>
      </c>
      <c r="AA256">
        <v>168</v>
      </c>
      <c r="AC256">
        <v>168</v>
      </c>
      <c r="AE256">
        <v>168</v>
      </c>
      <c r="AG256">
        <v>168</v>
      </c>
      <c r="AI256">
        <v>168</v>
      </c>
      <c r="AK256">
        <v>168</v>
      </c>
      <c r="AM256">
        <v>168</v>
      </c>
      <c r="AO256">
        <v>168</v>
      </c>
      <c r="AQ256">
        <v>168</v>
      </c>
      <c r="AS256">
        <v>168</v>
      </c>
    </row>
    <row r="257" spans="7:45">
      <c r="G257" s="83">
        <v>169</v>
      </c>
      <c r="I257" s="83">
        <v>169</v>
      </c>
      <c r="K257">
        <v>169</v>
      </c>
      <c r="M257">
        <v>169</v>
      </c>
      <c r="O257">
        <v>169</v>
      </c>
      <c r="Q257">
        <v>169</v>
      </c>
      <c r="S257">
        <v>169</v>
      </c>
      <c r="U257">
        <v>169</v>
      </c>
      <c r="W257">
        <v>169</v>
      </c>
      <c r="Y257">
        <v>169</v>
      </c>
      <c r="AA257">
        <v>169</v>
      </c>
      <c r="AC257">
        <v>169</v>
      </c>
      <c r="AE257">
        <v>169</v>
      </c>
      <c r="AG257">
        <v>169</v>
      </c>
      <c r="AI257">
        <v>169</v>
      </c>
      <c r="AK257">
        <v>169</v>
      </c>
      <c r="AM257">
        <v>169</v>
      </c>
      <c r="AO257">
        <v>169</v>
      </c>
      <c r="AQ257">
        <v>169</v>
      </c>
      <c r="AS257">
        <v>169</v>
      </c>
    </row>
    <row r="258" spans="7:45">
      <c r="G258" s="83">
        <v>170</v>
      </c>
      <c r="I258" s="83">
        <v>170</v>
      </c>
      <c r="K258">
        <v>170</v>
      </c>
      <c r="M258">
        <v>170</v>
      </c>
      <c r="O258">
        <v>170</v>
      </c>
      <c r="Q258">
        <v>170</v>
      </c>
      <c r="S258">
        <v>170</v>
      </c>
      <c r="U258">
        <v>170</v>
      </c>
      <c r="W258">
        <v>170</v>
      </c>
      <c r="Y258">
        <v>170</v>
      </c>
      <c r="AA258">
        <v>170</v>
      </c>
      <c r="AC258">
        <v>170</v>
      </c>
      <c r="AE258">
        <v>170</v>
      </c>
      <c r="AG258">
        <v>170</v>
      </c>
      <c r="AI258">
        <v>170</v>
      </c>
      <c r="AK258">
        <v>170</v>
      </c>
      <c r="AM258">
        <v>170</v>
      </c>
      <c r="AO258">
        <v>170</v>
      </c>
      <c r="AQ258">
        <v>170</v>
      </c>
      <c r="AS258">
        <v>170</v>
      </c>
    </row>
    <row r="259" spans="7:45">
      <c r="G259" s="83">
        <v>171</v>
      </c>
      <c r="I259" s="83">
        <v>171</v>
      </c>
      <c r="K259">
        <v>171</v>
      </c>
      <c r="M259">
        <v>171</v>
      </c>
      <c r="O259">
        <v>171</v>
      </c>
      <c r="Q259">
        <v>171</v>
      </c>
      <c r="S259">
        <v>171</v>
      </c>
      <c r="U259">
        <v>171</v>
      </c>
      <c r="W259">
        <v>171</v>
      </c>
      <c r="Y259">
        <v>171</v>
      </c>
      <c r="AA259">
        <v>171</v>
      </c>
      <c r="AC259">
        <v>171</v>
      </c>
      <c r="AE259">
        <v>171</v>
      </c>
      <c r="AG259">
        <v>171</v>
      </c>
      <c r="AI259">
        <v>171</v>
      </c>
      <c r="AK259">
        <v>171</v>
      </c>
      <c r="AM259">
        <v>171</v>
      </c>
      <c r="AO259">
        <v>171</v>
      </c>
      <c r="AQ259">
        <v>171</v>
      </c>
      <c r="AS259">
        <v>171</v>
      </c>
    </row>
    <row r="260" spans="7:45">
      <c r="G260" s="83">
        <v>172</v>
      </c>
      <c r="I260" s="83">
        <v>172</v>
      </c>
      <c r="K260">
        <v>172</v>
      </c>
      <c r="M260">
        <v>172</v>
      </c>
      <c r="O260">
        <v>172</v>
      </c>
      <c r="Q260">
        <v>172</v>
      </c>
      <c r="S260">
        <v>172</v>
      </c>
      <c r="U260">
        <v>172</v>
      </c>
      <c r="W260">
        <v>172</v>
      </c>
      <c r="Y260">
        <v>172</v>
      </c>
      <c r="AA260">
        <v>172</v>
      </c>
      <c r="AC260">
        <v>172</v>
      </c>
      <c r="AE260">
        <v>172</v>
      </c>
      <c r="AG260">
        <v>172</v>
      </c>
      <c r="AI260">
        <v>172</v>
      </c>
      <c r="AK260">
        <v>172</v>
      </c>
      <c r="AM260">
        <v>172</v>
      </c>
      <c r="AO260">
        <v>172</v>
      </c>
      <c r="AQ260">
        <v>172</v>
      </c>
      <c r="AS260">
        <v>172</v>
      </c>
    </row>
    <row r="261" spans="7:45">
      <c r="G261" s="83">
        <v>172.5</v>
      </c>
      <c r="I261" s="83">
        <v>172.5</v>
      </c>
      <c r="K261">
        <v>172.5</v>
      </c>
      <c r="M261">
        <v>172.5</v>
      </c>
      <c r="O261">
        <v>172.5</v>
      </c>
      <c r="Q261">
        <v>172.5</v>
      </c>
      <c r="S261">
        <v>172.5</v>
      </c>
      <c r="U261">
        <v>172.5</v>
      </c>
      <c r="W261">
        <v>172.5</v>
      </c>
      <c r="Y261">
        <v>172.5</v>
      </c>
      <c r="AA261">
        <v>172.5</v>
      </c>
      <c r="AC261">
        <v>172.5</v>
      </c>
      <c r="AE261">
        <v>172.5</v>
      </c>
      <c r="AG261">
        <v>172.5</v>
      </c>
      <c r="AI261">
        <v>172.5</v>
      </c>
      <c r="AK261">
        <v>172.5</v>
      </c>
      <c r="AM261">
        <v>172.5</v>
      </c>
      <c r="AO261">
        <v>172.5</v>
      </c>
      <c r="AQ261">
        <v>172.5</v>
      </c>
      <c r="AS261">
        <v>172.5</v>
      </c>
    </row>
    <row r="262" spans="7:45">
      <c r="G262" s="83">
        <v>173</v>
      </c>
      <c r="I262" s="83">
        <v>173</v>
      </c>
      <c r="K262">
        <v>173</v>
      </c>
      <c r="M262">
        <v>173</v>
      </c>
      <c r="O262">
        <v>173</v>
      </c>
      <c r="Q262">
        <v>173</v>
      </c>
      <c r="S262">
        <v>173</v>
      </c>
      <c r="U262">
        <v>173</v>
      </c>
      <c r="W262">
        <v>173</v>
      </c>
      <c r="Y262">
        <v>173</v>
      </c>
      <c r="AA262">
        <v>173</v>
      </c>
      <c r="AC262">
        <v>173</v>
      </c>
      <c r="AE262">
        <v>173</v>
      </c>
      <c r="AG262">
        <v>173</v>
      </c>
      <c r="AI262">
        <v>173</v>
      </c>
      <c r="AK262">
        <v>173</v>
      </c>
      <c r="AM262">
        <v>173</v>
      </c>
      <c r="AO262">
        <v>173</v>
      </c>
      <c r="AQ262">
        <v>173</v>
      </c>
      <c r="AS262">
        <v>173</v>
      </c>
    </row>
    <row r="263" spans="7:45">
      <c r="G263" s="83">
        <v>174</v>
      </c>
      <c r="I263" s="83">
        <v>174</v>
      </c>
      <c r="K263">
        <v>174</v>
      </c>
      <c r="M263">
        <v>174</v>
      </c>
      <c r="O263">
        <v>174</v>
      </c>
      <c r="Q263">
        <v>174</v>
      </c>
      <c r="S263">
        <v>174</v>
      </c>
      <c r="U263">
        <v>174</v>
      </c>
      <c r="W263">
        <v>174</v>
      </c>
      <c r="Y263">
        <v>174</v>
      </c>
      <c r="AA263">
        <v>174</v>
      </c>
      <c r="AC263">
        <v>174</v>
      </c>
      <c r="AE263">
        <v>174</v>
      </c>
      <c r="AG263">
        <v>174</v>
      </c>
      <c r="AI263">
        <v>174</v>
      </c>
      <c r="AK263">
        <v>174</v>
      </c>
      <c r="AM263">
        <v>174</v>
      </c>
      <c r="AO263">
        <v>174</v>
      </c>
      <c r="AQ263">
        <v>174</v>
      </c>
      <c r="AS263">
        <v>174</v>
      </c>
    </row>
    <row r="264" spans="7:45">
      <c r="G264" s="83">
        <v>175</v>
      </c>
      <c r="I264" s="83">
        <v>175</v>
      </c>
      <c r="K264">
        <v>175</v>
      </c>
      <c r="M264">
        <v>175</v>
      </c>
      <c r="O264">
        <v>175</v>
      </c>
      <c r="Q264">
        <v>175</v>
      </c>
      <c r="S264">
        <v>175</v>
      </c>
      <c r="U264">
        <v>175</v>
      </c>
      <c r="W264">
        <v>175</v>
      </c>
      <c r="Y264">
        <v>175</v>
      </c>
      <c r="AA264">
        <v>175</v>
      </c>
      <c r="AC264">
        <v>175</v>
      </c>
      <c r="AE264">
        <v>175</v>
      </c>
      <c r="AG264">
        <v>175</v>
      </c>
      <c r="AI264">
        <v>175</v>
      </c>
      <c r="AK264">
        <v>175</v>
      </c>
      <c r="AM264">
        <v>175</v>
      </c>
      <c r="AO264">
        <v>175</v>
      </c>
      <c r="AQ264">
        <v>175</v>
      </c>
      <c r="AS264">
        <v>175</v>
      </c>
    </row>
    <row r="265" spans="7:45">
      <c r="G265" s="83">
        <v>176</v>
      </c>
      <c r="I265" s="83">
        <v>176</v>
      </c>
      <c r="K265">
        <v>176</v>
      </c>
      <c r="M265">
        <v>176</v>
      </c>
      <c r="O265">
        <v>176</v>
      </c>
      <c r="Q265">
        <v>176</v>
      </c>
      <c r="S265">
        <v>176</v>
      </c>
      <c r="U265">
        <v>176</v>
      </c>
      <c r="W265">
        <v>176</v>
      </c>
      <c r="Y265">
        <v>176</v>
      </c>
      <c r="AA265">
        <v>176</v>
      </c>
      <c r="AC265">
        <v>176</v>
      </c>
      <c r="AE265">
        <v>176</v>
      </c>
      <c r="AG265">
        <v>176</v>
      </c>
      <c r="AI265">
        <v>176</v>
      </c>
      <c r="AK265">
        <v>176</v>
      </c>
      <c r="AM265">
        <v>176</v>
      </c>
      <c r="AO265">
        <v>176</v>
      </c>
      <c r="AQ265">
        <v>176</v>
      </c>
      <c r="AS265">
        <v>176</v>
      </c>
    </row>
    <row r="266" spans="7:45">
      <c r="G266" s="83">
        <v>177</v>
      </c>
      <c r="I266" s="83">
        <v>177</v>
      </c>
      <c r="K266">
        <v>177</v>
      </c>
      <c r="M266">
        <v>177</v>
      </c>
      <c r="O266">
        <v>177</v>
      </c>
      <c r="Q266">
        <v>177</v>
      </c>
      <c r="S266">
        <v>177</v>
      </c>
      <c r="U266">
        <v>177</v>
      </c>
      <c r="W266">
        <v>177</v>
      </c>
      <c r="Y266">
        <v>177</v>
      </c>
      <c r="AA266">
        <v>177</v>
      </c>
      <c r="AC266">
        <v>177</v>
      </c>
      <c r="AE266">
        <v>177</v>
      </c>
      <c r="AG266">
        <v>177</v>
      </c>
      <c r="AI266">
        <v>177</v>
      </c>
      <c r="AK266">
        <v>177</v>
      </c>
      <c r="AM266">
        <v>177</v>
      </c>
      <c r="AO266">
        <v>177</v>
      </c>
      <c r="AQ266">
        <v>177</v>
      </c>
      <c r="AS266">
        <v>177</v>
      </c>
    </row>
    <row r="267" spans="7:45">
      <c r="G267" s="83">
        <v>177.5</v>
      </c>
      <c r="I267" s="83">
        <v>177.5</v>
      </c>
      <c r="K267">
        <v>177.5</v>
      </c>
      <c r="M267">
        <v>177.5</v>
      </c>
      <c r="O267">
        <v>177.5</v>
      </c>
      <c r="Q267">
        <v>177.5</v>
      </c>
      <c r="S267">
        <v>177.5</v>
      </c>
      <c r="U267">
        <v>177.5</v>
      </c>
      <c r="W267">
        <v>177.5</v>
      </c>
      <c r="Y267">
        <v>177.5</v>
      </c>
      <c r="AA267">
        <v>177.5</v>
      </c>
      <c r="AC267">
        <v>177.5</v>
      </c>
      <c r="AE267">
        <v>177.5</v>
      </c>
      <c r="AG267">
        <v>177.5</v>
      </c>
      <c r="AI267">
        <v>177.5</v>
      </c>
      <c r="AK267">
        <v>177.5</v>
      </c>
      <c r="AM267">
        <v>177.5</v>
      </c>
      <c r="AO267">
        <v>177.5</v>
      </c>
      <c r="AQ267">
        <v>177.5</v>
      </c>
      <c r="AS267">
        <v>177.5</v>
      </c>
    </row>
    <row r="268" spans="7:45">
      <c r="G268" s="83">
        <v>178</v>
      </c>
      <c r="I268" s="83">
        <v>178</v>
      </c>
      <c r="K268">
        <v>178</v>
      </c>
      <c r="M268">
        <v>178</v>
      </c>
      <c r="O268">
        <v>178</v>
      </c>
      <c r="Q268">
        <v>178</v>
      </c>
      <c r="S268">
        <v>178</v>
      </c>
      <c r="U268">
        <v>178</v>
      </c>
      <c r="W268">
        <v>178</v>
      </c>
      <c r="Y268">
        <v>178</v>
      </c>
      <c r="AA268">
        <v>178</v>
      </c>
      <c r="AC268">
        <v>178</v>
      </c>
      <c r="AE268">
        <v>178</v>
      </c>
      <c r="AG268">
        <v>178</v>
      </c>
      <c r="AI268">
        <v>178</v>
      </c>
      <c r="AK268">
        <v>178</v>
      </c>
      <c r="AM268">
        <v>178</v>
      </c>
      <c r="AO268">
        <v>178</v>
      </c>
      <c r="AQ268">
        <v>178</v>
      </c>
      <c r="AS268">
        <v>178</v>
      </c>
    </row>
    <row r="269" spans="7:45">
      <c r="G269" s="83">
        <v>179</v>
      </c>
      <c r="I269" s="83">
        <v>179</v>
      </c>
      <c r="K269">
        <v>179</v>
      </c>
      <c r="M269">
        <v>179</v>
      </c>
      <c r="O269">
        <v>179</v>
      </c>
      <c r="Q269">
        <v>179</v>
      </c>
      <c r="S269">
        <v>179</v>
      </c>
      <c r="U269">
        <v>179</v>
      </c>
      <c r="W269">
        <v>179</v>
      </c>
      <c r="Y269">
        <v>179</v>
      </c>
      <c r="AA269">
        <v>179</v>
      </c>
      <c r="AC269">
        <v>179</v>
      </c>
      <c r="AE269">
        <v>179</v>
      </c>
      <c r="AG269">
        <v>179</v>
      </c>
      <c r="AI269">
        <v>179</v>
      </c>
      <c r="AK269">
        <v>179</v>
      </c>
      <c r="AM269">
        <v>179</v>
      </c>
      <c r="AO269">
        <v>179</v>
      </c>
      <c r="AQ269">
        <v>179</v>
      </c>
      <c r="AS269">
        <v>179</v>
      </c>
    </row>
    <row r="270" spans="7:45">
      <c r="G270" s="83">
        <v>180</v>
      </c>
      <c r="I270" s="83">
        <v>180</v>
      </c>
      <c r="K270">
        <v>180</v>
      </c>
      <c r="M270">
        <v>180</v>
      </c>
      <c r="O270">
        <v>180</v>
      </c>
      <c r="Q270">
        <v>180</v>
      </c>
      <c r="S270">
        <v>180</v>
      </c>
      <c r="U270">
        <v>180</v>
      </c>
      <c r="W270">
        <v>180</v>
      </c>
      <c r="Y270">
        <v>180</v>
      </c>
      <c r="AA270">
        <v>180</v>
      </c>
      <c r="AC270">
        <v>180</v>
      </c>
      <c r="AE270">
        <v>180</v>
      </c>
      <c r="AG270">
        <v>180</v>
      </c>
      <c r="AI270">
        <v>180</v>
      </c>
      <c r="AK270">
        <v>180</v>
      </c>
      <c r="AM270">
        <v>180</v>
      </c>
      <c r="AO270">
        <v>180</v>
      </c>
      <c r="AQ270">
        <v>180</v>
      </c>
      <c r="AS270">
        <v>180</v>
      </c>
    </row>
    <row r="271" spans="7:45">
      <c r="G271" s="83">
        <v>181</v>
      </c>
      <c r="I271" s="83">
        <v>181</v>
      </c>
      <c r="K271">
        <v>181</v>
      </c>
      <c r="M271">
        <v>181</v>
      </c>
      <c r="O271">
        <v>181</v>
      </c>
      <c r="Q271">
        <v>181</v>
      </c>
      <c r="S271">
        <v>181</v>
      </c>
      <c r="U271">
        <v>181</v>
      </c>
      <c r="W271">
        <v>181</v>
      </c>
      <c r="Y271">
        <v>181</v>
      </c>
      <c r="AA271">
        <v>181</v>
      </c>
      <c r="AC271">
        <v>181</v>
      </c>
      <c r="AE271">
        <v>181</v>
      </c>
      <c r="AG271">
        <v>181</v>
      </c>
      <c r="AI271">
        <v>181</v>
      </c>
      <c r="AK271">
        <v>181</v>
      </c>
      <c r="AM271">
        <v>181</v>
      </c>
      <c r="AO271">
        <v>181</v>
      </c>
      <c r="AQ271">
        <v>181</v>
      </c>
      <c r="AS271">
        <v>181</v>
      </c>
    </row>
    <row r="272" spans="7:45">
      <c r="G272" s="83">
        <v>182</v>
      </c>
      <c r="I272" s="83">
        <v>182</v>
      </c>
      <c r="K272">
        <v>182</v>
      </c>
      <c r="M272">
        <v>182</v>
      </c>
      <c r="O272">
        <v>182</v>
      </c>
      <c r="Q272">
        <v>182</v>
      </c>
      <c r="S272">
        <v>182</v>
      </c>
      <c r="U272">
        <v>182</v>
      </c>
      <c r="W272">
        <v>182</v>
      </c>
      <c r="Y272">
        <v>182</v>
      </c>
      <c r="AA272">
        <v>182</v>
      </c>
      <c r="AC272">
        <v>182</v>
      </c>
      <c r="AE272">
        <v>182</v>
      </c>
      <c r="AG272">
        <v>182</v>
      </c>
      <c r="AI272">
        <v>182</v>
      </c>
      <c r="AK272">
        <v>182</v>
      </c>
      <c r="AM272">
        <v>182</v>
      </c>
      <c r="AO272">
        <v>182</v>
      </c>
      <c r="AQ272">
        <v>182</v>
      </c>
      <c r="AS272">
        <v>182</v>
      </c>
    </row>
    <row r="273" spans="7:45">
      <c r="G273" s="83">
        <v>182.5</v>
      </c>
      <c r="I273" s="83">
        <v>182.5</v>
      </c>
      <c r="K273">
        <v>182.5</v>
      </c>
      <c r="M273">
        <v>182.5</v>
      </c>
      <c r="O273">
        <v>182.5</v>
      </c>
      <c r="Q273">
        <v>182.5</v>
      </c>
      <c r="S273">
        <v>182.5</v>
      </c>
      <c r="U273">
        <v>182.5</v>
      </c>
      <c r="W273">
        <v>182.5</v>
      </c>
      <c r="Y273">
        <v>182.5</v>
      </c>
      <c r="AA273">
        <v>182.5</v>
      </c>
      <c r="AC273">
        <v>182.5</v>
      </c>
      <c r="AE273">
        <v>182.5</v>
      </c>
      <c r="AG273">
        <v>182.5</v>
      </c>
      <c r="AI273">
        <v>182.5</v>
      </c>
      <c r="AK273">
        <v>182.5</v>
      </c>
      <c r="AM273">
        <v>182.5</v>
      </c>
      <c r="AO273">
        <v>182.5</v>
      </c>
      <c r="AQ273">
        <v>182.5</v>
      </c>
      <c r="AS273">
        <v>182.5</v>
      </c>
    </row>
    <row r="274" spans="7:45">
      <c r="G274" s="83">
        <v>183</v>
      </c>
      <c r="I274" s="83">
        <v>183</v>
      </c>
      <c r="K274">
        <v>183</v>
      </c>
      <c r="M274">
        <v>183</v>
      </c>
      <c r="O274">
        <v>183</v>
      </c>
      <c r="Q274">
        <v>183</v>
      </c>
      <c r="S274">
        <v>183</v>
      </c>
      <c r="U274">
        <v>183</v>
      </c>
      <c r="W274">
        <v>183</v>
      </c>
      <c r="Y274">
        <v>183</v>
      </c>
      <c r="AA274">
        <v>183</v>
      </c>
      <c r="AC274">
        <v>183</v>
      </c>
      <c r="AE274">
        <v>183</v>
      </c>
      <c r="AG274">
        <v>183</v>
      </c>
      <c r="AI274">
        <v>183</v>
      </c>
      <c r="AK274">
        <v>183</v>
      </c>
      <c r="AM274">
        <v>183</v>
      </c>
      <c r="AO274">
        <v>183</v>
      </c>
      <c r="AQ274">
        <v>183</v>
      </c>
      <c r="AS274">
        <v>183</v>
      </c>
    </row>
    <row r="275" spans="7:45">
      <c r="G275" s="83">
        <v>184</v>
      </c>
      <c r="I275" s="83">
        <v>184</v>
      </c>
      <c r="K275">
        <v>184</v>
      </c>
      <c r="M275">
        <v>184</v>
      </c>
      <c r="O275">
        <v>184</v>
      </c>
      <c r="Q275">
        <v>184</v>
      </c>
      <c r="S275">
        <v>184</v>
      </c>
      <c r="U275">
        <v>184</v>
      </c>
      <c r="W275">
        <v>184</v>
      </c>
      <c r="Y275">
        <v>184</v>
      </c>
      <c r="AA275">
        <v>184</v>
      </c>
      <c r="AC275">
        <v>184</v>
      </c>
      <c r="AE275">
        <v>184</v>
      </c>
      <c r="AG275">
        <v>184</v>
      </c>
      <c r="AI275">
        <v>184</v>
      </c>
      <c r="AK275">
        <v>184</v>
      </c>
      <c r="AM275">
        <v>184</v>
      </c>
      <c r="AO275">
        <v>184</v>
      </c>
      <c r="AQ275">
        <v>184</v>
      </c>
      <c r="AS275">
        <v>184</v>
      </c>
    </row>
    <row r="276" spans="7:45">
      <c r="G276" s="83">
        <v>185</v>
      </c>
      <c r="I276" s="83">
        <v>185</v>
      </c>
      <c r="K276">
        <v>185</v>
      </c>
      <c r="M276">
        <v>185</v>
      </c>
      <c r="O276">
        <v>185</v>
      </c>
      <c r="Q276">
        <v>185</v>
      </c>
      <c r="S276">
        <v>185</v>
      </c>
      <c r="U276">
        <v>185</v>
      </c>
      <c r="W276">
        <v>185</v>
      </c>
      <c r="Y276">
        <v>185</v>
      </c>
      <c r="AA276">
        <v>185</v>
      </c>
      <c r="AC276">
        <v>185</v>
      </c>
      <c r="AE276">
        <v>185</v>
      </c>
      <c r="AG276">
        <v>185</v>
      </c>
      <c r="AI276">
        <v>185</v>
      </c>
      <c r="AK276">
        <v>185</v>
      </c>
      <c r="AM276">
        <v>185</v>
      </c>
      <c r="AO276">
        <v>185</v>
      </c>
      <c r="AQ276">
        <v>185</v>
      </c>
      <c r="AS276">
        <v>185</v>
      </c>
    </row>
    <row r="277" spans="7:45">
      <c r="G277" s="83">
        <v>186</v>
      </c>
      <c r="I277" s="83">
        <v>186</v>
      </c>
      <c r="K277">
        <v>186</v>
      </c>
      <c r="M277">
        <v>186</v>
      </c>
      <c r="O277">
        <v>186</v>
      </c>
      <c r="Q277">
        <v>186</v>
      </c>
      <c r="S277">
        <v>186</v>
      </c>
      <c r="U277">
        <v>186</v>
      </c>
      <c r="W277">
        <v>186</v>
      </c>
      <c r="Y277">
        <v>186</v>
      </c>
      <c r="AA277">
        <v>186</v>
      </c>
      <c r="AC277">
        <v>186</v>
      </c>
      <c r="AE277">
        <v>186</v>
      </c>
      <c r="AG277">
        <v>186</v>
      </c>
      <c r="AI277">
        <v>186</v>
      </c>
      <c r="AK277">
        <v>186</v>
      </c>
      <c r="AM277">
        <v>186</v>
      </c>
      <c r="AO277">
        <v>186</v>
      </c>
      <c r="AQ277">
        <v>186</v>
      </c>
      <c r="AS277">
        <v>186</v>
      </c>
    </row>
    <row r="278" spans="7:45">
      <c r="G278" s="83">
        <v>187</v>
      </c>
      <c r="I278" s="83">
        <v>187</v>
      </c>
      <c r="K278">
        <v>187</v>
      </c>
      <c r="M278">
        <v>187</v>
      </c>
      <c r="O278">
        <v>187</v>
      </c>
      <c r="Q278">
        <v>187</v>
      </c>
      <c r="S278">
        <v>187</v>
      </c>
      <c r="U278">
        <v>187</v>
      </c>
      <c r="W278">
        <v>187</v>
      </c>
      <c r="Y278">
        <v>187</v>
      </c>
      <c r="AA278">
        <v>187</v>
      </c>
      <c r="AC278">
        <v>187</v>
      </c>
      <c r="AE278">
        <v>187</v>
      </c>
      <c r="AG278">
        <v>187</v>
      </c>
      <c r="AI278">
        <v>187</v>
      </c>
      <c r="AK278">
        <v>187</v>
      </c>
      <c r="AM278">
        <v>187</v>
      </c>
      <c r="AO278">
        <v>187</v>
      </c>
      <c r="AQ278">
        <v>187</v>
      </c>
      <c r="AS278">
        <v>187</v>
      </c>
    </row>
    <row r="279" spans="7:45">
      <c r="G279" s="83">
        <v>187.5</v>
      </c>
      <c r="I279" s="83">
        <v>187.5</v>
      </c>
      <c r="K279">
        <v>187.5</v>
      </c>
      <c r="M279">
        <v>187.5</v>
      </c>
      <c r="O279">
        <v>187.5</v>
      </c>
      <c r="Q279">
        <v>187.5</v>
      </c>
      <c r="S279">
        <v>187.5</v>
      </c>
      <c r="U279">
        <v>187.5</v>
      </c>
      <c r="W279">
        <v>187.5</v>
      </c>
      <c r="Y279">
        <v>187.5</v>
      </c>
      <c r="AA279">
        <v>187.5</v>
      </c>
      <c r="AC279">
        <v>187.5</v>
      </c>
      <c r="AE279">
        <v>187.5</v>
      </c>
      <c r="AG279">
        <v>187.5</v>
      </c>
      <c r="AI279">
        <v>187.5</v>
      </c>
      <c r="AK279">
        <v>187.5</v>
      </c>
      <c r="AM279">
        <v>187.5</v>
      </c>
      <c r="AO279">
        <v>187.5</v>
      </c>
      <c r="AQ279">
        <v>187.5</v>
      </c>
      <c r="AS279">
        <v>187.5</v>
      </c>
    </row>
    <row r="280" spans="7:45">
      <c r="G280" s="83">
        <v>188</v>
      </c>
      <c r="I280" s="83">
        <v>188</v>
      </c>
      <c r="K280">
        <v>188</v>
      </c>
      <c r="M280">
        <v>188</v>
      </c>
      <c r="O280">
        <v>188</v>
      </c>
      <c r="Q280">
        <v>188</v>
      </c>
      <c r="S280">
        <v>188</v>
      </c>
      <c r="U280">
        <v>188</v>
      </c>
      <c r="W280">
        <v>188</v>
      </c>
      <c r="Y280">
        <v>188</v>
      </c>
      <c r="AA280">
        <v>188</v>
      </c>
      <c r="AC280">
        <v>188</v>
      </c>
      <c r="AE280">
        <v>188</v>
      </c>
      <c r="AG280">
        <v>188</v>
      </c>
      <c r="AI280">
        <v>188</v>
      </c>
      <c r="AK280">
        <v>188</v>
      </c>
      <c r="AM280">
        <v>188</v>
      </c>
      <c r="AO280">
        <v>188</v>
      </c>
      <c r="AQ280">
        <v>188</v>
      </c>
      <c r="AS280">
        <v>188</v>
      </c>
    </row>
    <row r="281" spans="7:45">
      <c r="G281" s="83">
        <v>189</v>
      </c>
      <c r="I281" s="83">
        <v>189</v>
      </c>
      <c r="K281">
        <v>189</v>
      </c>
      <c r="M281">
        <v>189</v>
      </c>
      <c r="O281">
        <v>189</v>
      </c>
      <c r="Q281">
        <v>189</v>
      </c>
      <c r="S281">
        <v>189</v>
      </c>
      <c r="U281">
        <v>189</v>
      </c>
      <c r="W281">
        <v>189</v>
      </c>
      <c r="Y281">
        <v>189</v>
      </c>
      <c r="AA281">
        <v>189</v>
      </c>
      <c r="AC281">
        <v>189</v>
      </c>
      <c r="AE281">
        <v>189</v>
      </c>
      <c r="AG281">
        <v>189</v>
      </c>
      <c r="AI281">
        <v>189</v>
      </c>
      <c r="AK281">
        <v>189</v>
      </c>
      <c r="AM281">
        <v>189</v>
      </c>
      <c r="AO281">
        <v>189</v>
      </c>
      <c r="AQ281">
        <v>189</v>
      </c>
      <c r="AS281">
        <v>189</v>
      </c>
    </row>
    <row r="282" spans="7:45">
      <c r="G282" s="83">
        <v>190</v>
      </c>
      <c r="I282" s="83">
        <v>190</v>
      </c>
      <c r="K282">
        <v>190</v>
      </c>
      <c r="M282">
        <v>190</v>
      </c>
      <c r="O282">
        <v>190</v>
      </c>
      <c r="Q282">
        <v>190</v>
      </c>
      <c r="S282">
        <v>190</v>
      </c>
      <c r="U282">
        <v>190</v>
      </c>
      <c r="W282">
        <v>190</v>
      </c>
      <c r="Y282">
        <v>190</v>
      </c>
      <c r="AA282">
        <v>190</v>
      </c>
      <c r="AC282">
        <v>190</v>
      </c>
      <c r="AE282">
        <v>190</v>
      </c>
      <c r="AG282">
        <v>190</v>
      </c>
      <c r="AI282">
        <v>190</v>
      </c>
      <c r="AK282">
        <v>190</v>
      </c>
      <c r="AM282">
        <v>190</v>
      </c>
      <c r="AO282">
        <v>190</v>
      </c>
      <c r="AQ282">
        <v>190</v>
      </c>
      <c r="AS282">
        <v>190</v>
      </c>
    </row>
    <row r="283" spans="7:45">
      <c r="G283" s="83">
        <v>191</v>
      </c>
      <c r="I283" s="83">
        <v>191</v>
      </c>
      <c r="K283">
        <v>191</v>
      </c>
      <c r="M283">
        <v>191</v>
      </c>
      <c r="O283">
        <v>191</v>
      </c>
      <c r="Q283">
        <v>191</v>
      </c>
      <c r="S283">
        <v>191</v>
      </c>
      <c r="U283">
        <v>191</v>
      </c>
      <c r="W283">
        <v>191</v>
      </c>
      <c r="Y283">
        <v>191</v>
      </c>
      <c r="AA283">
        <v>191</v>
      </c>
      <c r="AC283">
        <v>191</v>
      </c>
      <c r="AE283">
        <v>191</v>
      </c>
      <c r="AG283">
        <v>191</v>
      </c>
      <c r="AI283">
        <v>191</v>
      </c>
      <c r="AK283">
        <v>191</v>
      </c>
      <c r="AM283">
        <v>191</v>
      </c>
      <c r="AO283">
        <v>191</v>
      </c>
      <c r="AQ283">
        <v>191</v>
      </c>
      <c r="AS283">
        <v>191</v>
      </c>
    </row>
    <row r="284" spans="7:45">
      <c r="G284" s="83">
        <v>192</v>
      </c>
      <c r="I284" s="83">
        <v>192</v>
      </c>
      <c r="K284">
        <v>192</v>
      </c>
      <c r="M284">
        <v>192</v>
      </c>
      <c r="O284">
        <v>192</v>
      </c>
      <c r="Q284">
        <v>192</v>
      </c>
      <c r="S284">
        <v>192</v>
      </c>
      <c r="U284">
        <v>192</v>
      </c>
      <c r="W284">
        <v>192</v>
      </c>
      <c r="Y284">
        <v>192</v>
      </c>
      <c r="AA284">
        <v>192</v>
      </c>
      <c r="AC284">
        <v>192</v>
      </c>
      <c r="AE284">
        <v>192</v>
      </c>
      <c r="AG284">
        <v>192</v>
      </c>
      <c r="AI284">
        <v>192</v>
      </c>
      <c r="AK284">
        <v>192</v>
      </c>
      <c r="AM284">
        <v>192</v>
      </c>
      <c r="AO284">
        <v>192</v>
      </c>
      <c r="AQ284">
        <v>192</v>
      </c>
      <c r="AS284">
        <v>192</v>
      </c>
    </row>
    <row r="285" spans="7:45">
      <c r="G285" s="83">
        <v>192.5</v>
      </c>
      <c r="I285" s="83">
        <v>192.5</v>
      </c>
      <c r="K285">
        <v>192.5</v>
      </c>
      <c r="M285">
        <v>192.5</v>
      </c>
      <c r="O285">
        <v>192.5</v>
      </c>
      <c r="Q285">
        <v>192.5</v>
      </c>
      <c r="S285">
        <v>192.5</v>
      </c>
      <c r="U285">
        <v>192.5</v>
      </c>
      <c r="W285">
        <v>192.5</v>
      </c>
      <c r="Y285">
        <v>192.5</v>
      </c>
      <c r="AA285">
        <v>192.5</v>
      </c>
      <c r="AC285">
        <v>192.5</v>
      </c>
      <c r="AE285">
        <v>192.5</v>
      </c>
      <c r="AG285">
        <v>192.5</v>
      </c>
      <c r="AI285">
        <v>192.5</v>
      </c>
      <c r="AK285">
        <v>192.5</v>
      </c>
      <c r="AM285">
        <v>192.5</v>
      </c>
      <c r="AO285">
        <v>192.5</v>
      </c>
      <c r="AQ285">
        <v>192.5</v>
      </c>
      <c r="AS285">
        <v>192.5</v>
      </c>
    </row>
    <row r="286" spans="7:45">
      <c r="G286" s="83">
        <v>193</v>
      </c>
      <c r="I286" s="83">
        <v>193</v>
      </c>
      <c r="K286">
        <v>193</v>
      </c>
      <c r="M286">
        <v>193</v>
      </c>
      <c r="O286">
        <v>193</v>
      </c>
      <c r="Q286">
        <v>193</v>
      </c>
      <c r="S286">
        <v>193</v>
      </c>
      <c r="U286">
        <v>193</v>
      </c>
      <c r="W286">
        <v>193</v>
      </c>
      <c r="Y286">
        <v>193</v>
      </c>
      <c r="AA286">
        <v>193</v>
      </c>
      <c r="AC286">
        <v>193</v>
      </c>
      <c r="AE286">
        <v>193</v>
      </c>
      <c r="AG286">
        <v>193</v>
      </c>
      <c r="AI286">
        <v>193</v>
      </c>
      <c r="AK286">
        <v>193</v>
      </c>
      <c r="AM286">
        <v>193</v>
      </c>
      <c r="AO286">
        <v>193</v>
      </c>
      <c r="AQ286">
        <v>193</v>
      </c>
      <c r="AS286">
        <v>193</v>
      </c>
    </row>
    <row r="287" spans="7:45">
      <c r="G287" s="83">
        <v>194</v>
      </c>
      <c r="I287" s="83">
        <v>194</v>
      </c>
      <c r="K287">
        <v>194</v>
      </c>
      <c r="M287">
        <v>194</v>
      </c>
      <c r="O287">
        <v>194</v>
      </c>
      <c r="Q287">
        <v>194</v>
      </c>
      <c r="S287">
        <v>194</v>
      </c>
      <c r="U287">
        <v>194</v>
      </c>
      <c r="W287">
        <v>194</v>
      </c>
      <c r="Y287">
        <v>194</v>
      </c>
      <c r="AA287">
        <v>194</v>
      </c>
      <c r="AC287">
        <v>194</v>
      </c>
      <c r="AE287">
        <v>194</v>
      </c>
      <c r="AG287">
        <v>194</v>
      </c>
      <c r="AI287">
        <v>194</v>
      </c>
      <c r="AK287">
        <v>194</v>
      </c>
      <c r="AM287">
        <v>194</v>
      </c>
      <c r="AO287">
        <v>194</v>
      </c>
      <c r="AQ287">
        <v>194</v>
      </c>
      <c r="AS287">
        <v>194</v>
      </c>
    </row>
    <row r="288" spans="7:45">
      <c r="G288" s="83">
        <v>195</v>
      </c>
      <c r="I288" s="83">
        <v>195</v>
      </c>
      <c r="K288">
        <v>195</v>
      </c>
      <c r="M288">
        <v>195</v>
      </c>
      <c r="O288">
        <v>195</v>
      </c>
      <c r="Q288">
        <v>195</v>
      </c>
      <c r="S288">
        <v>195</v>
      </c>
      <c r="U288">
        <v>195</v>
      </c>
      <c r="W288">
        <v>195</v>
      </c>
      <c r="Y288">
        <v>195</v>
      </c>
      <c r="AA288">
        <v>195</v>
      </c>
      <c r="AC288">
        <v>195</v>
      </c>
      <c r="AE288">
        <v>195</v>
      </c>
      <c r="AG288">
        <v>195</v>
      </c>
      <c r="AI288">
        <v>195</v>
      </c>
      <c r="AK288">
        <v>195</v>
      </c>
      <c r="AM288">
        <v>195</v>
      </c>
      <c r="AO288">
        <v>195</v>
      </c>
      <c r="AQ288">
        <v>195</v>
      </c>
      <c r="AS288">
        <v>195</v>
      </c>
    </row>
    <row r="289" spans="7:45">
      <c r="G289" s="83">
        <v>197.5</v>
      </c>
      <c r="I289" s="83">
        <v>197.5</v>
      </c>
      <c r="K289">
        <v>197.5</v>
      </c>
      <c r="M289">
        <v>197.5</v>
      </c>
      <c r="O289">
        <v>197.5</v>
      </c>
      <c r="Q289">
        <v>197.5</v>
      </c>
      <c r="S289">
        <v>197.5</v>
      </c>
      <c r="U289">
        <v>197.5</v>
      </c>
      <c r="W289">
        <v>197.5</v>
      </c>
      <c r="Y289">
        <v>197.5</v>
      </c>
      <c r="AA289">
        <v>197.5</v>
      </c>
      <c r="AC289">
        <v>197.5</v>
      </c>
      <c r="AE289">
        <v>197.5</v>
      </c>
      <c r="AG289">
        <v>197.5</v>
      </c>
      <c r="AI289">
        <v>197.5</v>
      </c>
      <c r="AK289">
        <v>197.5</v>
      </c>
      <c r="AM289">
        <v>197.5</v>
      </c>
      <c r="AO289">
        <v>197.5</v>
      </c>
      <c r="AQ289">
        <v>197.5</v>
      </c>
      <c r="AS289">
        <v>197.5</v>
      </c>
    </row>
    <row r="290" spans="7:45">
      <c r="G290" s="83">
        <v>200</v>
      </c>
      <c r="I290" s="83">
        <v>200</v>
      </c>
      <c r="K290">
        <v>200</v>
      </c>
      <c r="M290">
        <v>200</v>
      </c>
      <c r="O290">
        <v>200</v>
      </c>
      <c r="Q290">
        <v>200</v>
      </c>
      <c r="S290">
        <v>200</v>
      </c>
      <c r="U290">
        <v>200</v>
      </c>
      <c r="W290">
        <v>200</v>
      </c>
      <c r="Y290">
        <v>200</v>
      </c>
      <c r="AA290">
        <v>200</v>
      </c>
      <c r="AC290">
        <v>200</v>
      </c>
      <c r="AE290">
        <v>200</v>
      </c>
      <c r="AG290">
        <v>200</v>
      </c>
      <c r="AI290">
        <v>200</v>
      </c>
      <c r="AK290">
        <v>200</v>
      </c>
      <c r="AM290">
        <v>200</v>
      </c>
      <c r="AO290">
        <v>200</v>
      </c>
      <c r="AQ290">
        <v>200</v>
      </c>
      <c r="AS290">
        <v>200</v>
      </c>
    </row>
    <row r="291" spans="7:45">
      <c r="G291" s="83">
        <v>202.5</v>
      </c>
      <c r="I291" s="83">
        <v>202.5</v>
      </c>
      <c r="K291">
        <v>202.5</v>
      </c>
      <c r="M291">
        <v>202.5</v>
      </c>
      <c r="O291">
        <v>202.5</v>
      </c>
      <c r="Q291">
        <v>202.5</v>
      </c>
      <c r="S291">
        <v>202.5</v>
      </c>
      <c r="U291">
        <v>202.5</v>
      </c>
      <c r="W291">
        <v>202.5</v>
      </c>
      <c r="Y291">
        <v>202.5</v>
      </c>
      <c r="AA291">
        <v>202.5</v>
      </c>
      <c r="AC291">
        <v>202.5</v>
      </c>
      <c r="AE291">
        <v>202.5</v>
      </c>
      <c r="AG291">
        <v>202.5</v>
      </c>
      <c r="AI291">
        <v>202.5</v>
      </c>
      <c r="AK291">
        <v>202.5</v>
      </c>
      <c r="AM291">
        <v>202.5</v>
      </c>
      <c r="AO291">
        <v>202.5</v>
      </c>
      <c r="AQ291">
        <v>202.5</v>
      </c>
      <c r="AS291">
        <v>202.5</v>
      </c>
    </row>
    <row r="292" spans="7:45">
      <c r="G292" s="83">
        <v>205</v>
      </c>
      <c r="I292" s="83">
        <v>205</v>
      </c>
      <c r="K292">
        <v>205</v>
      </c>
      <c r="M292">
        <v>205</v>
      </c>
      <c r="O292">
        <v>205</v>
      </c>
      <c r="Q292">
        <v>205</v>
      </c>
      <c r="S292">
        <v>205</v>
      </c>
      <c r="U292">
        <v>205</v>
      </c>
      <c r="W292">
        <v>205</v>
      </c>
      <c r="Y292">
        <v>205</v>
      </c>
      <c r="AA292">
        <v>205</v>
      </c>
      <c r="AC292">
        <v>205</v>
      </c>
      <c r="AE292">
        <v>205</v>
      </c>
      <c r="AG292">
        <v>205</v>
      </c>
      <c r="AI292">
        <v>205</v>
      </c>
      <c r="AK292">
        <v>205</v>
      </c>
      <c r="AM292">
        <v>205</v>
      </c>
      <c r="AO292">
        <v>205</v>
      </c>
      <c r="AQ292">
        <v>205</v>
      </c>
      <c r="AS292">
        <v>205</v>
      </c>
    </row>
    <row r="293" spans="7:45">
      <c r="G293" s="83">
        <v>207.5</v>
      </c>
      <c r="I293" s="83">
        <v>207.5</v>
      </c>
      <c r="K293">
        <v>207.5</v>
      </c>
      <c r="M293">
        <v>207.5</v>
      </c>
      <c r="O293">
        <v>207.5</v>
      </c>
      <c r="Q293">
        <v>207.5</v>
      </c>
      <c r="S293">
        <v>207.5</v>
      </c>
      <c r="U293">
        <v>207.5</v>
      </c>
      <c r="W293">
        <v>207.5</v>
      </c>
      <c r="Y293">
        <v>207.5</v>
      </c>
      <c r="AA293">
        <v>207.5</v>
      </c>
      <c r="AC293">
        <v>207.5</v>
      </c>
      <c r="AE293">
        <v>207.5</v>
      </c>
      <c r="AG293">
        <v>207.5</v>
      </c>
      <c r="AI293">
        <v>207.5</v>
      </c>
      <c r="AK293">
        <v>207.5</v>
      </c>
      <c r="AM293">
        <v>207.5</v>
      </c>
      <c r="AO293">
        <v>207.5</v>
      </c>
      <c r="AQ293">
        <v>207.5</v>
      </c>
      <c r="AS293">
        <v>207.5</v>
      </c>
    </row>
    <row r="294" spans="7:45">
      <c r="G294" s="83">
        <v>210</v>
      </c>
      <c r="I294" s="83">
        <v>210</v>
      </c>
      <c r="K294">
        <v>210</v>
      </c>
      <c r="M294">
        <v>210</v>
      </c>
      <c r="O294">
        <v>210</v>
      </c>
      <c r="Q294">
        <v>210</v>
      </c>
      <c r="S294">
        <v>210</v>
      </c>
      <c r="U294">
        <v>210</v>
      </c>
      <c r="W294">
        <v>210</v>
      </c>
      <c r="Y294">
        <v>210</v>
      </c>
      <c r="AA294">
        <v>210</v>
      </c>
      <c r="AC294">
        <v>210</v>
      </c>
      <c r="AE294">
        <v>210</v>
      </c>
      <c r="AG294">
        <v>210</v>
      </c>
      <c r="AI294">
        <v>210</v>
      </c>
      <c r="AK294">
        <v>210</v>
      </c>
      <c r="AM294">
        <v>210</v>
      </c>
      <c r="AO294">
        <v>210</v>
      </c>
      <c r="AQ294">
        <v>210</v>
      </c>
      <c r="AS294">
        <v>210</v>
      </c>
    </row>
    <row r="295" spans="7:45">
      <c r="G295" s="83">
        <v>212</v>
      </c>
      <c r="I295" s="83">
        <v>212</v>
      </c>
      <c r="K295">
        <v>212</v>
      </c>
      <c r="M295">
        <v>212</v>
      </c>
      <c r="O295">
        <v>212</v>
      </c>
      <c r="Q295">
        <v>212</v>
      </c>
      <c r="S295">
        <v>212</v>
      </c>
      <c r="U295">
        <v>212</v>
      </c>
      <c r="W295">
        <v>212</v>
      </c>
      <c r="Y295">
        <v>212</v>
      </c>
      <c r="AA295">
        <v>212</v>
      </c>
      <c r="AC295">
        <v>212</v>
      </c>
      <c r="AE295">
        <v>212</v>
      </c>
      <c r="AG295">
        <v>212</v>
      </c>
      <c r="AI295">
        <v>212</v>
      </c>
      <c r="AK295">
        <v>212</v>
      </c>
      <c r="AM295">
        <v>212</v>
      </c>
      <c r="AO295">
        <v>212</v>
      </c>
      <c r="AQ295">
        <v>212</v>
      </c>
      <c r="AS295">
        <v>212</v>
      </c>
    </row>
    <row r="296" spans="7:45">
      <c r="G296" s="83">
        <v>212.5</v>
      </c>
      <c r="I296" s="83">
        <v>212.5</v>
      </c>
      <c r="K296">
        <v>212.5</v>
      </c>
      <c r="M296">
        <v>212.5</v>
      </c>
      <c r="O296">
        <v>212.5</v>
      </c>
      <c r="Q296">
        <v>212.5</v>
      </c>
      <c r="S296">
        <v>212.5</v>
      </c>
      <c r="U296">
        <v>212.5</v>
      </c>
      <c r="W296">
        <v>212.5</v>
      </c>
      <c r="Y296">
        <v>212.5</v>
      </c>
      <c r="AA296">
        <v>212.5</v>
      </c>
      <c r="AC296">
        <v>212.5</v>
      </c>
      <c r="AE296">
        <v>212.5</v>
      </c>
      <c r="AG296">
        <v>212.5</v>
      </c>
      <c r="AI296">
        <v>212.5</v>
      </c>
      <c r="AK296">
        <v>212.5</v>
      </c>
      <c r="AM296">
        <v>212.5</v>
      </c>
      <c r="AO296">
        <v>212.5</v>
      </c>
      <c r="AQ296">
        <v>212.5</v>
      </c>
      <c r="AS296">
        <v>212.5</v>
      </c>
    </row>
    <row r="297" spans="7:45">
      <c r="G297" s="83">
        <v>213</v>
      </c>
      <c r="I297" s="83">
        <v>213</v>
      </c>
      <c r="K297">
        <v>213</v>
      </c>
      <c r="M297">
        <v>213</v>
      </c>
      <c r="O297">
        <v>213</v>
      </c>
      <c r="Q297">
        <v>213</v>
      </c>
      <c r="S297">
        <v>213</v>
      </c>
      <c r="U297">
        <v>213</v>
      </c>
      <c r="W297">
        <v>213</v>
      </c>
      <c r="Y297">
        <v>213</v>
      </c>
      <c r="AA297">
        <v>213</v>
      </c>
      <c r="AC297">
        <v>213</v>
      </c>
      <c r="AE297">
        <v>213</v>
      </c>
      <c r="AG297">
        <v>213</v>
      </c>
      <c r="AI297">
        <v>213</v>
      </c>
      <c r="AK297">
        <v>213</v>
      </c>
      <c r="AM297">
        <v>213</v>
      </c>
      <c r="AO297">
        <v>213</v>
      </c>
      <c r="AQ297">
        <v>213</v>
      </c>
      <c r="AS297">
        <v>213</v>
      </c>
    </row>
    <row r="298" spans="7:45">
      <c r="G298" s="83">
        <v>214</v>
      </c>
      <c r="I298" s="83">
        <v>214</v>
      </c>
      <c r="K298">
        <v>214</v>
      </c>
      <c r="M298">
        <v>214</v>
      </c>
      <c r="O298">
        <v>214</v>
      </c>
      <c r="Q298">
        <v>214</v>
      </c>
      <c r="S298">
        <v>214</v>
      </c>
      <c r="U298">
        <v>214</v>
      </c>
      <c r="W298">
        <v>214</v>
      </c>
      <c r="Y298">
        <v>214</v>
      </c>
      <c r="AA298">
        <v>214</v>
      </c>
      <c r="AC298">
        <v>214</v>
      </c>
      <c r="AE298">
        <v>214</v>
      </c>
      <c r="AG298">
        <v>214</v>
      </c>
      <c r="AI298">
        <v>214</v>
      </c>
      <c r="AK298">
        <v>214</v>
      </c>
      <c r="AM298">
        <v>214</v>
      </c>
      <c r="AO298">
        <v>214</v>
      </c>
      <c r="AQ298">
        <v>214</v>
      </c>
      <c r="AS298">
        <v>214</v>
      </c>
    </row>
    <row r="299" spans="7:45">
      <c r="G299" s="83">
        <v>215</v>
      </c>
      <c r="I299" s="83">
        <v>215</v>
      </c>
      <c r="K299">
        <v>215</v>
      </c>
      <c r="M299">
        <v>215</v>
      </c>
      <c r="O299">
        <v>215</v>
      </c>
      <c r="Q299">
        <v>215</v>
      </c>
      <c r="S299">
        <v>215</v>
      </c>
      <c r="U299">
        <v>215</v>
      </c>
      <c r="W299">
        <v>215</v>
      </c>
      <c r="Y299">
        <v>215</v>
      </c>
      <c r="AA299">
        <v>215</v>
      </c>
      <c r="AC299">
        <v>215</v>
      </c>
      <c r="AE299">
        <v>215</v>
      </c>
      <c r="AG299">
        <v>215</v>
      </c>
      <c r="AI299">
        <v>215</v>
      </c>
      <c r="AK299">
        <v>215</v>
      </c>
      <c r="AM299">
        <v>215</v>
      </c>
      <c r="AO299">
        <v>215</v>
      </c>
      <c r="AQ299">
        <v>215</v>
      </c>
      <c r="AS299">
        <v>215</v>
      </c>
    </row>
    <row r="300" spans="7:45">
      <c r="G300" s="83">
        <v>216</v>
      </c>
      <c r="I300" s="83">
        <v>216</v>
      </c>
      <c r="K300">
        <v>216</v>
      </c>
      <c r="M300">
        <v>216</v>
      </c>
      <c r="O300">
        <v>216</v>
      </c>
      <c r="Q300">
        <v>216</v>
      </c>
      <c r="S300">
        <v>216</v>
      </c>
      <c r="U300">
        <v>216</v>
      </c>
      <c r="W300">
        <v>216</v>
      </c>
      <c r="Y300">
        <v>216</v>
      </c>
      <c r="AA300">
        <v>216</v>
      </c>
      <c r="AC300">
        <v>216</v>
      </c>
      <c r="AE300">
        <v>216</v>
      </c>
      <c r="AG300">
        <v>216</v>
      </c>
      <c r="AI300">
        <v>216</v>
      </c>
      <c r="AK300">
        <v>216</v>
      </c>
      <c r="AM300">
        <v>216</v>
      </c>
      <c r="AO300">
        <v>216</v>
      </c>
      <c r="AQ300">
        <v>216</v>
      </c>
      <c r="AS300">
        <v>216</v>
      </c>
    </row>
    <row r="301" spans="7:45">
      <c r="G301" s="83">
        <v>217</v>
      </c>
      <c r="I301" s="83">
        <v>217</v>
      </c>
      <c r="K301">
        <v>217</v>
      </c>
      <c r="M301">
        <v>217</v>
      </c>
      <c r="O301">
        <v>217</v>
      </c>
      <c r="Q301">
        <v>217</v>
      </c>
      <c r="S301">
        <v>217</v>
      </c>
      <c r="U301">
        <v>217</v>
      </c>
      <c r="W301">
        <v>217</v>
      </c>
      <c r="Y301">
        <v>217</v>
      </c>
      <c r="AA301">
        <v>217</v>
      </c>
      <c r="AC301">
        <v>217</v>
      </c>
      <c r="AE301">
        <v>217</v>
      </c>
      <c r="AG301">
        <v>217</v>
      </c>
      <c r="AI301">
        <v>217</v>
      </c>
      <c r="AK301">
        <v>217</v>
      </c>
      <c r="AM301">
        <v>217</v>
      </c>
      <c r="AO301">
        <v>217</v>
      </c>
      <c r="AQ301">
        <v>217</v>
      </c>
      <c r="AS301">
        <v>217</v>
      </c>
    </row>
    <row r="302" spans="7:45">
      <c r="G302" s="83">
        <v>217.5</v>
      </c>
      <c r="I302" s="83">
        <v>217.5</v>
      </c>
      <c r="K302">
        <v>217.5</v>
      </c>
      <c r="M302">
        <v>217.5</v>
      </c>
      <c r="O302">
        <v>217.5</v>
      </c>
      <c r="Q302">
        <v>217.5</v>
      </c>
      <c r="S302">
        <v>217.5</v>
      </c>
      <c r="U302">
        <v>217.5</v>
      </c>
      <c r="W302">
        <v>217.5</v>
      </c>
      <c r="Y302">
        <v>217.5</v>
      </c>
      <c r="AA302">
        <v>217.5</v>
      </c>
      <c r="AC302">
        <v>217.5</v>
      </c>
      <c r="AE302">
        <v>217.5</v>
      </c>
      <c r="AG302">
        <v>217.5</v>
      </c>
      <c r="AI302">
        <v>217.5</v>
      </c>
      <c r="AK302">
        <v>217.5</v>
      </c>
      <c r="AM302">
        <v>217.5</v>
      </c>
      <c r="AO302">
        <v>217.5</v>
      </c>
      <c r="AQ302">
        <v>217.5</v>
      </c>
      <c r="AS302">
        <v>217.5</v>
      </c>
    </row>
    <row r="303" spans="7:45">
      <c r="G303" s="83">
        <v>218</v>
      </c>
      <c r="I303" s="83">
        <v>218</v>
      </c>
      <c r="K303">
        <v>218</v>
      </c>
      <c r="M303">
        <v>218</v>
      </c>
      <c r="O303">
        <v>218</v>
      </c>
      <c r="Q303">
        <v>218</v>
      </c>
      <c r="S303">
        <v>218</v>
      </c>
      <c r="U303">
        <v>218</v>
      </c>
      <c r="W303">
        <v>218</v>
      </c>
      <c r="Y303">
        <v>218</v>
      </c>
      <c r="AA303">
        <v>218</v>
      </c>
      <c r="AC303">
        <v>218</v>
      </c>
      <c r="AE303">
        <v>218</v>
      </c>
      <c r="AG303">
        <v>218</v>
      </c>
      <c r="AI303">
        <v>218</v>
      </c>
      <c r="AK303">
        <v>218</v>
      </c>
      <c r="AM303">
        <v>218</v>
      </c>
      <c r="AO303">
        <v>218</v>
      </c>
      <c r="AQ303">
        <v>218</v>
      </c>
      <c r="AS303">
        <v>218</v>
      </c>
    </row>
    <row r="304" spans="7:45">
      <c r="G304" s="83">
        <v>219</v>
      </c>
      <c r="I304" s="83">
        <v>219</v>
      </c>
      <c r="K304">
        <v>219</v>
      </c>
      <c r="M304">
        <v>219</v>
      </c>
      <c r="O304">
        <v>219</v>
      </c>
      <c r="Q304">
        <v>219</v>
      </c>
      <c r="S304">
        <v>219</v>
      </c>
      <c r="U304">
        <v>219</v>
      </c>
      <c r="W304">
        <v>219</v>
      </c>
      <c r="Y304">
        <v>219</v>
      </c>
      <c r="AA304">
        <v>219</v>
      </c>
      <c r="AC304">
        <v>219</v>
      </c>
      <c r="AE304">
        <v>219</v>
      </c>
      <c r="AG304">
        <v>219</v>
      </c>
      <c r="AI304">
        <v>219</v>
      </c>
      <c r="AK304">
        <v>219</v>
      </c>
      <c r="AM304">
        <v>219</v>
      </c>
      <c r="AO304">
        <v>219</v>
      </c>
      <c r="AQ304">
        <v>219</v>
      </c>
      <c r="AS304">
        <v>219</v>
      </c>
    </row>
    <row r="305" spans="7:45">
      <c r="G305" s="83">
        <v>220</v>
      </c>
      <c r="I305" s="83">
        <v>220</v>
      </c>
      <c r="K305">
        <v>220</v>
      </c>
      <c r="M305">
        <v>220</v>
      </c>
      <c r="O305">
        <v>220</v>
      </c>
      <c r="Q305">
        <v>220</v>
      </c>
      <c r="S305">
        <v>220</v>
      </c>
      <c r="U305">
        <v>220</v>
      </c>
      <c r="W305">
        <v>220</v>
      </c>
      <c r="Y305">
        <v>220</v>
      </c>
      <c r="AA305">
        <v>220</v>
      </c>
      <c r="AC305">
        <v>220</v>
      </c>
      <c r="AE305">
        <v>220</v>
      </c>
      <c r="AG305">
        <v>220</v>
      </c>
      <c r="AI305">
        <v>220</v>
      </c>
      <c r="AK305">
        <v>220</v>
      </c>
      <c r="AM305">
        <v>220</v>
      </c>
      <c r="AO305">
        <v>220</v>
      </c>
      <c r="AQ305">
        <v>220</v>
      </c>
      <c r="AS305">
        <v>220</v>
      </c>
    </row>
    <row r="306" spans="7:45">
      <c r="G306" s="83">
        <v>221</v>
      </c>
      <c r="I306" s="83">
        <v>221</v>
      </c>
      <c r="K306">
        <v>221</v>
      </c>
      <c r="M306">
        <v>221</v>
      </c>
      <c r="O306">
        <v>221</v>
      </c>
      <c r="Q306">
        <v>221</v>
      </c>
      <c r="S306">
        <v>221</v>
      </c>
      <c r="U306">
        <v>221</v>
      </c>
      <c r="W306">
        <v>221</v>
      </c>
      <c r="Y306">
        <v>221</v>
      </c>
      <c r="AA306">
        <v>221</v>
      </c>
      <c r="AC306">
        <v>221</v>
      </c>
      <c r="AE306">
        <v>221</v>
      </c>
      <c r="AG306">
        <v>221</v>
      </c>
      <c r="AI306">
        <v>221</v>
      </c>
      <c r="AK306">
        <v>221</v>
      </c>
      <c r="AM306">
        <v>221</v>
      </c>
      <c r="AO306">
        <v>221</v>
      </c>
      <c r="AQ306">
        <v>221</v>
      </c>
      <c r="AS306">
        <v>221</v>
      </c>
    </row>
    <row r="307" spans="7:45">
      <c r="G307" s="83">
        <v>222</v>
      </c>
      <c r="I307" s="83">
        <v>222</v>
      </c>
      <c r="K307">
        <v>222</v>
      </c>
      <c r="M307">
        <v>222</v>
      </c>
      <c r="O307">
        <v>222</v>
      </c>
      <c r="Q307">
        <v>222</v>
      </c>
      <c r="S307">
        <v>222</v>
      </c>
      <c r="U307">
        <v>222</v>
      </c>
      <c r="W307">
        <v>222</v>
      </c>
      <c r="Y307">
        <v>222</v>
      </c>
      <c r="AA307">
        <v>222</v>
      </c>
      <c r="AC307">
        <v>222</v>
      </c>
      <c r="AE307">
        <v>222</v>
      </c>
      <c r="AG307">
        <v>222</v>
      </c>
      <c r="AI307">
        <v>222</v>
      </c>
      <c r="AK307">
        <v>222</v>
      </c>
      <c r="AM307">
        <v>222</v>
      </c>
      <c r="AO307">
        <v>222</v>
      </c>
      <c r="AQ307">
        <v>222</v>
      </c>
      <c r="AS307">
        <v>222</v>
      </c>
    </row>
    <row r="308" spans="7:45">
      <c r="G308" s="83">
        <v>222.5</v>
      </c>
      <c r="I308" s="83">
        <v>222.5</v>
      </c>
      <c r="K308">
        <v>222.5</v>
      </c>
      <c r="M308">
        <v>222.5</v>
      </c>
      <c r="O308">
        <v>222.5</v>
      </c>
      <c r="Q308">
        <v>222.5</v>
      </c>
      <c r="S308">
        <v>222.5</v>
      </c>
      <c r="U308">
        <v>222.5</v>
      </c>
      <c r="W308">
        <v>222.5</v>
      </c>
      <c r="Y308">
        <v>222.5</v>
      </c>
      <c r="AA308">
        <v>222.5</v>
      </c>
      <c r="AC308">
        <v>222.5</v>
      </c>
      <c r="AE308">
        <v>222.5</v>
      </c>
      <c r="AG308">
        <v>222.5</v>
      </c>
      <c r="AI308">
        <v>222.5</v>
      </c>
      <c r="AK308">
        <v>222.5</v>
      </c>
      <c r="AM308">
        <v>222.5</v>
      </c>
      <c r="AO308">
        <v>222.5</v>
      </c>
      <c r="AQ308">
        <v>222.5</v>
      </c>
      <c r="AS308">
        <v>222.5</v>
      </c>
    </row>
    <row r="309" spans="7:45">
      <c r="G309" s="83">
        <v>223</v>
      </c>
      <c r="I309" s="83">
        <v>223</v>
      </c>
      <c r="K309">
        <v>223</v>
      </c>
      <c r="M309">
        <v>223</v>
      </c>
      <c r="O309">
        <v>223</v>
      </c>
      <c r="Q309">
        <v>223</v>
      </c>
      <c r="S309">
        <v>223</v>
      </c>
      <c r="U309">
        <v>223</v>
      </c>
      <c r="W309">
        <v>223</v>
      </c>
      <c r="Y309">
        <v>223</v>
      </c>
      <c r="AA309">
        <v>223</v>
      </c>
      <c r="AC309">
        <v>223</v>
      </c>
      <c r="AE309">
        <v>223</v>
      </c>
      <c r="AG309">
        <v>223</v>
      </c>
      <c r="AI309">
        <v>223</v>
      </c>
      <c r="AK309">
        <v>223</v>
      </c>
      <c r="AM309">
        <v>223</v>
      </c>
      <c r="AO309">
        <v>223</v>
      </c>
      <c r="AQ309">
        <v>223</v>
      </c>
      <c r="AS309">
        <v>223</v>
      </c>
    </row>
    <row r="310" spans="7:45">
      <c r="G310" s="83">
        <v>224</v>
      </c>
      <c r="I310" s="83">
        <v>224</v>
      </c>
      <c r="K310">
        <v>224</v>
      </c>
      <c r="M310">
        <v>224</v>
      </c>
      <c r="O310">
        <v>224</v>
      </c>
      <c r="Q310">
        <v>224</v>
      </c>
      <c r="S310">
        <v>224</v>
      </c>
      <c r="U310">
        <v>224</v>
      </c>
      <c r="W310">
        <v>224</v>
      </c>
      <c r="Y310">
        <v>224</v>
      </c>
      <c r="AA310">
        <v>224</v>
      </c>
      <c r="AC310">
        <v>224</v>
      </c>
      <c r="AE310">
        <v>224</v>
      </c>
      <c r="AG310">
        <v>224</v>
      </c>
      <c r="AI310">
        <v>224</v>
      </c>
      <c r="AK310">
        <v>224</v>
      </c>
      <c r="AM310">
        <v>224</v>
      </c>
      <c r="AO310">
        <v>224</v>
      </c>
      <c r="AQ310">
        <v>224</v>
      </c>
      <c r="AS310">
        <v>224</v>
      </c>
    </row>
    <row r="311" spans="7:45">
      <c r="G311" s="83">
        <v>225</v>
      </c>
      <c r="I311" s="83">
        <v>225</v>
      </c>
      <c r="K311">
        <v>225</v>
      </c>
      <c r="M311">
        <v>225</v>
      </c>
      <c r="O311">
        <v>225</v>
      </c>
      <c r="Q311">
        <v>225</v>
      </c>
      <c r="S311">
        <v>225</v>
      </c>
      <c r="U311">
        <v>225</v>
      </c>
      <c r="W311">
        <v>225</v>
      </c>
      <c r="Y311">
        <v>225</v>
      </c>
      <c r="AA311">
        <v>225</v>
      </c>
      <c r="AC311">
        <v>225</v>
      </c>
      <c r="AE311">
        <v>225</v>
      </c>
      <c r="AG311">
        <v>225</v>
      </c>
      <c r="AI311">
        <v>225</v>
      </c>
      <c r="AK311">
        <v>225</v>
      </c>
      <c r="AM311">
        <v>225</v>
      </c>
      <c r="AO311">
        <v>225</v>
      </c>
      <c r="AQ311">
        <v>225</v>
      </c>
      <c r="AS311">
        <v>225</v>
      </c>
    </row>
    <row r="312" spans="7:45">
      <c r="G312" s="83">
        <v>226</v>
      </c>
      <c r="I312" s="83">
        <v>226</v>
      </c>
      <c r="K312">
        <v>226</v>
      </c>
      <c r="M312">
        <v>226</v>
      </c>
      <c r="O312">
        <v>226</v>
      </c>
      <c r="Q312">
        <v>226</v>
      </c>
      <c r="S312">
        <v>226</v>
      </c>
      <c r="U312">
        <v>226</v>
      </c>
      <c r="W312">
        <v>226</v>
      </c>
      <c r="Y312">
        <v>226</v>
      </c>
      <c r="AA312">
        <v>226</v>
      </c>
      <c r="AC312">
        <v>226</v>
      </c>
      <c r="AE312">
        <v>226</v>
      </c>
      <c r="AG312">
        <v>226</v>
      </c>
      <c r="AI312">
        <v>226</v>
      </c>
      <c r="AK312">
        <v>226</v>
      </c>
      <c r="AM312">
        <v>226</v>
      </c>
      <c r="AO312">
        <v>226</v>
      </c>
      <c r="AQ312">
        <v>226</v>
      </c>
      <c r="AS312">
        <v>226</v>
      </c>
    </row>
    <row r="313" spans="7:45">
      <c r="G313" s="83">
        <v>227</v>
      </c>
      <c r="I313" s="83">
        <v>227</v>
      </c>
      <c r="K313">
        <v>227</v>
      </c>
      <c r="M313">
        <v>227</v>
      </c>
      <c r="O313">
        <v>227</v>
      </c>
      <c r="Q313">
        <v>227</v>
      </c>
      <c r="S313">
        <v>227</v>
      </c>
      <c r="U313">
        <v>227</v>
      </c>
      <c r="W313">
        <v>227</v>
      </c>
      <c r="Y313">
        <v>227</v>
      </c>
      <c r="AA313">
        <v>227</v>
      </c>
      <c r="AC313">
        <v>227</v>
      </c>
      <c r="AE313">
        <v>227</v>
      </c>
      <c r="AG313">
        <v>227</v>
      </c>
      <c r="AI313">
        <v>227</v>
      </c>
      <c r="AK313">
        <v>227</v>
      </c>
      <c r="AM313">
        <v>227</v>
      </c>
      <c r="AO313">
        <v>227</v>
      </c>
      <c r="AQ313">
        <v>227</v>
      </c>
      <c r="AS313">
        <v>227</v>
      </c>
    </row>
    <row r="314" spans="7:45">
      <c r="G314" s="83">
        <v>228</v>
      </c>
      <c r="I314" s="83">
        <v>228</v>
      </c>
      <c r="K314">
        <v>228</v>
      </c>
      <c r="M314">
        <v>228</v>
      </c>
      <c r="O314">
        <v>228</v>
      </c>
      <c r="Q314">
        <v>228</v>
      </c>
      <c r="S314">
        <v>228</v>
      </c>
      <c r="U314">
        <v>228</v>
      </c>
      <c r="W314">
        <v>228</v>
      </c>
      <c r="Y314">
        <v>228</v>
      </c>
      <c r="AA314">
        <v>228</v>
      </c>
      <c r="AC314">
        <v>228</v>
      </c>
      <c r="AE314">
        <v>228</v>
      </c>
      <c r="AG314">
        <v>228</v>
      </c>
      <c r="AI314">
        <v>228</v>
      </c>
      <c r="AK314">
        <v>228</v>
      </c>
      <c r="AM314">
        <v>228</v>
      </c>
      <c r="AO314">
        <v>228</v>
      </c>
      <c r="AQ314">
        <v>228</v>
      </c>
      <c r="AS314">
        <v>228</v>
      </c>
    </row>
    <row r="315" spans="7:45">
      <c r="G315" s="83">
        <v>230</v>
      </c>
      <c r="I315" s="83">
        <v>230</v>
      </c>
      <c r="K315">
        <v>230</v>
      </c>
      <c r="M315">
        <v>230</v>
      </c>
      <c r="O315">
        <v>230</v>
      </c>
      <c r="Q315">
        <v>230</v>
      </c>
      <c r="S315">
        <v>230</v>
      </c>
      <c r="U315">
        <v>230</v>
      </c>
      <c r="W315">
        <v>230</v>
      </c>
      <c r="Y315">
        <v>230</v>
      </c>
      <c r="AA315">
        <v>230</v>
      </c>
      <c r="AC315">
        <v>230</v>
      </c>
      <c r="AE315">
        <v>230</v>
      </c>
      <c r="AG315">
        <v>230</v>
      </c>
      <c r="AI315">
        <v>230</v>
      </c>
      <c r="AK315">
        <v>230</v>
      </c>
      <c r="AM315">
        <v>230</v>
      </c>
      <c r="AO315">
        <v>230</v>
      </c>
      <c r="AQ315">
        <v>230</v>
      </c>
      <c r="AS315">
        <v>230</v>
      </c>
    </row>
    <row r="316" spans="7:45">
      <c r="G316" s="83">
        <v>235</v>
      </c>
      <c r="I316" s="83">
        <v>235</v>
      </c>
      <c r="K316">
        <v>235</v>
      </c>
      <c r="M316">
        <v>235</v>
      </c>
      <c r="O316">
        <v>235</v>
      </c>
      <c r="Q316">
        <v>235</v>
      </c>
      <c r="S316">
        <v>235</v>
      </c>
      <c r="U316">
        <v>235</v>
      </c>
      <c r="W316">
        <v>235</v>
      </c>
      <c r="Y316">
        <v>235</v>
      </c>
      <c r="AA316">
        <v>235</v>
      </c>
      <c r="AC316">
        <v>235</v>
      </c>
      <c r="AE316">
        <v>235</v>
      </c>
      <c r="AG316">
        <v>235</v>
      </c>
      <c r="AI316">
        <v>235</v>
      </c>
      <c r="AK316">
        <v>235</v>
      </c>
      <c r="AM316">
        <v>235</v>
      </c>
      <c r="AO316">
        <v>235</v>
      </c>
      <c r="AQ316">
        <v>235</v>
      </c>
      <c r="AS316">
        <v>235</v>
      </c>
    </row>
    <row r="317" spans="7:45">
      <c r="G317" s="83">
        <v>240</v>
      </c>
      <c r="I317" s="83">
        <v>240</v>
      </c>
      <c r="K317">
        <v>240</v>
      </c>
      <c r="M317">
        <v>240</v>
      </c>
      <c r="O317">
        <v>240</v>
      </c>
      <c r="Q317">
        <v>240</v>
      </c>
      <c r="S317">
        <v>240</v>
      </c>
      <c r="U317">
        <v>240</v>
      </c>
      <c r="W317">
        <v>240</v>
      </c>
      <c r="Y317">
        <v>240</v>
      </c>
      <c r="AA317">
        <v>240</v>
      </c>
      <c r="AC317">
        <v>240</v>
      </c>
      <c r="AE317">
        <v>240</v>
      </c>
      <c r="AG317">
        <v>240</v>
      </c>
      <c r="AI317">
        <v>240</v>
      </c>
      <c r="AK317">
        <v>240</v>
      </c>
      <c r="AM317">
        <v>240</v>
      </c>
      <c r="AO317">
        <v>240</v>
      </c>
      <c r="AQ317">
        <v>240</v>
      </c>
      <c r="AS317">
        <v>240</v>
      </c>
    </row>
    <row r="318" spans="7:45">
      <c r="G318" s="83">
        <v>245</v>
      </c>
      <c r="I318" s="83">
        <v>245</v>
      </c>
      <c r="K318">
        <v>245</v>
      </c>
      <c r="M318">
        <v>245</v>
      </c>
      <c r="O318">
        <v>245</v>
      </c>
      <c r="Q318">
        <v>245</v>
      </c>
      <c r="S318">
        <v>245</v>
      </c>
      <c r="U318">
        <v>245</v>
      </c>
      <c r="W318">
        <v>245</v>
      </c>
      <c r="Y318">
        <v>245</v>
      </c>
      <c r="AA318">
        <v>245</v>
      </c>
      <c r="AC318">
        <v>245</v>
      </c>
      <c r="AE318">
        <v>245</v>
      </c>
      <c r="AG318">
        <v>245</v>
      </c>
      <c r="AI318">
        <v>245</v>
      </c>
      <c r="AK318">
        <v>245</v>
      </c>
      <c r="AM318">
        <v>245</v>
      </c>
      <c r="AO318">
        <v>245</v>
      </c>
      <c r="AQ318">
        <v>245</v>
      </c>
      <c r="AS318">
        <v>245</v>
      </c>
    </row>
    <row r="319" spans="7:45">
      <c r="G319" s="83">
        <v>250</v>
      </c>
      <c r="I319" s="83">
        <v>250</v>
      </c>
      <c r="K319">
        <v>250</v>
      </c>
      <c r="M319">
        <v>250</v>
      </c>
      <c r="O319">
        <v>250</v>
      </c>
      <c r="Q319">
        <v>250</v>
      </c>
      <c r="S319">
        <v>250</v>
      </c>
      <c r="U319">
        <v>250</v>
      </c>
      <c r="W319">
        <v>250</v>
      </c>
      <c r="Y319">
        <v>250</v>
      </c>
      <c r="AA319">
        <v>250</v>
      </c>
      <c r="AC319">
        <v>250</v>
      </c>
      <c r="AE319">
        <v>250</v>
      </c>
      <c r="AG319">
        <v>250</v>
      </c>
      <c r="AI319">
        <v>250</v>
      </c>
      <c r="AK319">
        <v>250</v>
      </c>
      <c r="AM319">
        <v>250</v>
      </c>
      <c r="AO319">
        <v>250</v>
      </c>
      <c r="AQ319">
        <v>250</v>
      </c>
      <c r="AS319">
        <v>250</v>
      </c>
    </row>
    <row r="320" spans="7:45">
      <c r="G320" s="83">
        <v>255</v>
      </c>
      <c r="I320" s="83">
        <v>255</v>
      </c>
      <c r="K320">
        <v>255</v>
      </c>
      <c r="M320">
        <v>255</v>
      </c>
      <c r="O320">
        <v>255</v>
      </c>
      <c r="Q320">
        <v>255</v>
      </c>
      <c r="S320">
        <v>255</v>
      </c>
      <c r="U320">
        <v>255</v>
      </c>
      <c r="W320">
        <v>255</v>
      </c>
      <c r="Y320">
        <v>255</v>
      </c>
      <c r="AA320">
        <v>255</v>
      </c>
      <c r="AC320">
        <v>255</v>
      </c>
      <c r="AE320">
        <v>255</v>
      </c>
      <c r="AG320">
        <v>255</v>
      </c>
      <c r="AI320">
        <v>255</v>
      </c>
      <c r="AK320">
        <v>255</v>
      </c>
      <c r="AM320">
        <v>255</v>
      </c>
      <c r="AO320">
        <v>255</v>
      </c>
      <c r="AQ320">
        <v>255</v>
      </c>
      <c r="AS320">
        <v>255</v>
      </c>
    </row>
    <row r="321" spans="7:45">
      <c r="G321" s="83">
        <v>260</v>
      </c>
      <c r="I321" s="83">
        <v>260</v>
      </c>
      <c r="K321">
        <v>260</v>
      </c>
      <c r="M321">
        <v>260</v>
      </c>
      <c r="O321">
        <v>260</v>
      </c>
      <c r="Q321">
        <v>260</v>
      </c>
      <c r="S321">
        <v>260</v>
      </c>
      <c r="U321">
        <v>260</v>
      </c>
      <c r="W321">
        <v>260</v>
      </c>
      <c r="Y321">
        <v>260</v>
      </c>
      <c r="AA321">
        <v>260</v>
      </c>
      <c r="AC321">
        <v>260</v>
      </c>
      <c r="AE321">
        <v>260</v>
      </c>
      <c r="AG321">
        <v>260</v>
      </c>
      <c r="AI321">
        <v>260</v>
      </c>
      <c r="AK321">
        <v>260</v>
      </c>
      <c r="AM321">
        <v>260</v>
      </c>
      <c r="AO321">
        <v>260</v>
      </c>
      <c r="AQ321">
        <v>260</v>
      </c>
      <c r="AS321">
        <v>260</v>
      </c>
    </row>
    <row r="322" spans="7:45">
      <c r="G322" s="83">
        <v>265</v>
      </c>
      <c r="I322" s="83">
        <v>265</v>
      </c>
      <c r="K322">
        <v>265</v>
      </c>
      <c r="M322">
        <v>265</v>
      </c>
      <c r="O322">
        <v>265</v>
      </c>
      <c r="Q322">
        <v>265</v>
      </c>
      <c r="S322">
        <v>265</v>
      </c>
      <c r="U322">
        <v>265</v>
      </c>
      <c r="W322">
        <v>265</v>
      </c>
      <c r="Y322">
        <v>265</v>
      </c>
      <c r="AA322">
        <v>265</v>
      </c>
      <c r="AC322">
        <v>265</v>
      </c>
      <c r="AE322">
        <v>265</v>
      </c>
      <c r="AG322">
        <v>265</v>
      </c>
      <c r="AI322">
        <v>265</v>
      </c>
      <c r="AK322">
        <v>265</v>
      </c>
      <c r="AM322">
        <v>265</v>
      </c>
      <c r="AO322">
        <v>265</v>
      </c>
      <c r="AQ322">
        <v>265</v>
      </c>
      <c r="AS322">
        <v>265</v>
      </c>
    </row>
    <row r="323" spans="7:45">
      <c r="G323" s="83">
        <v>270</v>
      </c>
      <c r="I323" s="83">
        <v>270</v>
      </c>
      <c r="K323">
        <v>270</v>
      </c>
      <c r="M323">
        <v>270</v>
      </c>
      <c r="O323">
        <v>270</v>
      </c>
      <c r="Q323">
        <v>270</v>
      </c>
      <c r="S323">
        <v>270</v>
      </c>
      <c r="U323">
        <v>270</v>
      </c>
      <c r="W323">
        <v>270</v>
      </c>
      <c r="Y323">
        <v>270</v>
      </c>
      <c r="AA323">
        <v>270</v>
      </c>
      <c r="AC323">
        <v>270</v>
      </c>
      <c r="AE323">
        <v>270</v>
      </c>
      <c r="AG323">
        <v>270</v>
      </c>
      <c r="AI323">
        <v>270</v>
      </c>
      <c r="AK323">
        <v>270</v>
      </c>
      <c r="AM323">
        <v>270</v>
      </c>
      <c r="AO323">
        <v>270</v>
      </c>
      <c r="AQ323">
        <v>270</v>
      </c>
      <c r="AS323">
        <v>270</v>
      </c>
    </row>
    <row r="324" spans="7:45">
      <c r="G324" s="83">
        <v>275</v>
      </c>
      <c r="I324" s="83">
        <v>275</v>
      </c>
      <c r="K324">
        <v>275</v>
      </c>
      <c r="M324">
        <v>275</v>
      </c>
      <c r="O324">
        <v>275</v>
      </c>
      <c r="Q324">
        <v>275</v>
      </c>
      <c r="S324">
        <v>275</v>
      </c>
      <c r="U324">
        <v>275</v>
      </c>
      <c r="W324">
        <v>275</v>
      </c>
      <c r="Y324">
        <v>275</v>
      </c>
      <c r="AA324">
        <v>275</v>
      </c>
      <c r="AC324">
        <v>275</v>
      </c>
      <c r="AE324">
        <v>275</v>
      </c>
      <c r="AG324">
        <v>275</v>
      </c>
      <c r="AI324">
        <v>275</v>
      </c>
      <c r="AK324">
        <v>275</v>
      </c>
      <c r="AM324">
        <v>275</v>
      </c>
      <c r="AO324">
        <v>275</v>
      </c>
      <c r="AQ324">
        <v>275</v>
      </c>
      <c r="AS324">
        <v>275</v>
      </c>
    </row>
    <row r="325" spans="7:45">
      <c r="G325" s="83">
        <v>280</v>
      </c>
      <c r="I325" s="83">
        <v>280</v>
      </c>
      <c r="K325">
        <v>280</v>
      </c>
      <c r="M325">
        <v>280</v>
      </c>
      <c r="O325">
        <v>280</v>
      </c>
      <c r="Q325">
        <v>280</v>
      </c>
      <c r="S325">
        <v>280</v>
      </c>
      <c r="U325">
        <v>280</v>
      </c>
      <c r="W325">
        <v>280</v>
      </c>
      <c r="Y325">
        <v>280</v>
      </c>
      <c r="AA325">
        <v>280</v>
      </c>
      <c r="AC325">
        <v>280</v>
      </c>
      <c r="AE325">
        <v>280</v>
      </c>
      <c r="AG325">
        <v>280</v>
      </c>
      <c r="AI325">
        <v>280</v>
      </c>
      <c r="AK325">
        <v>280</v>
      </c>
      <c r="AM325">
        <v>280</v>
      </c>
      <c r="AO325">
        <v>280</v>
      </c>
      <c r="AQ325">
        <v>280</v>
      </c>
      <c r="AS325">
        <v>280</v>
      </c>
    </row>
    <row r="326" spans="7:45">
      <c r="G326" s="83">
        <v>285</v>
      </c>
      <c r="I326" s="83">
        <v>285</v>
      </c>
      <c r="K326">
        <v>285</v>
      </c>
      <c r="M326">
        <v>285</v>
      </c>
      <c r="O326">
        <v>285</v>
      </c>
      <c r="Q326">
        <v>285</v>
      </c>
      <c r="S326">
        <v>285</v>
      </c>
      <c r="U326">
        <v>285</v>
      </c>
      <c r="W326">
        <v>285</v>
      </c>
      <c r="Y326">
        <v>285</v>
      </c>
      <c r="AA326">
        <v>285</v>
      </c>
      <c r="AC326">
        <v>285</v>
      </c>
      <c r="AE326">
        <v>285</v>
      </c>
      <c r="AG326">
        <v>285</v>
      </c>
      <c r="AI326">
        <v>285</v>
      </c>
      <c r="AK326">
        <v>285</v>
      </c>
      <c r="AM326">
        <v>285</v>
      </c>
      <c r="AO326">
        <v>285</v>
      </c>
      <c r="AQ326">
        <v>285</v>
      </c>
      <c r="AS326">
        <v>285</v>
      </c>
    </row>
    <row r="327" spans="7:45">
      <c r="G327" s="83">
        <v>290</v>
      </c>
      <c r="I327" s="83">
        <v>290</v>
      </c>
      <c r="K327">
        <v>290</v>
      </c>
      <c r="M327">
        <v>290</v>
      </c>
      <c r="O327">
        <v>290</v>
      </c>
      <c r="Q327">
        <v>290</v>
      </c>
      <c r="S327">
        <v>290</v>
      </c>
      <c r="U327">
        <v>290</v>
      </c>
      <c r="W327">
        <v>290</v>
      </c>
      <c r="Y327">
        <v>290</v>
      </c>
      <c r="AA327">
        <v>290</v>
      </c>
      <c r="AC327">
        <v>290</v>
      </c>
      <c r="AE327">
        <v>290</v>
      </c>
      <c r="AG327">
        <v>290</v>
      </c>
      <c r="AI327">
        <v>290</v>
      </c>
      <c r="AK327">
        <v>290</v>
      </c>
      <c r="AM327">
        <v>290</v>
      </c>
      <c r="AO327">
        <v>290</v>
      </c>
      <c r="AQ327">
        <v>290</v>
      </c>
      <c r="AS327">
        <v>290</v>
      </c>
    </row>
    <row r="328" spans="7:45">
      <c r="G328" s="83">
        <v>295</v>
      </c>
      <c r="I328" s="83">
        <v>295</v>
      </c>
      <c r="K328">
        <v>295</v>
      </c>
      <c r="M328">
        <v>295</v>
      </c>
      <c r="O328">
        <v>295</v>
      </c>
      <c r="Q328">
        <v>295</v>
      </c>
      <c r="S328">
        <v>295</v>
      </c>
      <c r="U328">
        <v>295</v>
      </c>
      <c r="W328">
        <v>295</v>
      </c>
      <c r="Y328">
        <v>295</v>
      </c>
      <c r="AA328">
        <v>295</v>
      </c>
      <c r="AC328">
        <v>295</v>
      </c>
      <c r="AE328">
        <v>295</v>
      </c>
      <c r="AG328">
        <v>295</v>
      </c>
      <c r="AI328">
        <v>295</v>
      </c>
      <c r="AK328">
        <v>295</v>
      </c>
      <c r="AM328">
        <v>295</v>
      </c>
      <c r="AO328">
        <v>295</v>
      </c>
      <c r="AQ328">
        <v>295</v>
      </c>
      <c r="AS328">
        <v>295</v>
      </c>
    </row>
    <row r="329" spans="7:45">
      <c r="G329" s="83">
        <v>300</v>
      </c>
      <c r="I329" s="83">
        <v>300</v>
      </c>
      <c r="K329">
        <v>300</v>
      </c>
      <c r="M329">
        <v>300</v>
      </c>
      <c r="O329">
        <v>300</v>
      </c>
      <c r="Q329">
        <v>300</v>
      </c>
      <c r="S329">
        <v>300</v>
      </c>
      <c r="U329">
        <v>300</v>
      </c>
      <c r="W329">
        <v>300</v>
      </c>
      <c r="Y329">
        <v>300</v>
      </c>
      <c r="AA329">
        <v>300</v>
      </c>
      <c r="AC329">
        <v>300</v>
      </c>
      <c r="AE329">
        <v>300</v>
      </c>
      <c r="AG329">
        <v>300</v>
      </c>
      <c r="AI329">
        <v>300</v>
      </c>
      <c r="AK329">
        <v>300</v>
      </c>
      <c r="AM329">
        <v>300</v>
      </c>
      <c r="AO329">
        <v>300</v>
      </c>
      <c r="AQ329">
        <v>300</v>
      </c>
      <c r="AS329">
        <v>300</v>
      </c>
    </row>
    <row r="330" spans="7:45">
      <c r="G330" s="83">
        <v>305</v>
      </c>
      <c r="I330" s="83">
        <v>305</v>
      </c>
      <c r="K330">
        <v>305</v>
      </c>
      <c r="M330">
        <v>305</v>
      </c>
      <c r="O330">
        <v>305</v>
      </c>
      <c r="Q330">
        <v>305</v>
      </c>
      <c r="S330">
        <v>305</v>
      </c>
      <c r="U330">
        <v>305</v>
      </c>
      <c r="W330">
        <v>305</v>
      </c>
      <c r="Y330">
        <v>305</v>
      </c>
      <c r="AA330">
        <v>305</v>
      </c>
      <c r="AC330">
        <v>305</v>
      </c>
      <c r="AE330">
        <v>305</v>
      </c>
      <c r="AG330">
        <v>305</v>
      </c>
      <c r="AI330">
        <v>305</v>
      </c>
      <c r="AK330">
        <v>305</v>
      </c>
      <c r="AM330">
        <v>305</v>
      </c>
      <c r="AO330">
        <v>305</v>
      </c>
      <c r="AQ330">
        <v>305</v>
      </c>
      <c r="AS330">
        <v>305</v>
      </c>
    </row>
    <row r="331" spans="7:45">
      <c r="G331" s="83">
        <v>310</v>
      </c>
      <c r="I331" s="83">
        <v>310</v>
      </c>
      <c r="K331">
        <v>310</v>
      </c>
      <c r="M331">
        <v>310</v>
      </c>
      <c r="O331">
        <v>310</v>
      </c>
      <c r="Q331">
        <v>310</v>
      </c>
      <c r="S331">
        <v>310</v>
      </c>
      <c r="U331">
        <v>310</v>
      </c>
      <c r="W331">
        <v>310</v>
      </c>
      <c r="Y331">
        <v>310</v>
      </c>
      <c r="AA331">
        <v>310</v>
      </c>
      <c r="AC331">
        <v>310</v>
      </c>
      <c r="AE331">
        <v>310</v>
      </c>
      <c r="AG331">
        <v>310</v>
      </c>
      <c r="AI331">
        <v>310</v>
      </c>
      <c r="AK331">
        <v>310</v>
      </c>
      <c r="AM331">
        <v>310</v>
      </c>
      <c r="AO331">
        <v>310</v>
      </c>
      <c r="AQ331">
        <v>310</v>
      </c>
      <c r="AS331">
        <v>310</v>
      </c>
    </row>
  </sheetData>
  <mergeCells count="4">
    <mergeCell ref="A2:B2"/>
    <mergeCell ref="A9:B9"/>
    <mergeCell ref="A18:B18"/>
    <mergeCell ref="E2:F2"/>
  </mergeCells>
  <dataValidations count="3">
    <dataValidation type="list" allowBlank="1" showInputMessage="1" showErrorMessage="1" promptTitle="C, P" sqref="B29" xr:uid="{E7095108-87C2-914B-8A79-199C224379EC}">
      <formula1>"C, P"</formula1>
    </dataValidation>
    <dataValidation type="list" allowBlank="1" showInputMessage="1" showErrorMessage="1" sqref="B33" xr:uid="{A250C1F7-9558-1A4E-A3E4-1E76305F5A2D}">
      <formula1>"BUY, SELL"</formula1>
    </dataValidation>
    <dataValidation type="list" allowBlank="1" showInputMessage="1" showErrorMessage="1" sqref="B34" xr:uid="{A599170D-4DF5-6D48-87A1-581F9D607B74}">
      <formula1>"MKT, LMT"</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08C48-C61C-8144-A34F-4551C557385C}">
  <dimension ref="A1:B20"/>
  <sheetViews>
    <sheetView workbookViewId="0">
      <selection sqref="A1:B1"/>
    </sheetView>
  </sheetViews>
  <sheetFormatPr baseColWidth="10" defaultRowHeight="13"/>
  <cols>
    <col min="1" max="1" width="20" bestFit="1" customWidth="1"/>
  </cols>
  <sheetData>
    <row r="1" spans="1:2" ht="25">
      <c r="A1" s="339" t="s">
        <v>511</v>
      </c>
      <c r="B1" s="339"/>
    </row>
    <row r="2" spans="1:2" ht="16">
      <c r="A2" s="258" t="s">
        <v>406</v>
      </c>
      <c r="B2" s="259" t="s">
        <v>348</v>
      </c>
    </row>
    <row r="3" spans="1:2" ht="16">
      <c r="A3" s="258" t="s">
        <v>407</v>
      </c>
      <c r="B3" s="259" t="s">
        <v>392</v>
      </c>
    </row>
    <row r="4" spans="1:2" ht="16">
      <c r="A4" s="258" t="s">
        <v>408</v>
      </c>
      <c r="B4" s="259" t="s">
        <v>393</v>
      </c>
    </row>
    <row r="5" spans="1:2" ht="16">
      <c r="A5" s="258" t="s">
        <v>409</v>
      </c>
      <c r="B5" s="259" t="s">
        <v>45</v>
      </c>
    </row>
    <row r="8" spans="1:2" ht="25">
      <c r="A8" s="339" t="s">
        <v>513</v>
      </c>
      <c r="B8" s="339"/>
    </row>
    <row r="9" spans="1:2">
      <c r="A9" s="235" t="s">
        <v>410</v>
      </c>
      <c r="B9" s="260" t="s">
        <v>400</v>
      </c>
    </row>
    <row r="10" spans="1:2">
      <c r="A10" s="235" t="s">
        <v>411</v>
      </c>
      <c r="B10" s="260" t="s">
        <v>418</v>
      </c>
    </row>
    <row r="11" spans="1:2">
      <c r="A11" s="235" t="s">
        <v>412</v>
      </c>
      <c r="B11" s="261">
        <v>200</v>
      </c>
    </row>
    <row r="12" spans="1:2">
      <c r="A12" s="235" t="s">
        <v>413</v>
      </c>
      <c r="B12" s="261">
        <v>212</v>
      </c>
    </row>
    <row r="16" spans="1:2" ht="25">
      <c r="A16" s="339" t="s">
        <v>512</v>
      </c>
      <c r="B16" s="339"/>
    </row>
    <row r="17" spans="1:2">
      <c r="A17" s="235" t="s">
        <v>414</v>
      </c>
      <c r="B17" s="260" t="s">
        <v>399</v>
      </c>
    </row>
    <row r="18" spans="1:2">
      <c r="A18" s="235" t="s">
        <v>415</v>
      </c>
      <c r="B18" s="260" t="s">
        <v>419</v>
      </c>
    </row>
    <row r="19" spans="1:2">
      <c r="A19" s="235" t="s">
        <v>416</v>
      </c>
      <c r="B19" s="261">
        <f>B11</f>
        <v>200</v>
      </c>
    </row>
    <row r="20" spans="1:2">
      <c r="A20" s="235" t="s">
        <v>417</v>
      </c>
      <c r="B20" s="261">
        <v>150</v>
      </c>
    </row>
  </sheetData>
  <mergeCells count="3">
    <mergeCell ref="A1:B1"/>
    <mergeCell ref="A16:B16"/>
    <mergeCell ref="A8:B8"/>
  </mergeCells>
  <dataValidations count="3">
    <dataValidation type="list" allowBlank="1" showInputMessage="1" showErrorMessage="1" sqref="B17" xr:uid="{CF1FB007-7B36-4F46-897E-5D3CC66EE3F0}">
      <formula1>"BUY,SELL"</formula1>
    </dataValidation>
    <dataValidation type="list" allowBlank="1" showInputMessage="1" showErrorMessage="1" sqref="B9" xr:uid="{61204692-D6A3-4B4D-BD44-20188FBD3F35}">
      <formula1>"BUY, SELL"</formula1>
    </dataValidation>
    <dataValidation type="list" allowBlank="1" showInputMessage="1" showErrorMessage="1" sqref="B10" xr:uid="{889BD6A4-F37B-0D45-9EF4-91F4F902147C}">
      <formula1>"MKT,LMT"</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1">
    <outlinePr summaryBelow="0" summaryRight="0"/>
  </sheetPr>
  <dimension ref="A1:EV1007"/>
  <sheetViews>
    <sheetView workbookViewId="0"/>
  </sheetViews>
  <sheetFormatPr baseColWidth="10" defaultColWidth="12.5" defaultRowHeight="15.75" customHeight="1"/>
  <sheetData>
    <row r="1" spans="1:40" ht="13">
      <c r="A1" s="1" t="s">
        <v>236</v>
      </c>
      <c r="D1" s="1" t="str">
        <f t="shared" ref="D1:AN1" ca="1" si="0">LEFT(D2,4)</f>
        <v>2024</v>
      </c>
      <c r="E1" s="1" t="str">
        <f t="shared" ca="1" si="0"/>
        <v>2023</v>
      </c>
      <c r="F1" s="1" t="str">
        <f t="shared" ca="1" si="0"/>
        <v>2022</v>
      </c>
      <c r="G1" s="1" t="str">
        <f t="shared" ca="1" si="0"/>
        <v>2021</v>
      </c>
      <c r="H1" s="1" t="str">
        <f t="shared" ca="1" si="0"/>
        <v>2020</v>
      </c>
      <c r="I1" s="1" t="str">
        <f t="shared" si="0"/>
        <v/>
      </c>
      <c r="J1" s="1" t="str">
        <f t="shared" si="0"/>
        <v/>
      </c>
      <c r="K1" s="1" t="str">
        <f t="shared" si="0"/>
        <v/>
      </c>
      <c r="L1" s="1" t="str">
        <f t="shared" si="0"/>
        <v/>
      </c>
      <c r="M1" s="1" t="str">
        <f t="shared" si="0"/>
        <v/>
      </c>
      <c r="N1" s="1" t="str">
        <f t="shared" si="0"/>
        <v/>
      </c>
      <c r="O1" s="1" t="str">
        <f t="shared" si="0"/>
        <v/>
      </c>
      <c r="P1" s="1" t="str">
        <f t="shared" si="0"/>
        <v/>
      </c>
      <c r="Q1" s="1" t="str">
        <f t="shared" si="0"/>
        <v/>
      </c>
      <c r="R1" s="1" t="str">
        <f t="shared" si="0"/>
        <v/>
      </c>
      <c r="S1" s="1" t="str">
        <f t="shared" si="0"/>
        <v/>
      </c>
      <c r="T1" s="1" t="str">
        <f t="shared" si="0"/>
        <v/>
      </c>
      <c r="U1" s="1" t="str">
        <f t="shared" si="0"/>
        <v/>
      </c>
      <c r="V1" s="1" t="str">
        <f t="shared" si="0"/>
        <v/>
      </c>
      <c r="W1" s="1" t="str">
        <f t="shared" si="0"/>
        <v/>
      </c>
      <c r="X1" s="1" t="str">
        <f t="shared" si="0"/>
        <v/>
      </c>
      <c r="Y1" s="1" t="str">
        <f t="shared" si="0"/>
        <v/>
      </c>
      <c r="Z1" s="1" t="str">
        <f t="shared" si="0"/>
        <v/>
      </c>
      <c r="AA1" s="1" t="str">
        <f t="shared" si="0"/>
        <v/>
      </c>
      <c r="AB1" s="1" t="str">
        <f t="shared" si="0"/>
        <v/>
      </c>
      <c r="AC1" s="1" t="str">
        <f t="shared" si="0"/>
        <v/>
      </c>
      <c r="AD1" s="1" t="str">
        <f t="shared" si="0"/>
        <v/>
      </c>
      <c r="AE1" s="1" t="str">
        <f t="shared" si="0"/>
        <v/>
      </c>
      <c r="AF1" s="1" t="str">
        <f t="shared" si="0"/>
        <v/>
      </c>
      <c r="AG1" s="1" t="str">
        <f t="shared" si="0"/>
        <v/>
      </c>
      <c r="AH1" s="1" t="str">
        <f t="shared" si="0"/>
        <v/>
      </c>
      <c r="AI1" s="1" t="str">
        <f t="shared" si="0"/>
        <v/>
      </c>
      <c r="AJ1" s="1" t="str">
        <f t="shared" si="0"/>
        <v/>
      </c>
      <c r="AK1" s="1" t="str">
        <f t="shared" si="0"/>
        <v/>
      </c>
      <c r="AL1" s="1" t="str">
        <f t="shared" si="0"/>
        <v/>
      </c>
      <c r="AM1" s="1" t="str">
        <f t="shared" si="0"/>
        <v/>
      </c>
      <c r="AN1" s="1" t="str">
        <f t="shared" si="0"/>
        <v/>
      </c>
    </row>
    <row r="2" spans="1:40" ht="13">
      <c r="B2" s="1" t="str">
        <f ca="1">IFERROR(__xludf.UNSUPPORTED(IMPORTDATA("https://fmpcloud.io/api/v3/income-statement/" &amp;#REF! &amp; "?datatype=csv&amp;apikey=" &amp;#REF!)),"date")</f>
        <v>date</v>
      </c>
      <c r="C2" s="1"/>
      <c r="D2" s="1" t="str">
        <f ca="1">IFERROR(__xludf.UNSUPPORTED("""COMPUTED_VALUE"""),"2024-09-28_FY")</f>
        <v>2024-09-28_FY</v>
      </c>
      <c r="E2" s="1" t="str">
        <f ca="1">IFERROR(__xludf.UNSUPPORTED("""COMPUTED_VALUE"""),"2023-09-30_FY")</f>
        <v>2023-09-30_FY</v>
      </c>
      <c r="F2" s="1" t="str">
        <f ca="1">IFERROR(__xludf.UNSUPPORTED("""COMPUTED_VALUE"""),"2022-09-24_FY")</f>
        <v>2022-09-24_FY</v>
      </c>
      <c r="G2" s="1" t="str">
        <f ca="1">IFERROR(__xludf.UNSUPPORTED("""COMPUTED_VALUE"""),"2021-09-25_FY")</f>
        <v>2021-09-25_FY</v>
      </c>
      <c r="H2" s="1" t="str">
        <f ca="1">IFERROR(__xludf.UNSUPPORTED("""COMPUTED_VALUE"""),"2020-09-26_FY")</f>
        <v>2020-09-26_FY</v>
      </c>
    </row>
    <row r="3" spans="1:40" ht="13">
      <c r="B3" s="1"/>
      <c r="C3" s="1" t="str">
        <f ca="1">IFERROR(__xludf.UNSUPPORTED("""COMPUTED_VALUE"""),"revenue")</f>
        <v>revenue</v>
      </c>
      <c r="D3" s="1">
        <f ca="1">IFERROR(__xludf.UNSUPPORTED("""COMPUTED_VALUE"""),391035000000)</f>
        <v>391035000000</v>
      </c>
      <c r="E3" s="1">
        <f ca="1">IFERROR(__xludf.UNSUPPORTED("""COMPUTED_VALUE"""),383285000000)</f>
        <v>383285000000</v>
      </c>
      <c r="F3" s="1">
        <f ca="1">IFERROR(__xludf.UNSUPPORTED("""COMPUTED_VALUE"""),394328000000)</f>
        <v>394328000000</v>
      </c>
      <c r="G3" s="1">
        <f ca="1">IFERROR(__xludf.UNSUPPORTED("""COMPUTED_VALUE"""),365817000000)</f>
        <v>365817000000</v>
      </c>
      <c r="H3" s="1">
        <f ca="1">IFERROR(__xludf.UNSUPPORTED("""COMPUTED_VALUE"""),274515000000)</f>
        <v>274515000000</v>
      </c>
    </row>
    <row r="4" spans="1:40" ht="13">
      <c r="B4" s="1"/>
      <c r="C4" s="1" t="str">
        <f ca="1">IFERROR(__xludf.UNSUPPORTED("""COMPUTED_VALUE"""),"costOfRevenue")</f>
        <v>costOfRevenue</v>
      </c>
      <c r="D4" s="1">
        <f ca="1">IFERROR(__xludf.UNSUPPORTED("""COMPUTED_VALUE"""),210352000000)</f>
        <v>210352000000</v>
      </c>
      <c r="E4" s="1">
        <f ca="1">IFERROR(__xludf.UNSUPPORTED("""COMPUTED_VALUE"""),214137000000)</f>
        <v>214137000000</v>
      </c>
      <c r="F4" s="1">
        <f ca="1">IFERROR(__xludf.UNSUPPORTED("""COMPUTED_VALUE"""),223546000000)</f>
        <v>223546000000</v>
      </c>
      <c r="G4" s="1">
        <f ca="1">IFERROR(__xludf.UNSUPPORTED("""COMPUTED_VALUE"""),212981000000)</f>
        <v>212981000000</v>
      </c>
      <c r="H4" s="1">
        <f ca="1">IFERROR(__xludf.UNSUPPORTED("""COMPUTED_VALUE"""),169559000000)</f>
        <v>169559000000</v>
      </c>
    </row>
    <row r="5" spans="1:40" ht="13">
      <c r="B5" s="1"/>
      <c r="C5" s="1" t="str">
        <f ca="1">IFERROR(__xludf.UNSUPPORTED("""COMPUTED_VALUE"""),"grossProfit")</f>
        <v>grossProfit</v>
      </c>
      <c r="D5" s="1">
        <f ca="1">IFERROR(__xludf.UNSUPPORTED("""COMPUTED_VALUE"""),180683000000)</f>
        <v>180683000000</v>
      </c>
      <c r="E5" s="1">
        <f ca="1">IFERROR(__xludf.UNSUPPORTED("""COMPUTED_VALUE"""),169148000000)</f>
        <v>169148000000</v>
      </c>
      <c r="F5" s="1">
        <f ca="1">IFERROR(__xludf.UNSUPPORTED("""COMPUTED_VALUE"""),170782000000)</f>
        <v>170782000000</v>
      </c>
      <c r="G5" s="1">
        <f ca="1">IFERROR(__xludf.UNSUPPORTED("""COMPUTED_VALUE"""),152836000000)</f>
        <v>152836000000</v>
      </c>
      <c r="H5" s="1">
        <f ca="1">IFERROR(__xludf.UNSUPPORTED("""COMPUTED_VALUE"""),104956000000)</f>
        <v>104956000000</v>
      </c>
    </row>
    <row r="6" spans="1:40" ht="13">
      <c r="B6" s="1"/>
      <c r="C6" s="1" t="str">
        <f ca="1">IFERROR(__xludf.UNSUPPORTED("""COMPUTED_VALUE"""),"grossProfitRatio")</f>
        <v>grossProfitRatio</v>
      </c>
      <c r="D6" s="1">
        <f ca="1">IFERROR(__xludf.UNSUPPORTED("""COMPUTED_VALUE"""),0.4620634982)</f>
        <v>0.46206349819999998</v>
      </c>
      <c r="E6" s="1">
        <f ca="1">IFERROR(__xludf.UNSUPPORTED("""COMPUTED_VALUE"""),0.4413112958)</f>
        <v>0.4413112958</v>
      </c>
      <c r="F6" s="1">
        <f ca="1">IFERROR(__xludf.UNSUPPORTED("""COMPUTED_VALUE"""),0.4330963056)</f>
        <v>0.43309630560000001</v>
      </c>
      <c r="G6" s="1">
        <f ca="1">IFERROR(__xludf.UNSUPPORTED("""COMPUTED_VALUE"""),0.4177935963)</f>
        <v>0.41779359630000001</v>
      </c>
      <c r="H6" s="1">
        <f ca="1">IFERROR(__xludf.UNSUPPORTED("""COMPUTED_VALUE"""),0.3823324773)</f>
        <v>0.38233247729999997</v>
      </c>
    </row>
    <row r="7" spans="1:40" ht="13">
      <c r="B7" s="1"/>
      <c r="C7" s="1"/>
      <c r="D7" s="1"/>
      <c r="E7" s="1"/>
      <c r="F7" s="1"/>
      <c r="G7" s="1"/>
      <c r="H7" s="1"/>
    </row>
    <row r="8" spans="1:40" ht="13">
      <c r="B8" s="1" t="str">
        <f ca="1">IFERROR(__xludf.UNSUPPORTED("""COMPUTED_VALUE"""),"COST And EXPENSES")</f>
        <v>COST And EXPENSES</v>
      </c>
      <c r="C8" s="1"/>
      <c r="D8" s="1"/>
      <c r="E8" s="1"/>
      <c r="F8" s="1"/>
      <c r="G8" s="1"/>
      <c r="H8" s="1"/>
    </row>
    <row r="9" spans="1:40" ht="13">
      <c r="B9" s="1"/>
      <c r="C9" s="1" t="str">
        <f ca="1">IFERROR(__xludf.UNSUPPORTED("""COMPUTED_VALUE"""),"ResearchAndDevelopmentExpenses")</f>
        <v>ResearchAndDevelopmentExpenses</v>
      </c>
      <c r="D9" s="1">
        <f ca="1">IFERROR(__xludf.UNSUPPORTED("""COMPUTED_VALUE"""),31370000000)</f>
        <v>31370000000</v>
      </c>
      <c r="E9" s="1">
        <f ca="1">IFERROR(__xludf.UNSUPPORTED("""COMPUTED_VALUE"""),29915000000)</f>
        <v>29915000000</v>
      </c>
      <c r="F9" s="1">
        <f ca="1">IFERROR(__xludf.UNSUPPORTED("""COMPUTED_VALUE"""),26251000000)</f>
        <v>26251000000</v>
      </c>
      <c r="G9" s="1">
        <f ca="1">IFERROR(__xludf.UNSUPPORTED("""COMPUTED_VALUE"""),21914000000)</f>
        <v>21914000000</v>
      </c>
      <c r="H9" s="1">
        <f ca="1">IFERROR(__xludf.UNSUPPORTED("""COMPUTED_VALUE"""),18752000000)</f>
        <v>18752000000</v>
      </c>
    </row>
    <row r="10" spans="1:40" ht="13">
      <c r="B10" s="1"/>
      <c r="C10" s="1" t="str">
        <f ca="1">IFERROR(__xludf.UNSUPPORTED("""COMPUTED_VALUE"""),"GeneralAndAdministrativeExpenses")</f>
        <v>GeneralAndAdministrativeExpenses</v>
      </c>
      <c r="D10" s="1">
        <f ca="1">IFERROR(__xludf.UNSUPPORTED("""COMPUTED_VALUE"""),0)</f>
        <v>0</v>
      </c>
      <c r="E10" s="1">
        <f ca="1">IFERROR(__xludf.UNSUPPORTED("""COMPUTED_VALUE"""),0)</f>
        <v>0</v>
      </c>
      <c r="F10" s="1">
        <f ca="1">IFERROR(__xludf.UNSUPPORTED("""COMPUTED_VALUE"""),0)</f>
        <v>0</v>
      </c>
      <c r="G10" s="1">
        <f ca="1">IFERROR(__xludf.UNSUPPORTED("""COMPUTED_VALUE"""),0)</f>
        <v>0</v>
      </c>
      <c r="H10" s="1">
        <f ca="1">IFERROR(__xludf.UNSUPPORTED("""COMPUTED_VALUE"""),0)</f>
        <v>0</v>
      </c>
    </row>
    <row r="11" spans="1:40" ht="13">
      <c r="B11" s="1"/>
      <c r="C11" s="1" t="str">
        <f ca="1">IFERROR(__xludf.UNSUPPORTED("""COMPUTED_VALUE"""),"SellingAndMarketingExpenses")</f>
        <v>SellingAndMarketingExpenses</v>
      </c>
      <c r="D11" s="1">
        <f ca="1">IFERROR(__xludf.UNSUPPORTED("""COMPUTED_VALUE"""),0)</f>
        <v>0</v>
      </c>
      <c r="E11" s="1">
        <f ca="1">IFERROR(__xludf.UNSUPPORTED("""COMPUTED_VALUE"""),0)</f>
        <v>0</v>
      </c>
      <c r="F11" s="1">
        <f ca="1">IFERROR(__xludf.UNSUPPORTED("""COMPUTED_VALUE"""),0)</f>
        <v>0</v>
      </c>
      <c r="G11" s="1">
        <f ca="1">IFERROR(__xludf.UNSUPPORTED("""COMPUTED_VALUE"""),0)</f>
        <v>0</v>
      </c>
      <c r="H11" s="1">
        <f ca="1">IFERROR(__xludf.UNSUPPORTED("""COMPUTED_VALUE"""),0)</f>
        <v>0</v>
      </c>
    </row>
    <row r="12" spans="1:40" ht="13">
      <c r="B12" s="1"/>
      <c r="C12" s="1" t="str">
        <f ca="1">IFERROR(__xludf.UNSUPPORTED("""COMPUTED_VALUE"""),"otherExpenses")</f>
        <v>otherExpenses</v>
      </c>
      <c r="D12" s="1">
        <f ca="1">IFERROR(__xludf.UNSUPPORTED("""COMPUTED_VALUE"""),0)</f>
        <v>0</v>
      </c>
      <c r="E12" s="1">
        <f ca="1">IFERROR(__xludf.UNSUPPORTED("""COMPUTED_VALUE"""),382000000)</f>
        <v>382000000</v>
      </c>
      <c r="F12" s="1">
        <f ca="1">IFERROR(__xludf.UNSUPPORTED("""COMPUTED_VALUE"""),228000000)</f>
        <v>228000000</v>
      </c>
      <c r="G12" s="1">
        <f ca="1">IFERROR(__xludf.UNSUPPORTED("""COMPUTED_VALUE"""),-60000000)</f>
        <v>-60000000</v>
      </c>
      <c r="H12" s="1">
        <f ca="1">IFERROR(__xludf.UNSUPPORTED("""COMPUTED_VALUE"""),87000000)</f>
        <v>87000000</v>
      </c>
    </row>
    <row r="13" spans="1:40" ht="13">
      <c r="B13" s="1"/>
      <c r="C13" s="1" t="str">
        <f ca="1">IFERROR(__xludf.UNSUPPORTED("""COMPUTED_VALUE"""),"operatingExpenses")</f>
        <v>operatingExpenses</v>
      </c>
      <c r="D13" s="1">
        <f ca="1">IFERROR(__xludf.UNSUPPORTED("""COMPUTED_VALUE"""),57467000000)</f>
        <v>57467000000</v>
      </c>
      <c r="E13" s="1">
        <f ca="1">IFERROR(__xludf.UNSUPPORTED("""COMPUTED_VALUE"""),54847000000)</f>
        <v>54847000000</v>
      </c>
      <c r="F13" s="1">
        <f ca="1">IFERROR(__xludf.UNSUPPORTED("""COMPUTED_VALUE"""),51573000000)</f>
        <v>51573000000</v>
      </c>
      <c r="G13" s="1">
        <f ca="1">IFERROR(__xludf.UNSUPPORTED("""COMPUTED_VALUE"""),43827000000)</f>
        <v>43827000000</v>
      </c>
      <c r="H13" s="1">
        <f ca="1">IFERROR(__xludf.UNSUPPORTED("""COMPUTED_VALUE"""),38755000000)</f>
        <v>38755000000</v>
      </c>
    </row>
    <row r="14" spans="1:40" ht="13">
      <c r="B14" s="1"/>
      <c r="C14" s="1" t="str">
        <f ca="1">IFERROR(__xludf.UNSUPPORTED("""COMPUTED_VALUE"""),"costAndExpenses")</f>
        <v>costAndExpenses</v>
      </c>
      <c r="D14" s="1">
        <f ca="1">IFERROR(__xludf.UNSUPPORTED("""COMPUTED_VALUE"""),267819000000)</f>
        <v>267819000000</v>
      </c>
      <c r="E14" s="1">
        <f ca="1">IFERROR(__xludf.UNSUPPORTED("""COMPUTED_VALUE"""),268984000000)</f>
        <v>268984000000</v>
      </c>
      <c r="F14" s="1">
        <f ca="1">IFERROR(__xludf.UNSUPPORTED("""COMPUTED_VALUE"""),275119000000)</f>
        <v>275119000000</v>
      </c>
      <c r="G14" s="1">
        <f ca="1">IFERROR(__xludf.UNSUPPORTED("""COMPUTED_VALUE"""),256808000000)</f>
        <v>256808000000</v>
      </c>
      <c r="H14" s="1">
        <f ca="1">IFERROR(__xludf.UNSUPPORTED("""COMPUTED_VALUE"""),208314000000)</f>
        <v>208314000000</v>
      </c>
    </row>
    <row r="15" spans="1:40" ht="13">
      <c r="B15" s="1"/>
      <c r="C15" s="1" t="str">
        <f ca="1">IFERROR(__xludf.UNSUPPORTED("""COMPUTED_VALUE"""),"interestExpense")</f>
        <v>interestExpense</v>
      </c>
      <c r="D15" s="1">
        <f ca="1">IFERROR(__xludf.UNSUPPORTED("""COMPUTED_VALUE"""),0)</f>
        <v>0</v>
      </c>
      <c r="E15" s="1">
        <f ca="1">IFERROR(__xludf.UNSUPPORTED("""COMPUTED_VALUE"""),3933000000)</f>
        <v>3933000000</v>
      </c>
      <c r="F15" s="1">
        <f ca="1">IFERROR(__xludf.UNSUPPORTED("""COMPUTED_VALUE"""),2931000000)</f>
        <v>2931000000</v>
      </c>
      <c r="G15" s="1">
        <f ca="1">IFERROR(__xludf.UNSUPPORTED("""COMPUTED_VALUE"""),2645000000)</f>
        <v>2645000000</v>
      </c>
      <c r="H15" s="1">
        <f ca="1">IFERROR(__xludf.UNSUPPORTED("""COMPUTED_VALUE"""),2873000000)</f>
        <v>2873000000</v>
      </c>
    </row>
    <row r="16" spans="1:40" ht="13">
      <c r="B16" s="1"/>
      <c r="C16" s="1"/>
      <c r="D16" s="1"/>
      <c r="E16" s="1"/>
      <c r="F16" s="1"/>
      <c r="G16" s="1"/>
      <c r="H16" s="1"/>
    </row>
    <row r="17" spans="2:8" ht="13">
      <c r="B17" s="1" t="str">
        <f ca="1">IFERROR(__xludf.UNSUPPORTED("""COMPUTED_VALUE"""),"EBITDA")</f>
        <v>EBITDA</v>
      </c>
      <c r="C17" s="1"/>
      <c r="D17" s="1"/>
      <c r="E17" s="1"/>
      <c r="F17" s="1"/>
      <c r="G17" s="1"/>
      <c r="H17" s="1"/>
    </row>
    <row r="18" spans="2:8" ht="13">
      <c r="B18" s="1"/>
      <c r="C18" s="1" t="str">
        <f ca="1">IFERROR(__xludf.UNSUPPORTED("""COMPUTED_VALUE"""),"depreciationAndAmortization")</f>
        <v>depreciationAndAmortization</v>
      </c>
      <c r="D18" s="1">
        <f ca="1">IFERROR(__xludf.UNSUPPORTED("""COMPUTED_VALUE"""),11445000000)</f>
        <v>11445000000</v>
      </c>
      <c r="E18" s="1">
        <f ca="1">IFERROR(__xludf.UNSUPPORTED("""COMPUTED_VALUE"""),11519000000)</f>
        <v>11519000000</v>
      </c>
      <c r="F18" s="1">
        <f ca="1">IFERROR(__xludf.UNSUPPORTED("""COMPUTED_VALUE"""),11104000000)</f>
        <v>11104000000</v>
      </c>
      <c r="G18" s="1">
        <f ca="1">IFERROR(__xludf.UNSUPPORTED("""COMPUTED_VALUE"""),11284000000)</f>
        <v>11284000000</v>
      </c>
      <c r="H18" s="1">
        <f ca="1">IFERROR(__xludf.UNSUPPORTED("""COMPUTED_VALUE"""),11056000000)</f>
        <v>11056000000</v>
      </c>
    </row>
    <row r="19" spans="2:8" ht="13">
      <c r="B19" s="1"/>
      <c r="C19" s="1" t="str">
        <f ca="1">IFERROR(__xludf.UNSUPPORTED("""COMPUTED_VALUE"""),"EBITDA")</f>
        <v>EBITDA</v>
      </c>
      <c r="D19" s="1">
        <f ca="1">IFERROR(__xludf.UNSUPPORTED("""COMPUTED_VALUE"""),134661000000)</f>
        <v>134661000000</v>
      </c>
      <c r="E19" s="1">
        <f ca="1">IFERROR(__xludf.UNSUPPORTED("""COMPUTED_VALUE"""),125820000000)</f>
        <v>125820000000</v>
      </c>
      <c r="F19" s="1">
        <f ca="1">IFERROR(__xludf.UNSUPPORTED("""COMPUTED_VALUE"""),130541000000)</f>
        <v>130541000000</v>
      </c>
      <c r="G19" s="1">
        <f ca="1">IFERROR(__xludf.UNSUPPORTED("""COMPUTED_VALUE"""),120233000000)</f>
        <v>120233000000</v>
      </c>
      <c r="H19" s="1">
        <f ca="1">IFERROR(__xludf.UNSUPPORTED("""COMPUTED_VALUE"""),77344000000)</f>
        <v>77344000000</v>
      </c>
    </row>
    <row r="20" spans="2:8" ht="13">
      <c r="B20" s="1"/>
      <c r="C20" s="7" t="str">
        <f ca="1">IFERROR(__xludf.UNSUPPORTED("""COMPUTED_VALUE"""),"EBITDARatio")</f>
        <v>EBITDARatio</v>
      </c>
      <c r="D20" s="1">
        <f ca="1">IFERROR(__xludf.UNSUPPORTED("""COMPUTED_VALUE"""),0.3443707085)</f>
        <v>0.34437070850000001</v>
      </c>
      <c r="E20" s="1">
        <f ca="1">IFERROR(__xludf.UNSUPPORTED("""COMPUTED_VALUE"""),0.3282674772)</f>
        <v>0.32826747719999999</v>
      </c>
      <c r="F20" s="1">
        <f ca="1">IFERROR(__xludf.UNSUPPORTED("""COMPUTED_VALUE"""),0.3310467428)</f>
        <v>0.33104674280000002</v>
      </c>
      <c r="G20" s="1">
        <f ca="1">IFERROR(__xludf.UNSUPPORTED("""COMPUTED_VALUE"""),0.3286697994)</f>
        <v>0.32866979940000002</v>
      </c>
      <c r="H20" s="1">
        <f ca="1">IFERROR(__xludf.UNSUPPORTED("""COMPUTED_VALUE"""),0.2817478098)</f>
        <v>0.28174780980000003</v>
      </c>
    </row>
    <row r="21" spans="2:8" ht="13">
      <c r="B21" s="1"/>
      <c r="C21" s="1"/>
      <c r="D21" s="1"/>
      <c r="E21" s="1"/>
      <c r="F21" s="1"/>
      <c r="G21" s="1"/>
      <c r="H21" s="1"/>
    </row>
    <row r="22" spans="2:8" ht="13">
      <c r="B22" s="1" t="str">
        <f ca="1">IFERROR(__xludf.UNSUPPORTED("""COMPUTED_VALUE"""),"INCOME")</f>
        <v>INCOME</v>
      </c>
      <c r="C22" s="1"/>
      <c r="D22" s="1"/>
      <c r="E22" s="1"/>
      <c r="F22" s="1"/>
      <c r="G22" s="1"/>
      <c r="H22" s="1"/>
    </row>
    <row r="23" spans="2:8" ht="13">
      <c r="B23" s="1"/>
      <c r="C23" s="1" t="str">
        <f ca="1">IFERROR(__xludf.UNSUPPORTED("""COMPUTED_VALUE"""),"operatingIncome")</f>
        <v>operatingIncome</v>
      </c>
      <c r="D23" s="1">
        <f ca="1">IFERROR(__xludf.UNSUPPORTED("""COMPUTED_VALUE"""),123216000000)</f>
        <v>123216000000</v>
      </c>
      <c r="E23" s="1">
        <f ca="1">IFERROR(__xludf.UNSUPPORTED("""COMPUTED_VALUE"""),114301000000)</f>
        <v>114301000000</v>
      </c>
      <c r="F23" s="1">
        <f ca="1">IFERROR(__xludf.UNSUPPORTED("""COMPUTED_VALUE"""),119437000000)</f>
        <v>119437000000</v>
      </c>
      <c r="G23" s="1">
        <f ca="1">IFERROR(__xludf.UNSUPPORTED("""COMPUTED_VALUE"""),108949000000)</f>
        <v>108949000000</v>
      </c>
      <c r="H23" s="1">
        <f ca="1">IFERROR(__xludf.UNSUPPORTED("""COMPUTED_VALUE"""),66288000000)</f>
        <v>66288000000</v>
      </c>
    </row>
    <row r="24" spans="2:8" ht="13">
      <c r="B24" s="1"/>
      <c r="C24" s="1" t="str">
        <f ca="1">IFERROR(__xludf.UNSUPPORTED("""COMPUTED_VALUE"""),"operatingIncomeRatio")</f>
        <v>operatingIncomeRatio</v>
      </c>
      <c r="D24" s="1">
        <f ca="1">IFERROR(__xludf.UNSUPPORTED("""COMPUTED_VALUE"""),0.3151022287)</f>
        <v>0.31510222869999999</v>
      </c>
      <c r="E24" s="1">
        <f ca="1">IFERROR(__xludf.UNSUPPORTED("""COMPUTED_VALUE"""),0.2982141227)</f>
        <v>0.29821412269999997</v>
      </c>
      <c r="F24" s="1">
        <f ca="1">IFERROR(__xludf.UNSUPPORTED("""COMPUTED_VALUE"""),0.302887444)</f>
        <v>0.30288744400000001</v>
      </c>
      <c r="G24" s="1">
        <f ca="1">IFERROR(__xludf.UNSUPPORTED("""COMPUTED_VALUE"""),0.2978237753)</f>
        <v>0.29782377529999998</v>
      </c>
      <c r="H24" s="1">
        <f ca="1">IFERROR(__xludf.UNSUPPORTED("""COMPUTED_VALUE"""),0.2414731435)</f>
        <v>0.24147314349999999</v>
      </c>
    </row>
    <row r="25" spans="2:8" ht="13">
      <c r="B25" s="1"/>
      <c r="C25" s="1" t="str">
        <f ca="1">IFERROR(__xludf.UNSUPPORTED("""COMPUTED_VALUE"""),"totalOtherIncomeExpensesNet")</f>
        <v>totalOtherIncomeExpensesNet</v>
      </c>
      <c r="D25" s="1">
        <f ca="1">IFERROR(__xludf.UNSUPPORTED("""COMPUTED_VALUE"""),269000000)</f>
        <v>269000000</v>
      </c>
      <c r="E25" s="1">
        <f ca="1">IFERROR(__xludf.UNSUPPORTED("""COMPUTED_VALUE"""),565000000)</f>
        <v>565000000</v>
      </c>
      <c r="F25" s="1">
        <f ca="1">IFERROR(__xludf.UNSUPPORTED("""COMPUTED_VALUE"""),334000000)</f>
        <v>334000000</v>
      </c>
      <c r="G25" s="1">
        <f ca="1">IFERROR(__xludf.UNSUPPORTED("""COMPUTED_VALUE"""),-258000000)</f>
        <v>-258000000</v>
      </c>
      <c r="H25" s="1">
        <f ca="1">IFERROR(__xludf.UNSUPPORTED("""COMPUTED_VALUE"""),-803000000)</f>
        <v>-803000000</v>
      </c>
    </row>
    <row r="26" spans="2:8" ht="13">
      <c r="B26" s="1"/>
      <c r="C26" s="1" t="str">
        <f ca="1">IFERROR(__xludf.UNSUPPORTED("""COMPUTED_VALUE"""),"incomeBeforeTax")</f>
        <v>incomeBeforeTax</v>
      </c>
      <c r="D26" s="1">
        <f ca="1">IFERROR(__xludf.UNSUPPORTED("""COMPUTED_VALUE"""),123485000000)</f>
        <v>123485000000</v>
      </c>
      <c r="E26" s="1">
        <f ca="1">IFERROR(__xludf.UNSUPPORTED("""COMPUTED_VALUE"""),113736000000)</f>
        <v>113736000000</v>
      </c>
      <c r="F26" s="1">
        <f ca="1">IFERROR(__xludf.UNSUPPORTED("""COMPUTED_VALUE"""),119103000000)</f>
        <v>119103000000</v>
      </c>
      <c r="G26" s="1">
        <f ca="1">IFERROR(__xludf.UNSUPPORTED("""COMPUTED_VALUE"""),109207000000)</f>
        <v>109207000000</v>
      </c>
      <c r="H26" s="1">
        <f ca="1">IFERROR(__xludf.UNSUPPORTED("""COMPUTED_VALUE"""),67091000000)</f>
        <v>67091000000</v>
      </c>
    </row>
    <row r="27" spans="2:8" ht="13">
      <c r="B27" s="1"/>
      <c r="C27" s="1" t="str">
        <f ca="1">IFERROR(__xludf.UNSUPPORTED("""COMPUTED_VALUE"""),"incomeBeforeTaxRatio")</f>
        <v>incomeBeforeTaxRatio</v>
      </c>
      <c r="D27" s="1">
        <f ca="1">IFERROR(__xludf.UNSUPPORTED("""COMPUTED_VALUE"""),0.3157901467)</f>
        <v>0.3157901467</v>
      </c>
      <c r="E27" s="1">
        <f ca="1">IFERROR(__xludf.UNSUPPORTED("""COMPUTED_VALUE"""),0.2967400237)</f>
        <v>0.29674002370000002</v>
      </c>
      <c r="F27" s="1">
        <f ca="1">IFERROR(__xludf.UNSUPPORTED("""COMPUTED_VALUE"""),0.3020404333)</f>
        <v>0.30204043330000002</v>
      </c>
      <c r="G27" s="1">
        <f ca="1">IFERROR(__xludf.UNSUPPORTED("""COMPUTED_VALUE"""),0.2985290459)</f>
        <v>0.29852904590000001</v>
      </c>
      <c r="H27" s="1">
        <f ca="1">IFERROR(__xludf.UNSUPPORTED("""COMPUTED_VALUE"""),0.2443983025)</f>
        <v>0.2443983025</v>
      </c>
    </row>
    <row r="28" spans="2:8" ht="13">
      <c r="B28" s="1"/>
      <c r="C28" s="1" t="str">
        <f ca="1">IFERROR(__xludf.UNSUPPORTED("""COMPUTED_VALUE"""),"incomeTaxExpense")</f>
        <v>incomeTaxExpense</v>
      </c>
      <c r="D28" s="1">
        <f ca="1">IFERROR(__xludf.UNSUPPORTED("""COMPUTED_VALUE"""),29749000000)</f>
        <v>29749000000</v>
      </c>
      <c r="E28" s="1">
        <f ca="1">IFERROR(__xludf.UNSUPPORTED("""COMPUTED_VALUE"""),16741000000)</f>
        <v>16741000000</v>
      </c>
      <c r="F28" s="1">
        <f ca="1">IFERROR(__xludf.UNSUPPORTED("""COMPUTED_VALUE"""),19300000000)</f>
        <v>19300000000</v>
      </c>
      <c r="G28" s="1">
        <f ca="1">IFERROR(__xludf.UNSUPPORTED("""COMPUTED_VALUE"""),14527000000)</f>
        <v>14527000000</v>
      </c>
      <c r="H28" s="1">
        <f ca="1">IFERROR(__xludf.UNSUPPORTED("""COMPUTED_VALUE"""),9680000000)</f>
        <v>9680000000</v>
      </c>
    </row>
    <row r="29" spans="2:8" ht="13">
      <c r="B29" s="1"/>
      <c r="C29" s="1" t="str">
        <f ca="1">IFERROR(__xludf.UNSUPPORTED("""COMPUTED_VALUE"""),"netIncome")</f>
        <v>netIncome</v>
      </c>
      <c r="D29" s="1">
        <f ca="1">IFERROR(__xludf.UNSUPPORTED("""COMPUTED_VALUE"""),93736000000)</f>
        <v>93736000000</v>
      </c>
      <c r="E29" s="1">
        <f ca="1">IFERROR(__xludf.UNSUPPORTED("""COMPUTED_VALUE"""),96995000000)</f>
        <v>96995000000</v>
      </c>
      <c r="F29" s="1">
        <f ca="1">IFERROR(__xludf.UNSUPPORTED("""COMPUTED_VALUE"""),99803000000)</f>
        <v>99803000000</v>
      </c>
      <c r="G29" s="1">
        <f ca="1">IFERROR(__xludf.UNSUPPORTED("""COMPUTED_VALUE"""),94680000000)</f>
        <v>94680000000</v>
      </c>
      <c r="H29" s="1">
        <f ca="1">IFERROR(__xludf.UNSUPPORTED("""COMPUTED_VALUE"""),57411000000)</f>
        <v>57411000000</v>
      </c>
    </row>
    <row r="30" spans="2:8" ht="13">
      <c r="B30" s="1"/>
      <c r="C30" s="1" t="str">
        <f ca="1">IFERROR(__xludf.UNSUPPORTED("""COMPUTED_VALUE"""),"netIncomeRatio")</f>
        <v>netIncomeRatio</v>
      </c>
      <c r="D30" s="1">
        <f ca="1">IFERROR(__xludf.UNSUPPORTED("""COMPUTED_VALUE"""),0.2397125577)</f>
        <v>0.2397125577</v>
      </c>
      <c r="E30" s="1">
        <f ca="1">IFERROR(__xludf.UNSUPPORTED("""COMPUTED_VALUE"""),0.2530623426)</f>
        <v>0.25306234259999999</v>
      </c>
      <c r="F30" s="1">
        <f ca="1">IFERROR(__xludf.UNSUPPORTED("""COMPUTED_VALUE"""),0.2530964071)</f>
        <v>0.25309640709999998</v>
      </c>
      <c r="G30" s="1">
        <f ca="1">IFERROR(__xludf.UNSUPPORTED("""COMPUTED_VALUE"""),0.2588179336)</f>
        <v>0.25881793359999999</v>
      </c>
      <c r="H30" s="1">
        <f ca="1">IFERROR(__xludf.UNSUPPORTED("""COMPUTED_VALUE"""),0.2091361128)</f>
        <v>0.2091361128</v>
      </c>
    </row>
    <row r="31" spans="2:8" ht="13">
      <c r="B31" s="1"/>
      <c r="C31" s="1"/>
      <c r="D31" s="1"/>
      <c r="E31" s="1"/>
      <c r="F31" s="1"/>
      <c r="G31" s="1"/>
      <c r="H31" s="1"/>
    </row>
    <row r="32" spans="2:8" ht="13">
      <c r="B32" s="1" t="str">
        <f ca="1">IFERROR(__xludf.UNSUPPORTED("""COMPUTED_VALUE"""),"EPS")</f>
        <v>EPS</v>
      </c>
      <c r="C32" s="1"/>
      <c r="D32" s="1"/>
      <c r="E32" s="1"/>
      <c r="F32" s="1"/>
      <c r="G32" s="1"/>
      <c r="H32" s="1"/>
    </row>
    <row r="33" spans="2:8" ht="13">
      <c r="B33" s="1"/>
      <c r="C33" s="1" t="str">
        <f ca="1">IFERROR(__xludf.UNSUPPORTED("""COMPUTED_VALUE"""),"EPS")</f>
        <v>EPS</v>
      </c>
      <c r="D33" s="1">
        <f ca="1">IFERROR(__xludf.UNSUPPORTED("""COMPUTED_VALUE"""),6.11)</f>
        <v>6.11</v>
      </c>
      <c r="E33" s="1">
        <f ca="1">IFERROR(__xludf.UNSUPPORTED("""COMPUTED_VALUE"""),6.16)</f>
        <v>6.16</v>
      </c>
      <c r="F33" s="1">
        <f ca="1">IFERROR(__xludf.UNSUPPORTED("""COMPUTED_VALUE"""),6.15)</f>
        <v>6.15</v>
      </c>
      <c r="G33" s="1">
        <f ca="1">IFERROR(__xludf.UNSUPPORTED("""COMPUTED_VALUE"""),5.67)</f>
        <v>5.67</v>
      </c>
      <c r="H33" s="1">
        <f ca="1">IFERROR(__xludf.UNSUPPORTED("""COMPUTED_VALUE"""),3.31)</f>
        <v>3.31</v>
      </c>
    </row>
    <row r="34" spans="2:8" ht="13">
      <c r="B34" s="1"/>
      <c r="C34" s="1" t="str">
        <f ca="1">IFERROR(__xludf.UNSUPPORTED("""COMPUTED_VALUE"""),"EPSDiluted")</f>
        <v>EPSDiluted</v>
      </c>
      <c r="D34" s="1">
        <f ca="1">IFERROR(__xludf.UNSUPPORTED("""COMPUTED_VALUE"""),6.08)</f>
        <v>6.08</v>
      </c>
      <c r="E34" s="1">
        <f ca="1">IFERROR(__xludf.UNSUPPORTED("""COMPUTED_VALUE"""),6.13)</f>
        <v>6.13</v>
      </c>
      <c r="F34" s="1">
        <f ca="1">IFERROR(__xludf.UNSUPPORTED("""COMPUTED_VALUE"""),6.11)</f>
        <v>6.11</v>
      </c>
      <c r="G34" s="1">
        <f ca="1">IFERROR(__xludf.UNSUPPORTED("""COMPUTED_VALUE"""),5.61)</f>
        <v>5.61</v>
      </c>
      <c r="H34" s="1">
        <f ca="1">IFERROR(__xludf.UNSUPPORTED("""COMPUTED_VALUE"""),3.28)</f>
        <v>3.28</v>
      </c>
    </row>
    <row r="35" spans="2:8" ht="13">
      <c r="B35" s="1"/>
      <c r="C35" s="1" t="str">
        <f ca="1">IFERROR(__xludf.UNSUPPORTED("""COMPUTED_VALUE"""),"weightedAverageShsOut")</f>
        <v>weightedAverageShsOut</v>
      </c>
      <c r="D35" s="1">
        <f ca="1">IFERROR(__xludf.UNSUPPORTED("""COMPUTED_VALUE"""),15417105263)</f>
        <v>15417105263</v>
      </c>
      <c r="E35" s="1">
        <f ca="1">IFERROR(__xludf.UNSUPPORTED("""COMPUTED_VALUE"""),15744231000)</f>
        <v>15744231000</v>
      </c>
      <c r="F35" s="1">
        <f ca="1">IFERROR(__xludf.UNSUPPORTED("""COMPUTED_VALUE"""),16215963000)</f>
        <v>16215963000</v>
      </c>
      <c r="G35" s="1">
        <f ca="1">IFERROR(__xludf.UNSUPPORTED("""COMPUTED_VALUE"""),16701272000)</f>
        <v>16701272000</v>
      </c>
      <c r="H35" s="1">
        <f ca="1">IFERROR(__xludf.UNSUPPORTED("""COMPUTED_VALUE"""),17352119000)</f>
        <v>17352119000</v>
      </c>
    </row>
    <row r="36" spans="2:8" ht="13">
      <c r="B36" s="1"/>
      <c r="C36" s="1" t="str">
        <f ca="1">IFERROR(__xludf.UNSUPPORTED("""COMPUTED_VALUE"""),"weightedAverageShsOutDil")</f>
        <v>weightedAverageShsOutDil</v>
      </c>
      <c r="D36" s="1">
        <f ca="1">IFERROR(__xludf.UNSUPPORTED("""COMPUTED_VALUE"""),15408095000)</f>
        <v>15408095000</v>
      </c>
      <c r="E36" s="1">
        <f ca="1">IFERROR(__xludf.UNSUPPORTED("""COMPUTED_VALUE"""),15812547000)</f>
        <v>15812547000</v>
      </c>
      <c r="F36" s="1">
        <f ca="1">IFERROR(__xludf.UNSUPPORTED("""COMPUTED_VALUE"""),16325819000)</f>
        <v>16325819000</v>
      </c>
      <c r="G36" s="1">
        <f ca="1">IFERROR(__xludf.UNSUPPORTED("""COMPUTED_VALUE"""),16864919000)</f>
        <v>16864919000</v>
      </c>
      <c r="H36" s="1">
        <f ca="1">IFERROR(__xludf.UNSUPPORTED("""COMPUTED_VALUE"""),17528214000)</f>
        <v>17528214000</v>
      </c>
    </row>
    <row r="51" spans="1:59" ht="13">
      <c r="A51" s="1" t="s">
        <v>237</v>
      </c>
    </row>
    <row r="52" spans="1:59" ht="15.75" customHeight="1">
      <c r="A52" s="3"/>
      <c r="B52" s="3" t="str">
        <f ca="1">IFERROR(__xludf.UNSUPPORTED(IMPORTDATA("https://fmpcloud.io/api/v3/ratios/" &amp;#REF! &amp; "?datatype=csv&amp;apikey=" &amp;#REF!)),"symbol")</f>
        <v>symbol</v>
      </c>
      <c r="C52" s="1" t="str">
        <f ca="1">IFERROR(__xludf.UNSUPPORTED("""COMPUTED_VALUE"""),"date")</f>
        <v>date</v>
      </c>
      <c r="D52" s="1" t="str">
        <f ca="1">IFERROR(__xludf.UNSUPPORTED("""COMPUTED_VALUE"""),"calendarYear")</f>
        <v>calendarYear</v>
      </c>
      <c r="E52" s="1" t="str">
        <f ca="1">IFERROR(__xludf.UNSUPPORTED("""COMPUTED_VALUE"""),"period")</f>
        <v>period</v>
      </c>
      <c r="F52" s="1" t="str">
        <f ca="1">IFERROR(__xludf.UNSUPPORTED("""COMPUTED_VALUE"""),"currentRatio")</f>
        <v>currentRatio</v>
      </c>
      <c r="G52" s="1" t="str">
        <f ca="1">IFERROR(__xludf.UNSUPPORTED("""COMPUTED_VALUE"""),"quickRatio")</f>
        <v>quickRatio</v>
      </c>
      <c r="H52" s="1" t="str">
        <f ca="1">IFERROR(__xludf.UNSUPPORTED("""COMPUTED_VALUE"""),"cashRatio")</f>
        <v>cashRatio</v>
      </c>
      <c r="I52" s="1" t="str">
        <f ca="1">IFERROR(__xludf.UNSUPPORTED("""COMPUTED_VALUE"""),"daysOfSalesOutstanding")</f>
        <v>daysOfSalesOutstanding</v>
      </c>
      <c r="J52" s="1" t="str">
        <f ca="1">IFERROR(__xludf.UNSUPPORTED("""COMPUTED_VALUE"""),"daysOfInventoryOutstanding")</f>
        <v>daysOfInventoryOutstanding</v>
      </c>
      <c r="K52" s="1" t="str">
        <f ca="1">IFERROR(__xludf.UNSUPPORTED("""COMPUTED_VALUE"""),"operatingCycle")</f>
        <v>operatingCycle</v>
      </c>
      <c r="L52" s="1" t="str">
        <f ca="1">IFERROR(__xludf.UNSUPPORTED("""COMPUTED_VALUE"""),"daysOfPayablesOutstanding")</f>
        <v>daysOfPayablesOutstanding</v>
      </c>
      <c r="M52" s="1" t="str">
        <f ca="1">IFERROR(__xludf.UNSUPPORTED("""COMPUTED_VALUE"""),"cashConversionCycle")</f>
        <v>cashConversionCycle</v>
      </c>
      <c r="N52" s="1" t="str">
        <f ca="1">IFERROR(__xludf.UNSUPPORTED("""COMPUTED_VALUE"""),"grossProfitMargin")</f>
        <v>grossProfitMargin</v>
      </c>
      <c r="O52" s="1" t="str">
        <f ca="1">IFERROR(__xludf.UNSUPPORTED("""COMPUTED_VALUE"""),"operatingProfitMargin")</f>
        <v>operatingProfitMargin</v>
      </c>
      <c r="P52" s="1" t="str">
        <f ca="1">IFERROR(__xludf.UNSUPPORTED("""COMPUTED_VALUE"""),"pretaxProfitMargin")</f>
        <v>pretaxProfitMargin</v>
      </c>
      <c r="Q52" s="1" t="str">
        <f ca="1">IFERROR(__xludf.UNSUPPORTED("""COMPUTED_VALUE"""),"netProfitMargin")</f>
        <v>netProfitMargin</v>
      </c>
      <c r="R52" s="1" t="str">
        <f ca="1">IFERROR(__xludf.UNSUPPORTED("""COMPUTED_VALUE"""),"effectiveTaxRate")</f>
        <v>effectiveTaxRate</v>
      </c>
      <c r="S52" s="1" t="str">
        <f ca="1">IFERROR(__xludf.UNSUPPORTED("""COMPUTED_VALUE"""),"returnOnAssets")</f>
        <v>returnOnAssets</v>
      </c>
      <c r="T52" s="1" t="str">
        <f ca="1">IFERROR(__xludf.UNSUPPORTED("""COMPUTED_VALUE"""),"returnOnEquity")</f>
        <v>returnOnEquity</v>
      </c>
      <c r="U52" s="1" t="str">
        <f ca="1">IFERROR(__xludf.UNSUPPORTED("""COMPUTED_VALUE"""),"returnOnCapitalEmployed")</f>
        <v>returnOnCapitalEmployed</v>
      </c>
      <c r="V52" s="1" t="str">
        <f ca="1">IFERROR(__xludf.UNSUPPORTED("""COMPUTED_VALUE"""),"netIncomePerEBT")</f>
        <v>netIncomePerEBT</v>
      </c>
      <c r="W52" s="1" t="str">
        <f ca="1">IFERROR(__xludf.UNSUPPORTED("""COMPUTED_VALUE"""),"ebtPerEbit")</f>
        <v>ebtPerEbit</v>
      </c>
      <c r="X52" s="1" t="str">
        <f ca="1">IFERROR(__xludf.UNSUPPORTED("""COMPUTED_VALUE"""),"ebitPerRevenue")</f>
        <v>ebitPerRevenue</v>
      </c>
      <c r="Y52" s="1" t="str">
        <f ca="1">IFERROR(__xludf.UNSUPPORTED("""COMPUTED_VALUE"""),"debtRatio")</f>
        <v>debtRatio</v>
      </c>
      <c r="Z52" s="1" t="str">
        <f ca="1">IFERROR(__xludf.UNSUPPORTED("""COMPUTED_VALUE"""),"debtEquityRatio")</f>
        <v>debtEquityRatio</v>
      </c>
      <c r="AA52" s="1" t="str">
        <f ca="1">IFERROR(__xludf.UNSUPPORTED("""COMPUTED_VALUE"""),"longTermDebtToCapitalization")</f>
        <v>longTermDebtToCapitalization</v>
      </c>
      <c r="AB52" s="1" t="str">
        <f ca="1">IFERROR(__xludf.UNSUPPORTED("""COMPUTED_VALUE"""),"totalDebtToCapitalization")</f>
        <v>totalDebtToCapitalization</v>
      </c>
      <c r="AC52" s="1" t="str">
        <f ca="1">IFERROR(__xludf.UNSUPPORTED("""COMPUTED_VALUE"""),"interestCoverage")</f>
        <v>interestCoverage</v>
      </c>
      <c r="AD52" s="1" t="str">
        <f ca="1">IFERROR(__xludf.UNSUPPORTED("""COMPUTED_VALUE"""),"cashFlowToDebtRatio")</f>
        <v>cashFlowToDebtRatio</v>
      </c>
      <c r="AE52" s="1" t="str">
        <f ca="1">IFERROR(__xludf.UNSUPPORTED("""COMPUTED_VALUE"""),"companyEquityMultiplier")</f>
        <v>companyEquityMultiplier</v>
      </c>
      <c r="AF52" s="1" t="str">
        <f ca="1">IFERROR(__xludf.UNSUPPORTED("""COMPUTED_VALUE"""),"receivablesTurnover")</f>
        <v>receivablesTurnover</v>
      </c>
      <c r="AG52" s="1" t="str">
        <f ca="1">IFERROR(__xludf.UNSUPPORTED("""COMPUTED_VALUE"""),"payablesTurnover")</f>
        <v>payablesTurnover</v>
      </c>
      <c r="AH52" s="1" t="str">
        <f ca="1">IFERROR(__xludf.UNSUPPORTED("""COMPUTED_VALUE"""),"inventoryTurnover")</f>
        <v>inventoryTurnover</v>
      </c>
      <c r="AI52" s="1" t="str">
        <f ca="1">IFERROR(__xludf.UNSUPPORTED("""COMPUTED_VALUE"""),"fixedAssetTurnover")</f>
        <v>fixedAssetTurnover</v>
      </c>
      <c r="AJ52" s="1" t="str">
        <f ca="1">IFERROR(__xludf.UNSUPPORTED("""COMPUTED_VALUE"""),"assetTurnover")</f>
        <v>assetTurnover</v>
      </c>
      <c r="AK52" s="1" t="str">
        <f ca="1">IFERROR(__xludf.UNSUPPORTED("""COMPUTED_VALUE"""),"operatingCashFlowPerShare")</f>
        <v>operatingCashFlowPerShare</v>
      </c>
      <c r="AL52" s="1" t="str">
        <f ca="1">IFERROR(__xludf.UNSUPPORTED("""COMPUTED_VALUE"""),"freeCashFlowPerShare")</f>
        <v>freeCashFlowPerShare</v>
      </c>
      <c r="AM52" s="1" t="str">
        <f ca="1">IFERROR(__xludf.UNSUPPORTED("""COMPUTED_VALUE"""),"cashPerShare")</f>
        <v>cashPerShare</v>
      </c>
      <c r="AN52" s="1" t="str">
        <f ca="1">IFERROR(__xludf.UNSUPPORTED("""COMPUTED_VALUE"""),"payoutRatio")</f>
        <v>payoutRatio</v>
      </c>
      <c r="AO52" s="1" t="str">
        <f ca="1">IFERROR(__xludf.UNSUPPORTED("""COMPUTED_VALUE"""),"operatingCashFlowSalesRatio")</f>
        <v>operatingCashFlowSalesRatio</v>
      </c>
      <c r="AP52" s="1" t="str">
        <f ca="1">IFERROR(__xludf.UNSUPPORTED("""COMPUTED_VALUE"""),"freeCashFlowOperatingCashFlowRatio")</f>
        <v>freeCashFlowOperatingCashFlowRatio</v>
      </c>
      <c r="AQ52" s="1" t="str">
        <f ca="1">IFERROR(__xludf.UNSUPPORTED("""COMPUTED_VALUE"""),"cashFlowCoverageRatios")</f>
        <v>cashFlowCoverageRatios</v>
      </c>
      <c r="AR52" s="1" t="str">
        <f ca="1">IFERROR(__xludf.UNSUPPORTED("""COMPUTED_VALUE"""),"shortTermCoverageRatios")</f>
        <v>shortTermCoverageRatios</v>
      </c>
      <c r="AS52" s="1" t="str">
        <f ca="1">IFERROR(__xludf.UNSUPPORTED("""COMPUTED_VALUE"""),"capitalExpenditureCoverageRatio")</f>
        <v>capitalExpenditureCoverageRatio</v>
      </c>
      <c r="AT52" s="1" t="str">
        <f ca="1">IFERROR(__xludf.UNSUPPORTED("""COMPUTED_VALUE"""),"dividendPaidAndCapexCoverageRatio")</f>
        <v>dividendPaidAndCapexCoverageRatio</v>
      </c>
      <c r="AU52" s="1" t="str">
        <f ca="1">IFERROR(__xludf.UNSUPPORTED("""COMPUTED_VALUE"""),"dividendPayoutRatio")</f>
        <v>dividendPayoutRatio</v>
      </c>
      <c r="AV52" s="1" t="str">
        <f ca="1">IFERROR(__xludf.UNSUPPORTED("""COMPUTED_VALUE"""),"priceBookValueRatio")</f>
        <v>priceBookValueRatio</v>
      </c>
      <c r="AW52" s="1" t="str">
        <f ca="1">IFERROR(__xludf.UNSUPPORTED("""COMPUTED_VALUE"""),"priceToBookRatio")</f>
        <v>priceToBookRatio</v>
      </c>
      <c r="AX52" s="1" t="str">
        <f ca="1">IFERROR(__xludf.UNSUPPORTED("""COMPUTED_VALUE"""),"priceToSalesRatio")</f>
        <v>priceToSalesRatio</v>
      </c>
      <c r="AY52" s="1" t="str">
        <f ca="1">IFERROR(__xludf.UNSUPPORTED("""COMPUTED_VALUE"""),"priceEarningsRatio")</f>
        <v>priceEarningsRatio</v>
      </c>
      <c r="AZ52" s="1" t="str">
        <f ca="1">IFERROR(__xludf.UNSUPPORTED("""COMPUTED_VALUE"""),"priceToFreeCashFlowsRatio")</f>
        <v>priceToFreeCashFlowsRatio</v>
      </c>
      <c r="BA52" s="1" t="str">
        <f ca="1">IFERROR(__xludf.UNSUPPORTED("""COMPUTED_VALUE"""),"priceToOperatingCashFlowsRatio")</f>
        <v>priceToOperatingCashFlowsRatio</v>
      </c>
      <c r="BB52" s="1" t="str">
        <f ca="1">IFERROR(__xludf.UNSUPPORTED("""COMPUTED_VALUE"""),"priceCashFlowRatio")</f>
        <v>priceCashFlowRatio</v>
      </c>
      <c r="BC52" s="1" t="str">
        <f ca="1">IFERROR(__xludf.UNSUPPORTED("""COMPUTED_VALUE"""),"priceEarningsToGrowthRatio")</f>
        <v>priceEarningsToGrowthRatio</v>
      </c>
      <c r="BD52" s="1" t="str">
        <f ca="1">IFERROR(__xludf.UNSUPPORTED("""COMPUTED_VALUE"""),"priceSalesRatio")</f>
        <v>priceSalesRatio</v>
      </c>
      <c r="BE52" s="1" t="str">
        <f ca="1">IFERROR(__xludf.UNSUPPORTED("""COMPUTED_VALUE"""),"dividendYield")</f>
        <v>dividendYield</v>
      </c>
      <c r="BF52" s="1" t="str">
        <f ca="1">IFERROR(__xludf.UNSUPPORTED("""COMPUTED_VALUE"""),"enterpriseValueMultiple")</f>
        <v>enterpriseValueMultiple</v>
      </c>
      <c r="BG52" s="1" t="str">
        <f ca="1">IFERROR(__xludf.UNSUPPORTED("""COMPUTED_VALUE"""),"priceFairValue")</f>
        <v>priceFairValue</v>
      </c>
    </row>
    <row r="53" spans="1:59" ht="13">
      <c r="A53" s="1">
        <v>3</v>
      </c>
      <c r="B53" s="5" t="str">
        <f ca="1">IFERROR(__xludf.UNSUPPORTED("""COMPUTED_VALUE"""),"AAPL")</f>
        <v>AAPL</v>
      </c>
      <c r="C53" s="1">
        <f ca="1">IFERROR(__xludf.UNSUPPORTED("""COMPUTED_VALUE"""),45563)</f>
        <v>45563</v>
      </c>
      <c r="D53" s="1">
        <f ca="1">IFERROR(__xludf.UNSUPPORTED("""COMPUTED_VALUE"""),2024)</f>
        <v>2024</v>
      </c>
      <c r="E53" s="1" t="str">
        <f ca="1">IFERROR(__xludf.UNSUPPORTED("""COMPUTED_VALUE"""),"FY")</f>
        <v>FY</v>
      </c>
      <c r="F53" s="1">
        <f ca="1">IFERROR(__xludf.UNSUPPORTED("""COMPUTED_VALUE"""),0.867312576534083)</f>
        <v>0.867312576534083</v>
      </c>
      <c r="G53" s="1">
        <f ca="1">IFERROR(__xludf.UNSUPPORTED("""COMPUTED_VALUE"""),0.826006848383146)</f>
        <v>0.82600684838314598</v>
      </c>
      <c r="H53" s="1">
        <f ca="1">IFERROR(__xludf.UNSUPPORTED("""COMPUTED_VALUE"""),0.169752596489636)</f>
        <v>0.169752596489636</v>
      </c>
      <c r="I53" s="1">
        <f ca="1">IFERROR(__xludf.UNSUPPORTED("""COMPUTED_VALUE"""),61.8325597452913)</f>
        <v>61.832559745291299</v>
      </c>
      <c r="J53" s="1">
        <f ca="1">IFERROR(__xludf.UNSUPPORTED("""COMPUTED_VALUE"""),12.642570548414)</f>
        <v>12.642570548414</v>
      </c>
      <c r="K53" s="1">
        <f ca="1">IFERROR(__xludf.UNSUPPORTED("""COMPUTED_VALUE"""),74.4751302937054)</f>
        <v>74.475130293705405</v>
      </c>
      <c r="L53" s="1">
        <f ca="1">IFERROR(__xludf.UNSUPPORTED("""COMPUTED_VALUE"""),119.658477219137)</f>
        <v>119.658477219137</v>
      </c>
      <c r="M53" s="1">
        <f ca="1">IFERROR(__xludf.UNSUPPORTED("""COMPUTED_VALUE"""),-45.183346925432)</f>
        <v>-45.183346925431998</v>
      </c>
      <c r="N53" s="1">
        <f ca="1">IFERROR(__xludf.UNSUPPORTED("""COMPUTED_VALUE"""),0.462063498152339)</f>
        <v>0.46206349815233899</v>
      </c>
      <c r="O53" s="1">
        <f ca="1">IFERROR(__xludf.UNSUPPORTED("""COMPUTED_VALUE"""),0.315102228700755)</f>
        <v>0.31510222870075499</v>
      </c>
      <c r="P53" s="1">
        <f ca="1">IFERROR(__xludf.UNSUPPORTED("""COMPUTED_VALUE"""),0.315790146662063)</f>
        <v>0.31579014666206301</v>
      </c>
      <c r="Q53" s="1">
        <f ca="1">IFERROR(__xludf.UNSUPPORTED("""COMPUTED_VALUE"""),0.239712557699438)</f>
        <v>0.239712557699438</v>
      </c>
      <c r="R53" s="1">
        <f ca="1">IFERROR(__xludf.UNSUPPORTED("""COMPUTED_VALUE"""),0.240911851641899)</f>
        <v>0.24091185164189899</v>
      </c>
      <c r="S53" s="1">
        <f ca="1">IFERROR(__xludf.UNSUPPORTED("""COMPUTED_VALUE"""),0.256825031508575)</f>
        <v>0.256825031508575</v>
      </c>
      <c r="T53" s="1">
        <f ca="1">IFERROR(__xludf.UNSUPPORTED("""COMPUTED_VALUE"""),1.6459350307287)</f>
        <v>1.6459350307287</v>
      </c>
      <c r="U53" s="1">
        <f ca="1">IFERROR(__xludf.UNSUPPORTED("""COMPUTED_VALUE"""),0.653360765266082)</f>
        <v>0.653360765266082</v>
      </c>
      <c r="V53" s="1">
        <f ca="1">IFERROR(__xludf.UNSUPPORTED("""COMPUTED_VALUE"""),0.7590881483581)</f>
        <v>0.75908814835810001</v>
      </c>
      <c r="W53" s="1">
        <f ca="1">IFERROR(__xludf.UNSUPPORTED("""COMPUTED_VALUE"""),1.00218315803142)</f>
        <v>1.00218315803142</v>
      </c>
      <c r="X53" s="1">
        <f ca="1">IFERROR(__xludf.UNSUPPORTED("""COMPUTED_VALUE"""),0.315102228700755)</f>
        <v>0.31510222870075499</v>
      </c>
      <c r="Y53" s="1">
        <f ca="1">IFERROR(__xludf.UNSUPPORTED("""COMPUTED_VALUE"""),0.292150254808482)</f>
        <v>0.292150254808482</v>
      </c>
      <c r="Z53" s="1">
        <f ca="1">IFERROR(__xludf.UNSUPPORTED("""COMPUTED_VALUE"""),1.8723266022827)</f>
        <v>1.8723266022827001</v>
      </c>
      <c r="AA53" s="1">
        <f ca="1">IFERROR(__xludf.UNSUPPORTED("""COMPUTED_VALUE"""),0.600911002102312)</f>
        <v>0.60091100210231196</v>
      </c>
      <c r="AB53" s="1">
        <f ca="1">IFERROR(__xludf.UNSUPPORTED("""COMPUTED_VALUE"""),0.651850176367382)</f>
        <v>0.65185017636738196</v>
      </c>
      <c r="AC53" s="1">
        <f ca="1">IFERROR(__xludf.UNSUPPORTED("""COMPUTED_VALUE"""),0)</f>
        <v>0</v>
      </c>
      <c r="AD53" s="1">
        <f ca="1">IFERROR(__xludf.UNSUPPORTED("""COMPUTED_VALUE"""),1.10902287370227)</f>
        <v>1.10902287370227</v>
      </c>
      <c r="AE53" s="1">
        <f ca="1">IFERROR(__xludf.UNSUPPORTED("""COMPUTED_VALUE"""),6.40877963125548)</f>
        <v>6.4087796312554799</v>
      </c>
      <c r="AF53" s="1">
        <f ca="1">IFERROR(__xludf.UNSUPPORTED("""COMPUTED_VALUE"""),5.90303881164802)</f>
        <v>5.9030388116480204</v>
      </c>
      <c r="AG53" s="1">
        <f ca="1">IFERROR(__xludf.UNSUPPORTED("""COMPUTED_VALUE"""),3.05034802784222)</f>
        <v>3.0503480278422201</v>
      </c>
      <c r="AH53" s="1">
        <f ca="1">IFERROR(__xludf.UNSUPPORTED("""COMPUTED_VALUE"""),28.8707109525116)</f>
        <v>28.870710952511601</v>
      </c>
      <c r="AI53" s="1">
        <f ca="1">IFERROR(__xludf.UNSUPPORTED("""COMPUTED_VALUE"""),8.5603108581436)</f>
        <v>8.5603108581436</v>
      </c>
      <c r="AJ53" s="1">
        <f ca="1">IFERROR(__xludf.UNSUPPORTED("""COMPUTED_VALUE"""),1.0713874732862)</f>
        <v>1.0713874732862001</v>
      </c>
      <c r="AK53" s="1">
        <f ca="1">IFERROR(__xludf.UNSUPPORTED("""COMPUTED_VALUE"""),7.70696509459238)</f>
        <v>7.7069650945923804</v>
      </c>
      <c r="AL53" s="1">
        <f ca="1">IFERROR(__xludf.UNSUPPORTED("""COMPUTED_VALUE"""),7.09127599106426)</f>
        <v>7.0912759910642604</v>
      </c>
      <c r="AM53" s="1">
        <f ca="1">IFERROR(__xludf.UNSUPPORTED("""COMPUTED_VALUE"""),4.24738801376427)</f>
        <v>4.2473880137642697</v>
      </c>
      <c r="AN53" s="1">
        <f ca="1">IFERROR(__xludf.UNSUPPORTED("""COMPUTED_VALUE"""),0.162520269693607)</f>
        <v>0.162520269693607</v>
      </c>
      <c r="AO53" s="1">
        <f ca="1">IFERROR(__xludf.UNSUPPORTED("""COMPUTED_VALUE"""),0.302412827496259)</f>
        <v>0.30241282749625897</v>
      </c>
      <c r="AP53" s="1">
        <f ca="1">IFERROR(__xludf.UNSUPPORTED("""COMPUTED_VALUE"""),0.920112638895935)</f>
        <v>0.92011263889593498</v>
      </c>
      <c r="AQ53" s="1">
        <f ca="1">IFERROR(__xludf.UNSUPPORTED("""COMPUTED_VALUE"""),1.10902287370227)</f>
        <v>1.10902287370227</v>
      </c>
      <c r="AR53" s="1">
        <f ca="1">IFERROR(__xludf.UNSUPPORTED("""COMPUTED_VALUE"""),5.66377700081421)</f>
        <v>5.6637770008142097</v>
      </c>
      <c r="AS53" s="1">
        <f ca="1">IFERROR(__xludf.UNSUPPORTED("""COMPUTED_VALUE"""),12.5176246427437)</f>
        <v>12.5176246427437</v>
      </c>
      <c r="AT53" s="1">
        <f ca="1">IFERROR(__xludf.UNSUPPORTED("""COMPUTED_VALUE"""),4.79129694907013)</f>
        <v>4.79129694907013</v>
      </c>
      <c r="AU53" s="1">
        <f ca="1">IFERROR(__xludf.UNSUPPORTED("""COMPUTED_VALUE"""),0.162520269693607)</f>
        <v>0.162520269693607</v>
      </c>
      <c r="AV53" s="1">
        <f ca="1">IFERROR(__xludf.UNSUPPORTED("""COMPUTED_VALUE"""),61.3724377448639)</f>
        <v>61.372437744863902</v>
      </c>
      <c r="AW53" s="1">
        <f ca="1">IFERROR(__xludf.UNSUPPORTED("""COMPUTED_VALUE"""),61.3724377448639)</f>
        <v>61.372437744863902</v>
      </c>
      <c r="AX53" s="1">
        <f ca="1">IFERROR(__xludf.UNSUPPORTED("""COMPUTED_VALUE"""),8.93822887866815)</f>
        <v>8.9382288786681503</v>
      </c>
      <c r="AY53" s="1">
        <f ca="1">IFERROR(__xludf.UNSUPPORTED("""COMPUTED_VALUE"""),37.2872784156567)</f>
        <v>37.287278415656701</v>
      </c>
      <c r="AZ53" s="1">
        <f ca="1">IFERROR(__xludf.UNSUPPORTED("""COMPUTED_VALUE"""),32.1225686726956)</f>
        <v>32.1225686726956</v>
      </c>
      <c r="BA53" s="1">
        <f ca="1">IFERROR(__xludf.UNSUPPORTED("""COMPUTED_VALUE"""),29.5563814295499)</f>
        <v>29.556381429549901</v>
      </c>
      <c r="BB53" s="1">
        <f ca="1">IFERROR(__xludf.UNSUPPORTED("""COMPUTED_VALUE"""),29.5563814295499)</f>
        <v>29.556381429549901</v>
      </c>
      <c r="BC53" s="1">
        <f ca="1">IFERROR(__xludf.UNSUPPORTED("""COMPUTED_VALUE"""),-45.9379270080893)</f>
        <v>-45.937927008089297</v>
      </c>
      <c r="BD53" s="1">
        <f ca="1">IFERROR(__xludf.UNSUPPORTED("""COMPUTED_VALUE"""),8.93822887866815)</f>
        <v>8.9382288786681503</v>
      </c>
      <c r="BE53" s="1">
        <f ca="1">IFERROR(__xludf.UNSUPPORTED("""COMPUTED_VALUE"""),0.00435859833699651)</f>
        <v>4.3585983369965097E-3</v>
      </c>
      <c r="BF53" s="1">
        <f ca="1">IFERROR(__xludf.UNSUPPORTED("""COMPUTED_VALUE"""),26.5247274977164)</f>
        <v>26.524727497716398</v>
      </c>
      <c r="BG53" s="1">
        <f ca="1">IFERROR(__xludf.UNSUPPORTED("""COMPUTED_VALUE"""),61.3724377448639)</f>
        <v>61.372437744863902</v>
      </c>
    </row>
    <row r="54" spans="1:59" ht="13">
      <c r="A54" s="1">
        <f t="shared" ref="A54:A100" si="1">A53+1</f>
        <v>4</v>
      </c>
      <c r="B54" s="5" t="str">
        <f ca="1">IFERROR(__xludf.UNSUPPORTED("""COMPUTED_VALUE"""),"AAPL")</f>
        <v>AAPL</v>
      </c>
      <c r="C54" s="1">
        <f ca="1">IFERROR(__xludf.UNSUPPORTED("""COMPUTED_VALUE"""),45199)</f>
        <v>45199</v>
      </c>
      <c r="D54" s="1">
        <f ca="1">IFERROR(__xludf.UNSUPPORTED("""COMPUTED_VALUE"""),2023)</f>
        <v>2023</v>
      </c>
      <c r="E54" s="1" t="str">
        <f ca="1">IFERROR(__xludf.UNSUPPORTED("""COMPUTED_VALUE"""),"FY")</f>
        <v>FY</v>
      </c>
      <c r="F54" s="1">
        <f ca="1">IFERROR(__xludf.UNSUPPORTED("""COMPUTED_VALUE"""),0.988011671759297)</f>
        <v>0.98801167175929705</v>
      </c>
      <c r="G54" s="1">
        <f ca="1">IFERROR(__xludf.UNSUPPORTED("""COMPUTED_VALUE"""),0.944442150466595)</f>
        <v>0.94444215046659497</v>
      </c>
      <c r="H54" s="1">
        <f ca="1">IFERROR(__xludf.UNSUPPORTED("""COMPUTED_VALUE"""),0.206217138767308)</f>
        <v>0.20621713876730799</v>
      </c>
      <c r="I54" s="1">
        <f ca="1">IFERROR(__xludf.UNSUPPORTED("""COMPUTED_VALUE"""),58.0756486687451)</f>
        <v>58.075648668745103</v>
      </c>
      <c r="J54" s="1">
        <f ca="1">IFERROR(__xludf.UNSUPPORTED("""COMPUTED_VALUE"""),10.7912924903216)</f>
        <v>10.791292490321601</v>
      </c>
      <c r="K54" s="1">
        <f ca="1">IFERROR(__xludf.UNSUPPORTED("""COMPUTED_VALUE"""),68.8669411590668)</f>
        <v>68.866941159066798</v>
      </c>
      <c r="L54" s="1">
        <f ca="1">IFERROR(__xludf.UNSUPPORTED("""COMPUTED_VALUE"""),106.721468032147)</f>
        <v>106.721468032147</v>
      </c>
      <c r="M54" s="1">
        <f ca="1">IFERROR(__xludf.UNSUPPORTED("""COMPUTED_VALUE"""),-37.8545268730808)</f>
        <v>-37.8545268730808</v>
      </c>
      <c r="N54" s="1">
        <f ca="1">IFERROR(__xludf.UNSUPPORTED("""COMPUTED_VALUE"""),0.441311295772075)</f>
        <v>0.44131129577207501</v>
      </c>
      <c r="O54" s="1">
        <f ca="1">IFERROR(__xludf.UNSUPPORTED("""COMPUTED_VALUE"""),0.298214122650247)</f>
        <v>0.29821412265024699</v>
      </c>
      <c r="P54" s="1">
        <f ca="1">IFERROR(__xludf.UNSUPPORTED("""COMPUTED_VALUE"""),0.296740023742124)</f>
        <v>0.29674002374212399</v>
      </c>
      <c r="Q54" s="1">
        <f ca="1">IFERROR(__xludf.UNSUPPORTED("""COMPUTED_VALUE"""),0.253062342643202)</f>
        <v>0.25306234264320199</v>
      </c>
      <c r="R54" s="1">
        <f ca="1">IFERROR(__xludf.UNSUPPORTED("""COMPUTED_VALUE"""),0.147191742280368)</f>
        <v>0.14719174228036799</v>
      </c>
      <c r="S54" s="1">
        <f ca="1">IFERROR(__xludf.UNSUPPORTED("""COMPUTED_VALUE"""),0.275098345637764)</f>
        <v>0.27509834563776397</v>
      </c>
      <c r="T54" s="1">
        <f ca="1">IFERROR(__xludf.UNSUPPORTED("""COMPUTED_VALUE"""),1.5607601454639)</f>
        <v>1.5607601454639</v>
      </c>
      <c r="U54" s="1">
        <f ca="1">IFERROR(__xludf.UNSUPPORTED("""COMPUTED_VALUE"""),0.551446146423833)</f>
        <v>0.55144614642383305</v>
      </c>
      <c r="V54" s="1">
        <f ca="1">IFERROR(__xludf.UNSUPPORTED("""COMPUTED_VALUE"""),0.852808257719631)</f>
        <v>0.85280825771963098</v>
      </c>
      <c r="W54" s="1">
        <f ca="1">IFERROR(__xludf.UNSUPPORTED("""COMPUTED_VALUE"""),0.995056911138135)</f>
        <v>0.99505691113813499</v>
      </c>
      <c r="X54" s="1">
        <f ca="1">IFERROR(__xludf.UNSUPPORTED("""COMPUTED_VALUE"""),0.298214122650247)</f>
        <v>0.29821412265024699</v>
      </c>
      <c r="Y54" s="1">
        <f ca="1">IFERROR(__xludf.UNSUPPORTED("""COMPUTED_VALUE"""),0.315069075933893)</f>
        <v>0.31506907593389299</v>
      </c>
      <c r="Z54" s="1">
        <f ca="1">IFERROR(__xludf.UNSUPPORTED("""COMPUTED_VALUE"""),1.78753258455894)</f>
        <v>1.78753258455894</v>
      </c>
      <c r="AA54" s="1">
        <f ca="1">IFERROR(__xludf.UNSUPPORTED("""COMPUTED_VALUE"""),0.605239253749356)</f>
        <v>0.60523925374935605</v>
      </c>
      <c r="AB54" s="1">
        <f ca="1">IFERROR(__xludf.UNSUPPORTED("""COMPUTED_VALUE"""),0.641259798884745)</f>
        <v>0.64125979888474505</v>
      </c>
      <c r="AC54" s="1">
        <f ca="1">IFERROR(__xludf.UNSUPPORTED("""COMPUTED_VALUE"""),29.0620391558606)</f>
        <v>29.062039155860599</v>
      </c>
      <c r="AD54" s="1">
        <f ca="1">IFERROR(__xludf.UNSUPPORTED("""COMPUTED_VALUE"""),0.995093979547745)</f>
        <v>0.99509397954774503</v>
      </c>
      <c r="AE54" s="1">
        <f ca="1">IFERROR(__xludf.UNSUPPORTED("""COMPUTED_VALUE"""),5.67346249155215)</f>
        <v>5.6734624915521499</v>
      </c>
      <c r="AF54" s="1">
        <f ca="1">IFERROR(__xludf.UNSUPPORTED("""COMPUTED_VALUE"""),6.28490612445683)</f>
        <v>6.2849061244568301</v>
      </c>
      <c r="AG54" s="1">
        <f ca="1">IFERROR(__xludf.UNSUPPORTED("""COMPUTED_VALUE"""),3.4201178706617)</f>
        <v>3.4201178706616999</v>
      </c>
      <c r="AH54" s="1">
        <f ca="1">IFERROR(__xludf.UNSUPPORTED("""COMPUTED_VALUE"""),33.82356657716)</f>
        <v>33.823566577160001</v>
      </c>
      <c r="AI54" s="1">
        <f ca="1">IFERROR(__xludf.UNSUPPORTED("""COMPUTED_VALUE"""),7.04878990731205)</f>
        <v>7.0487899073120497</v>
      </c>
      <c r="AJ54" s="1">
        <f ca="1">IFERROR(__xludf.UNSUPPORTED("""COMPUTED_VALUE"""),1.08707736901665)</f>
        <v>1.08707736901665</v>
      </c>
      <c r="AK54" s="1">
        <f ca="1">IFERROR(__xludf.UNSUPPORTED("""COMPUTED_VALUE"""),7.02117493067778)</f>
        <v>7.0211749306777804</v>
      </c>
      <c r="AL54" s="1">
        <f ca="1">IFERROR(__xludf.UNSUPPORTED("""COMPUTED_VALUE"""),6.32511044839217)</f>
        <v>6.3251104483921701</v>
      </c>
      <c r="AM54" s="1">
        <f ca="1">IFERROR(__xludf.UNSUPPORTED("""COMPUTED_VALUE"""),3.90968603039424)</f>
        <v>3.9096860303942398</v>
      </c>
      <c r="AN54" s="1">
        <f ca="1">IFERROR(__xludf.UNSUPPORTED("""COMPUTED_VALUE"""),0.154904892004742)</f>
        <v>0.154904892004742</v>
      </c>
      <c r="AO54" s="1">
        <f ca="1">IFERROR(__xludf.UNSUPPORTED("""COMPUTED_VALUE"""),0.288409408142765)</f>
        <v>0.288409408142765</v>
      </c>
      <c r="AP54" s="1">
        <f ca="1">IFERROR(__xludf.UNSUPPORTED("""COMPUTED_VALUE"""),0.900862107957989)</f>
        <v>0.90086210795798904</v>
      </c>
      <c r="AQ54" s="1">
        <f ca="1">IFERROR(__xludf.UNSUPPORTED("""COMPUTED_VALUE"""),0.995093979547745)</f>
        <v>0.99509397954774503</v>
      </c>
      <c r="AR54" s="1">
        <f ca="1">IFERROR(__xludf.UNSUPPORTED("""COMPUTED_VALUE"""),6.99329411020433)</f>
        <v>6.9932941102043298</v>
      </c>
      <c r="AS54" s="1">
        <f ca="1">IFERROR(__xludf.UNSUPPORTED("""COMPUTED_VALUE"""),10.0869604890957)</f>
        <v>10.0869604890957</v>
      </c>
      <c r="AT54" s="1">
        <f ca="1">IFERROR(__xludf.UNSUPPORTED("""COMPUTED_VALUE"""),4.25427185960591)</f>
        <v>4.2542718596059101</v>
      </c>
      <c r="AU54" s="1">
        <f ca="1">IFERROR(__xludf.UNSUPPORTED("""COMPUTED_VALUE"""),0.154904892004742)</f>
        <v>0.154904892004742</v>
      </c>
      <c r="AV54" s="1">
        <f ca="1">IFERROR(__xludf.UNSUPPORTED("""COMPUTED_VALUE"""),43.3747914509381)</f>
        <v>43.374791450938098</v>
      </c>
      <c r="AW54" s="1">
        <f ca="1">IFERROR(__xludf.UNSUPPORTED("""COMPUTED_VALUE"""),43.3747914509381)</f>
        <v>43.374791450938098</v>
      </c>
      <c r="AX54" s="1">
        <f ca="1">IFERROR(__xludf.UNSUPPORTED("""COMPUTED_VALUE"""),7.03280793537446)</f>
        <v>7.0328079353744597</v>
      </c>
      <c r="AY54" s="1">
        <f ca="1">IFERROR(__xludf.UNSUPPORTED("""COMPUTED_VALUE"""),27.7908117893705)</f>
        <v>27.790811789370501</v>
      </c>
      <c r="AZ54" s="1">
        <f ca="1">IFERROR(__xludf.UNSUPPORTED("""COMPUTED_VALUE"""),27.0683020315512)</f>
        <v>27.068302031551202</v>
      </c>
      <c r="BA54" s="1">
        <f ca="1">IFERROR(__xludf.UNSUPPORTED("""COMPUTED_VALUE"""),24.3848076269867)</f>
        <v>24.384807626986699</v>
      </c>
      <c r="BB54" s="1">
        <f ca="1">IFERROR(__xludf.UNSUPPORTED("""COMPUTED_VALUE"""),24.3848076269867)</f>
        <v>24.384807626986699</v>
      </c>
      <c r="BC54" s="1">
        <f ca="1">IFERROR(__xludf.UNSUPPORTED("""COMPUTED_VALUE"""),170.913492504621)</f>
        <v>170.91349250462099</v>
      </c>
      <c r="BD54" s="1">
        <f ca="1">IFERROR(__xludf.UNSUPPORTED("""COMPUTED_VALUE"""),7.03280793537446)</f>
        <v>7.0328079353744597</v>
      </c>
      <c r="BE54" s="1">
        <f ca="1">IFERROR(__xludf.UNSUPPORTED("""COMPUTED_VALUE"""),0.00557396067372132)</f>
        <v>5.5739606737213203E-3</v>
      </c>
      <c r="BF54" s="1">
        <f ca="1">IFERROR(__xludf.UNSUPPORTED("""COMPUTED_VALUE"""),22.0687711771578)</f>
        <v>22.068771177157799</v>
      </c>
      <c r="BG54" s="1">
        <f ca="1">IFERROR(__xludf.UNSUPPORTED("""COMPUTED_VALUE"""),43.3747914509381)</f>
        <v>43.374791450938098</v>
      </c>
    </row>
    <row r="55" spans="1:59" ht="13">
      <c r="A55" s="1">
        <f t="shared" si="1"/>
        <v>5</v>
      </c>
      <c r="B55" s="5" t="str">
        <f ca="1">IFERROR(__xludf.UNSUPPORTED("""COMPUTED_VALUE"""),"AAPL")</f>
        <v>AAPL</v>
      </c>
      <c r="C55" s="1">
        <f ca="1">IFERROR(__xludf.UNSUPPORTED("""COMPUTED_VALUE"""),44828)</f>
        <v>44828</v>
      </c>
      <c r="D55" s="1">
        <f ca="1">IFERROR(__xludf.UNSUPPORTED("""COMPUTED_VALUE"""),2022)</f>
        <v>2022</v>
      </c>
      <c r="E55" s="1" t="str">
        <f ca="1">IFERROR(__xludf.UNSUPPORTED("""COMPUTED_VALUE"""),"FY")</f>
        <v>FY</v>
      </c>
      <c r="F55" s="1">
        <f ca="1">IFERROR(__xludf.UNSUPPORTED("""COMPUTED_VALUE"""),0.879356028626722)</f>
        <v>0.87935602862672202</v>
      </c>
      <c r="G55" s="1">
        <f ca="1">IFERROR(__xludf.UNSUPPORTED("""COMPUTED_VALUE"""),0.847235391149614)</f>
        <v>0.84723539114961399</v>
      </c>
      <c r="H55" s="1">
        <f ca="1">IFERROR(__xludf.UNSUPPORTED("""COMPUTED_VALUE"""),0.153563403514696)</f>
        <v>0.153563403514696</v>
      </c>
      <c r="I55" s="1">
        <f ca="1">IFERROR(__xludf.UNSUPPORTED("""COMPUTED_VALUE"""),56.4002049055608)</f>
        <v>56.400204905560798</v>
      </c>
      <c r="J55" s="1">
        <f ca="1">IFERROR(__xludf.UNSUPPORTED("""COMPUTED_VALUE"""),8.07569806661716)</f>
        <v>8.0756980666171607</v>
      </c>
      <c r="K55" s="1">
        <f ca="1">IFERROR(__xludf.UNSUPPORTED("""COMPUTED_VALUE"""),64.475902972178)</f>
        <v>64.475902972178005</v>
      </c>
      <c r="L55" s="1">
        <f ca="1">IFERROR(__xludf.UNSUPPORTED("""COMPUTED_VALUE"""),104.685277303105)</f>
        <v>104.685277303105</v>
      </c>
      <c r="M55" s="1">
        <f ca="1">IFERROR(__xludf.UNSUPPORTED("""COMPUTED_VALUE"""),-40.2093743309273)</f>
        <v>-40.209374330927297</v>
      </c>
      <c r="N55" s="1">
        <f ca="1">IFERROR(__xludf.UNSUPPORTED("""COMPUTED_VALUE"""),0.4330963056136)</f>
        <v>0.43309630561360002</v>
      </c>
      <c r="O55" s="1">
        <f ca="1">IFERROR(__xludf.UNSUPPORTED("""COMPUTED_VALUE"""),0.302887443955285)</f>
        <v>0.302887443955285</v>
      </c>
      <c r="P55" s="1">
        <f ca="1">IFERROR(__xludf.UNSUPPORTED("""COMPUTED_VALUE"""),0.302040433344829)</f>
        <v>0.302040433344829</v>
      </c>
      <c r="Q55" s="1">
        <f ca="1">IFERROR(__xludf.UNSUPPORTED("""COMPUTED_VALUE"""),0.253096407051997)</f>
        <v>0.25309640705199699</v>
      </c>
      <c r="R55" s="1">
        <f ca="1">IFERROR(__xludf.UNSUPPORTED("""COMPUTED_VALUE"""),0.162044616844244)</f>
        <v>0.16204461684424401</v>
      </c>
      <c r="S55" s="1">
        <f ca="1">IFERROR(__xludf.UNSUPPORTED("""COMPUTED_VALUE"""),0.282924409292568)</f>
        <v>0.28292440929256801</v>
      </c>
      <c r="T55" s="1">
        <f ca="1">IFERROR(__xludf.UNSUPPORTED("""COMPUTED_VALUE"""),1.96958872750236)</f>
        <v>1.96958872750236</v>
      </c>
      <c r="U55" s="1">
        <f ca="1">IFERROR(__xludf.UNSUPPORTED("""COMPUTED_VALUE"""),0.600871345705905)</f>
        <v>0.60087134570590495</v>
      </c>
      <c r="V55" s="1">
        <f ca="1">IFERROR(__xludf.UNSUPPORTED("""COMPUTED_VALUE"""),0.837955383155755)</f>
        <v>0.83795538315575502</v>
      </c>
      <c r="W55" s="1">
        <f ca="1">IFERROR(__xludf.UNSUPPORTED("""COMPUTED_VALUE"""),0.997203546639651)</f>
        <v>0.99720354663965105</v>
      </c>
      <c r="X55" s="1">
        <f ca="1">IFERROR(__xludf.UNSUPPORTED("""COMPUTED_VALUE"""),0.302887443955285)</f>
        <v>0.302887443955285</v>
      </c>
      <c r="Y55" s="1">
        <f ca="1">IFERROR(__xludf.UNSUPPORTED("""COMPUTED_VALUE"""),0.37555810690139)</f>
        <v>0.37555810690139002</v>
      </c>
      <c r="Z55" s="1">
        <f ca="1">IFERROR(__xludf.UNSUPPORTED("""COMPUTED_VALUE"""),2.6144616356173)</f>
        <v>2.6144616356173001</v>
      </c>
      <c r="AA55" s="1">
        <f ca="1">IFERROR(__xludf.UNSUPPORTED("""COMPUTED_VALUE"""),0.661353596514091)</f>
        <v>0.66135359651409098</v>
      </c>
      <c r="AB55" s="1">
        <f ca="1">IFERROR(__xludf.UNSUPPORTED("""COMPUTED_VALUE"""),0.723333624530444)</f>
        <v>0.72333362453044403</v>
      </c>
      <c r="AC55" s="1">
        <f ca="1">IFERROR(__xludf.UNSUPPORTED("""COMPUTED_VALUE"""),40.7495735243944)</f>
        <v>40.7495735243944</v>
      </c>
      <c r="AD55" s="1">
        <f ca="1">IFERROR(__xludf.UNSUPPORTED("""COMPUTED_VALUE"""),0.922033514492753)</f>
        <v>0.92203351449275295</v>
      </c>
      <c r="AE55" s="1">
        <f ca="1">IFERROR(__xludf.UNSUPPORTED("""COMPUTED_VALUE"""),6.96153694347963)</f>
        <v>6.9615369434796301</v>
      </c>
      <c r="AF55" s="1">
        <f ca="1">IFERROR(__xludf.UNSUPPORTED("""COMPUTED_VALUE"""),6.47160769382262)</f>
        <v>6.4716076938226204</v>
      </c>
      <c r="AG55" s="1">
        <f ca="1">IFERROR(__xludf.UNSUPPORTED("""COMPUTED_VALUE"""),3.48664119160882)</f>
        <v>3.48664119160882</v>
      </c>
      <c r="AH55" s="1">
        <f ca="1">IFERROR(__xludf.UNSUPPORTED("""COMPUTED_VALUE"""),45.1973311767084)</f>
        <v>45.197331176708403</v>
      </c>
      <c r="AI55" s="1">
        <f ca="1">IFERROR(__xludf.UNSUPPORTED("""COMPUTED_VALUE"""),7.50614839913199)</f>
        <v>7.5061483991319902</v>
      </c>
      <c r="AJ55" s="1">
        <f ca="1">IFERROR(__xludf.UNSUPPORTED("""COMPUTED_VALUE"""),1.11785233377273)</f>
        <v>1.11785233377273</v>
      </c>
      <c r="AK55" s="1">
        <f ca="1">IFERROR(__xludf.UNSUPPORTED("""COMPUTED_VALUE"""),7.53276262408837)</f>
        <v>7.5327626240883703</v>
      </c>
      <c r="AL55" s="1">
        <f ca="1">IFERROR(__xludf.UNSUPPORTED("""COMPUTED_VALUE"""),6.87242564625979)</f>
        <v>6.8724256462597904</v>
      </c>
      <c r="AM55" s="1">
        <f ca="1">IFERROR(__xludf.UNSUPPORTED("""COMPUTED_VALUE"""),2.97879318052218)</f>
        <v>2.9787931805221799</v>
      </c>
      <c r="AN55" s="1">
        <f ca="1">IFERROR(__xludf.UNSUPPORTED("""COMPUTED_VALUE"""),0.148702944801258)</f>
        <v>0.14870294480125801</v>
      </c>
      <c r="AO55" s="1">
        <f ca="1">IFERROR(__xludf.UNSUPPORTED("""COMPUTED_VALUE"""),0.309770039155221)</f>
        <v>0.309770039155221</v>
      </c>
      <c r="AP55" s="1">
        <f ca="1">IFERROR(__xludf.UNSUPPORTED("""COMPUTED_VALUE"""),0.912338007875498)</f>
        <v>0.91233800787549801</v>
      </c>
      <c r="AQ55" s="1">
        <f ca="1">IFERROR(__xludf.UNSUPPORTED("""COMPUTED_VALUE"""),0.922033514492753)</f>
        <v>0.92203351449275295</v>
      </c>
      <c r="AR55" s="1">
        <f ca="1">IFERROR(__xludf.UNSUPPORTED("""COMPUTED_VALUE"""),5.78640454760776)</f>
        <v>5.7864045476077601</v>
      </c>
      <c r="AS55" s="1">
        <f ca="1">IFERROR(__xludf.UNSUPPORTED("""COMPUTED_VALUE"""),11.4074523720582)</f>
        <v>11.4074523720582</v>
      </c>
      <c r="AT55" s="1">
        <f ca="1">IFERROR(__xludf.UNSUPPORTED("""COMPUTED_VALUE"""),4.78104818192492)</f>
        <v>4.7810481819249198</v>
      </c>
      <c r="AU55" s="1">
        <f ca="1">IFERROR(__xludf.UNSUPPORTED("""COMPUTED_VALUE"""),0.148702944801258)</f>
        <v>0.14870294480125801</v>
      </c>
      <c r="AV55" s="1">
        <f ca="1">IFERROR(__xludf.UNSUPPORTED("""COMPUTED_VALUE"""),48.140340110712)</f>
        <v>48.140340110712003</v>
      </c>
      <c r="AW55" s="1">
        <f ca="1">IFERROR(__xludf.UNSUPPORTED("""COMPUTED_VALUE"""),48.140340110712)</f>
        <v>48.140340110712003</v>
      </c>
      <c r="AX55" s="1">
        <f ca="1">IFERROR(__xludf.UNSUPPORTED("""COMPUTED_VALUE"""),6.18613771806719)</f>
        <v>6.1861377180671901</v>
      </c>
      <c r="AY55" s="1">
        <f ca="1">IFERROR(__xludf.UNSUPPORTED("""COMPUTED_VALUE"""),24.4418235332605)</f>
        <v>24.4418235332605</v>
      </c>
      <c r="AZ55" s="1">
        <f ca="1">IFERROR(__xludf.UNSUPPORTED("""COMPUTED_VALUE"""),21.888923611981)</f>
        <v>21.888923611980999</v>
      </c>
      <c r="BA55" s="1">
        <f ca="1">IFERROR(__xludf.UNSUPPORTED("""COMPUTED_VALUE"""),19.9700969626937)</f>
        <v>19.970096962693699</v>
      </c>
      <c r="BB55" s="1">
        <f ca="1">IFERROR(__xludf.UNSUPPORTED("""COMPUTED_VALUE"""),19.9700969626937)</f>
        <v>19.970096962693699</v>
      </c>
      <c r="BC55" s="1">
        <f ca="1">IFERROR(__xludf.UNSUPPORTED("""COMPUTED_VALUE"""),2.8871904048664)</f>
        <v>2.8871904048663999</v>
      </c>
      <c r="BD55" s="1">
        <f ca="1">IFERROR(__xludf.UNSUPPORTED("""COMPUTED_VALUE"""),6.18613771806719)</f>
        <v>6.1861377180671901</v>
      </c>
      <c r="BE55" s="1">
        <f ca="1">IFERROR(__xludf.UNSUPPORTED("""COMPUTED_VALUE"""),0.00608395460342404)</f>
        <v>6.0839546034240398E-3</v>
      </c>
      <c r="BF55" s="1">
        <f ca="1">IFERROR(__xludf.UNSUPPORTED("""COMPUTED_VALUE"""),19.5203140322963)</f>
        <v>19.520314032296302</v>
      </c>
      <c r="BG55" s="1">
        <f ca="1">IFERROR(__xludf.UNSUPPORTED("""COMPUTED_VALUE"""),48.140340110712)</f>
        <v>48.140340110712003</v>
      </c>
    </row>
    <row r="56" spans="1:59" ht="13">
      <c r="A56" s="1">
        <f t="shared" si="1"/>
        <v>6</v>
      </c>
      <c r="B56" s="5" t="str">
        <f ca="1">IFERROR(__xludf.UNSUPPORTED("""COMPUTED_VALUE"""),"AAPL")</f>
        <v>AAPL</v>
      </c>
      <c r="C56" s="1">
        <f ca="1">IFERROR(__xludf.UNSUPPORTED("""COMPUTED_VALUE"""),44464)</f>
        <v>44464</v>
      </c>
      <c r="D56" s="1">
        <f ca="1">IFERROR(__xludf.UNSUPPORTED("""COMPUTED_VALUE"""),2021)</f>
        <v>2021</v>
      </c>
      <c r="E56" s="1" t="str">
        <f ca="1">IFERROR(__xludf.UNSUPPORTED("""COMPUTED_VALUE"""),"FY")</f>
        <v>FY</v>
      </c>
      <c r="F56" s="1">
        <f ca="1">IFERROR(__xludf.UNSUPPORTED("""COMPUTED_VALUE"""),1.07455311959579)</f>
        <v>1.07455311959579</v>
      </c>
      <c r="G56" s="1">
        <f ca="1">IFERROR(__xludf.UNSUPPORTED("""COMPUTED_VALUE"""),1.02211490185765)</f>
        <v>1.0221149018576501</v>
      </c>
      <c r="H56" s="1">
        <f ca="1">IFERROR(__xludf.UNSUPPORTED("""COMPUTED_VALUE"""),0.278448530056343)</f>
        <v>0.27844853005634301</v>
      </c>
      <c r="I56" s="1">
        <f ca="1">IFERROR(__xludf.UNSUPPORTED("""COMPUTED_VALUE"""),51.3909687083979)</f>
        <v>51.390968708397899</v>
      </c>
      <c r="J56" s="1">
        <f ca="1">IFERROR(__xludf.UNSUPPORTED("""COMPUTED_VALUE"""),11.2765927477098)</f>
        <v>11.276592747709801</v>
      </c>
      <c r="K56" s="1">
        <f ca="1">IFERROR(__xludf.UNSUPPORTED("""COMPUTED_VALUE"""),62.6675614561078)</f>
        <v>62.667561456107798</v>
      </c>
      <c r="L56" s="1">
        <f ca="1">IFERROR(__xludf.UNSUPPORTED("""COMPUTED_VALUE"""),93.8510712223156)</f>
        <v>93.851071222315596</v>
      </c>
      <c r="M56" s="1">
        <f ca="1">IFERROR(__xludf.UNSUPPORTED("""COMPUTED_VALUE"""),-31.1835097662078)</f>
        <v>-31.183509766207798</v>
      </c>
      <c r="N56" s="1">
        <f ca="1">IFERROR(__xludf.UNSUPPORTED("""COMPUTED_VALUE"""),0.417793596251677)</f>
        <v>0.417793596251677</v>
      </c>
      <c r="O56" s="1">
        <f ca="1">IFERROR(__xludf.UNSUPPORTED("""COMPUTED_VALUE"""),0.297823775275615)</f>
        <v>0.29782377527561499</v>
      </c>
      <c r="P56" s="1">
        <f ca="1">IFERROR(__xludf.UNSUPPORTED("""COMPUTED_VALUE"""),0.298529045943736)</f>
        <v>0.29852904594373603</v>
      </c>
      <c r="Q56" s="1">
        <f ca="1">IFERROR(__xludf.UNSUPPORTED("""COMPUTED_VALUE"""),0.258817933556942)</f>
        <v>0.25881793355694199</v>
      </c>
      <c r="R56" s="1">
        <f ca="1">IFERROR(__xludf.UNSUPPORTED("""COMPUTED_VALUE"""),0.13302260844085)</f>
        <v>0.13302260844085001</v>
      </c>
      <c r="S56" s="1">
        <f ca="1">IFERROR(__xludf.UNSUPPORTED("""COMPUTED_VALUE"""),0.269742052751836)</f>
        <v>0.26974205275183599</v>
      </c>
      <c r="T56" s="1">
        <f ca="1">IFERROR(__xludf.UNSUPPORTED("""COMPUTED_VALUE"""),1.50071326676176)</f>
        <v>1.50071326676176</v>
      </c>
      <c r="U56" s="1">
        <f ca="1">IFERROR(__xludf.UNSUPPORTED("""COMPUTED_VALUE"""),0.483099134892094)</f>
        <v>0.483099134892094</v>
      </c>
      <c r="V56" s="1">
        <f ca="1">IFERROR(__xludf.UNSUPPORTED("""COMPUTED_VALUE"""),0.866977391559149)</f>
        <v>0.86697739155914899</v>
      </c>
      <c r="W56" s="1">
        <f ca="1">IFERROR(__xludf.UNSUPPORTED("""COMPUTED_VALUE"""),1.00236808047802)</f>
        <v>1.00236808047802</v>
      </c>
      <c r="X56" s="1">
        <f ca="1">IFERROR(__xludf.UNSUPPORTED("""COMPUTED_VALUE"""),0.297823775275615)</f>
        <v>0.29782377527561499</v>
      </c>
      <c r="Y56" s="1">
        <f ca="1">IFERROR(__xludf.UNSUPPORTED("""COMPUTED_VALUE"""),0.38894935071595)</f>
        <v>0.38894935071594999</v>
      </c>
      <c r="Z56" s="1">
        <f ca="1">IFERROR(__xludf.UNSUPPORTED("""COMPUTED_VALUE"""),2.16392455222697)</f>
        <v>2.1639245522269701</v>
      </c>
      <c r="AA56" s="1">
        <f ca="1">IFERROR(__xludf.UNSUPPORTED("""COMPUTED_VALUE"""),0.633615182698785)</f>
        <v>0.63361518269878503</v>
      </c>
      <c r="AB56" s="1">
        <f ca="1">IFERROR(__xludf.UNSUPPORTED("""COMPUTED_VALUE"""),0.683936837464681)</f>
        <v>0.68393683746468104</v>
      </c>
      <c r="AC56" s="1">
        <f ca="1">IFERROR(__xludf.UNSUPPORTED("""COMPUTED_VALUE"""),41.1905482041587)</f>
        <v>41.190548204158702</v>
      </c>
      <c r="AD56" s="1">
        <f ca="1">IFERROR(__xludf.UNSUPPORTED("""COMPUTED_VALUE"""),0.76206032727326)</f>
        <v>0.76206032727326001</v>
      </c>
      <c r="AE56" s="1">
        <f ca="1">IFERROR(__xludf.UNSUPPORTED("""COMPUTED_VALUE"""),5.56351244254239)</f>
        <v>5.5635124425423896</v>
      </c>
      <c r="AF56" s="1">
        <f ca="1">IFERROR(__xludf.UNSUPPORTED("""COMPUTED_VALUE"""),7.10241525259193)</f>
        <v>7.1024152525919302</v>
      </c>
      <c r="AG56" s="1">
        <f ca="1">IFERROR(__xludf.UNSUPPORTED("""COMPUTED_VALUE"""),3.88914047806)</f>
        <v>3.8891404780599999</v>
      </c>
      <c r="AH56" s="1">
        <f ca="1">IFERROR(__xludf.UNSUPPORTED("""COMPUTED_VALUE"""),32.367933130699)</f>
        <v>32.367933130699001</v>
      </c>
      <c r="AI56" s="1">
        <f ca="1">IFERROR(__xludf.UNSUPPORTED("""COMPUTED_VALUE"""),7.38621358047125)</f>
        <v>7.3862135804712503</v>
      </c>
      <c r="AJ56" s="1">
        <f ca="1">IFERROR(__xludf.UNSUPPORTED("""COMPUTED_VALUE"""),1.04220773670805)</f>
        <v>1.04220773670805</v>
      </c>
      <c r="AK56" s="1">
        <f ca="1">IFERROR(__xludf.UNSUPPORTED("""COMPUTED_VALUE"""),6.22934588455298)</f>
        <v>6.2293458845529797</v>
      </c>
      <c r="AL56" s="1">
        <f ca="1">IFERROR(__xludf.UNSUPPORTED("""COMPUTED_VALUE"""),5.56562398361035)</f>
        <v>5.56562398361035</v>
      </c>
      <c r="AM56" s="1">
        <f ca="1">IFERROR(__xludf.UNSUPPORTED("""COMPUTED_VALUE"""),3.75055265251652)</f>
        <v>3.7505526525165198</v>
      </c>
      <c r="AN56" s="1">
        <f ca="1">IFERROR(__xludf.UNSUPPORTED("""COMPUTED_VALUE"""),0.15279890156316)</f>
        <v>0.15279890156316001</v>
      </c>
      <c r="AO56" s="1">
        <f ca="1">IFERROR(__xludf.UNSUPPORTED("""COMPUTED_VALUE"""),0.284399030116151)</f>
        <v>0.28439903011615097</v>
      </c>
      <c r="AP56" s="1">
        <f ca="1">IFERROR(__xludf.UNSUPPORTED("""COMPUTED_VALUE"""),0.893452392395086)</f>
        <v>0.893452392395086</v>
      </c>
      <c r="AQ56" s="1">
        <f ca="1">IFERROR(__xludf.UNSUPPORTED("""COMPUTED_VALUE"""),0.76206032727326)</f>
        <v>0.76206032727326001</v>
      </c>
      <c r="AR56" s="1">
        <f ca="1">IFERROR(__xludf.UNSUPPORTED("""COMPUTED_VALUE"""),6.66354960609748)</f>
        <v>6.6635496060974804</v>
      </c>
      <c r="AS56" s="1">
        <f ca="1">IFERROR(__xludf.UNSUPPORTED("""COMPUTED_VALUE"""),9.38547586829048)</f>
        <v>9.3854758682904809</v>
      </c>
      <c r="AT56" s="1">
        <f ca="1">IFERROR(__xludf.UNSUPPORTED("""COMPUTED_VALUE"""),4.07161865998747)</f>
        <v>4.07161865998747</v>
      </c>
      <c r="AU56" s="1">
        <f ca="1">IFERROR(__xludf.UNSUPPORTED("""COMPUTED_VALUE"""),0.15279890156316)</f>
        <v>0.15279890156316001</v>
      </c>
      <c r="AV56" s="1">
        <f ca="1">IFERROR(__xludf.UNSUPPORTED("""COMPUTED_VALUE"""),38.8928654658424)</f>
        <v>38.892865465842398</v>
      </c>
      <c r="AW56" s="1">
        <f ca="1">IFERROR(__xludf.UNSUPPORTED("""COMPUTED_VALUE"""),38.8928654658424)</f>
        <v>38.892865465842398</v>
      </c>
      <c r="AX56" s="1">
        <f ca="1">IFERROR(__xludf.UNSUPPORTED("""COMPUTED_VALUE"""),6.70759117875877)</f>
        <v>6.7075911787587703</v>
      </c>
      <c r="AY56" s="1">
        <f ca="1">IFERROR(__xludf.UNSUPPORTED("""COMPUTED_VALUE"""),25.9162535090832)</f>
        <v>25.916253509083202</v>
      </c>
      <c r="AZ56" s="1">
        <f ca="1">IFERROR(__xludf.UNSUPPORTED("""COMPUTED_VALUE"""),26.3977588914827)</f>
        <v>26.397758891482699</v>
      </c>
      <c r="BA56" s="1">
        <f ca="1">IFERROR(__xludf.UNSUPPORTED("""COMPUTED_VALUE"""),23.5851408354639)</f>
        <v>23.5851408354639</v>
      </c>
      <c r="BB56" s="1">
        <f ca="1">IFERROR(__xludf.UNSUPPORTED("""COMPUTED_VALUE"""),23.5851408354639)</f>
        <v>23.5851408354639</v>
      </c>
      <c r="BC56" s="1">
        <f ca="1">IFERROR(__xludf.UNSUPPORTED("""COMPUTED_VALUE"""),0.363486436928243)</f>
        <v>0.36348643692824301</v>
      </c>
      <c r="BD56" s="1">
        <f ca="1">IFERROR(__xludf.UNSUPPORTED("""COMPUTED_VALUE"""),6.70759117875877)</f>
        <v>6.7075911787587703</v>
      </c>
      <c r="BE56" s="1">
        <f ca="1">IFERROR(__xludf.UNSUPPORTED("""COMPUTED_VALUE"""),0.00589587154291443)</f>
        <v>5.89587154291443E-3</v>
      </c>
      <c r="BF56" s="1">
        <f ca="1">IFERROR(__xludf.UNSUPPORTED("""COMPUTED_VALUE"""),20.7521186512474)</f>
        <v>20.7521186512474</v>
      </c>
      <c r="BG56" s="1">
        <f ca="1">IFERROR(__xludf.UNSUPPORTED("""COMPUTED_VALUE"""),38.8928654658424)</f>
        <v>38.892865465842398</v>
      </c>
    </row>
    <row r="57" spans="1:59" ht="13">
      <c r="A57" s="1">
        <f t="shared" si="1"/>
        <v>7</v>
      </c>
      <c r="B57" s="5" t="str">
        <f ca="1">IFERROR(__xludf.UNSUPPORTED("""COMPUTED_VALUE"""),"AAPL")</f>
        <v>AAPL</v>
      </c>
      <c r="C57" s="1">
        <f ca="1">IFERROR(__xludf.UNSUPPORTED("""COMPUTED_VALUE"""),44100)</f>
        <v>44100</v>
      </c>
      <c r="D57" s="1">
        <f ca="1">IFERROR(__xludf.UNSUPPORTED("""COMPUTED_VALUE"""),2020)</f>
        <v>2020</v>
      </c>
      <c r="E57" s="1" t="str">
        <f ca="1">IFERROR(__xludf.UNSUPPORTED("""COMPUTED_VALUE"""),"FY")</f>
        <v>FY</v>
      </c>
      <c r="F57" s="1">
        <f ca="1">IFERROR(__xludf.UNSUPPORTED("""COMPUTED_VALUE"""),1.36360444815545)</f>
        <v>1.3636044481554499</v>
      </c>
      <c r="G57" s="1">
        <f ca="1">IFERROR(__xludf.UNSUPPORTED("""COMPUTED_VALUE"""),1.32507211173523)</f>
        <v>1.32507211173523</v>
      </c>
      <c r="H57" s="1">
        <f ca="1">IFERROR(__xludf.UNSUPPORTED("""COMPUTED_VALUE"""),0.360710490359799)</f>
        <v>0.36071049035979902</v>
      </c>
      <c r="I57" s="1">
        <f ca="1">IFERROR(__xludf.UNSUPPORTED("""COMPUTED_VALUE"""),49.7875343788135)</f>
        <v>49.787534378813497</v>
      </c>
      <c r="J57" s="1">
        <f ca="1">IFERROR(__xludf.UNSUPPORTED("""COMPUTED_VALUE"""),8.74188335623588)</f>
        <v>8.7418833562358795</v>
      </c>
      <c r="K57" s="1">
        <f ca="1">IFERROR(__xludf.UNSUPPORTED("""COMPUTED_VALUE"""),58.5294177350494)</f>
        <v>58.5294177350494</v>
      </c>
      <c r="L57" s="1">
        <f ca="1">IFERROR(__xludf.UNSUPPORTED("""COMPUTED_VALUE"""),91.0481897156741)</f>
        <v>91.048189715674098</v>
      </c>
      <c r="M57" s="1">
        <f ca="1">IFERROR(__xludf.UNSUPPORTED("""COMPUTED_VALUE"""),-32.5187719806247)</f>
        <v>-32.518771980624699</v>
      </c>
      <c r="N57" s="1">
        <f ca="1">IFERROR(__xludf.UNSUPPORTED("""COMPUTED_VALUE"""),0.382332477278108)</f>
        <v>0.38233247727810798</v>
      </c>
      <c r="O57" s="1">
        <f ca="1">IFERROR(__xludf.UNSUPPORTED("""COMPUTED_VALUE"""),0.241473143544068)</f>
        <v>0.24147314354406799</v>
      </c>
      <c r="P57" s="1">
        <f ca="1">IFERROR(__xludf.UNSUPPORTED("""COMPUTED_VALUE"""),0.244398302460703)</f>
        <v>0.24439830246070299</v>
      </c>
      <c r="Q57" s="1">
        <f ca="1">IFERROR(__xludf.UNSUPPORTED("""COMPUTED_VALUE"""),0.209136112780722)</f>
        <v>0.209136112780722</v>
      </c>
      <c r="R57" s="1">
        <f ca="1">IFERROR(__xludf.UNSUPPORTED("""COMPUTED_VALUE"""),0.144281647314841)</f>
        <v>0.144281647314841</v>
      </c>
      <c r="S57" s="1">
        <f ca="1">IFERROR(__xludf.UNSUPPORTED("""COMPUTED_VALUE"""),0.177255718025984)</f>
        <v>0.177255718025984</v>
      </c>
      <c r="T57" s="1">
        <f ca="1">IFERROR(__xludf.UNSUPPORTED("""COMPUTED_VALUE"""),0.878663585301274)</f>
        <v>0.87866358530127397</v>
      </c>
      <c r="U57" s="1">
        <f ca="1">IFERROR(__xludf.UNSUPPORTED("""COMPUTED_VALUE"""),0.303383128295254)</f>
        <v>0.30338312829525399</v>
      </c>
      <c r="V57" s="1">
        <f ca="1">IFERROR(__xludf.UNSUPPORTED("""COMPUTED_VALUE"""),0.855718352685159)</f>
        <v>0.85571835268515895</v>
      </c>
      <c r="W57" s="1">
        <f ca="1">IFERROR(__xludf.UNSUPPORTED("""COMPUTED_VALUE"""),1.01211380642046)</f>
        <v>1.01211380642046</v>
      </c>
      <c r="X57" s="1">
        <f ca="1">IFERROR(__xludf.UNSUPPORTED("""COMPUTED_VALUE"""),0.241473143544068)</f>
        <v>0.24147314354406799</v>
      </c>
      <c r="Y57" s="1">
        <f ca="1">IFERROR(__xludf.UNSUPPORTED("""COMPUTED_VALUE"""),0.377531739366694)</f>
        <v>0.37753173936669399</v>
      </c>
      <c r="Z57" s="1">
        <f ca="1">IFERROR(__xludf.UNSUPPORTED("""COMPUTED_VALUE"""),1.87143972206492)</f>
        <v>1.8714397220649199</v>
      </c>
      <c r="AA57" s="1">
        <f ca="1">IFERROR(__xludf.UNSUPPORTED("""COMPUTED_VALUE"""),0.601606038803458)</f>
        <v>0.60160603880345798</v>
      </c>
      <c r="AB57" s="1">
        <f ca="1">IFERROR(__xludf.UNSUPPORTED("""COMPUTED_VALUE"""),0.651742645922277)</f>
        <v>0.65174264592227704</v>
      </c>
      <c r="AC57" s="1">
        <f ca="1">IFERROR(__xludf.UNSUPPORTED("""COMPUTED_VALUE"""),23.0727462582666)</f>
        <v>23.072746258266601</v>
      </c>
      <c r="AD57" s="1">
        <f ca="1">IFERROR(__xludf.UNSUPPORTED("""COMPUTED_VALUE"""),0.659758910024697)</f>
        <v>0.659758910024697</v>
      </c>
      <c r="AE57" s="1">
        <f ca="1">IFERROR(__xludf.UNSUPPORTED("""COMPUTED_VALUE"""),4.95703944045669)</f>
        <v>4.9570394404566898</v>
      </c>
      <c r="AF57" s="1">
        <f ca="1">IFERROR(__xludf.UNSUPPORTED("""COMPUTED_VALUE"""),7.33115235678995)</f>
        <v>7.3311523567899499</v>
      </c>
      <c r="AG57" s="1">
        <f ca="1">IFERROR(__xludf.UNSUPPORTED("""COMPUTED_VALUE"""),4.00886608662757)</f>
        <v>4.0088660866275703</v>
      </c>
      <c r="AH57" s="1">
        <f ca="1">IFERROR(__xludf.UNSUPPORTED("""COMPUTED_VALUE"""),41.7530164983994)</f>
        <v>41.753016498399397</v>
      </c>
      <c r="AI57" s="1">
        <f ca="1">IFERROR(__xludf.UNSUPPORTED("""COMPUTED_VALUE"""),6.05512175754367)</f>
        <v>6.0551217575436702</v>
      </c>
      <c r="AJ57" s="1">
        <f ca="1">IFERROR(__xludf.UNSUPPORTED("""COMPUTED_VALUE"""),0.847561502741688)</f>
        <v>0.84756150274168796</v>
      </c>
      <c r="AK57" s="1">
        <f ca="1">IFERROR(__xludf.UNSUPPORTED("""COMPUTED_VALUE"""),4.64923044845416)</f>
        <v>4.6492304484541602</v>
      </c>
      <c r="AL57" s="1">
        <f ca="1">IFERROR(__xludf.UNSUPPORTED("""COMPUTED_VALUE"""),4.2280138811865)</f>
        <v>4.2280138811864996</v>
      </c>
      <c r="AM57" s="1">
        <f ca="1">IFERROR(__xludf.UNSUPPORTED("""COMPUTED_VALUE"""),5.2410313691371)</f>
        <v>5.2410313691371</v>
      </c>
      <c r="AN57" s="1">
        <f ca="1">IFERROR(__xludf.UNSUPPORTED("""COMPUTED_VALUE"""),0.245266586542648)</f>
        <v>0.24526658654264799</v>
      </c>
      <c r="AO57" s="1">
        <f ca="1">IFERROR(__xludf.UNSUPPORTED("""COMPUTED_VALUE"""),0.293878294446569)</f>
        <v>0.29387829444656899</v>
      </c>
      <c r="AP57" s="1">
        <f ca="1">IFERROR(__xludf.UNSUPPORTED("""COMPUTED_VALUE"""),0.909400798274537)</f>
        <v>0.90940079827453701</v>
      </c>
      <c r="AQ57" s="1">
        <f ca="1">IFERROR(__xludf.UNSUPPORTED("""COMPUTED_VALUE"""),0.659758910024697)</f>
        <v>0.659758910024697</v>
      </c>
      <c r="AR57" s="1">
        <f ca="1">IFERROR(__xludf.UNSUPPORTED("""COMPUTED_VALUE"""),5.8591037838623)</f>
        <v>5.8591037838622997</v>
      </c>
      <c r="AS57" s="1">
        <f ca="1">IFERROR(__xludf.UNSUPPORTED("""COMPUTED_VALUE"""),11.0376248460801)</f>
        <v>11.037624846080099</v>
      </c>
      <c r="AT57" s="1">
        <f ca="1">IFERROR(__xludf.UNSUPPORTED("""COMPUTED_VALUE"""),3.77157550257129)</f>
        <v>3.7715755025712898</v>
      </c>
      <c r="AU57" s="1">
        <f ca="1">IFERROR(__xludf.UNSUPPORTED("""COMPUTED_VALUE"""),0.245266586542648)</f>
        <v>0.24526658654264799</v>
      </c>
      <c r="AV57" s="1">
        <f ca="1">IFERROR(__xludf.UNSUPPORTED("""COMPUTED_VALUE"""),29.8182696600805)</f>
        <v>29.8182696600805</v>
      </c>
      <c r="AW57" s="1">
        <f ca="1">IFERROR(__xludf.UNSUPPORTED("""COMPUTED_VALUE"""),29.8182696600805)</f>
        <v>29.8182696600805</v>
      </c>
      <c r="AX57" s="1">
        <f ca="1">IFERROR(__xludf.UNSUPPORTED("""COMPUTED_VALUE"""),7.09722937296686)</f>
        <v>7.0972293729668596</v>
      </c>
      <c r="AY57" s="1">
        <f ca="1">IFERROR(__xludf.UNSUPPORTED("""COMPUTED_VALUE"""),33.9359342516242)</f>
        <v>33.935934251624197</v>
      </c>
      <c r="AZ57" s="1">
        <f ca="1">IFERROR(__xludf.UNSUPPORTED("""COMPUTED_VALUE"""),26.5562042025488)</f>
        <v>26.556204202548798</v>
      </c>
      <c r="BA57" s="1">
        <f ca="1">IFERROR(__xludf.UNSUPPORTED("""COMPUTED_VALUE"""),24.1502333009395)</f>
        <v>24.150233300939501</v>
      </c>
      <c r="BB57" s="1">
        <f ca="1">IFERROR(__xludf.UNSUPPORTED("""COMPUTED_VALUE"""),24.1502333009395)</f>
        <v>24.150233300939501</v>
      </c>
      <c r="BC57" s="1">
        <f ca="1">IFERROR(__xludf.UNSUPPORTED("""COMPUTED_VALUE"""),3.17088885663614)</f>
        <v>3.17088885663614</v>
      </c>
      <c r="BD57" s="1">
        <f ca="1">IFERROR(__xludf.UNSUPPORTED("""COMPUTED_VALUE"""),7.09722937296686)</f>
        <v>7.0972293729668596</v>
      </c>
      <c r="BE57" s="1">
        <f ca="1">IFERROR(__xludf.UNSUPPORTED("""COMPUTED_VALUE"""),0.00722734151722696)</f>
        <v>7.22734151722696E-3</v>
      </c>
      <c r="BF57" s="1">
        <f ca="1">IFERROR(__xludf.UNSUPPORTED("""COMPUTED_VALUE"""),25.0871133216489)</f>
        <v>25.0871133216489</v>
      </c>
      <c r="BG57" s="1">
        <f ca="1">IFERROR(__xludf.UNSUPPORTED("""COMPUTED_VALUE"""),29.8182696600805)</f>
        <v>29.8182696600805</v>
      </c>
    </row>
    <row r="58" spans="1:59" ht="13">
      <c r="A58" s="1">
        <f t="shared" si="1"/>
        <v>8</v>
      </c>
      <c r="B58" s="5"/>
    </row>
    <row r="59" spans="1:59" ht="13">
      <c r="A59" s="1">
        <f t="shared" si="1"/>
        <v>9</v>
      </c>
      <c r="B59" s="5"/>
    </row>
    <row r="60" spans="1:59" ht="13">
      <c r="A60" s="1">
        <f t="shared" si="1"/>
        <v>10</v>
      </c>
      <c r="B60" s="5"/>
    </row>
    <row r="61" spans="1:59" ht="13">
      <c r="A61" s="1">
        <f t="shared" si="1"/>
        <v>11</v>
      </c>
      <c r="B61" s="5"/>
    </row>
    <row r="62" spans="1:59" ht="13">
      <c r="A62" s="1">
        <f t="shared" si="1"/>
        <v>12</v>
      </c>
      <c r="B62" s="5"/>
    </row>
    <row r="63" spans="1:59" ht="13">
      <c r="A63" s="1">
        <f t="shared" si="1"/>
        <v>13</v>
      </c>
      <c r="B63" s="5"/>
    </row>
    <row r="64" spans="1:59" ht="13">
      <c r="A64" s="1">
        <f t="shared" si="1"/>
        <v>14</v>
      </c>
      <c r="B64" s="5"/>
    </row>
    <row r="65" spans="1:2" ht="13">
      <c r="A65" s="1">
        <f t="shared" si="1"/>
        <v>15</v>
      </c>
      <c r="B65" s="5"/>
    </row>
    <row r="66" spans="1:2" ht="13">
      <c r="A66" s="1">
        <f t="shared" si="1"/>
        <v>16</v>
      </c>
      <c r="B66" s="5"/>
    </row>
    <row r="67" spans="1:2" ht="13">
      <c r="A67" s="1">
        <f t="shared" si="1"/>
        <v>17</v>
      </c>
      <c r="B67" s="5"/>
    </row>
    <row r="68" spans="1:2" ht="13">
      <c r="A68" s="1">
        <f t="shared" si="1"/>
        <v>18</v>
      </c>
      <c r="B68" s="5"/>
    </row>
    <row r="69" spans="1:2" ht="13">
      <c r="A69" s="1">
        <f t="shared" si="1"/>
        <v>19</v>
      </c>
      <c r="B69" s="5"/>
    </row>
    <row r="70" spans="1:2" ht="13">
      <c r="A70" s="1">
        <f t="shared" si="1"/>
        <v>20</v>
      </c>
      <c r="B70" s="5"/>
    </row>
    <row r="71" spans="1:2" ht="13">
      <c r="A71" s="1">
        <f t="shared" si="1"/>
        <v>21</v>
      </c>
      <c r="B71" s="5"/>
    </row>
    <row r="72" spans="1:2" ht="13">
      <c r="A72" s="1">
        <f t="shared" si="1"/>
        <v>22</v>
      </c>
      <c r="B72" s="5"/>
    </row>
    <row r="73" spans="1:2" ht="13">
      <c r="A73" s="1">
        <f t="shared" si="1"/>
        <v>23</v>
      </c>
      <c r="B73" s="5"/>
    </row>
    <row r="74" spans="1:2" ht="13">
      <c r="A74" s="1">
        <f t="shared" si="1"/>
        <v>24</v>
      </c>
      <c r="B74" s="5"/>
    </row>
    <row r="75" spans="1:2" ht="13">
      <c r="A75" s="1">
        <f t="shared" si="1"/>
        <v>25</v>
      </c>
      <c r="B75" s="5"/>
    </row>
    <row r="76" spans="1:2" ht="13">
      <c r="A76" s="1">
        <f t="shared" si="1"/>
        <v>26</v>
      </c>
      <c r="B76" s="5"/>
    </row>
    <row r="77" spans="1:2" ht="13">
      <c r="A77" s="1">
        <f t="shared" si="1"/>
        <v>27</v>
      </c>
      <c r="B77" s="5"/>
    </row>
    <row r="78" spans="1:2" ht="13">
      <c r="A78" s="1">
        <f t="shared" si="1"/>
        <v>28</v>
      </c>
      <c r="B78" s="5"/>
    </row>
    <row r="79" spans="1:2" ht="13">
      <c r="A79" s="1">
        <f t="shared" si="1"/>
        <v>29</v>
      </c>
      <c r="B79" s="5"/>
    </row>
    <row r="80" spans="1:2" ht="13">
      <c r="A80" s="1">
        <f t="shared" si="1"/>
        <v>30</v>
      </c>
      <c r="B80" s="5"/>
    </row>
    <row r="81" spans="1:2" ht="13">
      <c r="A81" s="1">
        <f t="shared" si="1"/>
        <v>31</v>
      </c>
      <c r="B81" s="5"/>
    </row>
    <row r="82" spans="1:2" ht="13">
      <c r="A82" s="1">
        <f t="shared" si="1"/>
        <v>32</v>
      </c>
      <c r="B82" s="5"/>
    </row>
    <row r="83" spans="1:2" ht="13">
      <c r="A83" s="1">
        <f t="shared" si="1"/>
        <v>33</v>
      </c>
      <c r="B83" s="5"/>
    </row>
    <row r="84" spans="1:2" ht="13">
      <c r="A84" s="1">
        <f t="shared" si="1"/>
        <v>34</v>
      </c>
      <c r="B84" s="5"/>
    </row>
    <row r="85" spans="1:2" ht="13">
      <c r="A85" s="1">
        <f t="shared" si="1"/>
        <v>35</v>
      </c>
      <c r="B85" s="5"/>
    </row>
    <row r="86" spans="1:2" ht="13">
      <c r="A86" s="1">
        <f t="shared" si="1"/>
        <v>36</v>
      </c>
      <c r="B86" s="5"/>
    </row>
    <row r="87" spans="1:2" ht="13">
      <c r="A87" s="1">
        <f t="shared" si="1"/>
        <v>37</v>
      </c>
      <c r="B87" s="5"/>
    </row>
    <row r="88" spans="1:2" ht="13">
      <c r="A88" s="1">
        <f t="shared" si="1"/>
        <v>38</v>
      </c>
      <c r="B88" s="5"/>
    </row>
    <row r="89" spans="1:2" ht="13">
      <c r="A89" s="1">
        <f t="shared" si="1"/>
        <v>39</v>
      </c>
      <c r="B89" s="5"/>
    </row>
    <row r="90" spans="1:2" ht="13">
      <c r="A90" s="1">
        <f t="shared" si="1"/>
        <v>40</v>
      </c>
    </row>
    <row r="91" spans="1:2" ht="13">
      <c r="A91" s="1">
        <f t="shared" si="1"/>
        <v>41</v>
      </c>
    </row>
    <row r="92" spans="1:2" ht="13">
      <c r="A92" s="1">
        <f t="shared" si="1"/>
        <v>42</v>
      </c>
    </row>
    <row r="93" spans="1:2" ht="13">
      <c r="A93" s="1">
        <f t="shared" si="1"/>
        <v>43</v>
      </c>
    </row>
    <row r="94" spans="1:2" ht="13">
      <c r="A94" s="1">
        <f t="shared" si="1"/>
        <v>44</v>
      </c>
    </row>
    <row r="95" spans="1:2" ht="13">
      <c r="A95" s="1">
        <f t="shared" si="1"/>
        <v>45</v>
      </c>
    </row>
    <row r="96" spans="1:2" ht="13">
      <c r="A96" s="1">
        <f t="shared" si="1"/>
        <v>46</v>
      </c>
    </row>
    <row r="97" spans="1:1" ht="13">
      <c r="A97" s="1">
        <f t="shared" si="1"/>
        <v>47</v>
      </c>
    </row>
    <row r="98" spans="1:1" ht="13">
      <c r="A98" s="1">
        <f t="shared" si="1"/>
        <v>48</v>
      </c>
    </row>
    <row r="99" spans="1:1" ht="13">
      <c r="A99" s="1">
        <f t="shared" si="1"/>
        <v>49</v>
      </c>
    </row>
    <row r="100" spans="1:1" ht="13">
      <c r="A100" s="1">
        <f t="shared" si="1"/>
        <v>50</v>
      </c>
    </row>
    <row r="201" spans="1:8" ht="13">
      <c r="A201" s="1" t="s">
        <v>11</v>
      </c>
    </row>
    <row r="202" spans="1:8" ht="15.75" customHeight="1">
      <c r="B202" s="3" t="str">
        <f ca="1">IFERROR(__xludf.UNSUPPORTED(IMPORTDATA("https://fmpcloud.io/api/v3/balance-sheet-statement/" &amp;#REF! &amp; "?datatype=csv&amp;apikey=" &amp;#REF!)),"date")</f>
        <v>date</v>
      </c>
      <c r="C202" s="1"/>
      <c r="D202" s="1" t="str">
        <f ca="1">IFERROR(__xludf.UNSUPPORTED("""COMPUTED_VALUE"""),"2024-09-28_FY")</f>
        <v>2024-09-28_FY</v>
      </c>
      <c r="E202" s="1" t="str">
        <f ca="1">IFERROR(__xludf.UNSUPPORTED("""COMPUTED_VALUE"""),"2023-09-30_FY")</f>
        <v>2023-09-30_FY</v>
      </c>
      <c r="F202" s="1" t="str">
        <f ca="1">IFERROR(__xludf.UNSUPPORTED("""COMPUTED_VALUE"""),"2022-09-24_FY")</f>
        <v>2022-09-24_FY</v>
      </c>
      <c r="G202" s="1" t="str">
        <f ca="1">IFERROR(__xludf.UNSUPPORTED("""COMPUTED_VALUE"""),"2021-09-25_FY")</f>
        <v>2021-09-25_FY</v>
      </c>
      <c r="H202" s="1" t="str">
        <f ca="1">IFERROR(__xludf.UNSUPPORTED("""COMPUTED_VALUE"""),"2020-09-26_FY")</f>
        <v>2020-09-26_FY</v>
      </c>
    </row>
    <row r="203" spans="1:8" ht="13">
      <c r="B203" s="1"/>
      <c r="C203" s="1"/>
      <c r="D203" s="1"/>
      <c r="E203" s="1"/>
      <c r="F203" s="1"/>
      <c r="G203" s="1"/>
      <c r="H203" s="1"/>
    </row>
    <row r="204" spans="1:8" ht="13">
      <c r="B204" s="1" t="str">
        <f ca="1">IFERROR(__xludf.UNSUPPORTED("""COMPUTED_VALUE"""),"ASSETS")</f>
        <v>ASSETS</v>
      </c>
      <c r="C204" s="1" t="str">
        <f ca="1">IFERROR(__xludf.UNSUPPORTED("""COMPUTED_VALUE"""),"CURRENT ASSETS")</f>
        <v>CURRENT ASSETS</v>
      </c>
      <c r="D204" s="1"/>
      <c r="E204" s="1"/>
      <c r="F204" s="1"/>
      <c r="G204" s="1"/>
      <c r="H204" s="1"/>
    </row>
    <row r="205" spans="1:8" ht="13">
      <c r="B205" s="1"/>
      <c r="C205" s="1" t="str">
        <f ca="1">IFERROR(__xludf.UNSUPPORTED("""COMPUTED_VALUE"""),"cashAndCashEquivalents")</f>
        <v>cashAndCashEquivalents</v>
      </c>
      <c r="D205" s="1">
        <f ca="1">IFERROR(__xludf.UNSUPPORTED("""COMPUTED_VALUE"""),29943000000)</f>
        <v>29943000000</v>
      </c>
      <c r="E205" s="1">
        <f ca="1">IFERROR(__xludf.UNSUPPORTED("""COMPUTED_VALUE"""),29965000000)</f>
        <v>29965000000</v>
      </c>
      <c r="F205" s="1">
        <f ca="1">IFERROR(__xludf.UNSUPPORTED("""COMPUTED_VALUE"""),23646000000)</f>
        <v>23646000000</v>
      </c>
      <c r="G205" s="1">
        <f ca="1">IFERROR(__xludf.UNSUPPORTED("""COMPUTED_VALUE"""),34940000000)</f>
        <v>34940000000</v>
      </c>
      <c r="H205" s="1">
        <f ca="1">IFERROR(__xludf.UNSUPPORTED("""COMPUTED_VALUE"""),38016000000)</f>
        <v>38016000000</v>
      </c>
    </row>
    <row r="206" spans="1:8" ht="13">
      <c r="B206" s="1"/>
      <c r="C206" s="1" t="str">
        <f ca="1">IFERROR(__xludf.UNSUPPORTED("""COMPUTED_VALUE"""),"shortTermInvestments")</f>
        <v>shortTermInvestments</v>
      </c>
      <c r="D206" s="1">
        <f ca="1">IFERROR(__xludf.UNSUPPORTED("""COMPUTED_VALUE"""),35228000000)</f>
        <v>35228000000</v>
      </c>
      <c r="E206" s="1">
        <f ca="1">IFERROR(__xludf.UNSUPPORTED("""COMPUTED_VALUE"""),31590000000)</f>
        <v>31590000000</v>
      </c>
      <c r="F206" s="1">
        <f ca="1">IFERROR(__xludf.UNSUPPORTED("""COMPUTED_VALUE"""),24658000000)</f>
        <v>24658000000</v>
      </c>
      <c r="G206" s="1">
        <f ca="1">IFERROR(__xludf.UNSUPPORTED("""COMPUTED_VALUE"""),27699000000)</f>
        <v>27699000000</v>
      </c>
      <c r="H206" s="1">
        <f ca="1">IFERROR(__xludf.UNSUPPORTED("""COMPUTED_VALUE"""),52927000000)</f>
        <v>52927000000</v>
      </c>
    </row>
    <row r="207" spans="1:8" ht="13">
      <c r="B207" s="1"/>
      <c r="C207" s="1" t="str">
        <f ca="1">IFERROR(__xludf.UNSUPPORTED("""COMPUTED_VALUE"""),"cashAndShortTermInvestments")</f>
        <v>cashAndShortTermInvestments</v>
      </c>
      <c r="D207" s="1">
        <f ca="1">IFERROR(__xludf.UNSUPPORTED("""COMPUTED_VALUE"""),65171000000)</f>
        <v>65171000000</v>
      </c>
      <c r="E207" s="1">
        <f ca="1">IFERROR(__xludf.UNSUPPORTED("""COMPUTED_VALUE"""),61555000000)</f>
        <v>61555000000</v>
      </c>
      <c r="F207" s="1">
        <f ca="1">IFERROR(__xludf.UNSUPPORTED("""COMPUTED_VALUE"""),48304000000)</f>
        <v>48304000000</v>
      </c>
      <c r="G207" s="1">
        <f ca="1">IFERROR(__xludf.UNSUPPORTED("""COMPUTED_VALUE"""),62639000000)</f>
        <v>62639000000</v>
      </c>
      <c r="H207" s="1">
        <f ca="1">IFERROR(__xludf.UNSUPPORTED("""COMPUTED_VALUE"""),90943000000)</f>
        <v>90943000000</v>
      </c>
    </row>
    <row r="208" spans="1:8" ht="13">
      <c r="B208" s="1"/>
      <c r="C208" s="1" t="str">
        <f ca="1">IFERROR(__xludf.UNSUPPORTED("""COMPUTED_VALUE"""),"netReceivables")</f>
        <v>netReceivables</v>
      </c>
      <c r="D208" s="1">
        <f ca="1">IFERROR(__xludf.UNSUPPORTED("""COMPUTED_VALUE"""),66243000000)</f>
        <v>66243000000</v>
      </c>
      <c r="E208" s="1">
        <f ca="1">IFERROR(__xludf.UNSUPPORTED("""COMPUTED_VALUE"""),60985000000)</f>
        <v>60985000000</v>
      </c>
      <c r="F208" s="1">
        <f ca="1">IFERROR(__xludf.UNSUPPORTED("""COMPUTED_VALUE"""),60932000000)</f>
        <v>60932000000</v>
      </c>
      <c r="G208" s="1">
        <f ca="1">IFERROR(__xludf.UNSUPPORTED("""COMPUTED_VALUE"""),51506000000)</f>
        <v>51506000000</v>
      </c>
      <c r="H208" s="1">
        <f ca="1">IFERROR(__xludf.UNSUPPORTED("""COMPUTED_VALUE"""),37445000000)</f>
        <v>37445000000</v>
      </c>
    </row>
    <row r="209" spans="2:8" ht="13">
      <c r="B209" s="1"/>
      <c r="C209" s="1" t="str">
        <f ca="1">IFERROR(__xludf.UNSUPPORTED("""COMPUTED_VALUE"""),"inventory")</f>
        <v>inventory</v>
      </c>
      <c r="D209" s="1">
        <f ca="1">IFERROR(__xludf.UNSUPPORTED("""COMPUTED_VALUE"""),7286000000)</f>
        <v>7286000000</v>
      </c>
      <c r="E209" s="1">
        <f ca="1">IFERROR(__xludf.UNSUPPORTED("""COMPUTED_VALUE"""),6331000000)</f>
        <v>6331000000</v>
      </c>
      <c r="F209" s="1">
        <f ca="1">IFERROR(__xludf.UNSUPPORTED("""COMPUTED_VALUE"""),4946000000)</f>
        <v>4946000000</v>
      </c>
      <c r="G209" s="1">
        <f ca="1">IFERROR(__xludf.UNSUPPORTED("""COMPUTED_VALUE"""),6580000000)</f>
        <v>6580000000</v>
      </c>
      <c r="H209" s="1">
        <f ca="1">IFERROR(__xludf.UNSUPPORTED("""COMPUTED_VALUE"""),4061000000)</f>
        <v>4061000000</v>
      </c>
    </row>
    <row r="210" spans="2:8" ht="13">
      <c r="B210" s="1"/>
      <c r="C210" s="1" t="str">
        <f ca="1">IFERROR(__xludf.UNSUPPORTED("""COMPUTED_VALUE"""),"otherCurrentAssets")</f>
        <v>otherCurrentAssets</v>
      </c>
      <c r="D210" s="1">
        <f ca="1">IFERROR(__xludf.UNSUPPORTED("""COMPUTED_VALUE"""),14287000000)</f>
        <v>14287000000</v>
      </c>
      <c r="E210" s="1">
        <f ca="1">IFERROR(__xludf.UNSUPPORTED("""COMPUTED_VALUE"""),14695000000)</f>
        <v>14695000000</v>
      </c>
      <c r="F210" s="1">
        <f ca="1">IFERROR(__xludf.UNSUPPORTED("""COMPUTED_VALUE"""),21223000000)</f>
        <v>21223000000</v>
      </c>
      <c r="G210" s="1">
        <f ca="1">IFERROR(__xludf.UNSUPPORTED("""COMPUTED_VALUE"""),14111000000)</f>
        <v>14111000000</v>
      </c>
      <c r="H210" s="1">
        <f ca="1">IFERROR(__xludf.UNSUPPORTED("""COMPUTED_VALUE"""),11264000000)</f>
        <v>11264000000</v>
      </c>
    </row>
    <row r="211" spans="2:8" ht="13">
      <c r="B211" s="1"/>
      <c r="C211" s="1" t="str">
        <f ca="1">IFERROR(__xludf.UNSUPPORTED("""COMPUTED_VALUE"""),"totalCurrentAssets")</f>
        <v>totalCurrentAssets</v>
      </c>
      <c r="D211" s="1">
        <f ca="1">IFERROR(__xludf.UNSUPPORTED("""COMPUTED_VALUE"""),152987000000)</f>
        <v>152987000000</v>
      </c>
      <c r="E211" s="1">
        <f ca="1">IFERROR(__xludf.UNSUPPORTED("""COMPUTED_VALUE"""),143566000000)</f>
        <v>143566000000</v>
      </c>
      <c r="F211" s="1">
        <f ca="1">IFERROR(__xludf.UNSUPPORTED("""COMPUTED_VALUE"""),135405000000)</f>
        <v>135405000000</v>
      </c>
      <c r="G211" s="1">
        <f ca="1">IFERROR(__xludf.UNSUPPORTED("""COMPUTED_VALUE"""),134836000000)</f>
        <v>134836000000</v>
      </c>
      <c r="H211" s="1">
        <f ca="1">IFERROR(__xludf.UNSUPPORTED("""COMPUTED_VALUE"""),143713000000)</f>
        <v>143713000000</v>
      </c>
    </row>
    <row r="212" spans="2:8" ht="13">
      <c r="B212" s="1"/>
      <c r="C212" s="1"/>
      <c r="D212" s="1"/>
      <c r="E212" s="1"/>
      <c r="F212" s="1"/>
      <c r="G212" s="1"/>
      <c r="H212" s="1"/>
    </row>
    <row r="213" spans="2:8" ht="13">
      <c r="B213" s="1"/>
      <c r="C213" s="1" t="str">
        <f ca="1">IFERROR(__xludf.UNSUPPORTED("""COMPUTED_VALUE"""),"NON CURRENT ASSETS")</f>
        <v>NON CURRENT ASSETS</v>
      </c>
      <c r="D213" s="1"/>
      <c r="E213" s="1"/>
      <c r="F213" s="1"/>
      <c r="G213" s="1"/>
      <c r="H213" s="1"/>
    </row>
    <row r="214" spans="2:8" ht="13">
      <c r="B214" s="1"/>
      <c r="C214" s="1" t="str">
        <f ca="1">IFERROR(__xludf.UNSUPPORTED("""COMPUTED_VALUE"""),"propertyPlantEquipmentNet")</f>
        <v>propertyPlantEquipmentNet</v>
      </c>
      <c r="D214" s="1">
        <f ca="1">IFERROR(__xludf.UNSUPPORTED("""COMPUTED_VALUE"""),45680000000)</f>
        <v>45680000000</v>
      </c>
      <c r="E214" s="1">
        <f ca="1">IFERROR(__xludf.UNSUPPORTED("""COMPUTED_VALUE"""),54376000000)</f>
        <v>54376000000</v>
      </c>
      <c r="F214" s="1">
        <f ca="1">IFERROR(__xludf.UNSUPPORTED("""COMPUTED_VALUE"""),52534000000)</f>
        <v>52534000000</v>
      </c>
      <c r="G214" s="1">
        <f ca="1">IFERROR(__xludf.UNSUPPORTED("""COMPUTED_VALUE"""),49527000000)</f>
        <v>49527000000</v>
      </c>
      <c r="H214" s="1">
        <f ca="1">IFERROR(__xludf.UNSUPPORTED("""COMPUTED_VALUE"""),45336000000)</f>
        <v>45336000000</v>
      </c>
    </row>
    <row r="215" spans="2:8" ht="13">
      <c r="B215" s="1"/>
      <c r="C215" s="1" t="str">
        <f ca="1">IFERROR(__xludf.UNSUPPORTED("""COMPUTED_VALUE"""),"goodwill")</f>
        <v>goodwill</v>
      </c>
      <c r="D215" s="1">
        <f ca="1">IFERROR(__xludf.UNSUPPORTED("""COMPUTED_VALUE"""),0)</f>
        <v>0</v>
      </c>
      <c r="E215" s="1">
        <f ca="1">IFERROR(__xludf.UNSUPPORTED("""COMPUTED_VALUE"""),0)</f>
        <v>0</v>
      </c>
      <c r="F215" s="1">
        <f ca="1">IFERROR(__xludf.UNSUPPORTED("""COMPUTED_VALUE"""),0)</f>
        <v>0</v>
      </c>
      <c r="G215" s="1">
        <f ca="1">IFERROR(__xludf.UNSUPPORTED("""COMPUTED_VALUE"""),0)</f>
        <v>0</v>
      </c>
      <c r="H215" s="1">
        <f ca="1">IFERROR(__xludf.UNSUPPORTED("""COMPUTED_VALUE"""),0)</f>
        <v>0</v>
      </c>
    </row>
    <row r="216" spans="2:8" ht="13">
      <c r="B216" s="1"/>
      <c r="C216" s="1" t="str">
        <f ca="1">IFERROR(__xludf.UNSUPPORTED("""COMPUTED_VALUE"""),"intangibleAssets")</f>
        <v>intangibleAssets</v>
      </c>
      <c r="D216" s="1">
        <f ca="1">IFERROR(__xludf.UNSUPPORTED("""COMPUTED_VALUE"""),0)</f>
        <v>0</v>
      </c>
      <c r="E216" s="1">
        <f ca="1">IFERROR(__xludf.UNSUPPORTED("""COMPUTED_VALUE"""),0)</f>
        <v>0</v>
      </c>
      <c r="F216" s="1">
        <f ca="1">IFERROR(__xludf.UNSUPPORTED("""COMPUTED_VALUE"""),0)</f>
        <v>0</v>
      </c>
      <c r="G216" s="1">
        <f ca="1">IFERROR(__xludf.UNSUPPORTED("""COMPUTED_VALUE"""),0)</f>
        <v>0</v>
      </c>
      <c r="H216" s="1">
        <f ca="1">IFERROR(__xludf.UNSUPPORTED("""COMPUTED_VALUE"""),0)</f>
        <v>0</v>
      </c>
    </row>
    <row r="217" spans="2:8" ht="13">
      <c r="B217" s="1"/>
      <c r="C217" s="1" t="str">
        <f ca="1">IFERROR(__xludf.UNSUPPORTED("""COMPUTED_VALUE"""),"goodwillAndIntangibleAssets")</f>
        <v>goodwillAndIntangibleAssets</v>
      </c>
      <c r="D217" s="1">
        <f ca="1">IFERROR(__xludf.UNSUPPORTED("""COMPUTED_VALUE"""),-19499000000)</f>
        <v>-19499000000</v>
      </c>
      <c r="E217" s="1">
        <f ca="1">IFERROR(__xludf.UNSUPPORTED("""COMPUTED_VALUE"""),0)</f>
        <v>0</v>
      </c>
      <c r="F217" s="1">
        <f ca="1">IFERROR(__xludf.UNSUPPORTED("""COMPUTED_VALUE"""),0)</f>
        <v>0</v>
      </c>
      <c r="G217" s="1">
        <f ca="1">IFERROR(__xludf.UNSUPPORTED("""COMPUTED_VALUE"""),0)</f>
        <v>0</v>
      </c>
      <c r="H217" s="1">
        <f ca="1">IFERROR(__xludf.UNSUPPORTED("""COMPUTED_VALUE"""),0)</f>
        <v>0</v>
      </c>
    </row>
    <row r="218" spans="2:8" ht="13">
      <c r="B218" s="1"/>
      <c r="C218" s="1" t="str">
        <f ca="1">IFERROR(__xludf.UNSUPPORTED("""COMPUTED_VALUE"""),"longTermInvestments")</f>
        <v>longTermInvestments</v>
      </c>
      <c r="D218" s="1">
        <f ca="1">IFERROR(__xludf.UNSUPPORTED("""COMPUTED_VALUE"""),91479000000)</f>
        <v>91479000000</v>
      </c>
      <c r="E218" s="1">
        <f ca="1">IFERROR(__xludf.UNSUPPORTED("""COMPUTED_VALUE"""),100544000000)</f>
        <v>100544000000</v>
      </c>
      <c r="F218" s="1">
        <f ca="1">IFERROR(__xludf.UNSUPPORTED("""COMPUTED_VALUE"""),120805000000)</f>
        <v>120805000000</v>
      </c>
      <c r="G218" s="1">
        <f ca="1">IFERROR(__xludf.UNSUPPORTED("""COMPUTED_VALUE"""),127877000000)</f>
        <v>127877000000</v>
      </c>
      <c r="H218" s="1">
        <f ca="1">IFERROR(__xludf.UNSUPPORTED("""COMPUTED_VALUE"""),100887000000)</f>
        <v>100887000000</v>
      </c>
    </row>
    <row r="219" spans="2:8" ht="13">
      <c r="B219" s="1"/>
      <c r="C219" s="1" t="str">
        <f ca="1">IFERROR(__xludf.UNSUPPORTED("""COMPUTED_VALUE"""),"taxAssets")</f>
        <v>taxAssets</v>
      </c>
      <c r="D219" s="1">
        <f ca="1">IFERROR(__xludf.UNSUPPORTED("""COMPUTED_VALUE"""),19499000000)</f>
        <v>19499000000</v>
      </c>
      <c r="E219" s="1">
        <f ca="1">IFERROR(__xludf.UNSUPPORTED("""COMPUTED_VALUE"""),17852000000)</f>
        <v>17852000000</v>
      </c>
      <c r="F219" s="1">
        <f ca="1">IFERROR(__xludf.UNSUPPORTED("""COMPUTED_VALUE"""),15375000000)</f>
        <v>15375000000</v>
      </c>
      <c r="G219" s="1">
        <f ca="1">IFERROR(__xludf.UNSUPPORTED("""COMPUTED_VALUE"""),0)</f>
        <v>0</v>
      </c>
      <c r="H219" s="1">
        <f ca="1">IFERROR(__xludf.UNSUPPORTED("""COMPUTED_VALUE"""),0)</f>
        <v>0</v>
      </c>
    </row>
    <row r="220" spans="2:8" ht="13">
      <c r="B220" s="1"/>
      <c r="C220" s="1" t="str">
        <f ca="1">IFERROR(__xludf.UNSUPPORTED("""COMPUTED_VALUE"""),"otherNonCurrentAssets")</f>
        <v>otherNonCurrentAssets</v>
      </c>
      <c r="D220" s="1">
        <f ca="1">IFERROR(__xludf.UNSUPPORTED("""COMPUTED_VALUE"""),74834000000)</f>
        <v>74834000000</v>
      </c>
      <c r="E220" s="1">
        <f ca="1">IFERROR(__xludf.UNSUPPORTED("""COMPUTED_VALUE"""),36245000000)</f>
        <v>36245000000</v>
      </c>
      <c r="F220" s="1">
        <f ca="1">IFERROR(__xludf.UNSUPPORTED("""COMPUTED_VALUE"""),28636000000)</f>
        <v>28636000000</v>
      </c>
      <c r="G220" s="1">
        <f ca="1">IFERROR(__xludf.UNSUPPORTED("""COMPUTED_VALUE"""),38762000000)</f>
        <v>38762000000</v>
      </c>
      <c r="H220" s="1">
        <f ca="1">IFERROR(__xludf.UNSUPPORTED("""COMPUTED_VALUE"""),33952000000)</f>
        <v>33952000000</v>
      </c>
    </row>
    <row r="221" spans="2:8" ht="13">
      <c r="B221" s="1"/>
      <c r="C221" s="1" t="str">
        <f ca="1">IFERROR(__xludf.UNSUPPORTED("""COMPUTED_VALUE"""),"totalNonCurrentAssets")</f>
        <v>totalNonCurrentAssets</v>
      </c>
      <c r="D221" s="1">
        <f ca="1">IFERROR(__xludf.UNSUPPORTED("""COMPUTED_VALUE"""),211993000000)</f>
        <v>211993000000</v>
      </c>
      <c r="E221" s="1">
        <f ca="1">IFERROR(__xludf.UNSUPPORTED("""COMPUTED_VALUE"""),209017000000)</f>
        <v>209017000000</v>
      </c>
      <c r="F221" s="1">
        <f ca="1">IFERROR(__xludf.UNSUPPORTED("""COMPUTED_VALUE"""),217350000000)</f>
        <v>217350000000</v>
      </c>
      <c r="G221" s="1">
        <f ca="1">IFERROR(__xludf.UNSUPPORTED("""COMPUTED_VALUE"""),216166000000)</f>
        <v>216166000000</v>
      </c>
      <c r="H221" s="1">
        <f ca="1">IFERROR(__xludf.UNSUPPORTED("""COMPUTED_VALUE"""),180175000000)</f>
        <v>180175000000</v>
      </c>
    </row>
    <row r="222" spans="2:8" ht="13">
      <c r="B222" s="1"/>
      <c r="C222" s="1"/>
      <c r="D222" s="1"/>
      <c r="E222" s="1"/>
      <c r="F222" s="1"/>
      <c r="G222" s="1"/>
      <c r="H222" s="1"/>
    </row>
    <row r="223" spans="2:8" ht="13">
      <c r="B223" s="1"/>
      <c r="C223" s="1" t="str">
        <f ca="1">IFERROR(__xludf.UNSUPPORTED("""COMPUTED_VALUE"""),"TOTAL ASSETS")</f>
        <v>TOTAL ASSETS</v>
      </c>
      <c r="D223" s="1"/>
      <c r="E223" s="1"/>
      <c r="F223" s="1"/>
      <c r="G223" s="1"/>
      <c r="H223" s="1"/>
    </row>
    <row r="224" spans="2:8" ht="13">
      <c r="B224" s="1"/>
      <c r="C224" s="1" t="str">
        <f ca="1">IFERROR(__xludf.UNSUPPORTED("""COMPUTED_VALUE"""),"otherAssets")</f>
        <v>otherAssets</v>
      </c>
      <c r="D224" s="1">
        <f ca="1">IFERROR(__xludf.UNSUPPORTED("""COMPUTED_VALUE"""),0)</f>
        <v>0</v>
      </c>
      <c r="E224" s="1">
        <f ca="1">IFERROR(__xludf.UNSUPPORTED("""COMPUTED_VALUE"""),0)</f>
        <v>0</v>
      </c>
      <c r="F224" s="1">
        <f ca="1">IFERROR(__xludf.UNSUPPORTED("""COMPUTED_VALUE"""),0)</f>
        <v>0</v>
      </c>
      <c r="G224" s="1">
        <f ca="1">IFERROR(__xludf.UNSUPPORTED("""COMPUTED_VALUE"""),0)</f>
        <v>0</v>
      </c>
      <c r="H224" s="1">
        <f ca="1">IFERROR(__xludf.UNSUPPORTED("""COMPUTED_VALUE"""),0)</f>
        <v>0</v>
      </c>
    </row>
    <row r="225" spans="2:8" ht="13">
      <c r="B225" s="1"/>
      <c r="C225" s="1" t="str">
        <f ca="1">IFERROR(__xludf.UNSUPPORTED("""COMPUTED_VALUE"""),"totalAssets")</f>
        <v>totalAssets</v>
      </c>
      <c r="D225" s="1">
        <f ca="1">IFERROR(__xludf.UNSUPPORTED("""COMPUTED_VALUE"""),364980000000)</f>
        <v>364980000000</v>
      </c>
      <c r="E225" s="1">
        <f ca="1">IFERROR(__xludf.UNSUPPORTED("""COMPUTED_VALUE"""),352583000000)</f>
        <v>352583000000</v>
      </c>
      <c r="F225" s="1">
        <f ca="1">IFERROR(__xludf.UNSUPPORTED("""COMPUTED_VALUE"""),352755000000)</f>
        <v>352755000000</v>
      </c>
      <c r="G225" s="1">
        <f ca="1">IFERROR(__xludf.UNSUPPORTED("""COMPUTED_VALUE"""),351002000000)</f>
        <v>351002000000</v>
      </c>
      <c r="H225" s="1">
        <f ca="1">IFERROR(__xludf.UNSUPPORTED("""COMPUTED_VALUE"""),323888000000)</f>
        <v>323888000000</v>
      </c>
    </row>
    <row r="226" spans="2:8" ht="13">
      <c r="B226" s="1"/>
      <c r="C226" s="1"/>
      <c r="D226" s="1"/>
      <c r="E226" s="1"/>
      <c r="F226" s="1"/>
      <c r="G226" s="1"/>
      <c r="H226" s="1"/>
    </row>
    <row r="227" spans="2:8" ht="13">
      <c r="B227" s="1" t="str">
        <f ca="1">IFERROR(__xludf.UNSUPPORTED("""COMPUTED_VALUE"""),"LIABILITIES")</f>
        <v>LIABILITIES</v>
      </c>
      <c r="C227" s="1" t="str">
        <f ca="1">IFERROR(__xludf.UNSUPPORTED("""COMPUTED_VALUE"""),"CURRENT LIABILITIES")</f>
        <v>CURRENT LIABILITIES</v>
      </c>
      <c r="D227" s="1"/>
      <c r="E227" s="1"/>
      <c r="F227" s="1"/>
      <c r="G227" s="1"/>
      <c r="H227" s="1"/>
    </row>
    <row r="228" spans="2:8" ht="13">
      <c r="B228" s="1"/>
      <c r="C228" s="1" t="str">
        <f ca="1">IFERROR(__xludf.UNSUPPORTED("""COMPUTED_VALUE"""),"accountPayables")</f>
        <v>accountPayables</v>
      </c>
      <c r="D228" s="1">
        <f ca="1">IFERROR(__xludf.UNSUPPORTED("""COMPUTED_VALUE"""),68960000000)</f>
        <v>68960000000</v>
      </c>
      <c r="E228" s="1">
        <f ca="1">IFERROR(__xludf.UNSUPPORTED("""COMPUTED_VALUE"""),62611000000)</f>
        <v>62611000000</v>
      </c>
      <c r="F228" s="1">
        <f ca="1">IFERROR(__xludf.UNSUPPORTED("""COMPUTED_VALUE"""),64115000000)</f>
        <v>64115000000</v>
      </c>
      <c r="G228" s="1">
        <f ca="1">IFERROR(__xludf.UNSUPPORTED("""COMPUTED_VALUE"""),54763000000)</f>
        <v>54763000000</v>
      </c>
      <c r="H228" s="1">
        <f ca="1">IFERROR(__xludf.UNSUPPORTED("""COMPUTED_VALUE"""),42296000000)</f>
        <v>42296000000</v>
      </c>
    </row>
    <row r="229" spans="2:8" ht="13">
      <c r="B229" s="1"/>
      <c r="C229" s="1" t="str">
        <f ca="1">IFERROR(__xludf.UNSUPPORTED("""COMPUTED_VALUE"""),"shortTermDebt")</f>
        <v>shortTermDebt</v>
      </c>
      <c r="D229" s="1">
        <f ca="1">IFERROR(__xludf.UNSUPPORTED("""COMPUTED_VALUE"""),20879000000)</f>
        <v>20879000000</v>
      </c>
      <c r="E229" s="1">
        <f ca="1">IFERROR(__xludf.UNSUPPORTED("""COMPUTED_VALUE"""),17382000000)</f>
        <v>17382000000</v>
      </c>
      <c r="F229" s="1">
        <f ca="1">IFERROR(__xludf.UNSUPPORTED("""COMPUTED_VALUE"""),22773000000)</f>
        <v>22773000000</v>
      </c>
      <c r="G229" s="1">
        <f ca="1">IFERROR(__xludf.UNSUPPORTED("""COMPUTED_VALUE"""),17141000000)</f>
        <v>17141000000</v>
      </c>
      <c r="H229" s="1">
        <f ca="1">IFERROR(__xludf.UNSUPPORTED("""COMPUTED_VALUE"""),15229000000)</f>
        <v>15229000000</v>
      </c>
    </row>
    <row r="230" spans="2:8" ht="13">
      <c r="B230" s="1"/>
      <c r="C230" s="1" t="str">
        <f ca="1">IFERROR(__xludf.UNSUPPORTED("""COMPUTED_VALUE"""),"taxPayables")</f>
        <v>taxPayables</v>
      </c>
      <c r="D230" s="1">
        <f ca="1">IFERROR(__xludf.UNSUPPORTED("""COMPUTED_VALUE"""),26601000000)</f>
        <v>26601000000</v>
      </c>
      <c r="E230" s="1">
        <f ca="1">IFERROR(__xludf.UNSUPPORTED("""COMPUTED_VALUE"""),8819000000)</f>
        <v>8819000000</v>
      </c>
      <c r="F230" s="1">
        <f ca="1">IFERROR(__xludf.UNSUPPORTED("""COMPUTED_VALUE"""),6552000000)</f>
        <v>6552000000</v>
      </c>
      <c r="G230" s="1">
        <f ca="1">IFERROR(__xludf.UNSUPPORTED("""COMPUTED_VALUE"""),0)</f>
        <v>0</v>
      </c>
      <c r="H230" s="1">
        <f ca="1">IFERROR(__xludf.UNSUPPORTED("""COMPUTED_VALUE"""),0)</f>
        <v>0</v>
      </c>
    </row>
    <row r="231" spans="2:8" ht="13">
      <c r="B231" s="1"/>
      <c r="C231" s="1" t="str">
        <f ca="1">IFERROR(__xludf.UNSUPPORTED("""COMPUTED_VALUE"""),"deferredRevenue")</f>
        <v>deferredRevenue</v>
      </c>
      <c r="D231" s="1">
        <f ca="1">IFERROR(__xludf.UNSUPPORTED("""COMPUTED_VALUE"""),8249000000)</f>
        <v>8249000000</v>
      </c>
      <c r="E231" s="1">
        <f ca="1">IFERROR(__xludf.UNSUPPORTED("""COMPUTED_VALUE"""),8061000000)</f>
        <v>8061000000</v>
      </c>
      <c r="F231" s="1">
        <f ca="1">IFERROR(__xludf.UNSUPPORTED("""COMPUTED_VALUE"""),7912000000)</f>
        <v>7912000000</v>
      </c>
      <c r="G231" s="1">
        <f ca="1">IFERROR(__xludf.UNSUPPORTED("""COMPUTED_VALUE"""),7612000000)</f>
        <v>7612000000</v>
      </c>
      <c r="H231" s="1">
        <f ca="1">IFERROR(__xludf.UNSUPPORTED("""COMPUTED_VALUE"""),6643000000)</f>
        <v>6643000000</v>
      </c>
    </row>
    <row r="232" spans="2:8" ht="13">
      <c r="B232" s="1"/>
      <c r="C232" s="1" t="str">
        <f ca="1">IFERROR(__xludf.UNSUPPORTED("""COMPUTED_VALUE"""),"otherCurrentLiabilities")</f>
        <v>otherCurrentLiabilities</v>
      </c>
      <c r="D232" s="1">
        <f ca="1">IFERROR(__xludf.UNSUPPORTED("""COMPUTED_VALUE"""),78304000000)</f>
        <v>78304000000</v>
      </c>
      <c r="E232" s="1">
        <f ca="1">IFERROR(__xludf.UNSUPPORTED("""COMPUTED_VALUE"""),48435000000)</f>
        <v>48435000000</v>
      </c>
      <c r="F232" s="1">
        <f ca="1">IFERROR(__xludf.UNSUPPORTED("""COMPUTED_VALUE"""),52630000000)</f>
        <v>52630000000</v>
      </c>
      <c r="G232" s="1">
        <f ca="1">IFERROR(__xludf.UNSUPPORTED("""COMPUTED_VALUE"""),45965000000)</f>
        <v>45965000000</v>
      </c>
      <c r="H232" s="1">
        <f ca="1">IFERROR(__xludf.UNSUPPORTED("""COMPUTED_VALUE"""),41224000000)</f>
        <v>41224000000</v>
      </c>
    </row>
    <row r="233" spans="2:8" ht="13">
      <c r="B233" s="1"/>
      <c r="C233" s="1" t="str">
        <f ca="1">IFERROR(__xludf.UNSUPPORTED("""COMPUTED_VALUE"""),"totalCurrentLiabilities")</f>
        <v>totalCurrentLiabilities</v>
      </c>
      <c r="D233" s="1">
        <f ca="1">IFERROR(__xludf.UNSUPPORTED("""COMPUTED_VALUE"""),176392000000)</f>
        <v>176392000000</v>
      </c>
      <c r="E233" s="1">
        <f ca="1">IFERROR(__xludf.UNSUPPORTED("""COMPUTED_VALUE"""),145308000000)</f>
        <v>145308000000</v>
      </c>
      <c r="F233" s="1">
        <f ca="1">IFERROR(__xludf.UNSUPPORTED("""COMPUTED_VALUE"""),153982000000)</f>
        <v>153982000000</v>
      </c>
      <c r="G233" s="1">
        <f ca="1">IFERROR(__xludf.UNSUPPORTED("""COMPUTED_VALUE"""),125481000000)</f>
        <v>125481000000</v>
      </c>
      <c r="H233" s="1">
        <f ca="1">IFERROR(__xludf.UNSUPPORTED("""COMPUTED_VALUE"""),105392000000)</f>
        <v>105392000000</v>
      </c>
    </row>
    <row r="234" spans="2:8" ht="13">
      <c r="B234" s="1"/>
      <c r="C234" s="1"/>
      <c r="D234" s="1"/>
      <c r="E234" s="1"/>
      <c r="F234" s="1"/>
      <c r="G234" s="1"/>
      <c r="H234" s="1"/>
    </row>
    <row r="235" spans="2:8" ht="13">
      <c r="B235" s="1"/>
      <c r="C235" s="1" t="str">
        <f ca="1">IFERROR(__xludf.UNSUPPORTED("""COMPUTED_VALUE"""),"NON CURRENT LIABILITIES")</f>
        <v>NON CURRENT LIABILITIES</v>
      </c>
      <c r="D235" s="1"/>
      <c r="E235" s="1"/>
      <c r="F235" s="1"/>
      <c r="G235" s="1"/>
      <c r="H235" s="1"/>
    </row>
    <row r="236" spans="2:8" ht="13">
      <c r="B236" s="1"/>
      <c r="C236" s="1" t="str">
        <f ca="1">IFERROR(__xludf.UNSUPPORTED("""COMPUTED_VALUE"""),"longTermDebt")</f>
        <v>longTermDebt</v>
      </c>
      <c r="D236" s="1">
        <f ca="1">IFERROR(__xludf.UNSUPPORTED("""COMPUTED_VALUE"""),85750000000)</f>
        <v>85750000000</v>
      </c>
      <c r="E236" s="1">
        <f ca="1">IFERROR(__xludf.UNSUPPORTED("""COMPUTED_VALUE"""),106548000000)</f>
        <v>106548000000</v>
      </c>
      <c r="F236" s="1">
        <f ca="1">IFERROR(__xludf.UNSUPPORTED("""COMPUTED_VALUE"""),109707000000)</f>
        <v>109707000000</v>
      </c>
      <c r="G236" s="1">
        <f ca="1">IFERROR(__xludf.UNSUPPORTED("""COMPUTED_VALUE"""),119381000000)</f>
        <v>119381000000</v>
      </c>
      <c r="H236" s="1">
        <f ca="1">IFERROR(__xludf.UNSUPPORTED("""COMPUTED_VALUE"""),107049000000)</f>
        <v>107049000000</v>
      </c>
    </row>
    <row r="237" spans="2:8" ht="13">
      <c r="B237" s="1"/>
      <c r="C237" s="1" t="str">
        <f ca="1">IFERROR(__xludf.UNSUPPORTED("""COMPUTED_VALUE"""),"deferredRevenueNonCurrent")</f>
        <v>deferredRevenueNonCurrent</v>
      </c>
      <c r="D237" s="1">
        <f ca="1">IFERROR(__xludf.UNSUPPORTED("""COMPUTED_VALUE"""),0)</f>
        <v>0</v>
      </c>
      <c r="E237" s="1">
        <f ca="1">IFERROR(__xludf.UNSUPPORTED("""COMPUTED_VALUE"""),0)</f>
        <v>0</v>
      </c>
      <c r="F237" s="1">
        <f ca="1">IFERROR(__xludf.UNSUPPORTED("""COMPUTED_VALUE"""),0)</f>
        <v>0</v>
      </c>
      <c r="G237" s="1">
        <f ca="1">IFERROR(__xludf.UNSUPPORTED("""COMPUTED_VALUE"""),0)</f>
        <v>0</v>
      </c>
      <c r="H237" s="1">
        <f ca="1">IFERROR(__xludf.UNSUPPORTED("""COMPUTED_VALUE"""),0)</f>
        <v>0</v>
      </c>
    </row>
    <row r="238" spans="2:8" ht="13">
      <c r="B238" s="1"/>
      <c r="C238" s="1" t="str">
        <f ca="1">IFERROR(__xludf.UNSUPPORTED("""COMPUTED_VALUE"""),"deferrredTaxLiabilitiesNonCurrent")</f>
        <v>deferrredTaxLiabilitiesNonCurrent</v>
      </c>
      <c r="D238" s="1">
        <f ca="1">IFERROR(__xludf.UNSUPPORTED("""COMPUTED_VALUE"""),0)</f>
        <v>0</v>
      </c>
      <c r="E238" s="1">
        <f ca="1">IFERROR(__xludf.UNSUPPORTED("""COMPUTED_VALUE"""),0)</f>
        <v>0</v>
      </c>
      <c r="F238" s="1">
        <f ca="1">IFERROR(__xludf.UNSUPPORTED("""COMPUTED_VALUE"""),0)</f>
        <v>0</v>
      </c>
      <c r="G238" s="1">
        <f ca="1">IFERROR(__xludf.UNSUPPORTED("""COMPUTED_VALUE"""),0)</f>
        <v>0</v>
      </c>
      <c r="H238" s="1">
        <f ca="1">IFERROR(__xludf.UNSUPPORTED("""COMPUTED_VALUE"""),0)</f>
        <v>0</v>
      </c>
    </row>
    <row r="239" spans="2:8" ht="13">
      <c r="B239" s="1"/>
      <c r="C239" s="1" t="str">
        <f ca="1">IFERROR(__xludf.UNSUPPORTED("""COMPUTED_VALUE"""),"otherNonCurrentLiabilities")</f>
        <v>otherNonCurrentLiabilities</v>
      </c>
      <c r="D239" s="1">
        <f ca="1">IFERROR(__xludf.UNSUPPORTED("""COMPUTED_VALUE"""),45888000000)</f>
        <v>45888000000</v>
      </c>
      <c r="E239" s="1">
        <f ca="1">IFERROR(__xludf.UNSUPPORTED("""COMPUTED_VALUE"""),49848000000)</f>
        <v>49848000000</v>
      </c>
      <c r="F239" s="1">
        <f ca="1">IFERROR(__xludf.UNSUPPORTED("""COMPUTED_VALUE"""),38394000000)</f>
        <v>38394000000</v>
      </c>
      <c r="G239" s="1">
        <f ca="1">IFERROR(__xludf.UNSUPPORTED("""COMPUTED_VALUE"""),43050000000)</f>
        <v>43050000000</v>
      </c>
      <c r="H239" s="1">
        <f ca="1">IFERROR(__xludf.UNSUPPORTED("""COMPUTED_VALUE"""),46108000000)</f>
        <v>46108000000</v>
      </c>
    </row>
    <row r="240" spans="2:8" ht="13">
      <c r="B240" s="1"/>
      <c r="C240" s="1" t="str">
        <f ca="1">IFERROR(__xludf.UNSUPPORTED("""COMPUTED_VALUE"""),"totalNonCurrentLiabilities")</f>
        <v>totalNonCurrentLiabilities</v>
      </c>
      <c r="D240" s="1">
        <f ca="1">IFERROR(__xludf.UNSUPPORTED("""COMPUTED_VALUE"""),131638000000)</f>
        <v>131638000000</v>
      </c>
      <c r="E240" s="1">
        <f ca="1">IFERROR(__xludf.UNSUPPORTED("""COMPUTED_VALUE"""),145129000000)</f>
        <v>145129000000</v>
      </c>
      <c r="F240" s="1">
        <f ca="1">IFERROR(__xludf.UNSUPPORTED("""COMPUTED_VALUE"""),148101000000)</f>
        <v>148101000000</v>
      </c>
      <c r="G240" s="1">
        <f ca="1">IFERROR(__xludf.UNSUPPORTED("""COMPUTED_VALUE"""),162431000000)</f>
        <v>162431000000</v>
      </c>
      <c r="H240" s="1">
        <f ca="1">IFERROR(__xludf.UNSUPPORTED("""COMPUTED_VALUE"""),153157000000)</f>
        <v>153157000000</v>
      </c>
    </row>
    <row r="241" spans="2:8" ht="13">
      <c r="B241" s="1"/>
      <c r="C241" s="1"/>
      <c r="D241" s="1"/>
      <c r="E241" s="1"/>
      <c r="F241" s="1"/>
      <c r="G241" s="1"/>
      <c r="H241" s="1"/>
    </row>
    <row r="242" spans="2:8" ht="13">
      <c r="B242" s="1"/>
      <c r="C242" s="1" t="str">
        <f ca="1">IFERROR(__xludf.UNSUPPORTED("""COMPUTED_VALUE"""),"TOTAL LIABILITIES")</f>
        <v>TOTAL LIABILITIES</v>
      </c>
      <c r="D242" s="1"/>
      <c r="E242" s="1"/>
      <c r="F242" s="1"/>
      <c r="G242" s="1"/>
      <c r="H242" s="1"/>
    </row>
    <row r="243" spans="2:8" ht="13">
      <c r="B243" s="1"/>
      <c r="C243" s="1" t="str">
        <f ca="1">IFERROR(__xludf.UNSUPPORTED("""COMPUTED_VALUE"""),"otherLiabilities")</f>
        <v>otherLiabilities</v>
      </c>
      <c r="D243" s="1">
        <f ca="1">IFERROR(__xludf.UNSUPPORTED("""COMPUTED_VALUE"""),0)</f>
        <v>0</v>
      </c>
      <c r="E243" s="1">
        <f ca="1">IFERROR(__xludf.UNSUPPORTED("""COMPUTED_VALUE"""),0)</f>
        <v>0</v>
      </c>
      <c r="F243" s="1">
        <f ca="1">IFERROR(__xludf.UNSUPPORTED("""COMPUTED_VALUE"""),0)</f>
        <v>0</v>
      </c>
      <c r="G243" s="1">
        <f ca="1">IFERROR(__xludf.UNSUPPORTED("""COMPUTED_VALUE"""),0)</f>
        <v>0</v>
      </c>
      <c r="H243" s="1">
        <f ca="1">IFERROR(__xludf.UNSUPPORTED("""COMPUTED_VALUE"""),0)</f>
        <v>0</v>
      </c>
    </row>
    <row r="244" spans="2:8" ht="13">
      <c r="B244" s="1"/>
      <c r="C244" s="1" t="str">
        <f ca="1">IFERROR(__xludf.UNSUPPORTED("""COMPUTED_VALUE"""),"totalLiabilities")</f>
        <v>totalLiabilities</v>
      </c>
      <c r="D244" s="1">
        <f ca="1">IFERROR(__xludf.UNSUPPORTED("""COMPUTED_VALUE"""),308030000000)</f>
        <v>308030000000</v>
      </c>
      <c r="E244" s="1">
        <f ca="1">IFERROR(__xludf.UNSUPPORTED("""COMPUTED_VALUE"""),290437000000)</f>
        <v>290437000000</v>
      </c>
      <c r="F244" s="1">
        <f ca="1">IFERROR(__xludf.UNSUPPORTED("""COMPUTED_VALUE"""),302083000000)</f>
        <v>302083000000</v>
      </c>
      <c r="G244" s="1">
        <f ca="1">IFERROR(__xludf.UNSUPPORTED("""COMPUTED_VALUE"""),287912000000)</f>
        <v>287912000000</v>
      </c>
      <c r="H244" s="1">
        <f ca="1">IFERROR(__xludf.UNSUPPORTED("""COMPUTED_VALUE"""),258549000000)</f>
        <v>258549000000</v>
      </c>
    </row>
    <row r="245" spans="2:8" ht="13">
      <c r="B245" s="1"/>
      <c r="C245" s="1"/>
      <c r="D245" s="1"/>
      <c r="E245" s="1"/>
      <c r="F245" s="1"/>
      <c r="G245" s="1"/>
      <c r="H245" s="1"/>
    </row>
    <row r="246" spans="2:8" ht="13">
      <c r="B246" s="1" t="str">
        <f ca="1">IFERROR(__xludf.UNSUPPORTED("""COMPUTED_VALUE"""),"STOCKHOLDERS EQUITY")</f>
        <v>STOCKHOLDERS EQUITY</v>
      </c>
      <c r="C246" s="1" t="str">
        <f ca="1">IFERROR(__xludf.UNSUPPORTED("""COMPUTED_VALUE"""),"STOCKHOLDERS EQUITY")</f>
        <v>STOCKHOLDERS EQUITY</v>
      </c>
      <c r="D246" s="1"/>
      <c r="E246" s="1"/>
      <c r="F246" s="1"/>
      <c r="G246" s="1"/>
      <c r="H246" s="1"/>
    </row>
    <row r="247" spans="2:8" ht="13">
      <c r="B247" s="1"/>
      <c r="C247" s="1" t="str">
        <f ca="1">IFERROR(__xludf.UNSUPPORTED("""COMPUTED_VALUE"""),"commonStock")</f>
        <v>commonStock</v>
      </c>
      <c r="D247" s="1">
        <f ca="1">IFERROR(__xludf.UNSUPPORTED("""COMPUTED_VALUE"""),83276000000)</f>
        <v>83276000000</v>
      </c>
      <c r="E247" s="1">
        <f ca="1">IFERROR(__xludf.UNSUPPORTED("""COMPUTED_VALUE"""),73812000000)</f>
        <v>73812000000</v>
      </c>
      <c r="F247" s="1">
        <f ca="1">IFERROR(__xludf.UNSUPPORTED("""COMPUTED_VALUE"""),64849000000)</f>
        <v>64849000000</v>
      </c>
      <c r="G247" s="1">
        <f ca="1">IFERROR(__xludf.UNSUPPORTED("""COMPUTED_VALUE"""),57365000000)</f>
        <v>57365000000</v>
      </c>
      <c r="H247" s="1">
        <f ca="1">IFERROR(__xludf.UNSUPPORTED("""COMPUTED_VALUE"""),50779000000)</f>
        <v>50779000000</v>
      </c>
    </row>
    <row r="248" spans="2:8" ht="13">
      <c r="B248" s="1"/>
      <c r="C248" s="1" t="str">
        <f ca="1">IFERROR(__xludf.UNSUPPORTED("""COMPUTED_VALUE"""),"retainedEarnings")</f>
        <v>retainedEarnings</v>
      </c>
      <c r="D248" s="1">
        <f ca="1">IFERROR(__xludf.UNSUPPORTED("""COMPUTED_VALUE"""),-19154000000)</f>
        <v>-19154000000</v>
      </c>
      <c r="E248" s="1">
        <f ca="1">IFERROR(__xludf.UNSUPPORTED("""COMPUTED_VALUE"""),-214000000)</f>
        <v>-214000000</v>
      </c>
      <c r="F248" s="1">
        <f ca="1">IFERROR(__xludf.UNSUPPORTED("""COMPUTED_VALUE"""),-3068000000)</f>
        <v>-3068000000</v>
      </c>
      <c r="G248" s="1">
        <f ca="1">IFERROR(__xludf.UNSUPPORTED("""COMPUTED_VALUE"""),5562000000)</f>
        <v>5562000000</v>
      </c>
      <c r="H248" s="1">
        <f ca="1">IFERROR(__xludf.UNSUPPORTED("""COMPUTED_VALUE"""),14966000000)</f>
        <v>14966000000</v>
      </c>
    </row>
    <row r="249" spans="2:8" ht="13">
      <c r="B249" s="1"/>
      <c r="C249" s="1" t="str">
        <f ca="1">IFERROR(__xludf.UNSUPPORTED("""COMPUTED_VALUE"""),"accumulatedOtherComprehensiveIncomeLoss")</f>
        <v>accumulatedOtherComprehensiveIncomeLoss</v>
      </c>
      <c r="D249" s="1">
        <f ca="1">IFERROR(__xludf.UNSUPPORTED("""COMPUTED_VALUE"""),-7172000000)</f>
        <v>-7172000000</v>
      </c>
      <c r="E249" s="1">
        <f ca="1">IFERROR(__xludf.UNSUPPORTED("""COMPUTED_VALUE"""),-11452000000)</f>
        <v>-11452000000</v>
      </c>
      <c r="F249" s="1">
        <f ca="1">IFERROR(__xludf.UNSUPPORTED("""COMPUTED_VALUE"""),-11109000000)</f>
        <v>-11109000000</v>
      </c>
      <c r="G249" s="1">
        <f ca="1">IFERROR(__xludf.UNSUPPORTED("""COMPUTED_VALUE"""),163000000)</f>
        <v>163000000</v>
      </c>
      <c r="H249" s="1">
        <f ca="1">IFERROR(__xludf.UNSUPPORTED("""COMPUTED_VALUE"""),-406000000)</f>
        <v>-406000000</v>
      </c>
    </row>
    <row r="250" spans="2:8" ht="13">
      <c r="B250" s="1"/>
      <c r="C250" s="1" t="str">
        <f ca="1">IFERROR(__xludf.UNSUPPORTED("""COMPUTED_VALUE"""),"othertotalStockholdersEquity")</f>
        <v>othertotalStockholdersEquity</v>
      </c>
      <c r="D250" s="1">
        <f ca="1">IFERROR(__xludf.UNSUPPORTED("""COMPUTED_VALUE"""),0)</f>
        <v>0</v>
      </c>
      <c r="E250" s="1">
        <f ca="1">IFERROR(__xludf.UNSUPPORTED("""COMPUTED_VALUE"""),0)</f>
        <v>0</v>
      </c>
      <c r="F250" s="1">
        <f ca="1">IFERROR(__xludf.UNSUPPORTED("""COMPUTED_VALUE"""),0)</f>
        <v>0</v>
      </c>
      <c r="G250" s="1">
        <f ca="1">IFERROR(__xludf.UNSUPPORTED("""COMPUTED_VALUE"""),0)</f>
        <v>0</v>
      </c>
      <c r="H250" s="1">
        <f ca="1">IFERROR(__xludf.UNSUPPORTED("""COMPUTED_VALUE"""),0)</f>
        <v>0</v>
      </c>
    </row>
    <row r="251" spans="2:8" ht="13">
      <c r="B251" s="1"/>
      <c r="C251" s="1" t="str">
        <f ca="1">IFERROR(__xludf.UNSUPPORTED("""COMPUTED_VALUE"""),"totalStockholdersEquity")</f>
        <v>totalStockholdersEquity</v>
      </c>
      <c r="D251" s="1">
        <f ca="1">IFERROR(__xludf.UNSUPPORTED("""COMPUTED_VALUE"""),56950000000)</f>
        <v>56950000000</v>
      </c>
      <c r="E251" s="1">
        <f ca="1">IFERROR(__xludf.UNSUPPORTED("""COMPUTED_VALUE"""),62146000000)</f>
        <v>62146000000</v>
      </c>
      <c r="F251" s="1">
        <f ca="1">IFERROR(__xludf.UNSUPPORTED("""COMPUTED_VALUE"""),50672000000)</f>
        <v>50672000000</v>
      </c>
      <c r="G251" s="1">
        <f ca="1">IFERROR(__xludf.UNSUPPORTED("""COMPUTED_VALUE"""),63090000000)</f>
        <v>63090000000</v>
      </c>
      <c r="H251" s="1">
        <f ca="1">IFERROR(__xludf.UNSUPPORTED("""COMPUTED_VALUE"""),65339000000)</f>
        <v>65339000000</v>
      </c>
    </row>
    <row r="252" spans="2:8" ht="13">
      <c r="B252" s="1"/>
      <c r="C252" s="1"/>
      <c r="D252" s="1"/>
      <c r="E252" s="1"/>
      <c r="F252" s="1"/>
      <c r="G252" s="1"/>
      <c r="H252" s="1"/>
    </row>
    <row r="253" spans="2:8" ht="13">
      <c r="B253" s="1" t="str">
        <f ca="1">IFERROR(__xludf.UNSUPPORTED("""COMPUTED_VALUE"""),"LIABILITIES and EQUITY")</f>
        <v>LIABILITIES and EQUITY</v>
      </c>
      <c r="C253" s="1" t="str">
        <f ca="1">IFERROR(__xludf.UNSUPPORTED("""COMPUTED_VALUE"""),"LIABILITIES and EQUITY")</f>
        <v>LIABILITIES and EQUITY</v>
      </c>
      <c r="D253" s="1"/>
      <c r="E253" s="1"/>
      <c r="F253" s="1"/>
      <c r="G253" s="1"/>
      <c r="H253" s="1"/>
    </row>
    <row r="254" spans="2:8" ht="13">
      <c r="B254" s="1"/>
      <c r="C254" s="1" t="str">
        <f ca="1">IFERROR(__xludf.UNSUPPORTED("""COMPUTED_VALUE"""),"totalLiabilitiesAndStockholdersEquity")</f>
        <v>totalLiabilitiesAndStockholdersEquity</v>
      </c>
      <c r="D254" s="1">
        <f ca="1">IFERROR(__xludf.UNSUPPORTED("""COMPUTED_VALUE"""),364980000000)</f>
        <v>364980000000</v>
      </c>
      <c r="E254" s="1">
        <f ca="1">IFERROR(__xludf.UNSUPPORTED("""COMPUTED_VALUE"""),352583000000)</f>
        <v>352583000000</v>
      </c>
      <c r="F254" s="1">
        <f ca="1">IFERROR(__xludf.UNSUPPORTED("""COMPUTED_VALUE"""),352755000000)</f>
        <v>352755000000</v>
      </c>
      <c r="G254" s="1">
        <f ca="1">IFERROR(__xludf.UNSUPPORTED("""COMPUTED_VALUE"""),351002000000)</f>
        <v>351002000000</v>
      </c>
      <c r="H254" s="1">
        <f ca="1">IFERROR(__xludf.UNSUPPORTED("""COMPUTED_VALUE"""),323888000000)</f>
        <v>323888000000</v>
      </c>
    </row>
    <row r="255" spans="2:8" ht="13">
      <c r="B255" s="1"/>
      <c r="C255" s="1"/>
      <c r="D255" s="1"/>
      <c r="E255" s="1"/>
      <c r="F255" s="1"/>
      <c r="G255" s="1"/>
      <c r="H255" s="1"/>
    </row>
    <row r="256" spans="2:8" ht="13">
      <c r="B256" s="1" t="str">
        <f ca="1">IFERROR(__xludf.UNSUPPORTED("""COMPUTED_VALUE"""),"INVESTMENT and DEBT")</f>
        <v>INVESTMENT and DEBT</v>
      </c>
      <c r="C256" s="1" t="str">
        <f ca="1">IFERROR(__xludf.UNSUPPORTED("""COMPUTED_VALUE"""),"INVESTMENT and DEBT")</f>
        <v>INVESTMENT and DEBT</v>
      </c>
      <c r="D256" s="1"/>
      <c r="E256" s="1"/>
      <c r="F256" s="1"/>
      <c r="G256" s="1"/>
      <c r="H256" s="1"/>
    </row>
    <row r="257" spans="2:8" ht="13">
      <c r="B257" s="1"/>
      <c r="C257" s="1" t="str">
        <f ca="1">IFERROR(__xludf.UNSUPPORTED("""COMPUTED_VALUE"""),"totalInvestments")</f>
        <v>totalInvestments</v>
      </c>
      <c r="D257" s="1">
        <f ca="1">IFERROR(__xludf.UNSUPPORTED("""COMPUTED_VALUE"""),126707000000)</f>
        <v>126707000000</v>
      </c>
      <c r="E257" s="1">
        <f ca="1">IFERROR(__xludf.UNSUPPORTED("""COMPUTED_VALUE"""),132134000000)</f>
        <v>132134000000</v>
      </c>
      <c r="F257" s="1">
        <f ca="1">IFERROR(__xludf.UNSUPPORTED("""COMPUTED_VALUE"""),145463000000)</f>
        <v>145463000000</v>
      </c>
      <c r="G257" s="1">
        <f ca="1">IFERROR(__xludf.UNSUPPORTED("""COMPUTED_VALUE"""),155576000000)</f>
        <v>155576000000</v>
      </c>
      <c r="H257" s="1">
        <f ca="1">IFERROR(__xludf.UNSUPPORTED("""COMPUTED_VALUE"""),153814000000)</f>
        <v>153814000000</v>
      </c>
    </row>
    <row r="258" spans="2:8" ht="13">
      <c r="B258" s="1"/>
      <c r="C258" s="1" t="str">
        <f ca="1">IFERROR(__xludf.UNSUPPORTED("""COMPUTED_VALUE"""),"totalDebt")</f>
        <v>totalDebt</v>
      </c>
      <c r="D258" s="1">
        <f ca="1">IFERROR(__xludf.UNSUPPORTED("""COMPUTED_VALUE"""),106629000000)</f>
        <v>106629000000</v>
      </c>
      <c r="E258" s="1">
        <f ca="1">IFERROR(__xludf.UNSUPPORTED("""COMPUTED_VALUE"""),111088000000)</f>
        <v>111088000000</v>
      </c>
      <c r="F258" s="1">
        <f ca="1">IFERROR(__xludf.UNSUPPORTED("""COMPUTED_VALUE"""),132480000000)</f>
        <v>132480000000</v>
      </c>
      <c r="G258" s="1">
        <f ca="1">IFERROR(__xludf.UNSUPPORTED("""COMPUTED_VALUE"""),136522000000)</f>
        <v>136522000000</v>
      </c>
      <c r="H258" s="1">
        <f ca="1">IFERROR(__xludf.UNSUPPORTED("""COMPUTED_VALUE"""),122278000000)</f>
        <v>122278000000</v>
      </c>
    </row>
    <row r="259" spans="2:8" ht="13">
      <c r="B259" s="1"/>
      <c r="C259" s="1" t="str">
        <f ca="1">IFERROR(__xludf.UNSUPPORTED("""COMPUTED_VALUE"""),"netDebt")</f>
        <v>netDebt</v>
      </c>
      <c r="D259" s="1">
        <f ca="1">IFERROR(__xludf.UNSUPPORTED("""COMPUTED_VALUE"""),76686000000)</f>
        <v>76686000000</v>
      </c>
      <c r="E259" s="1">
        <f ca="1">IFERROR(__xludf.UNSUPPORTED("""COMPUTED_VALUE"""),81123000000)</f>
        <v>81123000000</v>
      </c>
      <c r="F259" s="1">
        <f ca="1">IFERROR(__xludf.UNSUPPORTED("""COMPUTED_VALUE"""),108834000000)</f>
        <v>108834000000</v>
      </c>
      <c r="G259" s="1">
        <f ca="1">IFERROR(__xludf.UNSUPPORTED("""COMPUTED_VALUE"""),101582000000)</f>
        <v>101582000000</v>
      </c>
      <c r="H259" s="1">
        <f ca="1">IFERROR(__xludf.UNSUPPORTED("""COMPUTED_VALUE"""),84262000000)</f>
        <v>84262000000</v>
      </c>
    </row>
    <row r="401" spans="1:8" ht="13">
      <c r="A401" s="1" t="s">
        <v>238</v>
      </c>
    </row>
    <row r="402" spans="1:8" ht="15.75" customHeight="1">
      <c r="B402" s="3" t="str">
        <f ca="1">IFERROR(__xludf.UNSUPPORTED(IMPORTDATA("https://fmpcloud.io/api/v3/cash-flow-statement/" &amp;#REF! &amp; "?datatype=csv&amp;apikey=" &amp;#REF!)),"date")</f>
        <v>date</v>
      </c>
      <c r="C402" s="1"/>
      <c r="D402" s="1" t="str">
        <f ca="1">IFERROR(__xludf.UNSUPPORTED("""COMPUTED_VALUE"""),"2024-09-28_FY")</f>
        <v>2024-09-28_FY</v>
      </c>
      <c r="E402" s="1" t="str">
        <f ca="1">IFERROR(__xludf.UNSUPPORTED("""COMPUTED_VALUE"""),"2023-09-30_FY")</f>
        <v>2023-09-30_FY</v>
      </c>
      <c r="F402" s="1" t="str">
        <f ca="1">IFERROR(__xludf.UNSUPPORTED("""COMPUTED_VALUE"""),"2022-09-24_FY")</f>
        <v>2022-09-24_FY</v>
      </c>
      <c r="G402" s="1" t="str">
        <f ca="1">IFERROR(__xludf.UNSUPPORTED("""COMPUTED_VALUE"""),"2021-09-25_FY")</f>
        <v>2021-09-25_FY</v>
      </c>
      <c r="H402" s="1" t="str">
        <f ca="1">IFERROR(__xludf.UNSUPPORTED("""COMPUTED_VALUE"""),"2020-09-26_FY")</f>
        <v>2020-09-26_FY</v>
      </c>
    </row>
    <row r="403" spans="1:8" ht="13">
      <c r="B403" s="1"/>
      <c r="C403" s="1"/>
      <c r="D403" s="1"/>
      <c r="E403" s="1"/>
      <c r="F403" s="1"/>
      <c r="G403" s="1"/>
      <c r="H403" s="1"/>
    </row>
    <row r="404" spans="1:8" ht="13">
      <c r="B404" s="1" t="str">
        <f ca="1">IFERROR(__xludf.UNSUPPORTED("""COMPUTED_VALUE"""),"CashProvidedByOperatingActivites")</f>
        <v>CashProvidedByOperatingActivites</v>
      </c>
      <c r="C404" s="1"/>
      <c r="D404" s="1"/>
      <c r="E404" s="1"/>
      <c r="F404" s="1"/>
      <c r="G404" s="1"/>
      <c r="H404" s="1"/>
    </row>
    <row r="405" spans="1:8" ht="13">
      <c r="B405" s="1"/>
      <c r="C405" s="1" t="str">
        <f ca="1">IFERROR(__xludf.UNSUPPORTED("""COMPUTED_VALUE"""),"netIncome")</f>
        <v>netIncome</v>
      </c>
      <c r="D405" s="1">
        <f ca="1">IFERROR(__xludf.UNSUPPORTED("""COMPUTED_VALUE"""),93736000000)</f>
        <v>93736000000</v>
      </c>
      <c r="E405" s="1">
        <f ca="1">IFERROR(__xludf.UNSUPPORTED("""COMPUTED_VALUE"""),96995000000)</f>
        <v>96995000000</v>
      </c>
      <c r="F405" s="1">
        <f ca="1">IFERROR(__xludf.UNSUPPORTED("""COMPUTED_VALUE"""),99803000000)</f>
        <v>99803000000</v>
      </c>
      <c r="G405" s="1">
        <f ca="1">IFERROR(__xludf.UNSUPPORTED("""COMPUTED_VALUE"""),94680000000)</f>
        <v>94680000000</v>
      </c>
      <c r="H405" s="1">
        <f ca="1">IFERROR(__xludf.UNSUPPORTED("""COMPUTED_VALUE"""),57411000000)</f>
        <v>57411000000</v>
      </c>
    </row>
    <row r="406" spans="1:8" ht="13">
      <c r="B406" s="1"/>
      <c r="C406" s="1" t="str">
        <f ca="1">IFERROR(__xludf.UNSUPPORTED("""COMPUTED_VALUE"""),"depreciationAndAmortization")</f>
        <v>depreciationAndAmortization</v>
      </c>
      <c r="D406" s="1">
        <f ca="1">IFERROR(__xludf.UNSUPPORTED("""COMPUTED_VALUE"""),11445000000)</f>
        <v>11445000000</v>
      </c>
      <c r="E406" s="1">
        <f ca="1">IFERROR(__xludf.UNSUPPORTED("""COMPUTED_VALUE"""),11519000000)</f>
        <v>11519000000</v>
      </c>
      <c r="F406" s="1">
        <f ca="1">IFERROR(__xludf.UNSUPPORTED("""COMPUTED_VALUE"""),11104000000)</f>
        <v>11104000000</v>
      </c>
      <c r="G406" s="1">
        <f ca="1">IFERROR(__xludf.UNSUPPORTED("""COMPUTED_VALUE"""),11284000000)</f>
        <v>11284000000</v>
      </c>
      <c r="H406" s="1">
        <f ca="1">IFERROR(__xludf.UNSUPPORTED("""COMPUTED_VALUE"""),11056000000)</f>
        <v>11056000000</v>
      </c>
    </row>
    <row r="407" spans="1:8" ht="13">
      <c r="B407" s="1"/>
      <c r="C407" s="1" t="str">
        <f ca="1">IFERROR(__xludf.UNSUPPORTED("""COMPUTED_VALUE"""),"deferredIncomeTax")</f>
        <v>deferredIncomeTax</v>
      </c>
      <c r="D407" s="1">
        <f ca="1">IFERROR(__xludf.UNSUPPORTED("""COMPUTED_VALUE"""),0)</f>
        <v>0</v>
      </c>
      <c r="E407" s="1">
        <f ca="1">IFERROR(__xludf.UNSUPPORTED("""COMPUTED_VALUE"""),0)</f>
        <v>0</v>
      </c>
      <c r="F407" s="1">
        <f ca="1">IFERROR(__xludf.UNSUPPORTED("""COMPUTED_VALUE"""),895000000)</f>
        <v>895000000</v>
      </c>
      <c r="G407" s="1">
        <f ca="1">IFERROR(__xludf.UNSUPPORTED("""COMPUTED_VALUE"""),-4774000000)</f>
        <v>-4774000000</v>
      </c>
      <c r="H407" s="1">
        <f ca="1">IFERROR(__xludf.UNSUPPORTED("""COMPUTED_VALUE"""),-215000000)</f>
        <v>-215000000</v>
      </c>
    </row>
    <row r="408" spans="1:8" ht="13">
      <c r="B408" s="1"/>
      <c r="C408" s="1" t="str">
        <f ca="1">IFERROR(__xludf.UNSUPPORTED("""COMPUTED_VALUE"""),"stockBasedCompensation")</f>
        <v>stockBasedCompensation</v>
      </c>
      <c r="D408" s="1">
        <f ca="1">IFERROR(__xludf.UNSUPPORTED("""COMPUTED_VALUE"""),11688000000)</f>
        <v>11688000000</v>
      </c>
      <c r="E408" s="1">
        <f ca="1">IFERROR(__xludf.UNSUPPORTED("""COMPUTED_VALUE"""),10833000000)</f>
        <v>10833000000</v>
      </c>
      <c r="F408" s="1">
        <f ca="1">IFERROR(__xludf.UNSUPPORTED("""COMPUTED_VALUE"""),9038000000)</f>
        <v>9038000000</v>
      </c>
      <c r="G408" s="1">
        <f ca="1">IFERROR(__xludf.UNSUPPORTED("""COMPUTED_VALUE"""),7906000000)</f>
        <v>7906000000</v>
      </c>
      <c r="H408" s="1">
        <f ca="1">IFERROR(__xludf.UNSUPPORTED("""COMPUTED_VALUE"""),6829000000)</f>
        <v>6829000000</v>
      </c>
    </row>
    <row r="409" spans="1:8" ht="13">
      <c r="B409" s="1"/>
      <c r="C409" s="1" t="str">
        <f ca="1">IFERROR(__xludf.UNSUPPORTED("""COMPUTED_VALUE"""),"changeInWorkingCapital")</f>
        <v>changeInWorkingCapital</v>
      </c>
      <c r="D409" s="1">
        <f ca="1">IFERROR(__xludf.UNSUPPORTED("""COMPUTED_VALUE"""),3651000000)</f>
        <v>3651000000</v>
      </c>
      <c r="E409" s="1">
        <f ca="1">IFERROR(__xludf.UNSUPPORTED("""COMPUTED_VALUE"""),-6577000000)</f>
        <v>-6577000000</v>
      </c>
      <c r="F409" s="1">
        <f ca="1">IFERROR(__xludf.UNSUPPORTED("""COMPUTED_VALUE"""),1200000000)</f>
        <v>1200000000</v>
      </c>
      <c r="G409" s="1">
        <f ca="1">IFERROR(__xludf.UNSUPPORTED("""COMPUTED_VALUE"""),-4911000000)</f>
        <v>-4911000000</v>
      </c>
      <c r="H409" s="1">
        <f ca="1">IFERROR(__xludf.UNSUPPORTED("""COMPUTED_VALUE"""),5690000000)</f>
        <v>5690000000</v>
      </c>
    </row>
    <row r="410" spans="1:8" ht="13">
      <c r="B410" s="1"/>
      <c r="C410" s="1" t="str">
        <f ca="1">IFERROR(__xludf.UNSUPPORTED("""COMPUTED_VALUE"""),"accountsReceivables")</f>
        <v>accountsReceivables</v>
      </c>
      <c r="D410" s="1">
        <f ca="1">IFERROR(__xludf.UNSUPPORTED("""COMPUTED_VALUE"""),-5144000000)</f>
        <v>-5144000000</v>
      </c>
      <c r="E410" s="1">
        <f ca="1">IFERROR(__xludf.UNSUPPORTED("""COMPUTED_VALUE"""),-1688000000)</f>
        <v>-1688000000</v>
      </c>
      <c r="F410" s="1">
        <f ca="1">IFERROR(__xludf.UNSUPPORTED("""COMPUTED_VALUE"""),-1823000000)</f>
        <v>-1823000000</v>
      </c>
      <c r="G410" s="1">
        <f ca="1">IFERROR(__xludf.UNSUPPORTED("""COMPUTED_VALUE"""),-10125000000)</f>
        <v>-10125000000</v>
      </c>
      <c r="H410" s="1">
        <f ca="1">IFERROR(__xludf.UNSUPPORTED("""COMPUTED_VALUE"""),6917000000)</f>
        <v>6917000000</v>
      </c>
    </row>
    <row r="411" spans="1:8" ht="13">
      <c r="B411" s="1"/>
      <c r="C411" s="1" t="str">
        <f ca="1">IFERROR(__xludf.UNSUPPORTED("""COMPUTED_VALUE"""),"inventory")</f>
        <v>inventory</v>
      </c>
      <c r="D411" s="1">
        <f ca="1">IFERROR(__xludf.UNSUPPORTED("""COMPUTED_VALUE"""),-1046000000)</f>
        <v>-1046000000</v>
      </c>
      <c r="E411" s="1">
        <f ca="1">IFERROR(__xludf.UNSUPPORTED("""COMPUTED_VALUE"""),-1618000000)</f>
        <v>-1618000000</v>
      </c>
      <c r="F411" s="1">
        <f ca="1">IFERROR(__xludf.UNSUPPORTED("""COMPUTED_VALUE"""),1484000000)</f>
        <v>1484000000</v>
      </c>
      <c r="G411" s="1">
        <f ca="1">IFERROR(__xludf.UNSUPPORTED("""COMPUTED_VALUE"""),-2642000000)</f>
        <v>-2642000000</v>
      </c>
      <c r="H411" s="1">
        <f ca="1">IFERROR(__xludf.UNSUPPORTED("""COMPUTED_VALUE"""),-127000000)</f>
        <v>-127000000</v>
      </c>
    </row>
    <row r="412" spans="1:8" ht="13">
      <c r="B412" s="1"/>
      <c r="C412" s="1" t="str">
        <f ca="1">IFERROR(__xludf.UNSUPPORTED("""COMPUTED_VALUE"""),"accountsPayables")</f>
        <v>accountsPayables</v>
      </c>
      <c r="D412" s="1">
        <f ca="1">IFERROR(__xludf.UNSUPPORTED("""COMPUTED_VALUE"""),6020000000)</f>
        <v>6020000000</v>
      </c>
      <c r="E412" s="1">
        <f ca="1">IFERROR(__xludf.UNSUPPORTED("""COMPUTED_VALUE"""),-1889000000)</f>
        <v>-1889000000</v>
      </c>
      <c r="F412" s="1">
        <f ca="1">IFERROR(__xludf.UNSUPPORTED("""COMPUTED_VALUE"""),9448000000)</f>
        <v>9448000000</v>
      </c>
      <c r="G412" s="1">
        <f ca="1">IFERROR(__xludf.UNSUPPORTED("""COMPUTED_VALUE"""),12326000000)</f>
        <v>12326000000</v>
      </c>
      <c r="H412" s="1">
        <f ca="1">IFERROR(__xludf.UNSUPPORTED("""COMPUTED_VALUE"""),-4062000000)</f>
        <v>-4062000000</v>
      </c>
    </row>
    <row r="413" spans="1:8" ht="13">
      <c r="B413" s="1"/>
      <c r="C413" s="1" t="str">
        <f ca="1">IFERROR(__xludf.UNSUPPORTED("""COMPUTED_VALUE"""),"otherWorkingCapital")</f>
        <v>otherWorkingCapital</v>
      </c>
      <c r="D413" s="1">
        <f ca="1">IFERROR(__xludf.UNSUPPORTED("""COMPUTED_VALUE"""),3821000000)</f>
        <v>3821000000</v>
      </c>
      <c r="E413" s="1">
        <f ca="1">IFERROR(__xludf.UNSUPPORTED("""COMPUTED_VALUE"""),-2653000000)</f>
        <v>-2653000000</v>
      </c>
      <c r="F413" s="1">
        <f ca="1">IFERROR(__xludf.UNSUPPORTED("""COMPUTED_VALUE"""),478000000)</f>
        <v>478000000</v>
      </c>
      <c r="G413" s="1">
        <f ca="1">IFERROR(__xludf.UNSUPPORTED("""COMPUTED_VALUE"""),1676000000)</f>
        <v>1676000000</v>
      </c>
      <c r="H413" s="1">
        <f ca="1">IFERROR(__xludf.UNSUPPORTED("""COMPUTED_VALUE"""),2081000000)</f>
        <v>2081000000</v>
      </c>
    </row>
    <row r="414" spans="1:8" ht="13">
      <c r="B414" s="1"/>
      <c r="C414" s="1" t="str">
        <f ca="1">IFERROR(__xludf.UNSUPPORTED("""COMPUTED_VALUE"""),"otherNonCashItems")</f>
        <v>otherNonCashItems</v>
      </c>
      <c r="D414" s="1">
        <f ca="1">IFERROR(__xludf.UNSUPPORTED("""COMPUTED_VALUE"""),-2266000000)</f>
        <v>-2266000000</v>
      </c>
      <c r="E414" s="1">
        <f ca="1">IFERROR(__xludf.UNSUPPORTED("""COMPUTED_VALUE"""),-2227000000)</f>
        <v>-2227000000</v>
      </c>
      <c r="F414" s="1">
        <f ca="1">IFERROR(__xludf.UNSUPPORTED("""COMPUTED_VALUE"""),111000000)</f>
        <v>111000000</v>
      </c>
      <c r="G414" s="1">
        <f ca="1">IFERROR(__xludf.UNSUPPORTED("""COMPUTED_VALUE"""),-147000000)</f>
        <v>-147000000</v>
      </c>
      <c r="H414" s="1">
        <f ca="1">IFERROR(__xludf.UNSUPPORTED("""COMPUTED_VALUE"""),-97000000)</f>
        <v>-97000000</v>
      </c>
    </row>
    <row r="415" spans="1:8" ht="13">
      <c r="B415" s="1"/>
      <c r="C415" s="1" t="str">
        <f ca="1">IFERROR(__xludf.UNSUPPORTED("""COMPUTED_VALUE"""),"netCashProvidedByOperatingActivites")</f>
        <v>netCashProvidedByOperatingActivites</v>
      </c>
      <c r="D415" s="1">
        <f ca="1">IFERROR(__xludf.UNSUPPORTED("""COMPUTED_VALUE"""),118254000000)</f>
        <v>118254000000</v>
      </c>
      <c r="E415" s="1">
        <f ca="1">IFERROR(__xludf.UNSUPPORTED("""COMPUTED_VALUE"""),110543000000)</f>
        <v>110543000000</v>
      </c>
      <c r="F415" s="1">
        <f ca="1">IFERROR(__xludf.UNSUPPORTED("""COMPUTED_VALUE"""),122151000000)</f>
        <v>122151000000</v>
      </c>
      <c r="G415" s="1">
        <f ca="1">IFERROR(__xludf.UNSUPPORTED("""COMPUTED_VALUE"""),104038000000)</f>
        <v>104038000000</v>
      </c>
      <c r="H415" s="1">
        <f ca="1">IFERROR(__xludf.UNSUPPORTED("""COMPUTED_VALUE"""),80674000000)</f>
        <v>80674000000</v>
      </c>
    </row>
    <row r="416" spans="1:8" ht="13">
      <c r="B416" s="1"/>
      <c r="C416" s="1"/>
      <c r="D416" s="1"/>
      <c r="E416" s="1"/>
      <c r="F416" s="1"/>
      <c r="G416" s="1"/>
      <c r="H416" s="1"/>
    </row>
    <row r="417" spans="2:8" ht="13">
      <c r="B417" s="1" t="str">
        <f ca="1">IFERROR(__xludf.UNSUPPORTED("""COMPUTED_VALUE"""),"CashProvidedByInvestingActivites")</f>
        <v>CashProvidedByInvestingActivites</v>
      </c>
      <c r="C417" s="1"/>
      <c r="D417" s="1"/>
      <c r="E417" s="1"/>
      <c r="F417" s="1"/>
      <c r="G417" s="1"/>
      <c r="H417" s="1"/>
    </row>
    <row r="418" spans="2:8" ht="13">
      <c r="B418" s="1"/>
      <c r="C418" s="1" t="str">
        <f ca="1">IFERROR(__xludf.UNSUPPORTED("""COMPUTED_VALUE"""),"investmentsInPropertyPlantAndEquipment")</f>
        <v>investmentsInPropertyPlantAndEquipment</v>
      </c>
      <c r="D418" s="1">
        <f ca="1">IFERROR(__xludf.UNSUPPORTED("""COMPUTED_VALUE"""),-9447000000)</f>
        <v>-9447000000</v>
      </c>
      <c r="E418" s="1">
        <f ca="1">IFERROR(__xludf.UNSUPPORTED("""COMPUTED_VALUE"""),-10959000000)</f>
        <v>-10959000000</v>
      </c>
      <c r="F418" s="1">
        <f ca="1">IFERROR(__xludf.UNSUPPORTED("""COMPUTED_VALUE"""),-10708000000)</f>
        <v>-10708000000</v>
      </c>
      <c r="G418" s="1">
        <f ca="1">IFERROR(__xludf.UNSUPPORTED("""COMPUTED_VALUE"""),-11085000000)</f>
        <v>-11085000000</v>
      </c>
      <c r="H418" s="1">
        <f ca="1">IFERROR(__xludf.UNSUPPORTED("""COMPUTED_VALUE"""),-7309000000)</f>
        <v>-7309000000</v>
      </c>
    </row>
    <row r="419" spans="2:8" ht="13">
      <c r="B419" s="1"/>
      <c r="C419" s="1" t="str">
        <f ca="1">IFERROR(__xludf.UNSUPPORTED("""COMPUTED_VALUE"""),"acquisitionsNet")</f>
        <v>acquisitionsNet</v>
      </c>
      <c r="D419" s="1">
        <f ca="1">IFERROR(__xludf.UNSUPPORTED("""COMPUTED_VALUE"""),0)</f>
        <v>0</v>
      </c>
      <c r="E419" s="1">
        <f ca="1">IFERROR(__xludf.UNSUPPORTED("""COMPUTED_VALUE"""),0)</f>
        <v>0</v>
      </c>
      <c r="F419" s="1">
        <f ca="1">IFERROR(__xludf.UNSUPPORTED("""COMPUTED_VALUE"""),-306000000)</f>
        <v>-306000000</v>
      </c>
      <c r="G419" s="1">
        <f ca="1">IFERROR(__xludf.UNSUPPORTED("""COMPUTED_VALUE"""),-33000000)</f>
        <v>-33000000</v>
      </c>
      <c r="H419" s="1">
        <f ca="1">IFERROR(__xludf.UNSUPPORTED("""COMPUTED_VALUE"""),-1524000000)</f>
        <v>-1524000000</v>
      </c>
    </row>
    <row r="420" spans="2:8" ht="13">
      <c r="B420" s="1"/>
      <c r="C420" s="1" t="str">
        <f ca="1">IFERROR(__xludf.UNSUPPORTED("""COMPUTED_VALUE"""),"purchasesOfInvestments")</f>
        <v>purchasesOfInvestments</v>
      </c>
      <c r="D420" s="1">
        <f ca="1">IFERROR(__xludf.UNSUPPORTED("""COMPUTED_VALUE"""),-48656000000)</f>
        <v>-48656000000</v>
      </c>
      <c r="E420" s="1">
        <f ca="1">IFERROR(__xludf.UNSUPPORTED("""COMPUTED_VALUE"""),-29513000000)</f>
        <v>-29513000000</v>
      </c>
      <c r="F420" s="1">
        <f ca="1">IFERROR(__xludf.UNSUPPORTED("""COMPUTED_VALUE"""),-76923000000)</f>
        <v>-76923000000</v>
      </c>
      <c r="G420" s="1">
        <f ca="1">IFERROR(__xludf.UNSUPPORTED("""COMPUTED_VALUE"""),-109558000000)</f>
        <v>-109558000000</v>
      </c>
      <c r="H420" s="1">
        <f ca="1">IFERROR(__xludf.UNSUPPORTED("""COMPUTED_VALUE"""),-114938000000)</f>
        <v>-114938000000</v>
      </c>
    </row>
    <row r="421" spans="2:8" ht="13">
      <c r="B421" s="1"/>
      <c r="C421" s="1" t="str">
        <f ca="1">IFERROR(__xludf.UNSUPPORTED("""COMPUTED_VALUE"""),"salesMaturitiesOfInvestments")</f>
        <v>salesMaturitiesOfInvestments</v>
      </c>
      <c r="D421" s="1">
        <f ca="1">IFERROR(__xludf.UNSUPPORTED("""COMPUTED_VALUE"""),62346000000)</f>
        <v>62346000000</v>
      </c>
      <c r="E421" s="1">
        <f ca="1">IFERROR(__xludf.UNSUPPORTED("""COMPUTED_VALUE"""),45514000000)</f>
        <v>45514000000</v>
      </c>
      <c r="F421" s="1">
        <f ca="1">IFERROR(__xludf.UNSUPPORTED("""COMPUTED_VALUE"""),67363000000)</f>
        <v>67363000000</v>
      </c>
      <c r="G421" s="1">
        <f ca="1">IFERROR(__xludf.UNSUPPORTED("""COMPUTED_VALUE"""),106483000000)</f>
        <v>106483000000</v>
      </c>
      <c r="H421" s="1">
        <f ca="1">IFERROR(__xludf.UNSUPPORTED("""COMPUTED_VALUE"""),120391000000)</f>
        <v>120391000000</v>
      </c>
    </row>
    <row r="422" spans="2:8" ht="13">
      <c r="B422" s="1"/>
      <c r="C422" s="1" t="str">
        <f ca="1">IFERROR(__xludf.UNSUPPORTED("""COMPUTED_VALUE"""),"otherInvestingActivites")</f>
        <v>otherInvestingActivites</v>
      </c>
      <c r="D422" s="1">
        <f ca="1">IFERROR(__xludf.UNSUPPORTED("""COMPUTED_VALUE"""),-1308000000)</f>
        <v>-1308000000</v>
      </c>
      <c r="E422" s="1">
        <f ca="1">IFERROR(__xludf.UNSUPPORTED("""COMPUTED_VALUE"""),-1337000000)</f>
        <v>-1337000000</v>
      </c>
      <c r="F422" s="1">
        <f ca="1">IFERROR(__xludf.UNSUPPORTED("""COMPUTED_VALUE"""),-2086000000)</f>
        <v>-2086000000</v>
      </c>
      <c r="G422" s="1">
        <f ca="1">IFERROR(__xludf.UNSUPPORTED("""COMPUTED_VALUE"""),-385000000)</f>
        <v>-385000000</v>
      </c>
      <c r="H422" s="1">
        <f ca="1">IFERROR(__xludf.UNSUPPORTED("""COMPUTED_VALUE"""),-909000000)</f>
        <v>-909000000</v>
      </c>
    </row>
    <row r="423" spans="2:8" ht="13">
      <c r="B423" s="1"/>
      <c r="C423" s="1" t="str">
        <f ca="1">IFERROR(__xludf.UNSUPPORTED("""COMPUTED_VALUE"""),"netCashUsedForInvestingActivites")</f>
        <v>netCashUsedForInvestingActivites</v>
      </c>
      <c r="D423" s="1">
        <f ca="1">IFERROR(__xludf.UNSUPPORTED("""COMPUTED_VALUE"""),2935000000)</f>
        <v>2935000000</v>
      </c>
      <c r="E423" s="1">
        <f ca="1">IFERROR(__xludf.UNSUPPORTED("""COMPUTED_VALUE"""),3705000000)</f>
        <v>3705000000</v>
      </c>
      <c r="F423" s="1">
        <f ca="1">IFERROR(__xludf.UNSUPPORTED("""COMPUTED_VALUE"""),-22354000000)</f>
        <v>-22354000000</v>
      </c>
      <c r="G423" s="1">
        <f ca="1">IFERROR(__xludf.UNSUPPORTED("""COMPUTED_VALUE"""),-14545000000)</f>
        <v>-14545000000</v>
      </c>
      <c r="H423" s="1">
        <f ca="1">IFERROR(__xludf.UNSUPPORTED("""COMPUTED_VALUE"""),-4289000000)</f>
        <v>-4289000000</v>
      </c>
    </row>
    <row r="424" spans="2:8" ht="13">
      <c r="B424" s="1"/>
      <c r="C424" s="1"/>
      <c r="D424" s="1"/>
      <c r="E424" s="1"/>
      <c r="F424" s="1"/>
      <c r="G424" s="1"/>
      <c r="H424" s="1"/>
    </row>
    <row r="425" spans="2:8" ht="13">
      <c r="B425" s="1" t="str">
        <f ca="1">IFERROR(__xludf.UNSUPPORTED("""COMPUTED_VALUE"""),"CashProvidedByFinancingingActivites")</f>
        <v>CashProvidedByFinancingingActivites</v>
      </c>
      <c r="C425" s="1"/>
      <c r="D425" s="1"/>
      <c r="E425" s="1"/>
      <c r="F425" s="1"/>
      <c r="G425" s="1"/>
      <c r="H425" s="1"/>
    </row>
    <row r="426" spans="2:8" ht="13">
      <c r="B426" s="1"/>
      <c r="C426" s="1" t="str">
        <f ca="1">IFERROR(__xludf.UNSUPPORTED("""COMPUTED_VALUE"""),"debtRepayment")</f>
        <v>debtRepayment</v>
      </c>
      <c r="D426" s="1"/>
      <c r="E426" s="1">
        <f ca="1">IFERROR(__xludf.UNSUPPORTED("""COMPUTED_VALUE"""),-9901000000)</f>
        <v>-9901000000</v>
      </c>
      <c r="F426" s="1"/>
      <c r="G426" s="1"/>
      <c r="H426" s="1"/>
    </row>
    <row r="427" spans="2:8" ht="13">
      <c r="B427" s="1"/>
      <c r="C427" s="1" t="str">
        <f ca="1">IFERROR(__xludf.UNSUPPORTED("""COMPUTED_VALUE"""),"commonStockIssued")</f>
        <v>commonStockIssued</v>
      </c>
      <c r="D427" s="1">
        <f ca="1">IFERROR(__xludf.UNSUPPORTED("""COMPUTED_VALUE"""),0)</f>
        <v>0</v>
      </c>
      <c r="E427" s="1">
        <f ca="1">IFERROR(__xludf.UNSUPPORTED("""COMPUTED_VALUE"""),0)</f>
        <v>0</v>
      </c>
      <c r="F427" s="1">
        <f ca="1">IFERROR(__xludf.UNSUPPORTED("""COMPUTED_VALUE"""),0)</f>
        <v>0</v>
      </c>
      <c r="G427" s="1">
        <f ca="1">IFERROR(__xludf.UNSUPPORTED("""COMPUTED_VALUE"""),1105000000)</f>
        <v>1105000000</v>
      </c>
      <c r="H427" s="1">
        <f ca="1">IFERROR(__xludf.UNSUPPORTED("""COMPUTED_VALUE"""),880000000)</f>
        <v>880000000</v>
      </c>
    </row>
    <row r="428" spans="2:8" ht="13">
      <c r="B428" s="1"/>
      <c r="C428" s="1" t="str">
        <f ca="1">IFERROR(__xludf.UNSUPPORTED("""COMPUTED_VALUE"""),"commonStockRepurchased")</f>
        <v>commonStockRepurchased</v>
      </c>
      <c r="D428" s="1">
        <f ca="1">IFERROR(__xludf.UNSUPPORTED("""COMPUTED_VALUE"""),-94949000000)</f>
        <v>-94949000000</v>
      </c>
      <c r="E428" s="1">
        <f ca="1">IFERROR(__xludf.UNSUPPORTED("""COMPUTED_VALUE"""),-77550000000)</f>
        <v>-77550000000</v>
      </c>
      <c r="F428" s="1">
        <f ca="1">IFERROR(__xludf.UNSUPPORTED("""COMPUTED_VALUE"""),-95625000000)</f>
        <v>-95625000000</v>
      </c>
      <c r="G428" s="1">
        <f ca="1">IFERROR(__xludf.UNSUPPORTED("""COMPUTED_VALUE"""),-92527000000)</f>
        <v>-92527000000</v>
      </c>
      <c r="H428" s="1">
        <f ca="1">IFERROR(__xludf.UNSUPPORTED("""COMPUTED_VALUE"""),-75992000000)</f>
        <v>-75992000000</v>
      </c>
    </row>
    <row r="429" spans="2:8" ht="13">
      <c r="B429" s="1"/>
      <c r="C429" s="1" t="str">
        <f ca="1">IFERROR(__xludf.UNSUPPORTED("""COMPUTED_VALUE"""),"dividendsPaid")</f>
        <v>dividendsPaid</v>
      </c>
      <c r="D429" s="1">
        <f ca="1">IFERROR(__xludf.UNSUPPORTED("""COMPUTED_VALUE"""),-15234000000)</f>
        <v>-15234000000</v>
      </c>
      <c r="E429" s="1">
        <f ca="1">IFERROR(__xludf.UNSUPPORTED("""COMPUTED_VALUE"""),-15025000000)</f>
        <v>-15025000000</v>
      </c>
      <c r="F429" s="1">
        <f ca="1">IFERROR(__xludf.UNSUPPORTED("""COMPUTED_VALUE"""),-14841000000)</f>
        <v>-14841000000</v>
      </c>
      <c r="G429" s="1">
        <f ca="1">IFERROR(__xludf.UNSUPPORTED("""COMPUTED_VALUE"""),-14467000000)</f>
        <v>-14467000000</v>
      </c>
      <c r="H429" s="1">
        <f ca="1">IFERROR(__xludf.UNSUPPORTED("""COMPUTED_VALUE"""),-14081000000)</f>
        <v>-14081000000</v>
      </c>
    </row>
    <row r="430" spans="2:8" ht="13">
      <c r="B430" s="1"/>
      <c r="C430" s="1" t="str">
        <f ca="1">IFERROR(__xludf.UNSUPPORTED("""COMPUTED_VALUE"""),"otherFinancingActivites")</f>
        <v>otherFinancingActivites</v>
      </c>
      <c r="D430" s="1">
        <f ca="1">IFERROR(__xludf.UNSUPPORTED("""COMPUTED_VALUE"""),-5802000000)</f>
        <v>-5802000000</v>
      </c>
      <c r="E430" s="1">
        <f ca="1">IFERROR(__xludf.UNSUPPORTED("""COMPUTED_VALUE"""),-6012000000)</f>
        <v>-6012000000</v>
      </c>
      <c r="F430" s="1">
        <f ca="1">IFERROR(__xludf.UNSUPPORTED("""COMPUTED_VALUE"""),3795000000)</f>
        <v>3795000000</v>
      </c>
      <c r="G430" s="1">
        <f ca="1">IFERROR(__xludf.UNSUPPORTED("""COMPUTED_VALUE"""),1998000000)</f>
        <v>1998000000</v>
      </c>
      <c r="H430" s="1">
        <f ca="1">IFERROR(__xludf.UNSUPPORTED("""COMPUTED_VALUE"""),-209000000)</f>
        <v>-209000000</v>
      </c>
    </row>
    <row r="431" spans="2:8" ht="13">
      <c r="B431" s="1"/>
      <c r="C431" s="1" t="str">
        <f ca="1">IFERROR(__xludf.UNSUPPORTED("""COMPUTED_VALUE"""),"netCashUsedProvidedByFinancingActivities")</f>
        <v>netCashUsedProvidedByFinancingActivities</v>
      </c>
      <c r="D431" s="1">
        <f ca="1">IFERROR(__xludf.UNSUPPORTED("""COMPUTED_VALUE"""),-121983000000)</f>
        <v>-121983000000</v>
      </c>
      <c r="E431" s="1">
        <f ca="1">IFERROR(__xludf.UNSUPPORTED("""COMPUTED_VALUE"""),-108488000000)</f>
        <v>-108488000000</v>
      </c>
      <c r="F431" s="1">
        <f ca="1">IFERROR(__xludf.UNSUPPORTED("""COMPUTED_VALUE"""),-110749000000)</f>
        <v>-110749000000</v>
      </c>
      <c r="G431" s="1">
        <f ca="1">IFERROR(__xludf.UNSUPPORTED("""COMPUTED_VALUE"""),-93353000000)</f>
        <v>-93353000000</v>
      </c>
      <c r="H431" s="1">
        <f ca="1">IFERROR(__xludf.UNSUPPORTED("""COMPUTED_VALUE"""),-86820000000)</f>
        <v>-86820000000</v>
      </c>
    </row>
    <row r="432" spans="2:8" ht="13">
      <c r="B432" s="1"/>
      <c r="C432" s="1"/>
      <c r="D432" s="1"/>
      <c r="E432" s="1"/>
      <c r="F432" s="1"/>
      <c r="G432" s="1"/>
      <c r="H432" s="1"/>
    </row>
    <row r="433" spans="2:8" ht="13">
      <c r="B433" s="1" t="str">
        <f ca="1">IFERROR(__xludf.UNSUPPORTED("""COMPUTED_VALUE"""),"Other")</f>
        <v>Other</v>
      </c>
      <c r="C433" s="1"/>
      <c r="D433" s="1"/>
      <c r="E433" s="1"/>
      <c r="F433" s="1"/>
      <c r="G433" s="1"/>
      <c r="H433" s="1"/>
    </row>
    <row r="434" spans="2:8" ht="13">
      <c r="B434" s="1"/>
      <c r="C434" s="1" t="str">
        <f ca="1">IFERROR(__xludf.UNSUPPORTED("""COMPUTED_VALUE"""),"effectOfForexChangesOnCash")</f>
        <v>effectOfForexChangesOnCash</v>
      </c>
      <c r="D434" s="1">
        <f ca="1">IFERROR(__xludf.UNSUPPORTED("""COMPUTED_VALUE"""),0)</f>
        <v>0</v>
      </c>
      <c r="E434" s="1">
        <f ca="1">IFERROR(__xludf.UNSUPPORTED("""COMPUTED_VALUE"""),0)</f>
        <v>0</v>
      </c>
      <c r="F434" s="1">
        <f ca="1">IFERROR(__xludf.UNSUPPORTED("""COMPUTED_VALUE"""),0)</f>
        <v>0</v>
      </c>
      <c r="G434" s="1">
        <f ca="1">IFERROR(__xludf.UNSUPPORTED("""COMPUTED_VALUE"""),0)</f>
        <v>0</v>
      </c>
      <c r="H434" s="1">
        <f ca="1">IFERROR(__xludf.UNSUPPORTED("""COMPUTED_VALUE"""),0)</f>
        <v>0</v>
      </c>
    </row>
    <row r="435" spans="2:8" ht="13">
      <c r="B435" s="1"/>
      <c r="C435" s="1"/>
      <c r="D435" s="1"/>
      <c r="E435" s="1"/>
      <c r="F435" s="1"/>
      <c r="G435" s="1"/>
      <c r="H435" s="1"/>
    </row>
    <row r="436" spans="2:8" ht="13">
      <c r="B436" s="1" t="str">
        <f ca="1">IFERROR(__xludf.UNSUPPORTED("""COMPUTED_VALUE"""),"Cash&amp;CashFlow")</f>
        <v>Cash&amp;CashFlow</v>
      </c>
      <c r="C436" s="1"/>
      <c r="D436" s="1"/>
      <c r="E436" s="1"/>
      <c r="F436" s="1"/>
      <c r="G436" s="1"/>
      <c r="H436" s="1"/>
    </row>
    <row r="437" spans="2:8" ht="13">
      <c r="B437" s="1"/>
      <c r="C437" s="1" t="str">
        <f ca="1">IFERROR(__xludf.UNSUPPORTED("""COMPUTED_VALUE"""),"netChangeInCash")</f>
        <v>netChangeInCash</v>
      </c>
      <c r="D437" s="1">
        <f ca="1">IFERROR(__xludf.UNSUPPORTED("""COMPUTED_VALUE"""),-794000000)</f>
        <v>-794000000</v>
      </c>
      <c r="E437" s="1">
        <f ca="1">IFERROR(__xludf.UNSUPPORTED("""COMPUTED_VALUE"""),5760000000)</f>
        <v>5760000000</v>
      </c>
      <c r="F437" s="1">
        <f ca="1">IFERROR(__xludf.UNSUPPORTED("""COMPUTED_VALUE"""),-10952000000)</f>
        <v>-10952000000</v>
      </c>
      <c r="G437" s="1">
        <f ca="1">IFERROR(__xludf.UNSUPPORTED("""COMPUTED_VALUE"""),-3860000000)</f>
        <v>-3860000000</v>
      </c>
      <c r="H437" s="1">
        <f ca="1">IFERROR(__xludf.UNSUPPORTED("""COMPUTED_VALUE"""),-10435000000)</f>
        <v>-10435000000</v>
      </c>
    </row>
    <row r="438" spans="2:8" ht="13">
      <c r="B438" s="1"/>
      <c r="C438" s="1" t="str">
        <f ca="1">IFERROR(__xludf.UNSUPPORTED("""COMPUTED_VALUE"""),"cashAtEndOfPeriod")</f>
        <v>cashAtEndOfPeriod</v>
      </c>
      <c r="D438" s="1">
        <f ca="1">IFERROR(__xludf.UNSUPPORTED("""COMPUTED_VALUE"""),29943000000)</f>
        <v>29943000000</v>
      </c>
      <c r="E438" s="1">
        <f ca="1">IFERROR(__xludf.UNSUPPORTED("""COMPUTED_VALUE"""),30737000000)</f>
        <v>30737000000</v>
      </c>
      <c r="F438" s="1">
        <f ca="1">IFERROR(__xludf.UNSUPPORTED("""COMPUTED_VALUE"""),24977000000)</f>
        <v>24977000000</v>
      </c>
      <c r="G438" s="1">
        <f ca="1">IFERROR(__xludf.UNSUPPORTED("""COMPUTED_VALUE"""),35929000000)</f>
        <v>35929000000</v>
      </c>
      <c r="H438" s="1">
        <f ca="1">IFERROR(__xludf.UNSUPPORTED("""COMPUTED_VALUE"""),39789000000)</f>
        <v>39789000000</v>
      </c>
    </row>
    <row r="439" spans="2:8" ht="13">
      <c r="B439" s="1"/>
      <c r="C439" s="1" t="str">
        <f ca="1">IFERROR(__xludf.UNSUPPORTED("""COMPUTED_VALUE"""),"cashAtBeginningOfPeriod")</f>
        <v>cashAtBeginningOfPeriod</v>
      </c>
      <c r="D439" s="1">
        <f ca="1">IFERROR(__xludf.UNSUPPORTED("""COMPUTED_VALUE"""),30737000000)</f>
        <v>30737000000</v>
      </c>
      <c r="E439" s="1">
        <f ca="1">IFERROR(__xludf.UNSUPPORTED("""COMPUTED_VALUE"""),24977000000)</f>
        <v>24977000000</v>
      </c>
      <c r="F439" s="1">
        <f ca="1">IFERROR(__xludf.UNSUPPORTED("""COMPUTED_VALUE"""),35929000000)</f>
        <v>35929000000</v>
      </c>
      <c r="G439" s="1">
        <f ca="1">IFERROR(__xludf.UNSUPPORTED("""COMPUTED_VALUE"""),39789000000)</f>
        <v>39789000000</v>
      </c>
      <c r="H439" s="1">
        <f ca="1">IFERROR(__xludf.UNSUPPORTED("""COMPUTED_VALUE"""),50224000000)</f>
        <v>50224000000</v>
      </c>
    </row>
    <row r="440" spans="2:8" ht="13">
      <c r="B440" s="1"/>
      <c r="C440" s="1" t="str">
        <f ca="1">IFERROR(__xludf.UNSUPPORTED("""COMPUTED_VALUE"""),"operatingCashFlow")</f>
        <v>operatingCashFlow</v>
      </c>
      <c r="D440" s="1">
        <f ca="1">IFERROR(__xludf.UNSUPPORTED("""COMPUTED_VALUE"""),118254000000)</f>
        <v>118254000000</v>
      </c>
      <c r="E440" s="1">
        <f ca="1">IFERROR(__xludf.UNSUPPORTED("""COMPUTED_VALUE"""),110543000000)</f>
        <v>110543000000</v>
      </c>
      <c r="F440" s="1">
        <f ca="1">IFERROR(__xludf.UNSUPPORTED("""COMPUTED_VALUE"""),122151000000)</f>
        <v>122151000000</v>
      </c>
      <c r="G440" s="1">
        <f ca="1">IFERROR(__xludf.UNSUPPORTED("""COMPUTED_VALUE"""),104038000000)</f>
        <v>104038000000</v>
      </c>
      <c r="H440" s="1">
        <f ca="1">IFERROR(__xludf.UNSUPPORTED("""COMPUTED_VALUE"""),80674000000)</f>
        <v>80674000000</v>
      </c>
    </row>
    <row r="441" spans="2:8" ht="13">
      <c r="B441" s="1"/>
      <c r="C441" s="1" t="str">
        <f ca="1">IFERROR(__xludf.UNSUPPORTED("""COMPUTED_VALUE"""),"capitalExpenditure")</f>
        <v>capitalExpenditure</v>
      </c>
      <c r="D441" s="1">
        <f ca="1">IFERROR(__xludf.UNSUPPORTED("""COMPUTED_VALUE"""),-9447000000)</f>
        <v>-9447000000</v>
      </c>
      <c r="E441" s="1">
        <f ca="1">IFERROR(__xludf.UNSUPPORTED("""COMPUTED_VALUE"""),-10959000000)</f>
        <v>-10959000000</v>
      </c>
      <c r="F441" s="1">
        <f ca="1">IFERROR(__xludf.UNSUPPORTED("""COMPUTED_VALUE"""),-10708000000)</f>
        <v>-10708000000</v>
      </c>
      <c r="G441" s="1">
        <f ca="1">IFERROR(__xludf.UNSUPPORTED("""COMPUTED_VALUE"""),-11085000000)</f>
        <v>-11085000000</v>
      </c>
      <c r="H441" s="1">
        <f ca="1">IFERROR(__xludf.UNSUPPORTED("""COMPUTED_VALUE"""),-7309000000)</f>
        <v>-7309000000</v>
      </c>
    </row>
    <row r="442" spans="2:8" ht="13">
      <c r="B442" s="1"/>
      <c r="C442" s="1" t="str">
        <f ca="1">IFERROR(__xludf.UNSUPPORTED("""COMPUTED_VALUE"""),"freeCashFlow")</f>
        <v>freeCashFlow</v>
      </c>
      <c r="D442" s="1">
        <f ca="1">IFERROR(__xludf.UNSUPPORTED("""COMPUTED_VALUE"""),108807000000)</f>
        <v>108807000000</v>
      </c>
      <c r="E442" s="1">
        <f ca="1">IFERROR(__xludf.UNSUPPORTED("""COMPUTED_VALUE"""),99584000000)</f>
        <v>99584000000</v>
      </c>
      <c r="F442" s="1">
        <f ca="1">IFERROR(__xludf.UNSUPPORTED("""COMPUTED_VALUE"""),111443000000)</f>
        <v>111443000000</v>
      </c>
      <c r="G442" s="1">
        <f ca="1">IFERROR(__xludf.UNSUPPORTED("""COMPUTED_VALUE"""),92953000000)</f>
        <v>92953000000</v>
      </c>
      <c r="H442" s="1">
        <f ca="1">IFERROR(__xludf.UNSUPPORTED("""COMPUTED_VALUE"""),73365000000)</f>
        <v>73365000000</v>
      </c>
    </row>
    <row r="501" spans="1:62" ht="13">
      <c r="A501" s="1" t="s">
        <v>239</v>
      </c>
    </row>
    <row r="502" spans="1:62" ht="13">
      <c r="B502" s="1" t="str">
        <f ca="1">IFERROR(__xludf.UNSUPPORTED(IMPORTDATA("https://fmpcloud.io/api/v3/key-metrics/" &amp;#REF! &amp; "?datatype=csv&amp;apikey=" &amp;#REF!)),"symbol")</f>
        <v>symbol</v>
      </c>
      <c r="C502" s="1" t="str">
        <f ca="1">IFERROR(__xludf.UNSUPPORTED("""COMPUTED_VALUE"""),"date")</f>
        <v>date</v>
      </c>
      <c r="D502" s="1" t="str">
        <f ca="1">IFERROR(__xludf.UNSUPPORTED("""COMPUTED_VALUE"""),"calendarYear")</f>
        <v>calendarYear</v>
      </c>
      <c r="E502" s="1" t="str">
        <f ca="1">IFERROR(__xludf.UNSUPPORTED("""COMPUTED_VALUE"""),"period")</f>
        <v>period</v>
      </c>
      <c r="F502" s="1" t="str">
        <f ca="1">IFERROR(__xludf.UNSUPPORTED("""COMPUTED_VALUE"""),"revenuePerShare")</f>
        <v>revenuePerShare</v>
      </c>
      <c r="G502" s="1" t="str">
        <f ca="1">IFERROR(__xludf.UNSUPPORTED("""COMPUTED_VALUE"""),"netIncomePerShare")</f>
        <v>netIncomePerShare</v>
      </c>
      <c r="H502" s="1" t="str">
        <f ca="1">IFERROR(__xludf.UNSUPPORTED("""COMPUTED_VALUE"""),"operatingCashFlowPerShare")</f>
        <v>operatingCashFlowPerShare</v>
      </c>
      <c r="I502" s="1" t="str">
        <f ca="1">IFERROR(__xludf.UNSUPPORTED("""COMPUTED_VALUE"""),"freeCashFlowPerShare")</f>
        <v>freeCashFlowPerShare</v>
      </c>
      <c r="J502" s="1" t="str">
        <f ca="1">IFERROR(__xludf.UNSUPPORTED("""COMPUTED_VALUE"""),"cashPerShare")</f>
        <v>cashPerShare</v>
      </c>
      <c r="K502" s="1" t="str">
        <f ca="1">IFERROR(__xludf.UNSUPPORTED("""COMPUTED_VALUE"""),"bookValuePerShare")</f>
        <v>bookValuePerShare</v>
      </c>
      <c r="L502" s="1" t="str">
        <f ca="1">IFERROR(__xludf.UNSUPPORTED("""COMPUTED_VALUE"""),"tangibleBookValuePerShare")</f>
        <v>tangibleBookValuePerShare</v>
      </c>
      <c r="M502" s="1" t="str">
        <f ca="1">IFERROR(__xludf.UNSUPPORTED("""COMPUTED_VALUE"""),"shareholdersEquityPerShare")</f>
        <v>shareholdersEquityPerShare</v>
      </c>
      <c r="N502" s="1" t="str">
        <f ca="1">IFERROR(__xludf.UNSUPPORTED("""COMPUTED_VALUE"""),"interestDebtPerShare")</f>
        <v>interestDebtPerShare</v>
      </c>
      <c r="O502" s="1" t="str">
        <f ca="1">IFERROR(__xludf.UNSUPPORTED("""COMPUTED_VALUE"""),"marketCap")</f>
        <v>marketCap</v>
      </c>
      <c r="P502" s="1" t="str">
        <f ca="1">IFERROR(__xludf.UNSUPPORTED("""COMPUTED_VALUE"""),"enterpriseValue")</f>
        <v>enterpriseValue</v>
      </c>
      <c r="Q502" s="1" t="str">
        <f ca="1">IFERROR(__xludf.UNSUPPORTED("""COMPUTED_VALUE"""),"peRatio")</f>
        <v>peRatio</v>
      </c>
      <c r="R502" s="1" t="str">
        <f ca="1">IFERROR(__xludf.UNSUPPORTED("""COMPUTED_VALUE"""),"priceToSalesRatio")</f>
        <v>priceToSalesRatio</v>
      </c>
      <c r="S502" s="1" t="str">
        <f ca="1">IFERROR(__xludf.UNSUPPORTED("""COMPUTED_VALUE"""),"pocfratio")</f>
        <v>pocfratio</v>
      </c>
      <c r="T502" s="1" t="str">
        <f ca="1">IFERROR(__xludf.UNSUPPORTED("""COMPUTED_VALUE"""),"pfcfRatio")</f>
        <v>pfcfRatio</v>
      </c>
      <c r="U502" s="1" t="str">
        <f ca="1">IFERROR(__xludf.UNSUPPORTED("""COMPUTED_VALUE"""),"pbRatio")</f>
        <v>pbRatio</v>
      </c>
      <c r="V502" s="1" t="str">
        <f ca="1">IFERROR(__xludf.UNSUPPORTED("""COMPUTED_VALUE"""),"ptbRatio")</f>
        <v>ptbRatio</v>
      </c>
      <c r="W502" s="1" t="str">
        <f ca="1">IFERROR(__xludf.UNSUPPORTED("""COMPUTED_VALUE"""),"evToSales")</f>
        <v>evToSales</v>
      </c>
      <c r="X502" s="1" t="str">
        <f ca="1">IFERROR(__xludf.UNSUPPORTED("""COMPUTED_VALUE"""),"enterpriseValueOverEBITDA")</f>
        <v>enterpriseValueOverEBITDA</v>
      </c>
      <c r="Y502" s="1" t="str">
        <f ca="1">IFERROR(__xludf.UNSUPPORTED("""COMPUTED_VALUE"""),"evToOperatingCashFlow")</f>
        <v>evToOperatingCashFlow</v>
      </c>
      <c r="Z502" s="1" t="str">
        <f ca="1">IFERROR(__xludf.UNSUPPORTED("""COMPUTED_VALUE"""),"evToFreeCashFlow")</f>
        <v>evToFreeCashFlow</v>
      </c>
      <c r="AA502" s="1" t="str">
        <f ca="1">IFERROR(__xludf.UNSUPPORTED("""COMPUTED_VALUE"""),"earningsYield")</f>
        <v>earningsYield</v>
      </c>
      <c r="AB502" s="1" t="str">
        <f ca="1">IFERROR(__xludf.UNSUPPORTED("""COMPUTED_VALUE"""),"freeCashFlowYield")</f>
        <v>freeCashFlowYield</v>
      </c>
      <c r="AC502" s="1" t="str">
        <f ca="1">IFERROR(__xludf.UNSUPPORTED("""COMPUTED_VALUE"""),"debtToEquity")</f>
        <v>debtToEquity</v>
      </c>
      <c r="AD502" s="1" t="str">
        <f ca="1">IFERROR(__xludf.UNSUPPORTED("""COMPUTED_VALUE"""),"debtToAssets")</f>
        <v>debtToAssets</v>
      </c>
      <c r="AE502" s="1" t="str">
        <f ca="1">IFERROR(__xludf.UNSUPPORTED("""COMPUTED_VALUE"""),"netDebtToEBITDA")</f>
        <v>netDebtToEBITDA</v>
      </c>
      <c r="AF502" s="1" t="str">
        <f ca="1">IFERROR(__xludf.UNSUPPORTED("""COMPUTED_VALUE"""),"currentRatio")</f>
        <v>currentRatio</v>
      </c>
      <c r="AG502" s="1" t="str">
        <f ca="1">IFERROR(__xludf.UNSUPPORTED("""COMPUTED_VALUE"""),"interestCoverage")</f>
        <v>interestCoverage</v>
      </c>
      <c r="AH502" s="1" t="str">
        <f ca="1">IFERROR(__xludf.UNSUPPORTED("""COMPUTED_VALUE"""),"incomeQuality")</f>
        <v>incomeQuality</v>
      </c>
      <c r="AI502" s="1" t="str">
        <f ca="1">IFERROR(__xludf.UNSUPPORTED("""COMPUTED_VALUE"""),"dividendYield")</f>
        <v>dividendYield</v>
      </c>
      <c r="AJ502" s="1" t="str">
        <f ca="1">IFERROR(__xludf.UNSUPPORTED("""COMPUTED_VALUE"""),"payoutRatio")</f>
        <v>payoutRatio</v>
      </c>
      <c r="AK502" s="1" t="str">
        <f ca="1">IFERROR(__xludf.UNSUPPORTED("""COMPUTED_VALUE"""),"salesGeneralAndAdministrativeToRevenue")</f>
        <v>salesGeneralAndAdministrativeToRevenue</v>
      </c>
      <c r="AL502" s="1" t="str">
        <f ca="1">IFERROR(__xludf.UNSUPPORTED("""COMPUTED_VALUE"""),"researchAndDdevelopementToRevenue")</f>
        <v>researchAndDdevelopementToRevenue</v>
      </c>
      <c r="AM502" s="1" t="str">
        <f ca="1">IFERROR(__xludf.UNSUPPORTED("""COMPUTED_VALUE"""),"intangiblesToTotalAssets")</f>
        <v>intangiblesToTotalAssets</v>
      </c>
      <c r="AN502" s="1" t="str">
        <f ca="1">IFERROR(__xludf.UNSUPPORTED("""COMPUTED_VALUE"""),"capexToOperatingCashFlow")</f>
        <v>capexToOperatingCashFlow</v>
      </c>
      <c r="AO502" s="1" t="str">
        <f ca="1">IFERROR(__xludf.UNSUPPORTED("""COMPUTED_VALUE"""),"capexToRevenue")</f>
        <v>capexToRevenue</v>
      </c>
      <c r="AP502" s="1" t="str">
        <f ca="1">IFERROR(__xludf.UNSUPPORTED("""COMPUTED_VALUE"""),"capexToDepreciation")</f>
        <v>capexToDepreciation</v>
      </c>
      <c r="AQ502" s="1" t="str">
        <f ca="1">IFERROR(__xludf.UNSUPPORTED("""COMPUTED_VALUE"""),"stockBasedCompensationToRevenue")</f>
        <v>stockBasedCompensationToRevenue</v>
      </c>
      <c r="AR502" s="1" t="str">
        <f ca="1">IFERROR(__xludf.UNSUPPORTED("""COMPUTED_VALUE"""),"grahamNumber")</f>
        <v>grahamNumber</v>
      </c>
      <c r="AS502" s="1" t="str">
        <f ca="1">IFERROR(__xludf.UNSUPPORTED("""COMPUTED_VALUE"""),"roic")</f>
        <v>roic</v>
      </c>
      <c r="AT502" s="1" t="str">
        <f ca="1">IFERROR(__xludf.UNSUPPORTED("""COMPUTED_VALUE"""),"returnOnTangibleAssets")</f>
        <v>returnOnTangibleAssets</v>
      </c>
      <c r="AU502" s="1" t="str">
        <f ca="1">IFERROR(__xludf.UNSUPPORTED("""COMPUTED_VALUE"""),"grahamNetNet")</f>
        <v>grahamNetNet</v>
      </c>
      <c r="AV502" s="1" t="str">
        <f ca="1">IFERROR(__xludf.UNSUPPORTED("""COMPUTED_VALUE"""),"workingCapital")</f>
        <v>workingCapital</v>
      </c>
      <c r="AW502" s="1" t="str">
        <f ca="1">IFERROR(__xludf.UNSUPPORTED("""COMPUTED_VALUE"""),"tangibleAssetValue")</f>
        <v>tangibleAssetValue</v>
      </c>
      <c r="AX502" s="1" t="str">
        <f ca="1">IFERROR(__xludf.UNSUPPORTED("""COMPUTED_VALUE"""),"netCurrentAssetValue")</f>
        <v>netCurrentAssetValue</v>
      </c>
      <c r="AY502" s="1" t="str">
        <f ca="1">IFERROR(__xludf.UNSUPPORTED("""COMPUTED_VALUE"""),"investedCapital")</f>
        <v>investedCapital</v>
      </c>
      <c r="AZ502" s="1" t="str">
        <f ca="1">IFERROR(__xludf.UNSUPPORTED("""COMPUTED_VALUE"""),"averageReceivables")</f>
        <v>averageReceivables</v>
      </c>
      <c r="BA502" s="1" t="str">
        <f ca="1">IFERROR(__xludf.UNSUPPORTED("""COMPUTED_VALUE"""),"averagePayables")</f>
        <v>averagePayables</v>
      </c>
      <c r="BB502" s="1" t="str">
        <f ca="1">IFERROR(__xludf.UNSUPPORTED("""COMPUTED_VALUE"""),"averageInventory")</f>
        <v>averageInventory</v>
      </c>
      <c r="BC502" s="1" t="str">
        <f ca="1">IFERROR(__xludf.UNSUPPORTED("""COMPUTED_VALUE"""),"daysSalesOutstanding")</f>
        <v>daysSalesOutstanding</v>
      </c>
      <c r="BD502" s="1" t="str">
        <f ca="1">IFERROR(__xludf.UNSUPPORTED("""COMPUTED_VALUE"""),"daysPayablesOutstanding")</f>
        <v>daysPayablesOutstanding</v>
      </c>
      <c r="BE502" s="1" t="str">
        <f ca="1">IFERROR(__xludf.UNSUPPORTED("""COMPUTED_VALUE"""),"daysOfInventoryOnHand")</f>
        <v>daysOfInventoryOnHand</v>
      </c>
      <c r="BF502" s="1" t="str">
        <f ca="1">IFERROR(__xludf.UNSUPPORTED("""COMPUTED_VALUE"""),"receivablesTurnover")</f>
        <v>receivablesTurnover</v>
      </c>
      <c r="BG502" s="1" t="str">
        <f ca="1">IFERROR(__xludf.UNSUPPORTED("""COMPUTED_VALUE"""),"payablesTurnover")</f>
        <v>payablesTurnover</v>
      </c>
      <c r="BH502" s="1" t="str">
        <f ca="1">IFERROR(__xludf.UNSUPPORTED("""COMPUTED_VALUE"""),"inventoryTurnover")</f>
        <v>inventoryTurnover</v>
      </c>
      <c r="BI502" s="1" t="str">
        <f ca="1">IFERROR(__xludf.UNSUPPORTED("""COMPUTED_VALUE"""),"roe")</f>
        <v>roe</v>
      </c>
      <c r="BJ502" s="1" t="str">
        <f ca="1">IFERROR(__xludf.UNSUPPORTED("""COMPUTED_VALUE"""),"capexPerShare")</f>
        <v>capexPerShare</v>
      </c>
    </row>
    <row r="503" spans="1:62" ht="13">
      <c r="A503" s="1" t="e">
        <f t="shared" ref="A503:A532" ca="1" si="2">IFERROR(DATEVALUE(B503),DATEVALUE(C503))</f>
        <v>#VALUE!</v>
      </c>
      <c r="B503" s="5" t="str">
        <f ca="1">IFERROR(__xludf.UNSUPPORTED("""COMPUTED_VALUE"""),"AAPL")</f>
        <v>AAPL</v>
      </c>
      <c r="C503" s="5">
        <f ca="1">IFERROR(__xludf.UNSUPPORTED("""COMPUTED_VALUE"""),45563)</f>
        <v>45563</v>
      </c>
      <c r="D503" s="1">
        <f ca="1">IFERROR(__xludf.UNSUPPORTED("""COMPUTED_VALUE"""),2024)</f>
        <v>2024</v>
      </c>
      <c r="E503" s="1" t="str">
        <f ca="1">IFERROR(__xludf.UNSUPPORTED("""COMPUTED_VALUE"""),"FY")</f>
        <v>FY</v>
      </c>
      <c r="F503" s="1">
        <f ca="1">IFERROR(__xludf.UNSUPPORTED("""COMPUTED_VALUE"""),25.4849146393689)</f>
        <v>25.484914639368899</v>
      </c>
      <c r="G503" s="1">
        <f ca="1">IFERROR(__xludf.UNSUPPORTED("""COMPUTED_VALUE"""),6.10905407095499)</f>
        <v>6.1090540709549899</v>
      </c>
      <c r="H503" s="1">
        <f ca="1">IFERROR(__xludf.UNSUPPORTED("""COMPUTED_VALUE"""),7.70696509459238)</f>
        <v>7.7069650945923804</v>
      </c>
      <c r="I503" s="1">
        <f ca="1">IFERROR(__xludf.UNSUPPORTED("""COMPUTED_VALUE"""),7.09127599106426)</f>
        <v>7.0912759910642604</v>
      </c>
      <c r="J503" s="1">
        <f ca="1">IFERROR(__xludf.UNSUPPORTED("""COMPUTED_VALUE"""),4.24738801376427)</f>
        <v>4.2473880137642697</v>
      </c>
      <c r="K503" s="1">
        <f ca="1">IFERROR(__xludf.UNSUPPORTED("""COMPUTED_VALUE"""),3.71160097871561)</f>
        <v>3.7116009787156101</v>
      </c>
      <c r="L503" s="1">
        <f ca="1">IFERROR(__xludf.UNSUPPORTED("""COMPUTED_VALUE"""),3.71160097871561)</f>
        <v>3.7116009787156101</v>
      </c>
      <c r="M503" s="1">
        <f ca="1">IFERROR(__xludf.UNSUPPORTED("""COMPUTED_VALUE"""),3.71160097871561)</f>
        <v>3.7116009787156101</v>
      </c>
      <c r="N503" s="1">
        <f ca="1">IFERROR(__xludf.UNSUPPORTED("""COMPUTED_VALUE"""),6.94932924950776)</f>
        <v>6.9493292495077599</v>
      </c>
      <c r="O503" s="1">
        <f ca="1">IFERROR(__xludf.UNSUPPORTED("""COMPUTED_VALUE"""),3495160329570)</f>
        <v>3495160329570</v>
      </c>
      <c r="P503" s="1">
        <f ca="1">IFERROR(__xludf.UNSUPPORTED("""COMPUTED_VALUE"""),3571846329570)</f>
        <v>3571846329570</v>
      </c>
      <c r="Q503" s="1">
        <f ca="1">IFERROR(__xludf.UNSUPPORTED("""COMPUTED_VALUE"""),37.2872784156567)</f>
        <v>37.287278415656701</v>
      </c>
      <c r="R503" s="1">
        <f ca="1">IFERROR(__xludf.UNSUPPORTED("""COMPUTED_VALUE"""),8.93822887866815)</f>
        <v>8.9382288786681503</v>
      </c>
      <c r="S503" s="1">
        <f ca="1">IFERROR(__xludf.UNSUPPORTED("""COMPUTED_VALUE"""),29.5563814295499)</f>
        <v>29.556381429549901</v>
      </c>
      <c r="T503" s="1">
        <f ca="1">IFERROR(__xludf.UNSUPPORTED("""COMPUTED_VALUE"""),32.1225686726956)</f>
        <v>32.1225686726956</v>
      </c>
      <c r="U503" s="1">
        <f ca="1">IFERROR(__xludf.UNSUPPORTED("""COMPUTED_VALUE"""),61.3724377448639)</f>
        <v>61.372437744863902</v>
      </c>
      <c r="V503" s="1">
        <f ca="1">IFERROR(__xludf.UNSUPPORTED("""COMPUTED_VALUE"""),61.3724377448639)</f>
        <v>61.372437744863902</v>
      </c>
      <c r="W503" s="1">
        <f ca="1">IFERROR(__xludf.UNSUPPORTED("""COMPUTED_VALUE"""),9.13433920127354)</f>
        <v>9.1343392012735407</v>
      </c>
      <c r="X503" s="1">
        <f ca="1">IFERROR(__xludf.UNSUPPORTED("""COMPUTED_VALUE"""),26.5247274977164)</f>
        <v>26.524727497716398</v>
      </c>
      <c r="Y503" s="1">
        <f ca="1">IFERROR(__xludf.UNSUPPORTED("""COMPUTED_VALUE"""),30.2048668930437)</f>
        <v>30.2048668930437</v>
      </c>
      <c r="Z503" s="1">
        <f ca="1">IFERROR(__xludf.UNSUPPORTED("""COMPUTED_VALUE"""),32.8273578866249)</f>
        <v>32.827357886624903</v>
      </c>
      <c r="AA503" s="1">
        <f ca="1">IFERROR(__xludf.UNSUPPORTED("""COMPUTED_VALUE"""),0.0268187983272092)</f>
        <v>2.6818798327209199E-2</v>
      </c>
      <c r="AB503" s="1">
        <f ca="1">IFERROR(__xludf.UNSUPPORTED("""COMPUTED_VALUE"""),0.0311307607492175)</f>
        <v>3.1130760749217501E-2</v>
      </c>
      <c r="AC503" s="1">
        <f ca="1">IFERROR(__xludf.UNSUPPORTED("""COMPUTED_VALUE"""),1.8723266022827)</f>
        <v>1.8723266022827001</v>
      </c>
      <c r="AD503" s="1">
        <f ca="1">IFERROR(__xludf.UNSUPPORTED("""COMPUTED_VALUE"""),0.292150254808482)</f>
        <v>0.292150254808482</v>
      </c>
      <c r="AE503" s="1">
        <f ca="1">IFERROR(__xludf.UNSUPPORTED("""COMPUTED_VALUE"""),0.569474458083632)</f>
        <v>0.56947445808363195</v>
      </c>
      <c r="AF503" s="1">
        <f ca="1">IFERROR(__xludf.UNSUPPORTED("""COMPUTED_VALUE"""),0.867312576534083)</f>
        <v>0.867312576534083</v>
      </c>
      <c r="AG503" s="1">
        <f ca="1">IFERROR(__xludf.UNSUPPORTED("""COMPUTED_VALUE"""),0)</f>
        <v>0</v>
      </c>
      <c r="AH503" s="1">
        <f ca="1">IFERROR(__xludf.UNSUPPORTED("""COMPUTED_VALUE"""),1.26156439361611)</f>
        <v>1.2615643936161101</v>
      </c>
      <c r="AI503" s="1">
        <f ca="1">IFERROR(__xludf.UNSUPPORTED("""COMPUTED_VALUE"""),0.00435859833699651)</f>
        <v>4.3585983369965097E-3</v>
      </c>
      <c r="AJ503" s="1">
        <f ca="1">IFERROR(__xludf.UNSUPPORTED("""COMPUTED_VALUE"""),0.162520269693607)</f>
        <v>0.162520269693607</v>
      </c>
      <c r="AK503" s="1">
        <f ca="1">IFERROR(__xludf.UNSUPPORTED("""COMPUTED_VALUE"""),0)</f>
        <v>0</v>
      </c>
      <c r="AL503" s="1">
        <f ca="1">IFERROR(__xludf.UNSUPPORTED("""COMPUTED_VALUE"""),0.0802229979413607)</f>
        <v>8.0222997941360702E-2</v>
      </c>
      <c r="AM503" s="1">
        <f ca="1">IFERROR(__xludf.UNSUPPORTED("""COMPUTED_VALUE"""),0)</f>
        <v>0</v>
      </c>
      <c r="AN503" s="1">
        <f ca="1">IFERROR(__xludf.UNSUPPORTED("""COMPUTED_VALUE"""),0.0798873611040641)</f>
        <v>7.9887361104064095E-2</v>
      </c>
      <c r="AO503" s="1">
        <f ca="1">IFERROR(__xludf.UNSUPPORTED("""COMPUTED_VALUE"""),0.0241589627526947)</f>
        <v>2.4158962752694701E-2</v>
      </c>
      <c r="AP503" s="1">
        <f ca="1">IFERROR(__xludf.UNSUPPORTED("""COMPUTED_VALUE"""),0.825425950196592)</f>
        <v>0.82542595019659204</v>
      </c>
      <c r="AQ503" s="1">
        <f ca="1">IFERROR(__xludf.UNSUPPORTED("""COMPUTED_VALUE"""),0.0298899075530323)</f>
        <v>2.9889907553032301E-2</v>
      </c>
      <c r="AR503" s="1">
        <f ca="1">IFERROR(__xludf.UNSUPPORTED("""COMPUTED_VALUE"""),22.5870172676168)</f>
        <v>22.587017267616801</v>
      </c>
      <c r="AS503" s="1">
        <f ca="1">IFERROR(__xludf.UNSUPPORTED("""COMPUTED_VALUE"""),0.443070811742792)</f>
        <v>0.443070811742792</v>
      </c>
      <c r="AT503" s="1">
        <f ca="1">IFERROR(__xludf.UNSUPPORTED("""COMPUTED_VALUE"""),0.256825031508575)</f>
        <v>0.256825031508575</v>
      </c>
      <c r="AU503" s="1">
        <f ca="1">IFERROR(__xludf.UNSUPPORTED("""COMPUTED_VALUE"""),-12.3524785250156)</f>
        <v>-12.3524785250156</v>
      </c>
      <c r="AV503" s="1">
        <f ca="1">IFERROR(__xludf.UNSUPPORTED("""COMPUTED_VALUE"""),-23405000000)</f>
        <v>-23405000000</v>
      </c>
      <c r="AW503" s="1">
        <f ca="1">IFERROR(__xludf.UNSUPPORTED("""COMPUTED_VALUE"""),56950000000)</f>
        <v>56950000000</v>
      </c>
      <c r="AX503" s="1">
        <f ca="1">IFERROR(__xludf.UNSUPPORTED("""COMPUTED_VALUE"""),-155043000000)</f>
        <v>-155043000000</v>
      </c>
      <c r="AY503" s="1">
        <f ca="1">IFERROR(__xludf.UNSUPPORTED("""COMPUTED_VALUE"""),22275000000)</f>
        <v>22275000000</v>
      </c>
      <c r="AZ503" s="1">
        <f ca="1">IFERROR(__xludf.UNSUPPORTED("""COMPUTED_VALUE"""),63614000000)</f>
        <v>63614000000</v>
      </c>
      <c r="BA503" s="1">
        <f ca="1">IFERROR(__xludf.UNSUPPORTED("""COMPUTED_VALUE"""),65785500000)</f>
        <v>65785500000</v>
      </c>
      <c r="BB503" s="1">
        <f ca="1">IFERROR(__xludf.UNSUPPORTED("""COMPUTED_VALUE"""),6808500000)</f>
        <v>6808500000</v>
      </c>
      <c r="BC503" s="1">
        <f ca="1">IFERROR(__xludf.UNSUPPORTED("""COMPUTED_VALUE"""),61.8325597452913)</f>
        <v>61.832559745291299</v>
      </c>
      <c r="BD503" s="1">
        <f ca="1">IFERROR(__xludf.UNSUPPORTED("""COMPUTED_VALUE"""),119.658477219137)</f>
        <v>119.658477219137</v>
      </c>
      <c r="BE503" s="1">
        <f ca="1">IFERROR(__xludf.UNSUPPORTED("""COMPUTED_VALUE"""),12.642570548414)</f>
        <v>12.642570548414</v>
      </c>
      <c r="BF503" s="1">
        <f ca="1">IFERROR(__xludf.UNSUPPORTED("""COMPUTED_VALUE"""),5.90303881164802)</f>
        <v>5.9030388116480204</v>
      </c>
      <c r="BG503" s="1">
        <f ca="1">IFERROR(__xludf.UNSUPPORTED("""COMPUTED_VALUE"""),3.05034802784222)</f>
        <v>3.0503480278422201</v>
      </c>
      <c r="BH503" s="1">
        <f ca="1">IFERROR(__xludf.UNSUPPORTED("""COMPUTED_VALUE"""),28.8707109525116)</f>
        <v>28.870710952511601</v>
      </c>
      <c r="BI503" s="1">
        <f ca="1">IFERROR(__xludf.UNSUPPORTED("""COMPUTED_VALUE"""),1.6459350307287)</f>
        <v>1.6459350307287</v>
      </c>
      <c r="BJ503" s="1">
        <f ca="1">IFERROR(__xludf.UNSUPPORTED("""COMPUTED_VALUE"""),0.615689103528119)</f>
        <v>0.61568910352811901</v>
      </c>
    </row>
    <row r="504" spans="1:62" ht="13">
      <c r="A504" s="1" t="e">
        <f t="shared" ca="1" si="2"/>
        <v>#VALUE!</v>
      </c>
      <c r="B504" s="5" t="str">
        <f ca="1">IFERROR(__xludf.UNSUPPORTED("""COMPUTED_VALUE"""),"AAPL")</f>
        <v>AAPL</v>
      </c>
      <c r="C504" s="5">
        <f ca="1">IFERROR(__xludf.UNSUPPORTED("""COMPUTED_VALUE"""),45199)</f>
        <v>45199</v>
      </c>
      <c r="D504" s="1">
        <f ca="1">IFERROR(__xludf.UNSUPPORTED("""COMPUTED_VALUE"""),2023)</f>
        <v>2023</v>
      </c>
      <c r="E504" s="1" t="str">
        <f ca="1">IFERROR(__xludf.UNSUPPORTED("""COMPUTED_VALUE"""),"FY")</f>
        <v>FY</v>
      </c>
      <c r="F504" s="1">
        <f ca="1">IFERROR(__xludf.UNSUPPORTED("""COMPUTED_VALUE"""),24.3444725880863)</f>
        <v>24.344472588086301</v>
      </c>
      <c r="G504" s="1">
        <f ca="1">IFERROR(__xludf.UNSUPPORTED("""COMPUTED_VALUE"""),6.16066926355437)</f>
        <v>6.1606692635543698</v>
      </c>
      <c r="H504" s="1">
        <f ca="1">IFERROR(__xludf.UNSUPPORTED("""COMPUTED_VALUE"""),7.02117493067778)</f>
        <v>7.0211749306777804</v>
      </c>
      <c r="I504" s="1">
        <f ca="1">IFERROR(__xludf.UNSUPPORTED("""COMPUTED_VALUE"""),6.32511044839217)</f>
        <v>6.3251104483921701</v>
      </c>
      <c r="J504" s="1">
        <f ca="1">IFERROR(__xludf.UNSUPPORTED("""COMPUTED_VALUE"""),3.90968603039424)</f>
        <v>3.9096860303942398</v>
      </c>
      <c r="K504" s="1">
        <f ca="1">IFERROR(__xludf.UNSUPPORTED("""COMPUTED_VALUE"""),3.94722358938966)</f>
        <v>3.9472235893896599</v>
      </c>
      <c r="L504" s="1">
        <f ca="1">IFERROR(__xludf.UNSUPPORTED("""COMPUTED_VALUE"""),3.94722358938966)</f>
        <v>3.9472235893896599</v>
      </c>
      <c r="M504" s="1">
        <f ca="1">IFERROR(__xludf.UNSUPPORTED("""COMPUTED_VALUE"""),3.94722358938966)</f>
        <v>3.9472235893896599</v>
      </c>
      <c r="N504" s="1">
        <f ca="1">IFERROR(__xludf.UNSUPPORTED("""COMPUTED_VALUE"""),7.30559657057877)</f>
        <v>7.3055965705787704</v>
      </c>
      <c r="O504" s="1">
        <f ca="1">IFERROR(__xludf.UNSUPPORTED("""COMPUTED_VALUE"""),2695569789510)</f>
        <v>2695569789510</v>
      </c>
      <c r="P504" s="1">
        <f ca="1">IFERROR(__xludf.UNSUPPORTED("""COMPUTED_VALUE"""),2776692789510)</f>
        <v>2776692789510</v>
      </c>
      <c r="Q504" s="1">
        <f ca="1">IFERROR(__xludf.UNSUPPORTED("""COMPUTED_VALUE"""),27.7908117893705)</f>
        <v>27.790811789370501</v>
      </c>
      <c r="R504" s="1">
        <f ca="1">IFERROR(__xludf.UNSUPPORTED("""COMPUTED_VALUE"""),7.03280793537446)</f>
        <v>7.0328079353744597</v>
      </c>
      <c r="S504" s="1">
        <f ca="1">IFERROR(__xludf.UNSUPPORTED("""COMPUTED_VALUE"""),24.3848076269867)</f>
        <v>24.384807626986699</v>
      </c>
      <c r="T504" s="1">
        <f ca="1">IFERROR(__xludf.UNSUPPORTED("""COMPUTED_VALUE"""),27.0683020315512)</f>
        <v>27.068302031551202</v>
      </c>
      <c r="U504" s="1">
        <f ca="1">IFERROR(__xludf.UNSUPPORTED("""COMPUTED_VALUE"""),43.3747914509381)</f>
        <v>43.374791450938098</v>
      </c>
      <c r="V504" s="1">
        <f ca="1">IFERROR(__xludf.UNSUPPORTED("""COMPUTED_VALUE"""),43.3747914509381)</f>
        <v>43.374791450938098</v>
      </c>
      <c r="W504" s="1">
        <f ca="1">IFERROR(__xludf.UNSUPPORTED("""COMPUTED_VALUE"""),7.24445983931017)</f>
        <v>7.2444598393101698</v>
      </c>
      <c r="X504" s="1">
        <f ca="1">IFERROR(__xludf.UNSUPPORTED("""COMPUTED_VALUE"""),22.0687711771578)</f>
        <v>22.068771177157799</v>
      </c>
      <c r="Y504" s="1">
        <f ca="1">IFERROR(__xludf.UNSUPPORTED("""COMPUTED_VALUE"""),25.1186668491899)</f>
        <v>25.1186668491899</v>
      </c>
      <c r="Z504" s="1">
        <f ca="1">IFERROR(__xludf.UNSUPPORTED("""COMPUTED_VALUE"""),27.8829208458186)</f>
        <v>27.8829208458186</v>
      </c>
      <c r="AA504" s="1">
        <f ca="1">IFERROR(__xludf.UNSUPPORTED("""COMPUTED_VALUE"""),0.0359831158434342)</f>
        <v>3.59831158434342E-2</v>
      </c>
      <c r="AB504" s="1">
        <f ca="1">IFERROR(__xludf.UNSUPPORTED("""COMPUTED_VALUE"""),0.0369435806809892)</f>
        <v>3.6943580680989199E-2</v>
      </c>
      <c r="AC504" s="1">
        <f ca="1">IFERROR(__xludf.UNSUPPORTED("""COMPUTED_VALUE"""),1.78753258455894)</f>
        <v>1.78753258455894</v>
      </c>
      <c r="AD504" s="1">
        <f ca="1">IFERROR(__xludf.UNSUPPORTED("""COMPUTED_VALUE"""),0.315069075933893)</f>
        <v>0.31506907593389299</v>
      </c>
      <c r="AE504" s="1">
        <f ca="1">IFERROR(__xludf.UNSUPPORTED("""COMPUTED_VALUE"""),0.644754411063423)</f>
        <v>0.64475441106342302</v>
      </c>
      <c r="AF504" s="1">
        <f ca="1">IFERROR(__xludf.UNSUPPORTED("""COMPUTED_VALUE"""),0.988011671759297)</f>
        <v>0.98801167175929705</v>
      </c>
      <c r="AG504" s="1">
        <f ca="1">IFERROR(__xludf.UNSUPPORTED("""COMPUTED_VALUE"""),29.0620391558606)</f>
        <v>29.062039155860599</v>
      </c>
      <c r="AH504" s="1">
        <f ca="1">IFERROR(__xludf.UNSUPPORTED("""COMPUTED_VALUE"""),1.13967730295376)</f>
        <v>1.1396773029537599</v>
      </c>
      <c r="AI504" s="1">
        <f ca="1">IFERROR(__xludf.UNSUPPORTED("""COMPUTED_VALUE"""),0.00557396067372132)</f>
        <v>5.5739606737213203E-3</v>
      </c>
      <c r="AJ504" s="1">
        <f ca="1">IFERROR(__xludf.UNSUPPORTED("""COMPUTED_VALUE"""),0.154904892004742)</f>
        <v>0.154904892004742</v>
      </c>
      <c r="AK504" s="1">
        <f ca="1">IFERROR(__xludf.UNSUPPORTED("""COMPUTED_VALUE"""),0)</f>
        <v>0</v>
      </c>
      <c r="AL504" s="1">
        <f ca="1">IFERROR(__xludf.UNSUPPORTED("""COMPUTED_VALUE"""),0.078048971392045)</f>
        <v>7.8048971392045002E-2</v>
      </c>
      <c r="AM504" s="1">
        <f ca="1">IFERROR(__xludf.UNSUPPORTED("""COMPUTED_VALUE"""),0)</f>
        <v>0</v>
      </c>
      <c r="AN504" s="1">
        <f ca="1">IFERROR(__xludf.UNSUPPORTED("""COMPUTED_VALUE"""),0.0991378920420108)</f>
        <v>9.9137892042010803E-2</v>
      </c>
      <c r="AO504" s="1">
        <f ca="1">IFERROR(__xludf.UNSUPPORTED("""COMPUTED_VALUE"""),0.0285923007683577)</f>
        <v>2.8592300768357701E-2</v>
      </c>
      <c r="AP504" s="1">
        <f ca="1">IFERROR(__xludf.UNSUPPORTED("""COMPUTED_VALUE"""),0.951384668808056)</f>
        <v>0.95138466880805606</v>
      </c>
      <c r="AQ504" s="1">
        <f ca="1">IFERROR(__xludf.UNSUPPORTED("""COMPUTED_VALUE"""),0.0282635636667231)</f>
        <v>2.8263563666723099E-2</v>
      </c>
      <c r="AR504" s="1">
        <f ca="1">IFERROR(__xludf.UNSUPPORTED("""COMPUTED_VALUE"""),23.3911228563191)</f>
        <v>23.3911228563191</v>
      </c>
      <c r="AS504" s="1">
        <f ca="1">IFERROR(__xludf.UNSUPPORTED("""COMPUTED_VALUE"""),0.433891829168962)</f>
        <v>0.43389182916896202</v>
      </c>
      <c r="AT504" s="1">
        <f ca="1">IFERROR(__xludf.UNSUPPORTED("""COMPUTED_VALUE"""),0.275098345637764)</f>
        <v>0.27509834563776397</v>
      </c>
      <c r="AU504" s="1">
        <f ca="1">IFERROR(__xludf.UNSUPPORTED("""COMPUTED_VALUE"""),-11.4313458688455)</f>
        <v>-11.431345868845501</v>
      </c>
      <c r="AV504" s="1">
        <f ca="1">IFERROR(__xludf.UNSUPPORTED("""COMPUTED_VALUE"""),-1742000000)</f>
        <v>-1742000000</v>
      </c>
      <c r="AW504" s="1">
        <f ca="1">IFERROR(__xludf.UNSUPPORTED("""COMPUTED_VALUE"""),62146000000)</f>
        <v>62146000000</v>
      </c>
      <c r="AX504" s="1">
        <f ca="1">IFERROR(__xludf.UNSUPPORTED("""COMPUTED_VALUE"""),-146871000000)</f>
        <v>-146871000000</v>
      </c>
      <c r="AY504" s="1">
        <f ca="1">IFERROR(__xludf.UNSUPPORTED("""COMPUTED_VALUE"""),52634000000)</f>
        <v>52634000000</v>
      </c>
      <c r="AZ504" s="1">
        <f ca="1">IFERROR(__xludf.UNSUPPORTED("""COMPUTED_VALUE"""),60958500000)</f>
        <v>60958500000</v>
      </c>
      <c r="BA504" s="1">
        <f ca="1">IFERROR(__xludf.UNSUPPORTED("""COMPUTED_VALUE"""),63363000000)</f>
        <v>63363000000</v>
      </c>
      <c r="BB504" s="1">
        <f ca="1">IFERROR(__xludf.UNSUPPORTED("""COMPUTED_VALUE"""),5638500000)</f>
        <v>5638500000</v>
      </c>
      <c r="BC504" s="1">
        <f ca="1">IFERROR(__xludf.UNSUPPORTED("""COMPUTED_VALUE"""),58.0756486687451)</f>
        <v>58.075648668745103</v>
      </c>
      <c r="BD504" s="1">
        <f ca="1">IFERROR(__xludf.UNSUPPORTED("""COMPUTED_VALUE"""),106.721468032147)</f>
        <v>106.721468032147</v>
      </c>
      <c r="BE504" s="1">
        <f ca="1">IFERROR(__xludf.UNSUPPORTED("""COMPUTED_VALUE"""),10.7912924903216)</f>
        <v>10.791292490321601</v>
      </c>
      <c r="BF504" s="1">
        <f ca="1">IFERROR(__xludf.UNSUPPORTED("""COMPUTED_VALUE"""),6.28490612445683)</f>
        <v>6.2849061244568301</v>
      </c>
      <c r="BG504" s="1">
        <f ca="1">IFERROR(__xludf.UNSUPPORTED("""COMPUTED_VALUE"""),3.4201178706617)</f>
        <v>3.4201178706616999</v>
      </c>
      <c r="BH504" s="1">
        <f ca="1">IFERROR(__xludf.UNSUPPORTED("""COMPUTED_VALUE"""),33.82356657716)</f>
        <v>33.823566577160001</v>
      </c>
      <c r="BI504" s="1">
        <f ca="1">IFERROR(__xludf.UNSUPPORTED("""COMPUTED_VALUE"""),1.5607601454639)</f>
        <v>1.5607601454639</v>
      </c>
      <c r="BJ504" s="1">
        <f ca="1">IFERROR(__xludf.UNSUPPORTED("""COMPUTED_VALUE"""),0.696064482285606)</f>
        <v>0.69606448228560602</v>
      </c>
    </row>
    <row r="505" spans="1:62" ht="13">
      <c r="A505" s="1" t="e">
        <f t="shared" ca="1" si="2"/>
        <v>#VALUE!</v>
      </c>
      <c r="B505" s="5" t="str">
        <f ca="1">IFERROR(__xludf.UNSUPPORTED("""COMPUTED_VALUE"""),"AAPL")</f>
        <v>AAPL</v>
      </c>
      <c r="C505" s="5">
        <f ca="1">IFERROR(__xludf.UNSUPPORTED("""COMPUTED_VALUE"""),44828)</f>
        <v>44828</v>
      </c>
      <c r="D505" s="1">
        <f ca="1">IFERROR(__xludf.UNSUPPORTED("""COMPUTED_VALUE"""),2022)</f>
        <v>2022</v>
      </c>
      <c r="E505" s="1" t="str">
        <f ca="1">IFERROR(__xludf.UNSUPPORTED("""COMPUTED_VALUE"""),"FY")</f>
        <v>FY</v>
      </c>
      <c r="F505" s="1">
        <f ca="1">IFERROR(__xludf.UNSUPPORTED("""COMPUTED_VALUE"""),24.3172730475519)</f>
        <v>24.3172730475519</v>
      </c>
      <c r="G505" s="1">
        <f ca="1">IFERROR(__xludf.UNSUPPORTED("""COMPUTED_VALUE"""),6.15461443763777)</f>
        <v>6.1546144376377701</v>
      </c>
      <c r="H505" s="1">
        <f ca="1">IFERROR(__xludf.UNSUPPORTED("""COMPUTED_VALUE"""),7.53276262408837)</f>
        <v>7.5327626240883703</v>
      </c>
      <c r="I505" s="1">
        <f ca="1">IFERROR(__xludf.UNSUPPORTED("""COMPUTED_VALUE"""),6.87242564625979)</f>
        <v>6.8724256462597904</v>
      </c>
      <c r="J505" s="1">
        <f ca="1">IFERROR(__xludf.UNSUPPORTED("""COMPUTED_VALUE"""),2.97879318052218)</f>
        <v>2.9787931805221799</v>
      </c>
      <c r="K505" s="1">
        <f ca="1">IFERROR(__xludf.UNSUPPORTED("""COMPUTED_VALUE"""),3.12482212743085)</f>
        <v>3.1248221274308499</v>
      </c>
      <c r="L505" s="1">
        <f ca="1">IFERROR(__xludf.UNSUPPORTED("""COMPUTED_VALUE"""),3.12482212743085)</f>
        <v>3.1248221274308499</v>
      </c>
      <c r="M505" s="1">
        <f ca="1">IFERROR(__xludf.UNSUPPORTED("""COMPUTED_VALUE"""),3.12482212743085)</f>
        <v>3.1248221274308499</v>
      </c>
      <c r="N505" s="1">
        <f ca="1">IFERROR(__xludf.UNSUPPORTED("""COMPUTED_VALUE"""),8.35047539267325)</f>
        <v>8.3504753926732498</v>
      </c>
      <c r="O505" s="1">
        <f ca="1">IFERROR(__xludf.UNSUPPORTED("""COMPUTED_VALUE"""),2439367314090)</f>
        <v>2439367314090</v>
      </c>
      <c r="P505" s="1">
        <f ca="1">IFERROR(__xludf.UNSUPPORTED("""COMPUTED_VALUE"""),2548201314090)</f>
        <v>2548201314090</v>
      </c>
      <c r="Q505" s="1">
        <f ca="1">IFERROR(__xludf.UNSUPPORTED("""COMPUTED_VALUE"""),24.4418235332605)</f>
        <v>24.4418235332605</v>
      </c>
      <c r="R505" s="1">
        <f ca="1">IFERROR(__xludf.UNSUPPORTED("""COMPUTED_VALUE"""),6.18613771806719)</f>
        <v>6.1861377180671901</v>
      </c>
      <c r="S505" s="1">
        <f ca="1">IFERROR(__xludf.UNSUPPORTED("""COMPUTED_VALUE"""),19.9700969626937)</f>
        <v>19.970096962693699</v>
      </c>
      <c r="T505" s="1">
        <f ca="1">IFERROR(__xludf.UNSUPPORTED("""COMPUTED_VALUE"""),21.888923611981)</f>
        <v>21.888923611980999</v>
      </c>
      <c r="U505" s="1">
        <f ca="1">IFERROR(__xludf.UNSUPPORTED("""COMPUTED_VALUE"""),48.140340110712)</f>
        <v>48.140340110712003</v>
      </c>
      <c r="V505" s="1">
        <f ca="1">IFERROR(__xludf.UNSUPPORTED("""COMPUTED_VALUE"""),48.140340110712)</f>
        <v>48.140340110712003</v>
      </c>
      <c r="W505" s="1">
        <f ca="1">IFERROR(__xludf.UNSUPPORTED("""COMPUTED_VALUE"""),6.46213637908035)</f>
        <v>6.4621363790803503</v>
      </c>
      <c r="X505" s="1">
        <f ca="1">IFERROR(__xludf.UNSUPPORTED("""COMPUTED_VALUE"""),19.5203140322963)</f>
        <v>19.520314032296302</v>
      </c>
      <c r="Y505" s="1">
        <f ca="1">IFERROR(__xludf.UNSUPPORTED("""COMPUTED_VALUE"""),20.8610761605717)</f>
        <v>20.861076160571699</v>
      </c>
      <c r="Z505" s="1">
        <f ca="1">IFERROR(__xludf.UNSUPPORTED("""COMPUTED_VALUE"""),22.8655125408504)</f>
        <v>22.8655125408504</v>
      </c>
      <c r="AA505" s="1">
        <f ca="1">IFERROR(__xludf.UNSUPPORTED("""COMPUTED_VALUE"""),0.0409134776150885)</f>
        <v>4.0913477615088498E-2</v>
      </c>
      <c r="AB505" s="1">
        <f ca="1">IFERROR(__xludf.UNSUPPORTED("""COMPUTED_VALUE"""),0.0456852067158133)</f>
        <v>4.5685206715813297E-2</v>
      </c>
      <c r="AC505" s="1">
        <f ca="1">IFERROR(__xludf.UNSUPPORTED("""COMPUTED_VALUE"""),2.6144616356173)</f>
        <v>2.6144616356173001</v>
      </c>
      <c r="AD505" s="1">
        <f ca="1">IFERROR(__xludf.UNSUPPORTED("""COMPUTED_VALUE"""),0.37555810690139)</f>
        <v>0.37555810690139002</v>
      </c>
      <c r="AE505" s="1">
        <f ca="1">IFERROR(__xludf.UNSUPPORTED("""COMPUTED_VALUE"""),0.833715078021464)</f>
        <v>0.83371507802146405</v>
      </c>
      <c r="AF505" s="1">
        <f ca="1">IFERROR(__xludf.UNSUPPORTED("""COMPUTED_VALUE"""),0.879356028626722)</f>
        <v>0.87935602862672202</v>
      </c>
      <c r="AG505" s="1">
        <f ca="1">IFERROR(__xludf.UNSUPPORTED("""COMPUTED_VALUE"""),40.7495735243944)</f>
        <v>40.7495735243944</v>
      </c>
      <c r="AH505" s="1">
        <f ca="1">IFERROR(__xludf.UNSUPPORTED("""COMPUTED_VALUE"""),1.22392112461549)</f>
        <v>1.22392112461549</v>
      </c>
      <c r="AI505" s="1">
        <f ca="1">IFERROR(__xludf.UNSUPPORTED("""COMPUTED_VALUE"""),0.00608395460342404)</f>
        <v>6.0839546034240398E-3</v>
      </c>
      <c r="AJ505" s="1">
        <f ca="1">IFERROR(__xludf.UNSUPPORTED("""COMPUTED_VALUE"""),0.148702944801258)</f>
        <v>0.14870294480125801</v>
      </c>
      <c r="AK505" s="1">
        <f ca="1">IFERROR(__xludf.UNSUPPORTED("""COMPUTED_VALUE"""),0)</f>
        <v>0</v>
      </c>
      <c r="AL505" s="1">
        <f ca="1">IFERROR(__xludf.UNSUPPORTED("""COMPUTED_VALUE"""),0.0665714836379866)</f>
        <v>6.6571483637986595E-2</v>
      </c>
      <c r="AM505" s="1">
        <f ca="1">IFERROR(__xludf.UNSUPPORTED("""COMPUTED_VALUE"""),0)</f>
        <v>0</v>
      </c>
      <c r="AN505" s="1">
        <f ca="1">IFERROR(__xludf.UNSUPPORTED("""COMPUTED_VALUE"""),0.0876619921245016)</f>
        <v>8.7661992124501598E-2</v>
      </c>
      <c r="AO505" s="1">
        <f ca="1">IFERROR(__xludf.UNSUPPORTED("""COMPUTED_VALUE"""),0.0271550587328315)</f>
        <v>2.71550587328315E-2</v>
      </c>
      <c r="AP505" s="1">
        <f ca="1">IFERROR(__xludf.UNSUPPORTED("""COMPUTED_VALUE"""),0.964337175792507)</f>
        <v>0.964337175792507</v>
      </c>
      <c r="AQ505" s="1">
        <f ca="1">IFERROR(__xludf.UNSUPPORTED("""COMPUTED_VALUE"""),0.0229200056805502)</f>
        <v>2.29200056805502E-2</v>
      </c>
      <c r="AR505" s="1">
        <f ca="1">IFERROR(__xludf.UNSUPPORTED("""COMPUTED_VALUE"""),20.8019637549453)</f>
        <v>20.801963754945302</v>
      </c>
      <c r="AS505" s="1">
        <f ca="1">IFERROR(__xludf.UNSUPPORTED("""COMPUTED_VALUE"""),0.451747614933124)</f>
        <v>0.45174761493312399</v>
      </c>
      <c r="AT505" s="1">
        <f ca="1">IFERROR(__xludf.UNSUPPORTED("""COMPUTED_VALUE"""),0.282924409292568)</f>
        <v>0.28292440929256801</v>
      </c>
      <c r="AU505" s="1">
        <f ca="1">IFERROR(__xludf.UNSUPPORTED("""COMPUTED_VALUE"""),-12.6792963205453)</f>
        <v>-12.6792963205453</v>
      </c>
      <c r="AV505" s="1">
        <f ca="1">IFERROR(__xludf.UNSUPPORTED("""COMPUTED_VALUE"""),-18577000000)</f>
        <v>-18577000000</v>
      </c>
      <c r="AW505" s="1">
        <f ca="1">IFERROR(__xludf.UNSUPPORTED("""COMPUTED_VALUE"""),50672000000)</f>
        <v>50672000000</v>
      </c>
      <c r="AX505" s="1">
        <f ca="1">IFERROR(__xludf.UNSUPPORTED("""COMPUTED_VALUE"""),-166678000000)</f>
        <v>-166678000000</v>
      </c>
      <c r="AY505" s="1">
        <f ca="1">IFERROR(__xludf.UNSUPPORTED("""COMPUTED_VALUE"""),33957000000)</f>
        <v>33957000000</v>
      </c>
      <c r="AZ505" s="1">
        <f ca="1">IFERROR(__xludf.UNSUPPORTED("""COMPUTED_VALUE"""),56219000000)</f>
        <v>56219000000</v>
      </c>
      <c r="BA505" s="1">
        <f ca="1">IFERROR(__xludf.UNSUPPORTED("""COMPUTED_VALUE"""),59439000000)</f>
        <v>59439000000</v>
      </c>
      <c r="BB505" s="1">
        <f ca="1">IFERROR(__xludf.UNSUPPORTED("""COMPUTED_VALUE"""),5763000000)</f>
        <v>5763000000</v>
      </c>
      <c r="BC505" s="1">
        <f ca="1">IFERROR(__xludf.UNSUPPORTED("""COMPUTED_VALUE"""),56.4002049055608)</f>
        <v>56.400204905560798</v>
      </c>
      <c r="BD505" s="1">
        <f ca="1">IFERROR(__xludf.UNSUPPORTED("""COMPUTED_VALUE"""),104.685277303105)</f>
        <v>104.685277303105</v>
      </c>
      <c r="BE505" s="1">
        <f ca="1">IFERROR(__xludf.UNSUPPORTED("""COMPUTED_VALUE"""),8.07569806661716)</f>
        <v>8.0756980666171607</v>
      </c>
      <c r="BF505" s="1">
        <f ca="1">IFERROR(__xludf.UNSUPPORTED("""COMPUTED_VALUE"""),6.47160769382262)</f>
        <v>6.4716076938226204</v>
      </c>
      <c r="BG505" s="1">
        <f ca="1">IFERROR(__xludf.UNSUPPORTED("""COMPUTED_VALUE"""),3.48664119160882)</f>
        <v>3.48664119160882</v>
      </c>
      <c r="BH505" s="1">
        <f ca="1">IFERROR(__xludf.UNSUPPORTED("""COMPUTED_VALUE"""),45.1973311767084)</f>
        <v>45.197331176708403</v>
      </c>
      <c r="BI505" s="1">
        <f ca="1">IFERROR(__xludf.UNSUPPORTED("""COMPUTED_VALUE"""),1.96958872750236)</f>
        <v>1.96958872750236</v>
      </c>
      <c r="BJ505" s="1">
        <f ca="1">IFERROR(__xludf.UNSUPPORTED("""COMPUTED_VALUE"""),0.660336977828575)</f>
        <v>0.66033697782857503</v>
      </c>
    </row>
    <row r="506" spans="1:62" ht="13">
      <c r="A506" s="1" t="e">
        <f t="shared" ca="1" si="2"/>
        <v>#VALUE!</v>
      </c>
      <c r="B506" s="5" t="str">
        <f ca="1">IFERROR(__xludf.UNSUPPORTED("""COMPUTED_VALUE"""),"AAPL")</f>
        <v>AAPL</v>
      </c>
      <c r="C506" s="5">
        <f ca="1">IFERROR(__xludf.UNSUPPORTED("""COMPUTED_VALUE"""),44464)</f>
        <v>44464</v>
      </c>
      <c r="D506" s="1">
        <f ca="1">IFERROR(__xludf.UNSUPPORTED("""COMPUTED_VALUE"""),2021)</f>
        <v>2021</v>
      </c>
      <c r="E506" s="1" t="str">
        <f ca="1">IFERROR(__xludf.UNSUPPORTED("""COMPUTED_VALUE"""),"FY")</f>
        <v>FY</v>
      </c>
      <c r="F506" s="1">
        <f ca="1">IFERROR(__xludf.UNSUPPORTED("""COMPUTED_VALUE"""),21.9035412392541)</f>
        <v>21.9035412392541</v>
      </c>
      <c r="G506" s="1">
        <f ca="1">IFERROR(__xludf.UNSUPPORTED("""COMPUTED_VALUE"""),5.66902928112301)</f>
        <v>5.6690292811230103</v>
      </c>
      <c r="H506" s="1">
        <f ca="1">IFERROR(__xludf.UNSUPPORTED("""COMPUTED_VALUE"""),6.22934588455298)</f>
        <v>6.2293458845529797</v>
      </c>
      <c r="I506" s="1">
        <f ca="1">IFERROR(__xludf.UNSUPPORTED("""COMPUTED_VALUE"""),5.56562398361035)</f>
        <v>5.56562398361035</v>
      </c>
      <c r="J506" s="1">
        <f ca="1">IFERROR(__xludf.UNSUPPORTED("""COMPUTED_VALUE"""),3.75055265251652)</f>
        <v>3.7505526525165198</v>
      </c>
      <c r="K506" s="1">
        <f ca="1">IFERROR(__xludf.UNSUPPORTED("""COMPUTED_VALUE"""),3.7775565837141)</f>
        <v>3.7775565837140999</v>
      </c>
      <c r="L506" s="1">
        <f ca="1">IFERROR(__xludf.UNSUPPORTED("""COMPUTED_VALUE"""),3.7775565837141)</f>
        <v>3.7775565837140999</v>
      </c>
      <c r="M506" s="1">
        <f ca="1">IFERROR(__xludf.UNSUPPORTED("""COMPUTED_VALUE"""),3.7775565837141)</f>
        <v>3.7775565837140999</v>
      </c>
      <c r="N506" s="1">
        <f ca="1">IFERROR(__xludf.UNSUPPORTED("""COMPUTED_VALUE"""),8.33271860969631)</f>
        <v>8.3327186096963093</v>
      </c>
      <c r="O506" s="1">
        <f ca="1">IFERROR(__xludf.UNSUPPORTED("""COMPUTED_VALUE"""),2453750882240)</f>
        <v>2453750882240</v>
      </c>
      <c r="P506" s="1">
        <f ca="1">IFERROR(__xludf.UNSUPPORTED("""COMPUTED_VALUE"""),2555332882240)</f>
        <v>2555332882240</v>
      </c>
      <c r="Q506" s="1">
        <f ca="1">IFERROR(__xludf.UNSUPPORTED("""COMPUTED_VALUE"""),25.9162535090832)</f>
        <v>25.916253509083202</v>
      </c>
      <c r="R506" s="1">
        <f ca="1">IFERROR(__xludf.UNSUPPORTED("""COMPUTED_VALUE"""),6.70759117875877)</f>
        <v>6.7075911787587703</v>
      </c>
      <c r="S506" s="1">
        <f ca="1">IFERROR(__xludf.UNSUPPORTED("""COMPUTED_VALUE"""),23.5851408354639)</f>
        <v>23.5851408354639</v>
      </c>
      <c r="T506" s="1">
        <f ca="1">IFERROR(__xludf.UNSUPPORTED("""COMPUTED_VALUE"""),26.3977588914827)</f>
        <v>26.397758891482699</v>
      </c>
      <c r="U506" s="1">
        <f ca="1">IFERROR(__xludf.UNSUPPORTED("""COMPUTED_VALUE"""),38.8928654658424)</f>
        <v>38.892865465842398</v>
      </c>
      <c r="V506" s="1">
        <f ca="1">IFERROR(__xludf.UNSUPPORTED("""COMPUTED_VALUE"""),38.8928654658424)</f>
        <v>38.892865465842398</v>
      </c>
      <c r="W506" s="1">
        <f ca="1">IFERROR(__xludf.UNSUPPORTED("""COMPUTED_VALUE"""),6.98527646949157)</f>
        <v>6.9852764694915699</v>
      </c>
      <c r="X506" s="1">
        <f ca="1">IFERROR(__xludf.UNSUPPORTED("""COMPUTED_VALUE"""),20.7521186512474)</f>
        <v>20.7521186512474</v>
      </c>
      <c r="Y506" s="1">
        <f ca="1">IFERROR(__xludf.UNSUPPORTED("""COMPUTED_VALUE"""),24.5615340763951)</f>
        <v>24.561534076395098</v>
      </c>
      <c r="Z506" s="1">
        <f ca="1">IFERROR(__xludf.UNSUPPORTED("""COMPUTED_VALUE"""),27.490590752746)</f>
        <v>27.490590752746002</v>
      </c>
      <c r="AA506" s="1">
        <f ca="1">IFERROR(__xludf.UNSUPPORTED("""COMPUTED_VALUE"""),0.0385858241296148)</f>
        <v>3.8585824129614803E-2</v>
      </c>
      <c r="AB506" s="1">
        <f ca="1">IFERROR(__xludf.UNSUPPORTED("""COMPUTED_VALUE"""),0.0378820037000432)</f>
        <v>3.7882003700043201E-2</v>
      </c>
      <c r="AC506" s="1">
        <f ca="1">IFERROR(__xludf.UNSUPPORTED("""COMPUTED_VALUE"""),2.16392455222697)</f>
        <v>2.1639245522269701</v>
      </c>
      <c r="AD506" s="1">
        <f ca="1">IFERROR(__xludf.UNSUPPORTED("""COMPUTED_VALUE"""),0.38894935071595)</f>
        <v>0.38894935071594999</v>
      </c>
      <c r="AE506" s="1">
        <f ca="1">IFERROR(__xludf.UNSUPPORTED("""COMPUTED_VALUE"""),0.82495777027027)</f>
        <v>0.82495777027026995</v>
      </c>
      <c r="AF506" s="1">
        <f ca="1">IFERROR(__xludf.UNSUPPORTED("""COMPUTED_VALUE"""),1.07455311959579)</f>
        <v>1.07455311959579</v>
      </c>
      <c r="AG506" s="1">
        <f ca="1">IFERROR(__xludf.UNSUPPORTED("""COMPUTED_VALUE"""),41.1905482041587)</f>
        <v>41.190548204158702</v>
      </c>
      <c r="AH506" s="1">
        <f ca="1">IFERROR(__xludf.UNSUPPORTED("""COMPUTED_VALUE"""),1.09883819180397)</f>
        <v>1.09883819180397</v>
      </c>
      <c r="AI506" s="1">
        <f ca="1">IFERROR(__xludf.UNSUPPORTED("""COMPUTED_VALUE"""),0.00589587154291443)</f>
        <v>5.89587154291443E-3</v>
      </c>
      <c r="AJ506" s="1">
        <f ca="1">IFERROR(__xludf.UNSUPPORTED("""COMPUTED_VALUE"""),0.15279890156316)</f>
        <v>0.15279890156316001</v>
      </c>
      <c r="AK506" s="1">
        <f ca="1">IFERROR(__xludf.UNSUPPORTED("""COMPUTED_VALUE"""),0)</f>
        <v>0</v>
      </c>
      <c r="AL506" s="1">
        <f ca="1">IFERROR(__xludf.UNSUPPORTED("""COMPUTED_VALUE"""),0.0599042690744279)</f>
        <v>5.9904269074427897E-2</v>
      </c>
      <c r="AM506" s="1">
        <f ca="1">IFERROR(__xludf.UNSUPPORTED("""COMPUTED_VALUE"""),0)</f>
        <v>0</v>
      </c>
      <c r="AN506" s="1">
        <f ca="1">IFERROR(__xludf.UNSUPPORTED("""COMPUTED_VALUE"""),0.106547607604913)</f>
        <v>0.106547607604913</v>
      </c>
      <c r="AO506" s="1">
        <f ca="1">IFERROR(__xludf.UNSUPPORTED("""COMPUTED_VALUE"""),0.0303020362640336)</f>
        <v>3.0302036264033601E-2</v>
      </c>
      <c r="AP506" s="1">
        <f ca="1">IFERROR(__xludf.UNSUPPORTED("""COMPUTED_VALUE"""),0.982364409783764)</f>
        <v>0.98236440978376405</v>
      </c>
      <c r="AQ506" s="1">
        <f ca="1">IFERROR(__xludf.UNSUPPORTED("""COMPUTED_VALUE"""),0.0216118988455976)</f>
        <v>2.16118988455976E-2</v>
      </c>
      <c r="AR506" s="1">
        <f ca="1">IFERROR(__xludf.UNSUPPORTED("""COMPUTED_VALUE"""),21.9508376809159)</f>
        <v>21.9508376809159</v>
      </c>
      <c r="AS506" s="1">
        <f ca="1">IFERROR(__xludf.UNSUPPORTED("""COMPUTED_VALUE"""),0.389250561822525)</f>
        <v>0.38925056182252499</v>
      </c>
      <c r="AT506" s="1">
        <f ca="1">IFERROR(__xludf.UNSUPPORTED("""COMPUTED_VALUE"""),0.269742052751836)</f>
        <v>0.26974205275183599</v>
      </c>
      <c r="AU506" s="1">
        <f ca="1">IFERROR(__xludf.UNSUPPORTED("""COMPUTED_VALUE"""),-10.978415296751)</f>
        <v>-10.978415296751001</v>
      </c>
      <c r="AV506" s="1">
        <f ca="1">IFERROR(__xludf.UNSUPPORTED("""COMPUTED_VALUE"""),9355000000)</f>
        <v>9355000000</v>
      </c>
      <c r="AW506" s="1">
        <f ca="1">IFERROR(__xludf.UNSUPPORTED("""COMPUTED_VALUE"""),63090000000)</f>
        <v>63090000000</v>
      </c>
      <c r="AX506" s="1">
        <f ca="1">IFERROR(__xludf.UNSUPPORTED("""COMPUTED_VALUE"""),-153076000000)</f>
        <v>-153076000000</v>
      </c>
      <c r="AY506" s="1">
        <f ca="1">IFERROR(__xludf.UNSUPPORTED("""COMPUTED_VALUE"""),58882000000)</f>
        <v>58882000000</v>
      </c>
      <c r="AZ506" s="1">
        <f ca="1">IFERROR(__xludf.UNSUPPORTED("""COMPUTED_VALUE"""),44475500000)</f>
        <v>44475500000</v>
      </c>
      <c r="BA506" s="1">
        <f ca="1">IFERROR(__xludf.UNSUPPORTED("""COMPUTED_VALUE"""),48529500000)</f>
        <v>48529500000</v>
      </c>
      <c r="BB506" s="1">
        <f ca="1">IFERROR(__xludf.UNSUPPORTED("""COMPUTED_VALUE"""),5320500000)</f>
        <v>5320500000</v>
      </c>
      <c r="BC506" s="1">
        <f ca="1">IFERROR(__xludf.UNSUPPORTED("""COMPUTED_VALUE"""),51.3909687083979)</f>
        <v>51.390968708397899</v>
      </c>
      <c r="BD506" s="1">
        <f ca="1">IFERROR(__xludf.UNSUPPORTED("""COMPUTED_VALUE"""),93.8510712223156)</f>
        <v>93.851071222315596</v>
      </c>
      <c r="BE506" s="1">
        <f ca="1">IFERROR(__xludf.UNSUPPORTED("""COMPUTED_VALUE"""),11.2765927477098)</f>
        <v>11.276592747709801</v>
      </c>
      <c r="BF506" s="1">
        <f ca="1">IFERROR(__xludf.UNSUPPORTED("""COMPUTED_VALUE"""),7.10241525259193)</f>
        <v>7.1024152525919302</v>
      </c>
      <c r="BG506" s="1">
        <f ca="1">IFERROR(__xludf.UNSUPPORTED("""COMPUTED_VALUE"""),3.88914047806)</f>
        <v>3.8891404780599999</v>
      </c>
      <c r="BH506" s="1">
        <f ca="1">IFERROR(__xludf.UNSUPPORTED("""COMPUTED_VALUE"""),32.367933130699)</f>
        <v>32.367933130699001</v>
      </c>
      <c r="BI506" s="1">
        <f ca="1">IFERROR(__xludf.UNSUPPORTED("""COMPUTED_VALUE"""),1.50071326676176)</f>
        <v>1.50071326676176</v>
      </c>
      <c r="BJ506" s="1">
        <f ca="1">IFERROR(__xludf.UNSUPPORTED("""COMPUTED_VALUE"""),0.663721900942634)</f>
        <v>0.66372190094263395</v>
      </c>
    </row>
    <row r="507" spans="1:62" ht="13">
      <c r="A507" s="1" t="e">
        <f t="shared" ca="1" si="2"/>
        <v>#VALUE!</v>
      </c>
      <c r="B507" s="5" t="str">
        <f ca="1">IFERROR(__xludf.UNSUPPORTED("""COMPUTED_VALUE"""),"AAPL")</f>
        <v>AAPL</v>
      </c>
      <c r="C507" s="5">
        <f ca="1">IFERROR(__xludf.UNSUPPORTED("""COMPUTED_VALUE"""),44100)</f>
        <v>44100</v>
      </c>
      <c r="D507" s="1">
        <f ca="1">IFERROR(__xludf.UNSUPPORTED("""COMPUTED_VALUE"""),2020)</f>
        <v>2020</v>
      </c>
      <c r="E507" s="1" t="str">
        <f ca="1">IFERROR(__xludf.UNSUPPORTED("""COMPUTED_VALUE"""),"FY")</f>
        <v>FY</v>
      </c>
      <c r="F507" s="1">
        <f ca="1">IFERROR(__xludf.UNSUPPORTED("""COMPUTED_VALUE"""),15.820258033039)</f>
        <v>15.820258033039</v>
      </c>
      <c r="G507" s="1">
        <f ca="1">IFERROR(__xludf.UNSUPPORTED("""COMPUTED_VALUE"""),3.30858726821778)</f>
        <v>3.3085872682177802</v>
      </c>
      <c r="H507" s="1">
        <f ca="1">IFERROR(__xludf.UNSUPPORTED("""COMPUTED_VALUE"""),4.64923044845416)</f>
        <v>4.6492304484541602</v>
      </c>
      <c r="I507" s="1">
        <f ca="1">IFERROR(__xludf.UNSUPPORTED("""COMPUTED_VALUE"""),4.2280138811865)</f>
        <v>4.2280138811864996</v>
      </c>
      <c r="J507" s="1">
        <f ca="1">IFERROR(__xludf.UNSUPPORTED("""COMPUTED_VALUE"""),5.2410313691371)</f>
        <v>5.2410313691371</v>
      </c>
      <c r="K507" s="1">
        <f ca="1">IFERROR(__xludf.UNSUPPORTED("""COMPUTED_VALUE"""),3.76547671209493)</f>
        <v>3.7654767120949302</v>
      </c>
      <c r="L507" s="1">
        <f ca="1">IFERROR(__xludf.UNSUPPORTED("""COMPUTED_VALUE"""),3.76547671209493)</f>
        <v>3.7654767120949302</v>
      </c>
      <c r="M507" s="1">
        <f ca="1">IFERROR(__xludf.UNSUPPORTED("""COMPUTED_VALUE"""),3.76547671209493)</f>
        <v>3.7654767120949302</v>
      </c>
      <c r="N507" s="1">
        <f ca="1">IFERROR(__xludf.UNSUPPORTED("""COMPUTED_VALUE"""),7.21243324806612)</f>
        <v>7.2124332480661204</v>
      </c>
      <c r="O507" s="1">
        <f ca="1">IFERROR(__xludf.UNSUPPORTED("""COMPUTED_VALUE"""),1948295921320)</f>
        <v>1948295921320</v>
      </c>
      <c r="P507" s="1">
        <f ca="1">IFERROR(__xludf.UNSUPPORTED("""COMPUTED_VALUE"""),2032557921320)</f>
        <v>2032557921320</v>
      </c>
      <c r="Q507" s="1">
        <f ca="1">IFERROR(__xludf.UNSUPPORTED("""COMPUTED_VALUE"""),33.9359342516242)</f>
        <v>33.935934251624197</v>
      </c>
      <c r="R507" s="1">
        <f ca="1">IFERROR(__xludf.UNSUPPORTED("""COMPUTED_VALUE"""),7.09722937296686)</f>
        <v>7.0972293729668596</v>
      </c>
      <c r="S507" s="1">
        <f ca="1">IFERROR(__xludf.UNSUPPORTED("""COMPUTED_VALUE"""),24.1502333009395)</f>
        <v>24.150233300939501</v>
      </c>
      <c r="T507" s="1">
        <f ca="1">IFERROR(__xludf.UNSUPPORTED("""COMPUTED_VALUE"""),26.5562042025488)</f>
        <v>26.556204202548798</v>
      </c>
      <c r="U507" s="1">
        <f ca="1">IFERROR(__xludf.UNSUPPORTED("""COMPUTED_VALUE"""),29.8182696600805)</f>
        <v>29.8182696600805</v>
      </c>
      <c r="V507" s="1">
        <f ca="1">IFERROR(__xludf.UNSUPPORTED("""COMPUTED_VALUE"""),29.8182696600805)</f>
        <v>29.8182696600805</v>
      </c>
      <c r="W507" s="1">
        <f ca="1">IFERROR(__xludf.UNSUPPORTED("""COMPUTED_VALUE"""),7.40417799143944)</f>
        <v>7.4041779914394397</v>
      </c>
      <c r="X507" s="1">
        <f ca="1">IFERROR(__xludf.UNSUPPORTED("""COMPUTED_VALUE"""),25.0871133216489)</f>
        <v>25.0871133216489</v>
      </c>
      <c r="Y507" s="1">
        <f ca="1">IFERROR(__xludf.UNSUPPORTED("""COMPUTED_VALUE"""),25.1947085965738)</f>
        <v>25.1947085965738</v>
      </c>
      <c r="Z507" s="1">
        <f ca="1">IFERROR(__xludf.UNSUPPORTED("""COMPUTED_VALUE"""),27.7047355185715)</f>
        <v>27.7047355185715</v>
      </c>
      <c r="AA507" s="1">
        <f ca="1">IFERROR(__xludf.UNSUPPORTED("""COMPUTED_VALUE"""),0.0294672895281242)</f>
        <v>2.9467289528124201E-2</v>
      </c>
      <c r="AB507" s="1">
        <f ca="1">IFERROR(__xludf.UNSUPPORTED("""COMPUTED_VALUE"""),0.0376559839792171)</f>
        <v>3.76559839792171E-2</v>
      </c>
      <c r="AC507" s="1">
        <f ca="1">IFERROR(__xludf.UNSUPPORTED("""COMPUTED_VALUE"""),1.87143972206492)</f>
        <v>1.8714397220649199</v>
      </c>
      <c r="AD507" s="1">
        <f ca="1">IFERROR(__xludf.UNSUPPORTED("""COMPUTED_VALUE"""),0.377531739366694)</f>
        <v>0.37753173936669399</v>
      </c>
      <c r="AE507" s="1">
        <f ca="1">IFERROR(__xludf.UNSUPPORTED("""COMPUTED_VALUE"""),1.04001481115773)</f>
        <v>1.0400148111577301</v>
      </c>
      <c r="AF507" s="1">
        <f ca="1">IFERROR(__xludf.UNSUPPORTED("""COMPUTED_VALUE"""),1.36360444815545)</f>
        <v>1.3636044481554499</v>
      </c>
      <c r="AG507" s="1">
        <f ca="1">IFERROR(__xludf.UNSUPPORTED("""COMPUTED_VALUE"""),23.0727462582666)</f>
        <v>23.072746258266601</v>
      </c>
      <c r="AH507" s="1">
        <f ca="1">IFERROR(__xludf.UNSUPPORTED("""COMPUTED_VALUE"""),1.40520109386702)</f>
        <v>1.4052010938670201</v>
      </c>
      <c r="AI507" s="1">
        <f ca="1">IFERROR(__xludf.UNSUPPORTED("""COMPUTED_VALUE"""),0.00722734151722696)</f>
        <v>7.22734151722696E-3</v>
      </c>
      <c r="AJ507" s="1">
        <f ca="1">IFERROR(__xludf.UNSUPPORTED("""COMPUTED_VALUE"""),0.245266586542648)</f>
        <v>0.24526658654264799</v>
      </c>
      <c r="AK507" s="1">
        <f ca="1">IFERROR(__xludf.UNSUPPORTED("""COMPUTED_VALUE"""),0)</f>
        <v>0</v>
      </c>
      <c r="AL507" s="1">
        <f ca="1">IFERROR(__xludf.UNSUPPORTED("""COMPUTED_VALUE"""),0.068309564140393)</f>
        <v>6.8309564140393006E-2</v>
      </c>
      <c r="AM507" s="1">
        <f ca="1">IFERROR(__xludf.UNSUPPORTED("""COMPUTED_VALUE"""),0)</f>
        <v>0</v>
      </c>
      <c r="AN507" s="1">
        <f ca="1">IFERROR(__xludf.UNSUPPORTED("""COMPUTED_VALUE"""),0.0905992017254629)</f>
        <v>9.0599201725462902E-2</v>
      </c>
      <c r="AO507" s="1">
        <f ca="1">IFERROR(__xludf.UNSUPPORTED("""COMPUTED_VALUE"""),0.0266251388812997)</f>
        <v>2.6625138881299699E-2</v>
      </c>
      <c r="AP507" s="1">
        <f ca="1">IFERROR(__xludf.UNSUPPORTED("""COMPUTED_VALUE"""),0.661089001447178)</f>
        <v>0.66108900144717797</v>
      </c>
      <c r="AQ507" s="1">
        <f ca="1">IFERROR(__xludf.UNSUPPORTED("""COMPUTED_VALUE"""),0.024876600550061)</f>
        <v>2.4876600550060999E-2</v>
      </c>
      <c r="AR507" s="1">
        <f ca="1">IFERROR(__xludf.UNSUPPORTED("""COMPUTED_VALUE"""),16.7425860290212)</f>
        <v>16.742586029021201</v>
      </c>
      <c r="AS507" s="1">
        <f ca="1">IFERROR(__xludf.UNSUPPORTED("""COMPUTED_VALUE"""),0.242694868596828)</f>
        <v>0.24269486859682801</v>
      </c>
      <c r="AT507" s="1">
        <f ca="1">IFERROR(__xludf.UNSUPPORTED("""COMPUTED_VALUE"""),0.177255718025984)</f>
        <v>0.177255718025984</v>
      </c>
      <c r="AU507" s="1">
        <f ca="1">IFERROR(__xludf.UNSUPPORTED("""COMPUTED_VALUE"""),-7.92362880867748)</f>
        <v>-7.9236288086774804</v>
      </c>
      <c r="AV507" s="1">
        <f ca="1">IFERROR(__xludf.UNSUPPORTED("""COMPUTED_VALUE"""),38321000000)</f>
        <v>38321000000</v>
      </c>
      <c r="AW507" s="1">
        <f ca="1">IFERROR(__xludf.UNSUPPORTED("""COMPUTED_VALUE"""),65339000000)</f>
        <v>65339000000</v>
      </c>
      <c r="AX507" s="1">
        <f ca="1">IFERROR(__xludf.UNSUPPORTED("""COMPUTED_VALUE"""),-114836000000)</f>
        <v>-114836000000</v>
      </c>
      <c r="AY507" s="1">
        <f ca="1">IFERROR(__xludf.UNSUPPORTED("""COMPUTED_VALUE"""),83657000000)</f>
        <v>83657000000</v>
      </c>
      <c r="AZ507" s="1">
        <f ca="1">IFERROR(__xludf.UNSUPPORTED("""COMPUTED_VALUE"""),41624500000)</f>
        <v>41624500000</v>
      </c>
      <c r="BA507" s="1">
        <f ca="1">IFERROR(__xludf.UNSUPPORTED("""COMPUTED_VALUE"""),44266000000)</f>
        <v>44266000000</v>
      </c>
      <c r="BB507" s="1">
        <f ca="1">IFERROR(__xludf.UNSUPPORTED("""COMPUTED_VALUE"""),4083500000)</f>
        <v>4083500000</v>
      </c>
      <c r="BC507" s="1">
        <f ca="1">IFERROR(__xludf.UNSUPPORTED("""COMPUTED_VALUE"""),49.7875343788135)</f>
        <v>49.787534378813497</v>
      </c>
      <c r="BD507" s="1">
        <f ca="1">IFERROR(__xludf.UNSUPPORTED("""COMPUTED_VALUE"""),91.0481897156741)</f>
        <v>91.048189715674098</v>
      </c>
      <c r="BE507" s="1">
        <f ca="1">IFERROR(__xludf.UNSUPPORTED("""COMPUTED_VALUE"""),8.74188335623588)</f>
        <v>8.7418833562358795</v>
      </c>
      <c r="BF507" s="1">
        <f ca="1">IFERROR(__xludf.UNSUPPORTED("""COMPUTED_VALUE"""),7.33115235678995)</f>
        <v>7.3311523567899499</v>
      </c>
      <c r="BG507" s="1">
        <f ca="1">IFERROR(__xludf.UNSUPPORTED("""COMPUTED_VALUE"""),4.00886608662757)</f>
        <v>4.0088660866275703</v>
      </c>
      <c r="BH507" s="1">
        <f ca="1">IFERROR(__xludf.UNSUPPORTED("""COMPUTED_VALUE"""),41.7530164983994)</f>
        <v>41.753016498399397</v>
      </c>
      <c r="BI507" s="1">
        <f ca="1">IFERROR(__xludf.UNSUPPORTED("""COMPUTED_VALUE"""),0.878663585301274)</f>
        <v>0.87866358530127397</v>
      </c>
      <c r="BJ507" s="1">
        <f ca="1">IFERROR(__xludf.UNSUPPORTED("""COMPUTED_VALUE"""),0.421216567267663)</f>
        <v>0.42121656726766299</v>
      </c>
    </row>
    <row r="508" spans="1:62" ht="13">
      <c r="A508" s="1" t="e">
        <f t="shared" si="2"/>
        <v>#VALUE!</v>
      </c>
      <c r="B508" s="5"/>
      <c r="C508" s="5"/>
    </row>
    <row r="509" spans="1:62" ht="13">
      <c r="A509" s="1" t="e">
        <f t="shared" si="2"/>
        <v>#VALUE!</v>
      </c>
      <c r="B509" s="5"/>
      <c r="C509" s="5"/>
    </row>
    <row r="510" spans="1:62" ht="13">
      <c r="A510" s="1" t="e">
        <f t="shared" si="2"/>
        <v>#VALUE!</v>
      </c>
      <c r="B510" s="5"/>
      <c r="C510" s="5"/>
    </row>
    <row r="511" spans="1:62" ht="13">
      <c r="A511" s="1" t="e">
        <f t="shared" si="2"/>
        <v>#VALUE!</v>
      </c>
      <c r="B511" s="5"/>
      <c r="C511" s="5"/>
    </row>
    <row r="512" spans="1:62" ht="13">
      <c r="A512" s="1" t="e">
        <f t="shared" si="2"/>
        <v>#VALUE!</v>
      </c>
      <c r="B512" s="5"/>
      <c r="C512" s="5"/>
    </row>
    <row r="513" spans="1:3" ht="13">
      <c r="A513" s="1" t="e">
        <f t="shared" si="2"/>
        <v>#VALUE!</v>
      </c>
      <c r="B513" s="5"/>
      <c r="C513" s="5"/>
    </row>
    <row r="514" spans="1:3" ht="13">
      <c r="A514" s="1" t="e">
        <f t="shared" si="2"/>
        <v>#VALUE!</v>
      </c>
      <c r="B514" s="5"/>
      <c r="C514" s="5"/>
    </row>
    <row r="515" spans="1:3" ht="13">
      <c r="A515" s="1" t="e">
        <f t="shared" si="2"/>
        <v>#VALUE!</v>
      </c>
      <c r="B515" s="5"/>
      <c r="C515" s="5"/>
    </row>
    <row r="516" spans="1:3" ht="13">
      <c r="A516" s="1" t="e">
        <f t="shared" si="2"/>
        <v>#VALUE!</v>
      </c>
      <c r="B516" s="5"/>
      <c r="C516" s="5"/>
    </row>
    <row r="517" spans="1:3" ht="13">
      <c r="A517" s="1" t="e">
        <f t="shared" si="2"/>
        <v>#VALUE!</v>
      </c>
      <c r="B517" s="5"/>
      <c r="C517" s="5"/>
    </row>
    <row r="518" spans="1:3" ht="13">
      <c r="A518" s="1" t="e">
        <f t="shared" si="2"/>
        <v>#VALUE!</v>
      </c>
      <c r="B518" s="5"/>
      <c r="C518" s="5"/>
    </row>
    <row r="519" spans="1:3" ht="13">
      <c r="A519" s="1" t="e">
        <f t="shared" si="2"/>
        <v>#VALUE!</v>
      </c>
      <c r="B519" s="5"/>
      <c r="C519" s="5"/>
    </row>
    <row r="520" spans="1:3" ht="13">
      <c r="A520" s="1" t="e">
        <f t="shared" si="2"/>
        <v>#VALUE!</v>
      </c>
      <c r="B520" s="5"/>
      <c r="C520" s="5"/>
    </row>
    <row r="521" spans="1:3" ht="13">
      <c r="A521" s="1" t="e">
        <f t="shared" si="2"/>
        <v>#VALUE!</v>
      </c>
      <c r="B521" s="5"/>
      <c r="C521" s="5"/>
    </row>
    <row r="522" spans="1:3" ht="13">
      <c r="A522" s="1" t="e">
        <f t="shared" si="2"/>
        <v>#VALUE!</v>
      </c>
      <c r="B522" s="5"/>
      <c r="C522" s="5"/>
    </row>
    <row r="523" spans="1:3" ht="13">
      <c r="A523" s="1" t="e">
        <f t="shared" si="2"/>
        <v>#VALUE!</v>
      </c>
      <c r="B523" s="5"/>
      <c r="C523" s="5"/>
    </row>
    <row r="524" spans="1:3" ht="13">
      <c r="A524" s="1" t="e">
        <f t="shared" si="2"/>
        <v>#VALUE!</v>
      </c>
      <c r="B524" s="5"/>
      <c r="C524" s="5"/>
    </row>
    <row r="525" spans="1:3" ht="13">
      <c r="A525" s="1" t="e">
        <f t="shared" si="2"/>
        <v>#VALUE!</v>
      </c>
      <c r="B525" s="5"/>
      <c r="C525" s="5"/>
    </row>
    <row r="526" spans="1:3" ht="13">
      <c r="A526" s="1" t="e">
        <f t="shared" si="2"/>
        <v>#VALUE!</v>
      </c>
      <c r="B526" s="5"/>
      <c r="C526" s="5"/>
    </row>
    <row r="527" spans="1:3" ht="13">
      <c r="A527" s="1" t="e">
        <f t="shared" si="2"/>
        <v>#VALUE!</v>
      </c>
      <c r="B527" s="5"/>
      <c r="C527" s="5"/>
    </row>
    <row r="528" spans="1:3" ht="13">
      <c r="A528" s="1" t="e">
        <f t="shared" si="2"/>
        <v>#VALUE!</v>
      </c>
      <c r="B528" s="5"/>
      <c r="C528" s="5"/>
    </row>
    <row r="529" spans="1:3" ht="13">
      <c r="A529" s="1" t="e">
        <f t="shared" si="2"/>
        <v>#VALUE!</v>
      </c>
      <c r="B529" s="5"/>
      <c r="C529" s="5"/>
    </row>
    <row r="530" spans="1:3" ht="13">
      <c r="A530" s="1" t="e">
        <f t="shared" si="2"/>
        <v>#VALUE!</v>
      </c>
      <c r="B530" s="5"/>
      <c r="C530" s="5"/>
    </row>
    <row r="531" spans="1:3" ht="13">
      <c r="A531" s="1" t="e">
        <f t="shared" si="2"/>
        <v>#VALUE!</v>
      </c>
      <c r="B531" s="5"/>
      <c r="C531" s="5"/>
    </row>
    <row r="532" spans="1:3" ht="13">
      <c r="A532" s="1" t="e">
        <f t="shared" si="2"/>
        <v>#VALUE!</v>
      </c>
      <c r="B532" s="5"/>
      <c r="C532" s="5"/>
    </row>
    <row r="533" spans="1:3" ht="13">
      <c r="B533" s="5"/>
      <c r="C533" s="5"/>
    </row>
    <row r="534" spans="1:3" ht="13">
      <c r="B534" s="5"/>
      <c r="C534" s="5"/>
    </row>
    <row r="535" spans="1:3" ht="13">
      <c r="B535" s="5"/>
      <c r="C535" s="5"/>
    </row>
    <row r="536" spans="1:3" ht="13">
      <c r="B536" s="5"/>
      <c r="C536" s="5"/>
    </row>
    <row r="537" spans="1:3" ht="13">
      <c r="B537" s="5"/>
      <c r="C537" s="5"/>
    </row>
    <row r="538" spans="1:3" ht="13">
      <c r="B538" s="5"/>
      <c r="C538" s="5"/>
    </row>
    <row r="1001" spans="1:152" ht="13">
      <c r="A1001" s="1" t="s">
        <v>240</v>
      </c>
      <c r="AK1001" s="1">
        <f>AK440</f>
        <v>0</v>
      </c>
    </row>
    <row r="1002" spans="1:152" ht="13">
      <c r="B1002" s="2"/>
      <c r="C1002" s="2" t="s">
        <v>241</v>
      </c>
      <c r="D1002" s="6">
        <f t="shared" ref="D1002:AN1002" ca="1" si="3">D5/(D211-D208)</f>
        <v>2.0829452181130685</v>
      </c>
      <c r="E1002" s="6">
        <f t="shared" ca="1" si="3"/>
        <v>2.0482677613494631</v>
      </c>
      <c r="F1002" s="6">
        <f t="shared" ca="1" si="3"/>
        <v>2.2932069340566379</v>
      </c>
      <c r="G1002" s="6">
        <f t="shared" ca="1" si="3"/>
        <v>1.8341053642145686</v>
      </c>
      <c r="H1002" s="6">
        <f t="shared" ca="1" si="3"/>
        <v>0.98765385628787594</v>
      </c>
      <c r="I1002" s="6" t="e">
        <f t="shared" si="3"/>
        <v>#DIV/0!</v>
      </c>
      <c r="J1002" s="6" t="e">
        <f t="shared" si="3"/>
        <v>#DIV/0!</v>
      </c>
      <c r="K1002" s="6" t="e">
        <f t="shared" si="3"/>
        <v>#DIV/0!</v>
      </c>
      <c r="L1002" s="6" t="e">
        <f t="shared" si="3"/>
        <v>#DIV/0!</v>
      </c>
      <c r="M1002" s="6" t="e">
        <f t="shared" si="3"/>
        <v>#DIV/0!</v>
      </c>
      <c r="N1002" s="6" t="e">
        <f t="shared" si="3"/>
        <v>#DIV/0!</v>
      </c>
      <c r="O1002" s="6" t="e">
        <f t="shared" si="3"/>
        <v>#DIV/0!</v>
      </c>
      <c r="P1002" s="6" t="e">
        <f t="shared" si="3"/>
        <v>#DIV/0!</v>
      </c>
      <c r="Q1002" s="6" t="e">
        <f t="shared" si="3"/>
        <v>#DIV/0!</v>
      </c>
      <c r="R1002" s="6" t="e">
        <f t="shared" si="3"/>
        <v>#DIV/0!</v>
      </c>
      <c r="S1002" s="6" t="e">
        <f t="shared" si="3"/>
        <v>#DIV/0!</v>
      </c>
      <c r="T1002" s="6" t="e">
        <f t="shared" si="3"/>
        <v>#DIV/0!</v>
      </c>
      <c r="U1002" s="6" t="e">
        <f t="shared" si="3"/>
        <v>#DIV/0!</v>
      </c>
      <c r="V1002" s="6" t="e">
        <f t="shared" si="3"/>
        <v>#DIV/0!</v>
      </c>
      <c r="W1002" s="6" t="e">
        <f t="shared" si="3"/>
        <v>#DIV/0!</v>
      </c>
      <c r="X1002" s="6" t="e">
        <f t="shared" si="3"/>
        <v>#DIV/0!</v>
      </c>
      <c r="Y1002" s="6" t="e">
        <f t="shared" si="3"/>
        <v>#DIV/0!</v>
      </c>
      <c r="Z1002" s="6" t="e">
        <f t="shared" si="3"/>
        <v>#DIV/0!</v>
      </c>
      <c r="AA1002" s="6" t="e">
        <f t="shared" si="3"/>
        <v>#DIV/0!</v>
      </c>
      <c r="AB1002" s="6" t="e">
        <f t="shared" si="3"/>
        <v>#DIV/0!</v>
      </c>
      <c r="AC1002" s="6" t="e">
        <f t="shared" si="3"/>
        <v>#DIV/0!</v>
      </c>
      <c r="AD1002" s="6" t="e">
        <f t="shared" si="3"/>
        <v>#DIV/0!</v>
      </c>
      <c r="AE1002" s="6" t="e">
        <f t="shared" si="3"/>
        <v>#DIV/0!</v>
      </c>
      <c r="AF1002" s="6" t="e">
        <f t="shared" si="3"/>
        <v>#DIV/0!</v>
      </c>
      <c r="AG1002" s="6" t="e">
        <f t="shared" si="3"/>
        <v>#DIV/0!</v>
      </c>
      <c r="AH1002" s="6" t="e">
        <f t="shared" si="3"/>
        <v>#DIV/0!</v>
      </c>
      <c r="AI1002" s="6" t="e">
        <f t="shared" si="3"/>
        <v>#DIV/0!</v>
      </c>
      <c r="AJ1002" s="6" t="e">
        <f t="shared" si="3"/>
        <v>#DIV/0!</v>
      </c>
      <c r="AK1002" s="6" t="e">
        <f t="shared" si="3"/>
        <v>#DIV/0!</v>
      </c>
      <c r="AL1002" s="6" t="e">
        <f t="shared" si="3"/>
        <v>#DIV/0!</v>
      </c>
      <c r="AM1002" s="6" t="e">
        <f t="shared" si="3"/>
        <v>#DIV/0!</v>
      </c>
      <c r="AN1002" s="6" t="e">
        <f t="shared" si="3"/>
        <v>#DIV/0!</v>
      </c>
      <c r="AO1002" s="6"/>
    </row>
    <row r="1003" spans="1:152" ht="13">
      <c r="B1003" s="2"/>
      <c r="C1003" s="1" t="s">
        <v>242</v>
      </c>
      <c r="D1003" s="6">
        <f t="shared" ref="D1003:AI1003" ca="1" si="4">(((D440+D15+D28))-(D18))/(D211-D208)</f>
        <v>1.574264502443973</v>
      </c>
      <c r="E1003" s="6">
        <f t="shared" ca="1" si="4"/>
        <v>1.4494617405940833</v>
      </c>
      <c r="F1003" s="6">
        <f t="shared" ca="1" si="4"/>
        <v>1.7896150282652774</v>
      </c>
      <c r="G1003" s="6">
        <f t="shared" ca="1" si="4"/>
        <v>1.3191647665906636</v>
      </c>
      <c r="H1003" s="6">
        <f t="shared" ca="1" si="4"/>
        <v>0.77324312116535554</v>
      </c>
      <c r="I1003" s="6" t="e">
        <f t="shared" si="4"/>
        <v>#DIV/0!</v>
      </c>
      <c r="J1003" s="6" t="e">
        <f t="shared" si="4"/>
        <v>#DIV/0!</v>
      </c>
      <c r="K1003" s="6" t="e">
        <f t="shared" si="4"/>
        <v>#DIV/0!</v>
      </c>
      <c r="L1003" s="6" t="e">
        <f t="shared" si="4"/>
        <v>#DIV/0!</v>
      </c>
      <c r="M1003" s="6" t="e">
        <f t="shared" si="4"/>
        <v>#DIV/0!</v>
      </c>
      <c r="N1003" s="6" t="e">
        <f t="shared" si="4"/>
        <v>#DIV/0!</v>
      </c>
      <c r="O1003" s="6" t="e">
        <f t="shared" si="4"/>
        <v>#DIV/0!</v>
      </c>
      <c r="P1003" s="6" t="e">
        <f t="shared" si="4"/>
        <v>#DIV/0!</v>
      </c>
      <c r="Q1003" s="6" t="e">
        <f t="shared" si="4"/>
        <v>#DIV/0!</v>
      </c>
      <c r="R1003" s="6" t="e">
        <f t="shared" si="4"/>
        <v>#DIV/0!</v>
      </c>
      <c r="S1003" s="6" t="e">
        <f t="shared" si="4"/>
        <v>#DIV/0!</v>
      </c>
      <c r="T1003" s="6" t="e">
        <f t="shared" si="4"/>
        <v>#DIV/0!</v>
      </c>
      <c r="U1003" s="6" t="e">
        <f t="shared" si="4"/>
        <v>#DIV/0!</v>
      </c>
      <c r="V1003" s="6" t="e">
        <f t="shared" si="4"/>
        <v>#DIV/0!</v>
      </c>
      <c r="W1003" s="6" t="e">
        <f t="shared" si="4"/>
        <v>#DIV/0!</v>
      </c>
      <c r="X1003" s="6" t="e">
        <f t="shared" si="4"/>
        <v>#DIV/0!</v>
      </c>
      <c r="Y1003" s="6" t="e">
        <f t="shared" si="4"/>
        <v>#DIV/0!</v>
      </c>
      <c r="Z1003" s="6" t="e">
        <f t="shared" si="4"/>
        <v>#DIV/0!</v>
      </c>
      <c r="AA1003" s="6" t="e">
        <f t="shared" si="4"/>
        <v>#DIV/0!</v>
      </c>
      <c r="AB1003" s="6" t="e">
        <f t="shared" si="4"/>
        <v>#DIV/0!</v>
      </c>
      <c r="AC1003" s="6" t="e">
        <f t="shared" si="4"/>
        <v>#DIV/0!</v>
      </c>
      <c r="AD1003" s="6" t="e">
        <f t="shared" si="4"/>
        <v>#DIV/0!</v>
      </c>
      <c r="AE1003" s="6" t="e">
        <f t="shared" si="4"/>
        <v>#DIV/0!</v>
      </c>
      <c r="AF1003" s="6" t="e">
        <f t="shared" si="4"/>
        <v>#DIV/0!</v>
      </c>
      <c r="AG1003" s="6" t="e">
        <f t="shared" si="4"/>
        <v>#DIV/0!</v>
      </c>
      <c r="AH1003" s="6" t="e">
        <f t="shared" si="4"/>
        <v>#DIV/0!</v>
      </c>
      <c r="AI1003" s="6" t="e">
        <f t="shared" si="4"/>
        <v>#DIV/0!</v>
      </c>
      <c r="AJ1003" s="6" t="e">
        <f t="shared" ref="AJ1003:AN1003" si="5">IF(ISBLANK(AJ440),"",((AJ440+AJ15+AJ28))-(AJ18))/(AJ211-AJ208)</f>
        <v>#VALUE!</v>
      </c>
      <c r="AK1003" s="6" t="e">
        <f t="shared" si="5"/>
        <v>#VALUE!</v>
      </c>
      <c r="AL1003" s="6" t="e">
        <f t="shared" si="5"/>
        <v>#VALUE!</v>
      </c>
      <c r="AM1003" s="6" t="e">
        <f t="shared" si="5"/>
        <v>#VALUE!</v>
      </c>
      <c r="AN1003" s="6" t="e">
        <f t="shared" si="5"/>
        <v>#VALUE!</v>
      </c>
      <c r="AO1003" s="6"/>
    </row>
    <row r="1004" spans="1:152" ht="15.75" customHeight="1">
      <c r="B1004" s="2"/>
      <c r="C1004" s="1" t="s">
        <v>243</v>
      </c>
      <c r="D1004" s="3">
        <f t="shared" ref="D1004:AN1004" ca="1" si="6">DATEVALUE(LEFT(D2,10))</f>
        <v>45563</v>
      </c>
      <c r="E1004" s="3">
        <f t="shared" ca="1" si="6"/>
        <v>45199</v>
      </c>
      <c r="F1004" s="3">
        <f t="shared" ca="1" si="6"/>
        <v>44828</v>
      </c>
      <c r="G1004" s="3">
        <f t="shared" ca="1" si="6"/>
        <v>44464</v>
      </c>
      <c r="H1004" s="3">
        <f t="shared" ca="1" si="6"/>
        <v>44100</v>
      </c>
      <c r="I1004" s="3" t="e">
        <f t="shared" si="6"/>
        <v>#VALUE!</v>
      </c>
      <c r="J1004" s="3" t="e">
        <f t="shared" si="6"/>
        <v>#VALUE!</v>
      </c>
      <c r="K1004" s="3" t="e">
        <f t="shared" si="6"/>
        <v>#VALUE!</v>
      </c>
      <c r="L1004" s="3" t="e">
        <f t="shared" si="6"/>
        <v>#VALUE!</v>
      </c>
      <c r="M1004" s="3" t="e">
        <f t="shared" si="6"/>
        <v>#VALUE!</v>
      </c>
      <c r="N1004" s="3" t="e">
        <f t="shared" si="6"/>
        <v>#VALUE!</v>
      </c>
      <c r="O1004" s="3" t="e">
        <f t="shared" si="6"/>
        <v>#VALUE!</v>
      </c>
      <c r="P1004" s="3" t="e">
        <f t="shared" si="6"/>
        <v>#VALUE!</v>
      </c>
      <c r="Q1004" s="3" t="e">
        <f t="shared" si="6"/>
        <v>#VALUE!</v>
      </c>
      <c r="R1004" s="3" t="e">
        <f t="shared" si="6"/>
        <v>#VALUE!</v>
      </c>
      <c r="S1004" s="3" t="e">
        <f t="shared" si="6"/>
        <v>#VALUE!</v>
      </c>
      <c r="T1004" s="3" t="e">
        <f t="shared" si="6"/>
        <v>#VALUE!</v>
      </c>
      <c r="U1004" s="3" t="e">
        <f t="shared" si="6"/>
        <v>#VALUE!</v>
      </c>
      <c r="V1004" s="3" t="e">
        <f t="shared" si="6"/>
        <v>#VALUE!</v>
      </c>
      <c r="W1004" s="3" t="e">
        <f t="shared" si="6"/>
        <v>#VALUE!</v>
      </c>
      <c r="X1004" s="3" t="e">
        <f t="shared" si="6"/>
        <v>#VALUE!</v>
      </c>
      <c r="Y1004" s="3" t="e">
        <f t="shared" si="6"/>
        <v>#VALUE!</v>
      </c>
      <c r="Z1004" s="3" t="e">
        <f t="shared" si="6"/>
        <v>#VALUE!</v>
      </c>
      <c r="AA1004" s="3" t="e">
        <f t="shared" si="6"/>
        <v>#VALUE!</v>
      </c>
      <c r="AB1004" s="3" t="e">
        <f t="shared" si="6"/>
        <v>#VALUE!</v>
      </c>
      <c r="AC1004" s="3" t="e">
        <f t="shared" si="6"/>
        <v>#VALUE!</v>
      </c>
      <c r="AD1004" s="3" t="e">
        <f t="shared" si="6"/>
        <v>#VALUE!</v>
      </c>
      <c r="AE1004" s="3" t="e">
        <f t="shared" si="6"/>
        <v>#VALUE!</v>
      </c>
      <c r="AF1004" s="3" t="e">
        <f t="shared" si="6"/>
        <v>#VALUE!</v>
      </c>
      <c r="AG1004" s="3" t="e">
        <f t="shared" si="6"/>
        <v>#VALUE!</v>
      </c>
      <c r="AH1004" s="3" t="e">
        <f t="shared" si="6"/>
        <v>#VALUE!</v>
      </c>
      <c r="AI1004" s="3" t="e">
        <f t="shared" si="6"/>
        <v>#VALUE!</v>
      </c>
      <c r="AJ1004" s="3" t="e">
        <f t="shared" si="6"/>
        <v>#VALUE!</v>
      </c>
      <c r="AK1004" s="3" t="e">
        <f t="shared" si="6"/>
        <v>#VALUE!</v>
      </c>
      <c r="AL1004" s="3" t="e">
        <f t="shared" si="6"/>
        <v>#VALUE!</v>
      </c>
      <c r="AM1004" s="3" t="e">
        <f t="shared" si="6"/>
        <v>#VALUE!</v>
      </c>
      <c r="AN1004" s="3" t="e">
        <f t="shared" si="6"/>
        <v>#VALUE!</v>
      </c>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c r="BQ1004" s="3"/>
      <c r="BR1004" s="3"/>
      <c r="BS1004" s="3"/>
      <c r="BT1004" s="3"/>
      <c r="BU1004" s="3"/>
      <c r="BV1004" s="3"/>
      <c r="BW1004" s="3"/>
      <c r="BX1004" s="3"/>
      <c r="BY1004" s="3"/>
      <c r="BZ1004" s="3"/>
      <c r="CA1004" s="3"/>
      <c r="CB1004" s="3"/>
      <c r="CC1004" s="3"/>
      <c r="CD1004" s="3"/>
      <c r="CE1004" s="3"/>
      <c r="CF1004" s="3"/>
      <c r="CG1004" s="3"/>
      <c r="CH1004" s="3"/>
      <c r="CI1004" s="3"/>
      <c r="CJ1004" s="3"/>
      <c r="CK1004" s="3"/>
      <c r="CL1004" s="3"/>
      <c r="CM1004" s="3"/>
      <c r="CN1004" s="3"/>
      <c r="CO1004" s="3"/>
      <c r="CP1004" s="3"/>
      <c r="CQ1004" s="3"/>
      <c r="CR1004" s="3"/>
      <c r="CS1004" s="3"/>
      <c r="CT1004" s="3"/>
      <c r="CU1004" s="3"/>
      <c r="CV1004" s="3"/>
      <c r="CW1004" s="3"/>
      <c r="CX1004" s="3"/>
      <c r="CY1004" s="3"/>
      <c r="CZ1004" s="3"/>
      <c r="DA1004" s="3"/>
      <c r="DB1004" s="3"/>
      <c r="DC1004" s="3"/>
      <c r="DD1004" s="3"/>
      <c r="DE1004" s="3"/>
      <c r="DF1004" s="3"/>
      <c r="DG1004" s="3"/>
      <c r="DH1004" s="3"/>
      <c r="DI1004" s="3"/>
      <c r="DJ1004" s="3"/>
      <c r="DK1004" s="3"/>
      <c r="DL1004" s="3"/>
      <c r="DM1004" s="3"/>
      <c r="DN1004" s="3"/>
      <c r="DO1004" s="3"/>
      <c r="DP1004" s="3"/>
      <c r="DQ1004" s="3"/>
      <c r="DR1004" s="3"/>
      <c r="DS1004" s="3"/>
      <c r="DT1004" s="3"/>
      <c r="DU1004" s="3"/>
      <c r="DV1004" s="3"/>
      <c r="DW1004" s="3"/>
      <c r="DX1004" s="3"/>
      <c r="DY1004" s="3"/>
      <c r="DZ1004" s="3"/>
      <c r="EA1004" s="3"/>
      <c r="EB1004" s="3"/>
      <c r="EC1004" s="3"/>
      <c r="ED1004" s="3"/>
      <c r="EE1004" s="3"/>
      <c r="EF1004" s="3"/>
      <c r="EG1004" s="3"/>
      <c r="EH1004" s="3"/>
      <c r="EI1004" s="3"/>
      <c r="EJ1004" s="3"/>
      <c r="EK1004" s="3"/>
      <c r="EL1004" s="3"/>
      <c r="EM1004" s="3"/>
      <c r="EN1004" s="3"/>
      <c r="EO1004" s="3"/>
      <c r="EP1004" s="3"/>
      <c r="EQ1004" s="3"/>
      <c r="ER1004" s="3"/>
      <c r="ES1004" s="3"/>
      <c r="ET1004" s="3"/>
      <c r="EU1004" s="3"/>
      <c r="EV1004" s="3"/>
    </row>
    <row r="1005" spans="1:152" ht="15.75" customHeight="1">
      <c r="B1005" s="2"/>
      <c r="C1005" s="1" t="s">
        <v>244</v>
      </c>
      <c r="D1005" s="3">
        <f t="shared" ref="D1005:AN1005" ca="1" si="7">D440-D441</f>
        <v>127701000000</v>
      </c>
      <c r="E1005" s="3">
        <f t="shared" ca="1" si="7"/>
        <v>121502000000</v>
      </c>
      <c r="F1005" s="3">
        <f t="shared" ca="1" si="7"/>
        <v>132859000000</v>
      </c>
      <c r="G1005" s="3">
        <f t="shared" ca="1" si="7"/>
        <v>115123000000</v>
      </c>
      <c r="H1005" s="3">
        <f t="shared" ca="1" si="7"/>
        <v>87983000000</v>
      </c>
      <c r="I1005" s="3">
        <f t="shared" si="7"/>
        <v>0</v>
      </c>
      <c r="J1005" s="3">
        <f t="shared" si="7"/>
        <v>0</v>
      </c>
      <c r="K1005" s="3">
        <f t="shared" si="7"/>
        <v>0</v>
      </c>
      <c r="L1005" s="3">
        <f t="shared" si="7"/>
        <v>0</v>
      </c>
      <c r="M1005" s="3">
        <f t="shared" si="7"/>
        <v>0</v>
      </c>
      <c r="N1005" s="3">
        <f t="shared" si="7"/>
        <v>0</v>
      </c>
      <c r="O1005" s="3">
        <f t="shared" si="7"/>
        <v>0</v>
      </c>
      <c r="P1005" s="3">
        <f t="shared" si="7"/>
        <v>0</v>
      </c>
      <c r="Q1005" s="3">
        <f t="shared" si="7"/>
        <v>0</v>
      </c>
      <c r="R1005" s="3">
        <f t="shared" si="7"/>
        <v>0</v>
      </c>
      <c r="S1005" s="3">
        <f t="shared" si="7"/>
        <v>0</v>
      </c>
      <c r="T1005" s="3">
        <f t="shared" si="7"/>
        <v>0</v>
      </c>
      <c r="U1005" s="3">
        <f t="shared" si="7"/>
        <v>0</v>
      </c>
      <c r="V1005" s="3">
        <f t="shared" si="7"/>
        <v>0</v>
      </c>
      <c r="W1005" s="3">
        <f t="shared" si="7"/>
        <v>0</v>
      </c>
      <c r="X1005" s="3">
        <f t="shared" si="7"/>
        <v>0</v>
      </c>
      <c r="Y1005" s="3">
        <f t="shared" si="7"/>
        <v>0</v>
      </c>
      <c r="Z1005" s="3">
        <f t="shared" si="7"/>
        <v>0</v>
      </c>
      <c r="AA1005" s="3">
        <f t="shared" si="7"/>
        <v>0</v>
      </c>
      <c r="AB1005" s="3">
        <f t="shared" si="7"/>
        <v>0</v>
      </c>
      <c r="AC1005" s="3">
        <f t="shared" si="7"/>
        <v>0</v>
      </c>
      <c r="AD1005" s="3">
        <f t="shared" si="7"/>
        <v>0</v>
      </c>
      <c r="AE1005" s="3">
        <f t="shared" si="7"/>
        <v>0</v>
      </c>
      <c r="AF1005" s="3">
        <f t="shared" si="7"/>
        <v>0</v>
      </c>
      <c r="AG1005" s="3">
        <f t="shared" si="7"/>
        <v>0</v>
      </c>
      <c r="AH1005" s="3">
        <f t="shared" si="7"/>
        <v>0</v>
      </c>
      <c r="AI1005" s="3">
        <f t="shared" si="7"/>
        <v>0</v>
      </c>
      <c r="AJ1005" s="3">
        <f t="shared" si="7"/>
        <v>0</v>
      </c>
      <c r="AK1005" s="3">
        <f t="shared" si="7"/>
        <v>0</v>
      </c>
      <c r="AL1005" s="3">
        <f t="shared" si="7"/>
        <v>0</v>
      </c>
      <c r="AM1005" s="3">
        <f t="shared" si="7"/>
        <v>0</v>
      </c>
      <c r="AN1005" s="3">
        <f t="shared" si="7"/>
        <v>0</v>
      </c>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c r="BQ1005" s="3"/>
      <c r="BR1005" s="3"/>
      <c r="BS1005" s="3"/>
      <c r="BT1005" s="3"/>
      <c r="BU1005" s="3"/>
      <c r="BV1005" s="3"/>
      <c r="BW1005" s="3"/>
      <c r="BX1005" s="3"/>
      <c r="BY1005" s="3"/>
      <c r="BZ1005" s="3"/>
      <c r="CA1005" s="3"/>
      <c r="CB1005" s="3"/>
      <c r="CC1005" s="3"/>
      <c r="CD1005" s="3"/>
      <c r="CE1005" s="3"/>
      <c r="CF1005" s="3"/>
      <c r="CG1005" s="3"/>
      <c r="CH1005" s="3"/>
      <c r="CI1005" s="3"/>
      <c r="CJ1005" s="3"/>
      <c r="CK1005" s="3"/>
      <c r="CL1005" s="3"/>
      <c r="CM1005" s="3"/>
      <c r="CN1005" s="3"/>
      <c r="CO1005" s="3"/>
      <c r="CP1005" s="3"/>
      <c r="CQ1005" s="3"/>
      <c r="CR1005" s="3"/>
      <c r="CS1005" s="3"/>
      <c r="CT1005" s="3"/>
      <c r="CU1005" s="3"/>
      <c r="CV1005" s="3"/>
      <c r="CW1005" s="3"/>
      <c r="CX1005" s="3"/>
      <c r="CY1005" s="3"/>
      <c r="CZ1005" s="3"/>
      <c r="DA1005" s="3"/>
      <c r="DB1005" s="3"/>
      <c r="DC1005" s="3"/>
      <c r="DD1005" s="3"/>
      <c r="DE1005" s="3"/>
      <c r="DF1005" s="3"/>
      <c r="DG1005" s="3"/>
      <c r="DH1005" s="3"/>
      <c r="DI1005" s="3"/>
      <c r="DJ1005" s="3"/>
      <c r="DK1005" s="3"/>
      <c r="DL1005" s="3"/>
      <c r="DM1005" s="3"/>
      <c r="DN1005" s="3"/>
      <c r="DO1005" s="3"/>
      <c r="DP1005" s="3"/>
      <c r="DQ1005" s="3"/>
      <c r="DR1005" s="3"/>
      <c r="DS1005" s="3"/>
      <c r="DT1005" s="3"/>
      <c r="DU1005" s="3"/>
      <c r="DV1005" s="3"/>
      <c r="DW1005" s="3"/>
      <c r="DX1005" s="3"/>
      <c r="DY1005" s="3"/>
      <c r="DZ1005" s="3"/>
      <c r="EA1005" s="3"/>
      <c r="EB1005" s="3"/>
      <c r="EC1005" s="3"/>
      <c r="ED1005" s="3"/>
      <c r="EE1005" s="3"/>
      <c r="EF1005" s="3"/>
      <c r="EG1005" s="3"/>
      <c r="EH1005" s="3"/>
      <c r="EI1005" s="3"/>
      <c r="EJ1005" s="3"/>
      <c r="EK1005" s="3"/>
      <c r="EL1005" s="3"/>
      <c r="EM1005" s="3"/>
      <c r="EN1005" s="3"/>
      <c r="EO1005" s="3"/>
      <c r="EP1005" s="3"/>
      <c r="EQ1005" s="3"/>
      <c r="ER1005" s="3"/>
      <c r="ES1005" s="3"/>
      <c r="ET1005" s="3"/>
      <c r="EU1005" s="3"/>
      <c r="EV1005" s="3"/>
    </row>
    <row r="1006" spans="1:152" ht="15.75" customHeight="1">
      <c r="B1006" s="2"/>
      <c r="C1006" s="1" t="s">
        <v>15</v>
      </c>
      <c r="D1006" s="3">
        <f t="shared" ref="D1006:AN1006" ca="1" si="8">D1005/(D221+D207+D208)</f>
        <v>0.3718648717119919</v>
      </c>
      <c r="E1006" s="3">
        <f t="shared" ca="1" si="8"/>
        <v>0.36645885926100186</v>
      </c>
      <c r="F1006" s="3">
        <f t="shared" ca="1" si="8"/>
        <v>0.40681168206842916</v>
      </c>
      <c r="G1006" s="3">
        <f t="shared" ca="1" si="8"/>
        <v>0.34852911347184928</v>
      </c>
      <c r="H1006" s="3">
        <f t="shared" ca="1" si="8"/>
        <v>0.28513788108101101</v>
      </c>
      <c r="I1006" s="3" t="e">
        <f t="shared" si="8"/>
        <v>#DIV/0!</v>
      </c>
      <c r="J1006" s="3" t="e">
        <f t="shared" si="8"/>
        <v>#DIV/0!</v>
      </c>
      <c r="K1006" s="3" t="e">
        <f t="shared" si="8"/>
        <v>#DIV/0!</v>
      </c>
      <c r="L1006" s="3" t="e">
        <f t="shared" si="8"/>
        <v>#DIV/0!</v>
      </c>
      <c r="M1006" s="3" t="e">
        <f t="shared" si="8"/>
        <v>#DIV/0!</v>
      </c>
      <c r="N1006" s="3" t="e">
        <f t="shared" si="8"/>
        <v>#DIV/0!</v>
      </c>
      <c r="O1006" s="3" t="e">
        <f t="shared" si="8"/>
        <v>#DIV/0!</v>
      </c>
      <c r="P1006" s="3" t="e">
        <f t="shared" si="8"/>
        <v>#DIV/0!</v>
      </c>
      <c r="Q1006" s="3" t="e">
        <f t="shared" si="8"/>
        <v>#DIV/0!</v>
      </c>
      <c r="R1006" s="3" t="e">
        <f t="shared" si="8"/>
        <v>#DIV/0!</v>
      </c>
      <c r="S1006" s="3" t="e">
        <f t="shared" si="8"/>
        <v>#DIV/0!</v>
      </c>
      <c r="T1006" s="3" t="e">
        <f t="shared" si="8"/>
        <v>#DIV/0!</v>
      </c>
      <c r="U1006" s="3" t="e">
        <f t="shared" si="8"/>
        <v>#DIV/0!</v>
      </c>
      <c r="V1006" s="3" t="e">
        <f t="shared" si="8"/>
        <v>#DIV/0!</v>
      </c>
      <c r="W1006" s="3" t="e">
        <f t="shared" si="8"/>
        <v>#DIV/0!</v>
      </c>
      <c r="X1006" s="3" t="e">
        <f t="shared" si="8"/>
        <v>#DIV/0!</v>
      </c>
      <c r="Y1006" s="3" t="e">
        <f t="shared" si="8"/>
        <v>#DIV/0!</v>
      </c>
      <c r="Z1006" s="3" t="e">
        <f t="shared" si="8"/>
        <v>#DIV/0!</v>
      </c>
      <c r="AA1006" s="3" t="e">
        <f t="shared" si="8"/>
        <v>#DIV/0!</v>
      </c>
      <c r="AB1006" s="3" t="e">
        <f t="shared" si="8"/>
        <v>#DIV/0!</v>
      </c>
      <c r="AC1006" s="3" t="e">
        <f t="shared" si="8"/>
        <v>#DIV/0!</v>
      </c>
      <c r="AD1006" s="3" t="e">
        <f t="shared" si="8"/>
        <v>#DIV/0!</v>
      </c>
      <c r="AE1006" s="3" t="e">
        <f t="shared" si="8"/>
        <v>#DIV/0!</v>
      </c>
      <c r="AF1006" s="3" t="e">
        <f t="shared" si="8"/>
        <v>#DIV/0!</v>
      </c>
      <c r="AG1006" s="3" t="e">
        <f t="shared" si="8"/>
        <v>#DIV/0!</v>
      </c>
      <c r="AH1006" s="3" t="e">
        <f t="shared" si="8"/>
        <v>#DIV/0!</v>
      </c>
      <c r="AI1006" s="3" t="e">
        <f t="shared" si="8"/>
        <v>#DIV/0!</v>
      </c>
      <c r="AJ1006" s="3" t="e">
        <f t="shared" si="8"/>
        <v>#DIV/0!</v>
      </c>
      <c r="AK1006" s="3" t="e">
        <f t="shared" si="8"/>
        <v>#DIV/0!</v>
      </c>
      <c r="AL1006" s="3" t="e">
        <f t="shared" si="8"/>
        <v>#DIV/0!</v>
      </c>
      <c r="AM1006" s="3" t="e">
        <f t="shared" si="8"/>
        <v>#DIV/0!</v>
      </c>
      <c r="AN1006" s="3" t="e">
        <f t="shared" si="8"/>
        <v>#DIV/0!</v>
      </c>
      <c r="AO1006" s="3"/>
      <c r="AP1006" s="3"/>
      <c r="AQ1006" s="3"/>
      <c r="AR1006" s="3"/>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c r="BO1006" s="3"/>
      <c r="BP1006" s="3"/>
      <c r="BQ1006" s="3"/>
      <c r="BR1006" s="3"/>
      <c r="BS1006" s="3"/>
      <c r="BT1006" s="3"/>
      <c r="BU1006" s="3"/>
      <c r="BV1006" s="3"/>
      <c r="BW1006" s="3"/>
      <c r="BX1006" s="3"/>
      <c r="BY1006" s="3"/>
      <c r="BZ1006" s="3"/>
      <c r="CA1006" s="3"/>
      <c r="CB1006" s="3"/>
      <c r="CC1006" s="3"/>
      <c r="CD1006" s="3"/>
      <c r="CE1006" s="3"/>
      <c r="CF1006" s="3"/>
      <c r="CG1006" s="3"/>
      <c r="CH1006" s="3"/>
      <c r="CI1006" s="3"/>
      <c r="CJ1006" s="3"/>
      <c r="CK1006" s="3"/>
      <c r="CL1006" s="3"/>
      <c r="CM1006" s="3"/>
      <c r="CN1006" s="3"/>
      <c r="CO1006" s="3"/>
      <c r="CP1006" s="3"/>
      <c r="CQ1006" s="3"/>
      <c r="CR1006" s="3"/>
      <c r="CS1006" s="3"/>
      <c r="CT1006" s="3"/>
      <c r="CU1006" s="3"/>
      <c r="CV1006" s="3"/>
      <c r="CW1006" s="3"/>
      <c r="CX1006" s="3"/>
      <c r="CY1006" s="3"/>
      <c r="CZ1006" s="3"/>
      <c r="DA1006" s="3"/>
      <c r="DB1006" s="3"/>
      <c r="DC1006" s="3"/>
      <c r="DD1006" s="3"/>
      <c r="DE1006" s="3"/>
      <c r="DF1006" s="3"/>
      <c r="DG1006" s="3"/>
      <c r="DH1006" s="3"/>
      <c r="DI1006" s="3"/>
      <c r="DJ1006" s="3"/>
      <c r="DK1006" s="3"/>
      <c r="DL1006" s="3"/>
      <c r="DM1006" s="3"/>
      <c r="DN1006" s="3"/>
      <c r="DO1006" s="3"/>
      <c r="DP1006" s="3"/>
      <c r="DQ1006" s="3"/>
      <c r="DR1006" s="3"/>
      <c r="DS1006" s="3"/>
      <c r="DT1006" s="3"/>
      <c r="DU1006" s="3"/>
      <c r="DV1006" s="3"/>
      <c r="DW1006" s="3"/>
      <c r="DX1006" s="3"/>
      <c r="DY1006" s="3"/>
      <c r="DZ1006" s="3"/>
      <c r="EA1006" s="3"/>
      <c r="EB1006" s="3"/>
      <c r="EC1006" s="3"/>
      <c r="ED1006" s="3"/>
      <c r="EE1006" s="3"/>
      <c r="EF1006" s="3"/>
      <c r="EG1006" s="3"/>
      <c r="EH1006" s="3"/>
      <c r="EI1006" s="3"/>
      <c r="EJ1006" s="3"/>
      <c r="EK1006" s="3"/>
      <c r="EL1006" s="3"/>
      <c r="EM1006" s="3"/>
      <c r="EN1006" s="3"/>
      <c r="EO1006" s="3"/>
      <c r="EP1006" s="3"/>
      <c r="EQ1006" s="3"/>
      <c r="ER1006" s="3"/>
      <c r="ES1006" s="3"/>
      <c r="ET1006" s="3"/>
      <c r="EU1006" s="3"/>
      <c r="EV1006" s="3"/>
    </row>
    <row r="1007" spans="1:152" ht="15.75" customHeight="1">
      <c r="B1007" s="2"/>
      <c r="C1007" s="3" t="s">
        <v>245</v>
      </c>
      <c r="D1007" s="3">
        <f t="shared" ref="D1007:AN1007" ca="1" si="9">D431+D423+D515</f>
        <v>-119048000000</v>
      </c>
      <c r="E1007" s="3">
        <f t="shared" ca="1" si="9"/>
        <v>-104783000000</v>
      </c>
      <c r="F1007" s="3">
        <f t="shared" ca="1" si="9"/>
        <v>-133103000000</v>
      </c>
      <c r="G1007" s="3">
        <f t="shared" ca="1" si="9"/>
        <v>-107898000000</v>
      </c>
      <c r="H1007" s="3">
        <f t="shared" ca="1" si="9"/>
        <v>-91109000000</v>
      </c>
      <c r="I1007" s="3">
        <f t="shared" si="9"/>
        <v>0</v>
      </c>
      <c r="J1007" s="3">
        <f t="shared" si="9"/>
        <v>0</v>
      </c>
      <c r="K1007" s="3">
        <f t="shared" si="9"/>
        <v>0</v>
      </c>
      <c r="L1007" s="3">
        <f t="shared" si="9"/>
        <v>0</v>
      </c>
      <c r="M1007" s="3">
        <f t="shared" si="9"/>
        <v>0</v>
      </c>
      <c r="N1007" s="3">
        <f t="shared" si="9"/>
        <v>0</v>
      </c>
      <c r="O1007" s="3">
        <f t="shared" si="9"/>
        <v>0</v>
      </c>
      <c r="P1007" s="3">
        <f t="shared" si="9"/>
        <v>0</v>
      </c>
      <c r="Q1007" s="3">
        <f t="shared" si="9"/>
        <v>0</v>
      </c>
      <c r="R1007" s="3">
        <f t="shared" si="9"/>
        <v>0</v>
      </c>
      <c r="S1007" s="3">
        <f t="shared" si="9"/>
        <v>0</v>
      </c>
      <c r="T1007" s="3">
        <f t="shared" si="9"/>
        <v>0</v>
      </c>
      <c r="U1007" s="3">
        <f t="shared" si="9"/>
        <v>0</v>
      </c>
      <c r="V1007" s="3">
        <f t="shared" si="9"/>
        <v>0</v>
      </c>
      <c r="W1007" s="3">
        <f t="shared" si="9"/>
        <v>0</v>
      </c>
      <c r="X1007" s="3">
        <f t="shared" si="9"/>
        <v>0</v>
      </c>
      <c r="Y1007" s="3">
        <f t="shared" si="9"/>
        <v>0</v>
      </c>
      <c r="Z1007" s="3">
        <f t="shared" si="9"/>
        <v>0</v>
      </c>
      <c r="AA1007" s="3">
        <f t="shared" si="9"/>
        <v>0</v>
      </c>
      <c r="AB1007" s="3">
        <f t="shared" si="9"/>
        <v>0</v>
      </c>
      <c r="AC1007" s="3">
        <f t="shared" si="9"/>
        <v>0</v>
      </c>
      <c r="AD1007" s="3">
        <f t="shared" si="9"/>
        <v>0</v>
      </c>
      <c r="AE1007" s="3">
        <f t="shared" si="9"/>
        <v>0</v>
      </c>
      <c r="AF1007" s="3">
        <f t="shared" si="9"/>
        <v>0</v>
      </c>
      <c r="AG1007" s="3">
        <f t="shared" si="9"/>
        <v>0</v>
      </c>
      <c r="AH1007" s="3">
        <f t="shared" si="9"/>
        <v>0</v>
      </c>
      <c r="AI1007" s="3">
        <f t="shared" si="9"/>
        <v>0</v>
      </c>
      <c r="AJ1007" s="3">
        <f t="shared" si="9"/>
        <v>0</v>
      </c>
      <c r="AK1007" s="3">
        <f t="shared" si="9"/>
        <v>0</v>
      </c>
      <c r="AL1007" s="3">
        <f t="shared" si="9"/>
        <v>0</v>
      </c>
      <c r="AM1007" s="3">
        <f t="shared" si="9"/>
        <v>0</v>
      </c>
      <c r="AN1007" s="3">
        <f t="shared" si="9"/>
        <v>0</v>
      </c>
      <c r="AO1007" s="3"/>
      <c r="AP1007" s="3"/>
      <c r="AQ1007" s="3"/>
      <c r="AR1007" s="3"/>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c r="BQ1007" s="3"/>
      <c r="BR1007" s="3"/>
      <c r="BS1007" s="3"/>
      <c r="BT1007" s="3"/>
      <c r="BU1007" s="3"/>
      <c r="BV1007" s="3"/>
      <c r="BW1007" s="3"/>
      <c r="BX1007" s="3"/>
      <c r="BY1007" s="3"/>
      <c r="BZ1007" s="3"/>
      <c r="CA1007" s="3"/>
      <c r="CB1007" s="3"/>
      <c r="CC1007" s="3"/>
      <c r="CD1007" s="3"/>
      <c r="CE1007" s="3"/>
      <c r="CF1007" s="3"/>
      <c r="CG1007" s="3"/>
      <c r="CH1007" s="3"/>
      <c r="CI1007" s="3"/>
      <c r="CJ1007" s="3"/>
      <c r="CK1007" s="3"/>
      <c r="CL1007" s="3"/>
      <c r="CM1007" s="3"/>
      <c r="CN1007" s="3"/>
      <c r="CO1007" s="3"/>
      <c r="CP1007" s="3"/>
      <c r="CQ1007" s="3"/>
      <c r="CR1007" s="3"/>
      <c r="CS1007" s="3"/>
      <c r="CT1007" s="3"/>
      <c r="CU1007" s="3"/>
      <c r="CV1007" s="3"/>
      <c r="CW1007" s="3"/>
      <c r="CX1007" s="3"/>
      <c r="CY1007" s="3"/>
      <c r="CZ1007" s="3"/>
      <c r="DA1007" s="3"/>
      <c r="DB1007" s="3"/>
      <c r="DC1007" s="3"/>
      <c r="DD1007" s="3"/>
      <c r="DE1007" s="3"/>
      <c r="DF1007" s="3"/>
      <c r="DG1007" s="3"/>
      <c r="DH1007" s="3"/>
      <c r="DI1007" s="3"/>
      <c r="DJ1007" s="3"/>
      <c r="DK1007" s="3"/>
      <c r="DL1007" s="3"/>
      <c r="DM1007" s="3"/>
      <c r="DN1007" s="3"/>
      <c r="DO1007" s="3"/>
      <c r="DP1007" s="3"/>
      <c r="DQ1007" s="3"/>
      <c r="DR1007" s="3"/>
      <c r="DS1007" s="3"/>
      <c r="DT1007" s="3"/>
      <c r="DU1007" s="3"/>
      <c r="DV1007" s="3"/>
      <c r="DW1007" s="3"/>
      <c r="DX1007" s="3"/>
      <c r="DY1007" s="3"/>
      <c r="DZ1007" s="3"/>
      <c r="EA1007" s="3"/>
      <c r="EB1007" s="3"/>
      <c r="EC1007" s="3"/>
      <c r="ED1007" s="3"/>
      <c r="EE1007" s="3"/>
      <c r="EF1007" s="3"/>
      <c r="EG1007" s="3"/>
      <c r="EH1007" s="3"/>
      <c r="EI1007" s="3"/>
      <c r="EJ1007" s="3"/>
      <c r="EK1007" s="3"/>
      <c r="EL1007" s="3"/>
      <c r="EM1007" s="3"/>
      <c r="EN1007" s="3"/>
      <c r="EO1007" s="3"/>
      <c r="EP1007" s="3"/>
      <c r="EQ1007" s="3"/>
      <c r="ER1007" s="3"/>
      <c r="ES1007" s="3"/>
      <c r="ET1007" s="3"/>
      <c r="EU1007" s="3"/>
      <c r="EV1007" s="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18</vt:i4>
      </vt:variant>
      <vt:variant>
        <vt:lpstr>Named Ranges</vt:lpstr>
      </vt:variant>
      <vt:variant>
        <vt:i4>2</vt:i4>
      </vt:variant>
    </vt:vector>
  </HeadingPairs>
  <TitlesOfParts>
    <vt:vector size="20" baseType="lpstr">
      <vt:lpstr>Data1</vt:lpstr>
      <vt:lpstr>Funda</vt:lpstr>
      <vt:lpstr>Annual_test</vt:lpstr>
      <vt:lpstr>Annual</vt:lpstr>
      <vt:lpstr>Quarterly</vt:lpstr>
      <vt:lpstr>Ticker</vt:lpstr>
      <vt:lpstr>DCF</vt:lpstr>
      <vt:lpstr>WACC</vt:lpstr>
      <vt:lpstr>Revenue Step</vt:lpstr>
      <vt:lpstr>Portfolio</vt:lpstr>
      <vt:lpstr>Stocks</vt:lpstr>
      <vt:lpstr>VAR_inputs</vt:lpstr>
      <vt:lpstr>MC_Stock_returns</vt:lpstr>
      <vt:lpstr>BSM</vt:lpstr>
      <vt:lpstr>BSM data</vt:lpstr>
      <vt:lpstr>Placing_Option</vt:lpstr>
      <vt:lpstr>Placing_Stock</vt:lpstr>
      <vt:lpstr>Annual1</vt:lpstr>
      <vt:lpstr>tgr</vt:lpstr>
      <vt:lpstr>wacc</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RICHARD ADEDOYIN AGBAJE</cp:lastModifiedBy>
  <cp:revision/>
  <dcterms:created xsi:type="dcterms:W3CDTF">2025-05-31T10:40:11Z</dcterms:created>
  <dcterms:modified xsi:type="dcterms:W3CDTF">2025-07-04T11:53:20Z</dcterms:modified>
  <cp:category/>
  <cp:contentStatus/>
</cp:coreProperties>
</file>