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O14-tesis\modelo-informalidad\modelo_con_interés_con_política\"/>
    </mc:Choice>
  </mc:AlternateContent>
  <xr:revisionPtr revIDLastSave="0" documentId="13_ncr:1_{11B91179-4364-407B-B266-158AF4665617}" xr6:coauthVersionLast="47" xr6:coauthVersionMax="47" xr10:uidLastSave="{00000000-0000-0000-0000-000000000000}"/>
  <bookViews>
    <workbookView xWindow="-120" yWindow="-120" windowWidth="19440" windowHeight="10440" xr2:uid="{E39F6318-EDE8-4B9D-97FD-58B7D3AB5B5D}"/>
  </bookViews>
  <sheets>
    <sheet name="targets" sheetId="1" r:id="rId1"/>
    <sheet name="fuentes" sheetId="5" r:id="rId2"/>
    <sheet name="Hoja2" sheetId="6" r:id="rId3"/>
    <sheet name="params" sheetId="2" r:id="rId4"/>
    <sheet name="epsilon" sheetId="3" r:id="rId5"/>
    <sheet name="targets (2)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2" i="5"/>
  <c r="J17" i="5"/>
  <c r="F18" i="6"/>
  <c r="I6" i="1"/>
  <c r="E5" i="1"/>
  <c r="I4" i="1"/>
  <c r="I5" i="1"/>
  <c r="I7" i="1"/>
  <c r="B14" i="4"/>
  <c r="I3" i="1"/>
  <c r="F21" i="1"/>
  <c r="F3" i="1" s="1"/>
  <c r="F22" i="1"/>
  <c r="F23" i="1"/>
  <c r="F5" i="1" s="1"/>
  <c r="F24" i="1"/>
  <c r="F6" i="1" s="1"/>
  <c r="F25" i="1"/>
  <c r="F7" i="1" s="1"/>
  <c r="B3" i="3"/>
  <c r="B4" i="3"/>
  <c r="B5" i="3"/>
  <c r="B6" i="3"/>
  <c r="B2" i="3"/>
  <c r="C3" i="3"/>
  <c r="C4" i="3"/>
  <c r="F4" i="1"/>
  <c r="F25" i="4"/>
  <c r="F7" i="4" s="1"/>
  <c r="F24" i="4"/>
  <c r="F6" i="4" s="1"/>
  <c r="F23" i="4"/>
  <c r="F5" i="4" s="1"/>
  <c r="F22" i="4"/>
  <c r="F4" i="4" s="1"/>
  <c r="F21" i="4"/>
  <c r="F3" i="4" s="1"/>
  <c r="K16" i="4"/>
  <c r="B16" i="4"/>
  <c r="B15" i="4"/>
  <c r="L14" i="4"/>
  <c r="E14" i="4"/>
  <c r="B13" i="4"/>
  <c r="B12" i="4"/>
  <c r="I7" i="4"/>
  <c r="E16" i="4" s="1"/>
  <c r="I5" i="4"/>
  <c r="K14" i="4" s="1"/>
  <c r="J4" i="4"/>
  <c r="J6" i="4" s="1"/>
  <c r="I3" i="4"/>
  <c r="E12" i="4" s="1"/>
  <c r="A3" i="3"/>
  <c r="A5" i="3" s="1"/>
  <c r="A2" i="3"/>
  <c r="B14" i="1" l="1"/>
  <c r="D14" i="1"/>
  <c r="L5" i="1" s="1"/>
  <c r="G14" i="4"/>
  <c r="H14" i="4" s="1"/>
  <c r="B23" i="4" s="1"/>
  <c r="C2" i="3"/>
  <c r="C6" i="3"/>
  <c r="C5" i="3"/>
  <c r="I6" i="4"/>
  <c r="D13" i="4"/>
  <c r="L4" i="4"/>
  <c r="C13" i="4"/>
  <c r="D14" i="4"/>
  <c r="C14" i="4" s="1"/>
  <c r="J14" i="4" s="1"/>
  <c r="D15" i="4"/>
  <c r="C15" i="4" s="1"/>
  <c r="J15" i="4" s="1"/>
  <c r="N16" i="4"/>
  <c r="G16" i="4"/>
  <c r="H16" i="4" s="1"/>
  <c r="C25" i="4" s="1"/>
  <c r="F16" i="4"/>
  <c r="N12" i="4"/>
  <c r="F12" i="4"/>
  <c r="G12" i="4"/>
  <c r="H12" i="4" s="1"/>
  <c r="C21" i="4" s="1"/>
  <c r="C12" i="4"/>
  <c r="J12" i="4" s="1"/>
  <c r="D12" i="4"/>
  <c r="L3" i="4"/>
  <c r="D16" i="4"/>
  <c r="C16" i="4" s="1"/>
  <c r="J16" i="4" s="1"/>
  <c r="B21" i="4"/>
  <c r="B25" i="4"/>
  <c r="L12" i="4"/>
  <c r="F14" i="4"/>
  <c r="N14" i="4"/>
  <c r="L16" i="4"/>
  <c r="K12" i="4"/>
  <c r="I4" i="4"/>
  <c r="D15" i="1"/>
  <c r="L13" i="1"/>
  <c r="E16" i="1"/>
  <c r="F16" i="1" s="1"/>
  <c r="D16" i="1"/>
  <c r="C16" i="1" s="1"/>
  <c r="J16" i="1" s="1"/>
  <c r="D12" i="1"/>
  <c r="D13" i="1"/>
  <c r="B13" i="1"/>
  <c r="B15" i="1"/>
  <c r="B16" i="1"/>
  <c r="B12" i="1"/>
  <c r="L12" i="1"/>
  <c r="K15" i="1"/>
  <c r="L15" i="1"/>
  <c r="E15" i="1"/>
  <c r="N15" i="1" s="1"/>
  <c r="K14" i="1"/>
  <c r="E14" i="1"/>
  <c r="K12" i="1"/>
  <c r="K13" i="1"/>
  <c r="L14" i="1"/>
  <c r="K16" i="1"/>
  <c r="L16" i="1"/>
  <c r="E12" i="1"/>
  <c r="F12" i="1" s="1"/>
  <c r="C14" i="1" l="1"/>
  <c r="J14" i="1" s="1"/>
  <c r="C23" i="4"/>
  <c r="L5" i="4"/>
  <c r="E13" i="1"/>
  <c r="F13" i="1" s="1"/>
  <c r="M13" i="1" s="1"/>
  <c r="D23" i="4"/>
  <c r="M14" i="4"/>
  <c r="I14" i="4" s="1"/>
  <c r="L7" i="4"/>
  <c r="D25" i="4"/>
  <c r="M16" i="4"/>
  <c r="I16" i="4" s="1"/>
  <c r="J13" i="4"/>
  <c r="L6" i="4"/>
  <c r="K15" i="4"/>
  <c r="E15" i="4"/>
  <c r="L15" i="4"/>
  <c r="L13" i="4"/>
  <c r="K13" i="4"/>
  <c r="E13" i="4"/>
  <c r="D21" i="4"/>
  <c r="M12" i="4"/>
  <c r="I12" i="4" s="1"/>
  <c r="C15" i="1"/>
  <c r="J15" i="1" s="1"/>
  <c r="L6" i="1"/>
  <c r="G16" i="1"/>
  <c r="H16" i="1" s="1"/>
  <c r="D25" i="1" s="1"/>
  <c r="N16" i="1"/>
  <c r="N14" i="1"/>
  <c r="F14" i="1"/>
  <c r="F15" i="1"/>
  <c r="N12" i="1"/>
  <c r="L7" i="1"/>
  <c r="C12" i="1"/>
  <c r="J12" i="1" s="1"/>
  <c r="L3" i="1"/>
  <c r="C13" i="1"/>
  <c r="J13" i="1" s="1"/>
  <c r="L4" i="1"/>
  <c r="M16" i="1"/>
  <c r="G14" i="1"/>
  <c r="H14" i="1" s="1"/>
  <c r="G15" i="1"/>
  <c r="H15" i="1" s="1"/>
  <c r="C24" i="1" s="1"/>
  <c r="G12" i="1"/>
  <c r="H12" i="1" s="1"/>
  <c r="C21" i="1" s="1"/>
  <c r="N13" i="1" l="1"/>
  <c r="I13" i="1" s="1"/>
  <c r="G13" i="1"/>
  <c r="H13" i="1" s="1"/>
  <c r="B22" i="1" s="1"/>
  <c r="N13" i="4"/>
  <c r="F13" i="4"/>
  <c r="G13" i="4"/>
  <c r="H13" i="4" s="1"/>
  <c r="N15" i="4"/>
  <c r="F15" i="4"/>
  <c r="G15" i="4"/>
  <c r="H15" i="4" s="1"/>
  <c r="B25" i="1"/>
  <c r="C25" i="1"/>
  <c r="I16" i="1"/>
  <c r="D21" i="1"/>
  <c r="D24" i="1"/>
  <c r="D23" i="1"/>
  <c r="B24" i="1"/>
  <c r="M15" i="1"/>
  <c r="I15" i="1" s="1"/>
  <c r="B23" i="1"/>
  <c r="C23" i="1"/>
  <c r="M14" i="1"/>
  <c r="I14" i="1" s="1"/>
  <c r="M12" i="1"/>
  <c r="I12" i="1" s="1"/>
  <c r="B21" i="1"/>
  <c r="D22" i="1" l="1"/>
  <c r="C22" i="1"/>
  <c r="C22" i="4"/>
  <c r="B22" i="4"/>
  <c r="B24" i="4"/>
  <c r="C24" i="4"/>
  <c r="D22" i="4"/>
  <c r="M13" i="4"/>
  <c r="I13" i="4" s="1"/>
  <c r="D24" i="4"/>
  <c r="M15" i="4"/>
  <c r="I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2" authorId="0" shapeId="0" xr:uid="{1F828161-E8DE-45EF-8C0E-2F59014D318C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https://datosmacro.expansion.com/impuestos/iva</t>
        </r>
      </text>
    </comment>
    <comment ref="C2" authorId="0" shapeId="0" xr:uid="{34370013-EA55-4462-BCB7-8690649AB1C5}">
      <text>
        <r>
          <rPr>
            <b/>
            <sz val="9"/>
            <color indexed="81"/>
            <rFont val="Tahoma"/>
            <family val="2"/>
          </rPr>
          <t>FUENTE: 2007-2018</t>
        </r>
        <r>
          <rPr>
            <sz val="9"/>
            <color indexed="81"/>
            <rFont val="Tahoma"/>
            <family val="2"/>
          </rPr>
          <t xml:space="preserve">
https://datosmacro.expansion.com/estado/gasto</t>
        </r>
      </text>
    </comment>
    <comment ref="H2" authorId="0" shapeId="0" xr:uid="{AF323770-2077-445B-9565-AE6A3BA1CA2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Orden del último doingbusiness.
Ojo, en intermedios hay otros países</t>
        </r>
      </text>
    </comment>
    <comment ref="C3" authorId="0" shapeId="0" xr:uid="{0303AB3A-21FF-4ECB-82B6-B33429CF9BBA}">
      <text>
        <r>
          <rPr>
            <b/>
            <sz val="9"/>
            <color indexed="81"/>
            <rFont val="Tahoma"/>
            <family val="2"/>
          </rPr>
          <t>OBS:</t>
        </r>
        <r>
          <rPr>
            <sz val="9"/>
            <color indexed="81"/>
            <rFont val="Tahoma"/>
            <family val="2"/>
          </rPr>
          <t xml:space="preserve">
PROMEDIO=23.25%
aproximado al 25%
</t>
        </r>
      </text>
    </comment>
    <comment ref="E3" authorId="0" shapeId="0" xr:uid="{E2DAC958-3622-4BB5-AD00-B1B0811E5CEC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https://www.statista.com/statistics/1039968/informal-employment-share-panama/
es aprox 56% respecto al total,
se registró el 2020</t>
        </r>
      </text>
    </comment>
    <comment ref="F3" authorId="0" shapeId="0" xr:uid="{9D73311C-9659-4683-BC03-77691C06917C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https://www.ceicdata.com/en/indicator/panama/private-consumption--of-nominal-gdp</t>
        </r>
      </text>
    </comment>
    <comment ref="G3" authorId="0" shapeId="0" xr:uid="{801F1F85-9CD3-4537-BA0A-B0454ADB8F3A}">
      <text>
        <r>
          <rPr>
            <b/>
            <sz val="9"/>
            <color indexed="81"/>
            <rFont val="Tahoma"/>
            <family val="2"/>
          </rPr>
          <t>FUENTE: página 14, párrafo 3.
la microempresa que incumple con todos los requisitos (49%)
https://cncpanama.org/cnc/index.php/informes/category/61-mercado-laboral?download=2391:como-afecta-la-informalidad-a-la-economia-de-panama</t>
        </r>
      </text>
    </comment>
    <comment ref="C4" authorId="0" shapeId="0" xr:uid="{E8EDC18D-C84C-4D2F-AD07-D9ED5CFA355D}">
      <text>
        <r>
          <rPr>
            <b/>
            <sz val="9"/>
            <color indexed="81"/>
            <rFont val="Tahoma"/>
            <family val="2"/>
          </rPr>
          <t>OBS:</t>
        </r>
        <r>
          <rPr>
            <sz val="9"/>
            <color indexed="81"/>
            <rFont val="Tahoma"/>
            <family val="2"/>
          </rPr>
          <t xml:space="preserve">
PROMEDIO: 39%,
aproximación al=36%</t>
        </r>
      </text>
    </comment>
    <comment ref="D4" authorId="0" shapeId="0" xr:uid="{1430A8ED-995C-4506-A9EC-E15A594F865E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https://www.worldeconomics.com/National-Statistics/Informal-Economy/Brazil.aspx</t>
        </r>
      </text>
    </comment>
    <comment ref="E4" authorId="0" shapeId="0" xr:uid="{D6BE71A0-2706-4D1F-8A10-3C72A5DE86E6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https://www.statista.com/statistics/1232760/informal-employment-share-brazil/
Ni/total es aprox 0.4</t>
        </r>
      </text>
    </comment>
    <comment ref="F4" authorId="0" shapeId="0" xr:uid="{D69EC028-E83D-4BA8-9E06-02E0DB285171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https://www.ceicdata.com/en/indicator/brazil/private-consumption--of-nominal-gdp#:~:text=in%20Sep%202022%3F-,Brazil%20Private%20Consumption%20accounted%20for%2063.0%20%25%20of%20its%20Nominal%20GDP,62.0%20%25%20in%20the%20previous%20quarter.</t>
        </r>
      </text>
    </comment>
    <comment ref="C5" authorId="0" shapeId="0" xr:uid="{D011D10F-C560-4FD4-83F5-6FD23FEDF5C3}">
      <text>
        <r>
          <rPr>
            <b/>
            <sz val="9"/>
            <color indexed="81"/>
            <rFont val="Tahoma"/>
            <family val="2"/>
          </rPr>
          <t>OBS:</t>
        </r>
        <r>
          <rPr>
            <sz val="9"/>
            <color indexed="81"/>
            <rFont val="Tahoma"/>
            <family val="2"/>
          </rPr>
          <t xml:space="preserve">
PROMEDIO=18%</t>
        </r>
      </text>
    </comment>
    <comment ref="D5" authorId="0" shapeId="0" xr:uid="{FF488075-EBD4-4AA9-9DAB-AD9FDAE3BE3E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https://www.worldeconomics.com/National-Statistics/Informal-Economy/Indonesia.aspx</t>
        </r>
      </text>
    </comment>
    <comment ref="E5" authorId="0" shapeId="0" xr:uid="{3D37D6DE-72CF-41BB-B0C2-46148117961D}">
      <text>
        <r>
          <rPr>
            <b/>
            <sz val="9"/>
            <color indexed="81"/>
            <rFont val="Tahoma"/>
            <family val="2"/>
          </rPr>
          <t>FUENTE: (2009) 
personas en empleo informal(72.5%),
pero en condición de empleados son solo la mitad (50.6%),
del cual, el 37% son netos empleados informales
pág 110, cuadro 1 y 2.</t>
        </r>
        <r>
          <rPr>
            <sz val="9"/>
            <color indexed="81"/>
            <rFont val="Tahoma"/>
            <family val="2"/>
          </rPr>
          <t xml:space="preserve">
https://www.ilo.org/wcmsp5/groups/public/---dgreports/---stat/documents/publication/wcms_234413.pdf</t>
        </r>
      </text>
    </comment>
    <comment ref="F5" authorId="0" shapeId="0" xr:uid="{4D550EBD-CD15-4340-A934-E8CB0897AA00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https://www.ceicdata.com/en/indicator/indonesia/private-consumption--of-nominal-gdp#:~:text=in%20Sep%202022%3F-,Brazil%20Private%20Consumption%20accounted%20for%2063.0%20%25%20of%20its%20Nominal%20GDP,62.0%20%25%20in%20the%20previous%20quarter.</t>
        </r>
      </text>
    </comment>
    <comment ref="G5" authorId="0" shapeId="0" xr:uid="{A4D34715-4A85-42B7-8583-EDA1EB702EDA}">
      <text>
        <r>
          <rPr>
            <b/>
            <sz val="9"/>
            <color indexed="81"/>
            <rFont val="Tahoma"/>
            <family val="2"/>
          </rPr>
          <t>Fuente: pág 12 penúltimo párrafo
https://www.adb.org/sites/default/files/publication/783706/adb-wp1310.pdf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731C27-23BA-4229-80D7-DF349EBC2F1F}">
      <text>
        <r>
          <rPr>
            <b/>
            <sz val="9"/>
            <color indexed="81"/>
            <rFont val="Tahoma"/>
            <family val="2"/>
          </rPr>
          <t>OBS:</t>
        </r>
        <r>
          <rPr>
            <sz val="9"/>
            <color indexed="81"/>
            <rFont val="Tahoma"/>
            <family val="2"/>
          </rPr>
          <t xml:space="preserve">
PROMEDIO 21%
aproximado al 23%</t>
        </r>
      </text>
    </comment>
    <comment ref="F6" authorId="0" shapeId="0" xr:uid="{BF453D9B-D2F5-41D3-A02C-CFA81A4A0A94}">
      <text>
        <r>
          <rPr>
            <b/>
            <sz val="9"/>
            <color indexed="81"/>
            <rFont val="Tahoma"/>
            <family val="2"/>
          </rPr>
          <t>FUENTE:</t>
        </r>
        <r>
          <rPr>
            <sz val="9"/>
            <color indexed="81"/>
            <rFont val="Tahoma"/>
            <family val="2"/>
          </rPr>
          <t xml:space="preserve">
https://www.ceicdata.com/en/indicator/peru/private-consumption--of-nominal-gdp#:~:text=in%20Sep%202022%3F-,Brazil%20Private%20Consumption%20accounted%20for%2063.0%20%25%20of%20its%20Nominal%20GDP,62.0%20%25%20in%20the%20previous%20quarter.</t>
        </r>
      </text>
    </comment>
  </commentList>
</comments>
</file>

<file path=xl/sharedStrings.xml><?xml version="1.0" encoding="utf-8"?>
<sst xmlns="http://schemas.openxmlformats.org/spreadsheetml/2006/main" count="219" uniqueCount="117">
  <si>
    <t>datos locales del país, en rojo.</t>
  </si>
  <si>
    <t>CNTRYS</t>
  </si>
  <si>
    <t>t</t>
  </si>
  <si>
    <t>Tg</t>
  </si>
  <si>
    <t>Ty</t>
  </si>
  <si>
    <t>Tn</t>
  </si>
  <si>
    <t>Tc</t>
  </si>
  <si>
    <t>Ti</t>
  </si>
  <si>
    <t>fe**</t>
  </si>
  <si>
    <t>PANAMA</t>
  </si>
  <si>
    <t>BRASIL</t>
  </si>
  <si>
    <t>INDONESIA</t>
  </si>
  <si>
    <t>PERU</t>
  </si>
  <si>
    <t>UK</t>
  </si>
  <si>
    <t>wf_wi</t>
  </si>
  <si>
    <t>Tmodel</t>
  </si>
  <si>
    <t>alpha</t>
  </si>
  <si>
    <t>epsilon</t>
  </si>
  <si>
    <t>H</t>
  </si>
  <si>
    <t>ff_fi</t>
  </si>
  <si>
    <t>gti</t>
  </si>
  <si>
    <t>theta</t>
  </si>
  <si>
    <t>km1</t>
  </si>
  <si>
    <t>km2</t>
  </si>
  <si>
    <t>km3</t>
  </si>
  <si>
    <t>km4</t>
  </si>
  <si>
    <t>xm</t>
  </si>
  <si>
    <t>yi</t>
  </si>
  <si>
    <t>ni</t>
  </si>
  <si>
    <t>km5</t>
  </si>
  <si>
    <t>Lmodel</t>
  </si>
  <si>
    <t>rho</t>
  </si>
  <si>
    <t>H1</t>
  </si>
  <si>
    <t>Q</t>
  </si>
  <si>
    <t>Tc-informal</t>
  </si>
  <si>
    <t>Tc-formal?</t>
  </si>
  <si>
    <t>mark-up</t>
  </si>
  <si>
    <t>mark-up-papers</t>
  </si>
  <si>
    <t>Fecha</t>
  </si>
  <si>
    <t>G. Público (M.€)</t>
  </si>
  <si>
    <t>Gasto Educación (%Gto Pub)</t>
  </si>
  <si>
    <t>G. Salud (%G. Público Total)</t>
  </si>
  <si>
    <t>Gasto Defensa (%Gto Pub)</t>
  </si>
  <si>
    <t>Gasto público (%PIB)</t>
  </si>
  <si>
    <t>Gasto público Per Capita</t>
  </si>
  <si>
    <t>15,93%</t>
  </si>
  <si>
    <t>16,22%</t>
  </si>
  <si>
    <t>datos locales del país.</t>
  </si>
  <si>
    <t>53.112,5</t>
  </si>
  <si>
    <t>1.575 €</t>
  </si>
  <si>
    <t>44.954,3</t>
  </si>
  <si>
    <t>17,87%</t>
  </si>
  <si>
    <t>4,49%</t>
  </si>
  <si>
    <t>1.333 €</t>
  </si>
  <si>
    <t>48.443,8</t>
  </si>
  <si>
    <t>4,92%</t>
  </si>
  <si>
    <t>1.485 €</t>
  </si>
  <si>
    <t>43.889,3</t>
  </si>
  <si>
    <t>17,76%</t>
  </si>
  <si>
    <t>5,60%</t>
  </si>
  <si>
    <t>1.366 €</t>
  </si>
  <si>
    <t>40.837,6</t>
  </si>
  <si>
    <t>17,13%</t>
  </si>
  <si>
    <t>5,49%</t>
  </si>
  <si>
    <t>1.294 €</t>
  </si>
  <si>
    <t>40.276,6</t>
  </si>
  <si>
    <t>18,24%</t>
  </si>
  <si>
    <t>14,90%</t>
  </si>
  <si>
    <t>5,87%</t>
  </si>
  <si>
    <t>1.300 €</t>
  </si>
  <si>
    <t>36.997,4</t>
  </si>
  <si>
    <t>15,10%</t>
  </si>
  <si>
    <t>6,20%</t>
  </si>
  <si>
    <t>1.216 €</t>
  </si>
  <si>
    <t>38.624,0</t>
  </si>
  <si>
    <t>17,57%</t>
  </si>
  <si>
    <t>13,91%</t>
  </si>
  <si>
    <t>7,73%</t>
  </si>
  <si>
    <t>1.289 €</t>
  </si>
  <si>
    <t>34.434,0</t>
  </si>
  <si>
    <t>13,38%</t>
  </si>
  <si>
    <t>7,03%</t>
  </si>
  <si>
    <t>1.163 €</t>
  </si>
  <si>
    <t>32.801,0</t>
  </si>
  <si>
    <t>15,22%</t>
  </si>
  <si>
    <t>12,24%</t>
  </si>
  <si>
    <t>7,59%</t>
  </si>
  <si>
    <t>1.118 €</t>
  </si>
  <si>
    <t>30.482,3</t>
  </si>
  <si>
    <t>14,37%</t>
  </si>
  <si>
    <t>12,54%</t>
  </si>
  <si>
    <t>7,29%</t>
  </si>
  <si>
    <t>1.047 €</t>
  </si>
  <si>
    <t>24.254,5</t>
  </si>
  <si>
    <t>13,55%</t>
  </si>
  <si>
    <t>12,21%</t>
  </si>
  <si>
    <t>6,98%</t>
  </si>
  <si>
    <t>839 €</t>
  </si>
  <si>
    <t>23.519,9</t>
  </si>
  <si>
    <t>13,56%</t>
  </si>
  <si>
    <t>11,60%</t>
  </si>
  <si>
    <t>820 €</t>
  </si>
  <si>
    <t>18.660,5</t>
  </si>
  <si>
    <t>14,60%</t>
  </si>
  <si>
    <t>11,62%</t>
  </si>
  <si>
    <t>7,11%</t>
  </si>
  <si>
    <t>655 €</t>
  </si>
  <si>
    <t>16.350,6</t>
  </si>
  <si>
    <t>14,38%</t>
  </si>
  <si>
    <t>10,74%</t>
  </si>
  <si>
    <t>6,25%</t>
  </si>
  <si>
    <t>578 €</t>
  </si>
  <si>
    <t>13.862,0</t>
  </si>
  <si>
    <t>14,14%</t>
  </si>
  <si>
    <t>11,12%</t>
  </si>
  <si>
    <t>7,01%</t>
  </si>
  <si>
    <t>493 €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</si>
</sst>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E+00"/>
    <numFmt numFmtId="166" formatCode="0.00000000"/>
    <numFmt numFmtId="167" formatCode="0.000000000"/>
    <numFmt numFmtId="168" formatCode="0.000"/>
    <numFmt numFmtId="171" formatCode="0.0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8C3BC"/>
      <name val="Arial"/>
      <family val="2"/>
    </font>
    <font>
      <sz val="8"/>
      <color rgb="FFC8C3B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62600"/>
        <bgColor indexed="64"/>
      </patternFill>
    </fill>
    <fill>
      <patternFill patternType="solid">
        <fgColor rgb="FF362000"/>
        <bgColor indexed="64"/>
      </patternFill>
    </fill>
    <fill>
      <patternFill patternType="solid">
        <fgColor rgb="FF402F16"/>
        <bgColor indexed="64"/>
      </patternFill>
    </fill>
    <fill>
      <patternFill patternType="solid">
        <fgColor rgb="FF1E20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464B4E"/>
      </top>
      <bottom/>
      <diagonal/>
    </border>
    <border>
      <left style="medium">
        <color rgb="FF464B4E"/>
      </left>
      <right style="medium">
        <color rgb="FF464B4E"/>
      </right>
      <top style="medium">
        <color rgb="FF464B4E"/>
      </top>
      <bottom style="medium">
        <color rgb="FF464B4E"/>
      </bottom>
      <diagonal/>
    </border>
    <border>
      <left style="medium">
        <color rgb="FF464B4E"/>
      </left>
      <right/>
      <top style="medium">
        <color rgb="FF464B4E"/>
      </top>
      <bottom/>
      <diagonal/>
    </border>
    <border>
      <left/>
      <right style="medium">
        <color rgb="FF464B4E"/>
      </right>
      <top style="medium">
        <color rgb="FF464B4E"/>
      </top>
      <bottom/>
      <diagonal/>
    </border>
    <border>
      <left style="medium">
        <color rgb="FF464B4E"/>
      </left>
      <right/>
      <top style="medium">
        <color rgb="FF464B4E"/>
      </top>
      <bottom style="medium">
        <color rgb="FF464B4E"/>
      </bottom>
      <diagonal/>
    </border>
    <border>
      <left/>
      <right/>
      <top style="medium">
        <color rgb="FF464B4E"/>
      </top>
      <bottom style="medium">
        <color rgb="FF464B4E"/>
      </bottom>
      <diagonal/>
    </border>
    <border>
      <left/>
      <right style="medium">
        <color rgb="FF464B4E"/>
      </right>
      <top style="medium">
        <color rgb="FF464B4E"/>
      </top>
      <bottom style="medium">
        <color rgb="FF464B4E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2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2" fontId="1" fillId="3" borderId="0" xfId="0" applyNumberFormat="1" applyFont="1" applyFill="1"/>
    <xf numFmtId="0" fontId="1" fillId="3" borderId="0" xfId="0" applyFont="1" applyFill="1"/>
    <xf numFmtId="168" fontId="4" fillId="0" borderId="0" xfId="0" applyNumberFormat="1" applyFont="1"/>
    <xf numFmtId="2" fontId="5" fillId="4" borderId="0" xfId="0" applyNumberFormat="1" applyFont="1" applyFill="1"/>
    <xf numFmtId="0" fontId="6" fillId="4" borderId="0" xfId="0" applyFont="1" applyFill="1"/>
    <xf numFmtId="0" fontId="5" fillId="4" borderId="0" xfId="0" applyFont="1" applyFill="1"/>
    <xf numFmtId="2" fontId="6" fillId="4" borderId="0" xfId="0" applyNumberFormat="1" applyFont="1" applyFill="1"/>
    <xf numFmtId="0" fontId="1" fillId="2" borderId="0" xfId="0" applyFont="1" applyFill="1"/>
    <xf numFmtId="2" fontId="1" fillId="2" borderId="0" xfId="0" applyNumberFormat="1" applyFont="1" applyFill="1"/>
    <xf numFmtId="2" fontId="4" fillId="2" borderId="0" xfId="0" applyNumberFormat="1" applyFont="1" applyFill="1"/>
    <xf numFmtId="2" fontId="0" fillId="2" borderId="0" xfId="0" applyNumberFormat="1" applyFill="1"/>
    <xf numFmtId="2" fontId="5" fillId="3" borderId="0" xfId="0" applyNumberFormat="1" applyFont="1" applyFill="1"/>
    <xf numFmtId="0" fontId="10" fillId="7" borderId="1" xfId="0" applyFont="1" applyFill="1" applyBorder="1" applyAlignment="1">
      <alignment horizontal="right" vertical="top"/>
    </xf>
    <xf numFmtId="0" fontId="10" fillId="5" borderId="1" xfId="0" applyFont="1" applyFill="1" applyBorder="1" applyAlignment="1">
      <alignment horizontal="right" vertical="top"/>
    </xf>
    <xf numFmtId="0" fontId="9" fillId="6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right" vertical="top"/>
    </xf>
    <xf numFmtId="0" fontId="10" fillId="7" borderId="4" xfId="0" applyFont="1" applyFill="1" applyBorder="1" applyAlignment="1">
      <alignment horizontal="right" vertical="top"/>
    </xf>
    <xf numFmtId="0" fontId="10" fillId="5" borderId="3" xfId="0" applyFont="1" applyFill="1" applyBorder="1" applyAlignment="1">
      <alignment horizontal="right" vertical="top"/>
    </xf>
    <xf numFmtId="0" fontId="10" fillId="5" borderId="4" xfId="0" applyFont="1" applyFill="1" applyBorder="1" applyAlignment="1">
      <alignment horizontal="right" vertical="top"/>
    </xf>
    <xf numFmtId="10" fontId="10" fillId="7" borderId="1" xfId="0" applyNumberFormat="1" applyFont="1" applyFill="1" applyBorder="1" applyAlignment="1">
      <alignment horizontal="right" vertical="top"/>
    </xf>
    <xf numFmtId="10" fontId="10" fillId="5" borderId="1" xfId="0" applyNumberFormat="1" applyFont="1" applyFill="1" applyBorder="1" applyAlignment="1">
      <alignment horizontal="right" vertical="top"/>
    </xf>
    <xf numFmtId="0" fontId="10" fillId="8" borderId="5" xfId="0" applyFont="1" applyFill="1" applyBorder="1" applyAlignment="1">
      <alignment horizontal="right" vertical="top"/>
    </xf>
    <xf numFmtId="0" fontId="10" fillId="8" borderId="6" xfId="0" applyFont="1" applyFill="1" applyBorder="1" applyAlignment="1">
      <alignment horizontal="right" vertical="top"/>
    </xf>
    <xf numFmtId="0" fontId="10" fillId="8" borderId="7" xfId="0" applyFont="1" applyFill="1" applyBorder="1" applyAlignment="1">
      <alignment horizontal="right" vertical="top"/>
    </xf>
    <xf numFmtId="10" fontId="10" fillId="8" borderId="6" xfId="0" applyNumberFormat="1" applyFont="1" applyFill="1" applyBorder="1" applyAlignment="1">
      <alignment horizontal="right" vertical="top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E763-C5E9-4337-A29E-D795CB78124B}">
  <dimension ref="A1:AV25"/>
  <sheetViews>
    <sheetView tabSelected="1" zoomScaleNormal="100" workbookViewId="0">
      <selection activeCell="E9" sqref="E9"/>
    </sheetView>
  </sheetViews>
  <sheetFormatPr baseColWidth="10" defaultRowHeight="15" x14ac:dyDescent="0.25"/>
  <cols>
    <col min="2" max="2" width="12.5703125" bestFit="1" customWidth="1"/>
    <col min="5" max="5" width="14.5703125" bestFit="1" customWidth="1"/>
    <col min="6" max="6" width="13.140625" bestFit="1" customWidth="1"/>
    <col min="7" max="7" width="13.5703125" bestFit="1" customWidth="1"/>
    <col min="8" max="8" width="15" customWidth="1"/>
  </cols>
  <sheetData>
    <row r="1" spans="1:48" x14ac:dyDescent="0.25">
      <c r="A1" s="44" t="s">
        <v>0</v>
      </c>
      <c r="B1" s="44"/>
      <c r="C1" s="44"/>
      <c r="D1" s="44"/>
      <c r="E1" s="44"/>
      <c r="F1" s="44"/>
      <c r="G1" s="44"/>
      <c r="H1" s="44"/>
      <c r="I1" s="6"/>
      <c r="J1" s="7"/>
    </row>
    <row r="2" spans="1:48" x14ac:dyDescent="0.25">
      <c r="A2" s="1" t="s">
        <v>1</v>
      </c>
      <c r="B2" s="1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" t="s">
        <v>8</v>
      </c>
      <c r="I2" s="1" t="s">
        <v>16</v>
      </c>
      <c r="J2" s="8" t="s">
        <v>17</v>
      </c>
      <c r="K2" s="8" t="s">
        <v>31</v>
      </c>
      <c r="L2" s="8" t="s">
        <v>33</v>
      </c>
    </row>
    <row r="3" spans="1:48" s="3" customFormat="1" x14ac:dyDescent="0.25">
      <c r="A3" s="21" t="s">
        <v>9</v>
      </c>
      <c r="B3" s="21">
        <v>7.0000000000000007E-2</v>
      </c>
      <c r="C3" s="20">
        <v>0.24829999999999999</v>
      </c>
      <c r="D3" s="20">
        <v>0.51600000000000001</v>
      </c>
      <c r="E3" s="20">
        <v>1.2573363431151243</v>
      </c>
      <c r="F3" s="20">
        <f>E21+F21</f>
        <v>0.53</v>
      </c>
      <c r="G3" s="20">
        <v>0.46</v>
      </c>
      <c r="H3" s="22">
        <v>0.15</v>
      </c>
      <c r="I3" s="20">
        <f>J3+1.1</f>
        <v>2.8</v>
      </c>
      <c r="J3" s="28">
        <v>1.7</v>
      </c>
      <c r="K3" s="21">
        <v>0</v>
      </c>
      <c r="L3" s="23">
        <f>C3+F3+D12</f>
        <v>0.77829999999999999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3" customFormat="1" x14ac:dyDescent="0.25">
      <c r="A4" s="21" t="s">
        <v>10</v>
      </c>
      <c r="B4" s="21">
        <v>0.18</v>
      </c>
      <c r="C4" s="23">
        <v>0.36</v>
      </c>
      <c r="D4" s="23">
        <v>0.33</v>
      </c>
      <c r="E4" s="23">
        <v>0.6556291390728477</v>
      </c>
      <c r="F4" s="20">
        <f>E22+F22</f>
        <v>0.63</v>
      </c>
      <c r="G4" s="21">
        <v>0.71</v>
      </c>
      <c r="H4" s="21">
        <v>0.25</v>
      </c>
      <c r="I4" s="20">
        <f t="shared" ref="I4:I6" si="0">J4+1.1</f>
        <v>3.7</v>
      </c>
      <c r="J4" s="28">
        <v>2.6</v>
      </c>
      <c r="K4" s="21">
        <v>0</v>
      </c>
      <c r="L4" s="23">
        <f t="shared" ref="L4:L6" si="1">C4+F4+D13</f>
        <v>0.99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s="3" t="s">
        <v>11</v>
      </c>
      <c r="B5" s="24">
        <v>0.1</v>
      </c>
      <c r="C5" s="25">
        <v>0.18210000000000001</v>
      </c>
      <c r="D5" s="25">
        <v>0.22700000000000001</v>
      </c>
      <c r="E5" s="25">
        <f>0.57</f>
        <v>0.56999999999999995</v>
      </c>
      <c r="F5" s="26">
        <f>E23+F23</f>
        <v>0.59099999999999997</v>
      </c>
      <c r="G5" s="24">
        <v>0.93499999999999994</v>
      </c>
      <c r="H5" s="24">
        <v>0.3</v>
      </c>
      <c r="I5" s="20">
        <f t="shared" si="0"/>
        <v>5.6</v>
      </c>
      <c r="J5" s="28">
        <v>4.5</v>
      </c>
      <c r="K5" s="3">
        <v>0</v>
      </c>
      <c r="L5" s="27">
        <f t="shared" si="1"/>
        <v>0.77310000000000001</v>
      </c>
    </row>
    <row r="6" spans="1:48" s="3" customFormat="1" x14ac:dyDescent="0.25">
      <c r="A6" s="21" t="s">
        <v>12</v>
      </c>
      <c r="B6" s="21">
        <v>0.18</v>
      </c>
      <c r="C6" s="23">
        <v>0.23</v>
      </c>
      <c r="D6" s="23">
        <v>0.26</v>
      </c>
      <c r="E6" s="23">
        <v>2.08</v>
      </c>
      <c r="F6" s="20">
        <f>E24+F24</f>
        <v>0.64</v>
      </c>
      <c r="G6" s="21">
        <v>0.59</v>
      </c>
      <c r="H6" s="21">
        <v>0.2</v>
      </c>
      <c r="I6" s="20">
        <f t="shared" si="0"/>
        <v>3.5</v>
      </c>
      <c r="J6" s="28">
        <v>2.4</v>
      </c>
      <c r="K6" s="21">
        <v>0</v>
      </c>
      <c r="L6" s="23">
        <f t="shared" si="1"/>
        <v>0.87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s="3" t="s">
        <v>13</v>
      </c>
      <c r="B7" s="24">
        <v>0.2</v>
      </c>
      <c r="C7" s="25">
        <v>0.38</v>
      </c>
      <c r="D7" s="25">
        <v>0.09</v>
      </c>
      <c r="E7" s="25">
        <v>0.22</v>
      </c>
      <c r="F7" s="26">
        <f>E25+F25</f>
        <v>0.63</v>
      </c>
      <c r="G7" s="24">
        <v>0.25</v>
      </c>
      <c r="H7" s="24">
        <v>0.1</v>
      </c>
      <c r="I7" s="20">
        <f>J7+1.1</f>
        <v>3.3000000000000003</v>
      </c>
      <c r="J7" s="28">
        <v>2.2000000000000002</v>
      </c>
      <c r="K7" s="3">
        <v>0</v>
      </c>
      <c r="L7" s="27">
        <f>C7+F7+D16</f>
        <v>1.01</v>
      </c>
    </row>
    <row r="11" spans="1:48" x14ac:dyDescent="0.25">
      <c r="A11" s="1" t="s">
        <v>1</v>
      </c>
      <c r="B11" t="s">
        <v>14</v>
      </c>
      <c r="C11" t="s">
        <v>15</v>
      </c>
      <c r="D11" t="s">
        <v>30</v>
      </c>
      <c r="E11" t="s">
        <v>18</v>
      </c>
      <c r="F11" t="s">
        <v>19</v>
      </c>
      <c r="G11" t="s">
        <v>20</v>
      </c>
      <c r="H11" t="s">
        <v>21</v>
      </c>
      <c r="I11" t="s">
        <v>26</v>
      </c>
      <c r="J11" t="s">
        <v>22</v>
      </c>
      <c r="K11" t="s">
        <v>23</v>
      </c>
      <c r="L11" t="s">
        <v>24</v>
      </c>
      <c r="M11" t="s">
        <v>25</v>
      </c>
      <c r="N11" t="s">
        <v>29</v>
      </c>
    </row>
    <row r="12" spans="1:48" x14ac:dyDescent="0.25">
      <c r="A12" t="s">
        <v>9</v>
      </c>
      <c r="B12" s="2">
        <f>((1-B3)/(1-K3))*(E3/D3)</f>
        <v>2.2661294556144682</v>
      </c>
      <c r="C12" s="45">
        <f>B3*(F3+C3+D12)/(1+D3)</f>
        <v>3.5937335092348283E-2</v>
      </c>
      <c r="D12">
        <f>K3*(F3+C3)*(D3/(D3+1-K3*D3))</f>
        <v>0</v>
      </c>
      <c r="E12" s="4">
        <f>(1-G3)^(-1/I3)</f>
        <v>1.2461595704854034</v>
      </c>
      <c r="F12" s="15">
        <f>1+(E12^(J3-1))*(((1-B3)/(1-K3))*(((E12^(I3+1-J3))-1)/D3)-1)</f>
        <v>1.0686005923263193</v>
      </c>
      <c r="G12">
        <f>(1/E3)*(D3^(J3/(J3-1)))*((E12^(I3+1-J3))-1)^(1/(1-J3))</f>
        <v>0.3409741946445663</v>
      </c>
      <c r="H12">
        <f>1-(G12^(1/0.35))</f>
        <v>0.95377056278046302</v>
      </c>
      <c r="I12">
        <f>J12*K12*L12*M12*N12</f>
        <v>1.0561553499041041</v>
      </c>
      <c r="J12">
        <f>((C3-C12)/(C3+F3+D12))^(1/I3)</f>
        <v>0.62884966564278666</v>
      </c>
      <c r="K12">
        <f>((1+D3)/D3)^(1/I3)</f>
        <v>1.4694693620135808</v>
      </c>
      <c r="L12">
        <f>(I3/(I3+1-J3))^(1/I3)</f>
        <v>1.1082072253247541</v>
      </c>
      <c r="M12">
        <f>(J3/(F12*(1-K3)))^(1/I3)</f>
        <v>1.1803531629847752</v>
      </c>
      <c r="N12">
        <f>((1-E12^(J3-1-I3))/E12^(-I3))^(1/I3)</f>
        <v>0.87375060172278118</v>
      </c>
    </row>
    <row r="13" spans="1:48" x14ac:dyDescent="0.25">
      <c r="A13" t="s">
        <v>10</v>
      </c>
      <c r="B13" s="2">
        <f t="shared" ref="B13:B15" si="2">((1-B4)/(1-K4))*(E4/D4)</f>
        <v>1.6291390728476822</v>
      </c>
      <c r="C13" s="2">
        <f t="shared" ref="C13:C15" si="3">B4*(F4+C4+D13)/(1+D4)</f>
        <v>0.13398496240601504</v>
      </c>
      <c r="D13">
        <f t="shared" ref="D13:D15" si="4">K4*(F4+C4)*(D4/(D4+1-K4*D4))</f>
        <v>0</v>
      </c>
      <c r="E13" s="4">
        <f>(1-G4)^(-1/I4)</f>
        <v>1.3973263165110543</v>
      </c>
      <c r="F13" s="15">
        <f t="shared" ref="F13:F15" si="5">1+(E13^(J4-1))*(((1-B4)/(1-K4))*(((E13^(I4+1-J4))-1)/D4)-1)</f>
        <v>3.6164770478721611</v>
      </c>
      <c r="G13">
        <f>(1/E4)*(D4^(J4/(J4-1)))*((E13^(I4+1-J4))-1)^(1/(1-J4))</f>
        <v>0.24878917873918505</v>
      </c>
      <c r="H13">
        <f t="shared" ref="H13:H16" si="6">1-(G13^(1/0.35))</f>
        <v>0.98121530071280483</v>
      </c>
      <c r="I13">
        <f t="shared" ref="I13:I16" si="7">J13*K13*L13*M13*N13</f>
        <v>1.2106276038476238</v>
      </c>
      <c r="J13">
        <f t="shared" ref="J13:J15" si="8">((C4-C13)/(C4+F4+D13))^(1/I4)</f>
        <v>0.67084502005516244</v>
      </c>
      <c r="K13">
        <f>((1+D4)/D4)^(1/I4)</f>
        <v>1.4574873164797184</v>
      </c>
      <c r="L13">
        <f>(I4/(I4+1-J4))^(1/I4)</f>
        <v>1.1654180432818642</v>
      </c>
      <c r="M13">
        <f t="shared" ref="M13:M15" si="9">(J4/(F13*(1-K4)))^(1/I4)</f>
        <v>0.91467525117989346</v>
      </c>
      <c r="N13">
        <f>((1-E13^(J4-1-I4))/E13^(-I4))^(1/I4)</f>
        <v>1.1615420104572618</v>
      </c>
    </row>
    <row r="14" spans="1:48" x14ac:dyDescent="0.25">
      <c r="A14" t="s">
        <v>11</v>
      </c>
      <c r="B14" s="2">
        <f t="shared" si="2"/>
        <v>2.2599118942731273</v>
      </c>
      <c r="C14" s="2">
        <f t="shared" si="3"/>
        <v>6.3007334963325182E-2</v>
      </c>
      <c r="D14">
        <f t="shared" si="4"/>
        <v>0</v>
      </c>
      <c r="E14" s="4">
        <f>(1-G5)^(-1/I5)</f>
        <v>1.6292200937022825</v>
      </c>
      <c r="F14" s="15">
        <f t="shared" si="5"/>
        <v>34.591436228950428</v>
      </c>
      <c r="G14">
        <f>(1/E5)*(D5^(J5/(J5-1)))*((E14^(I5+1-J5))-1)^(1/(1-J5))</f>
        <v>0.22085826601827541</v>
      </c>
      <c r="H14">
        <f t="shared" si="6"/>
        <v>0.98663284379007787</v>
      </c>
      <c r="I14">
        <f t="shared" si="7"/>
        <v>1.2056140134197082</v>
      </c>
      <c r="J14">
        <f t="shared" si="8"/>
        <v>0.71604016218835687</v>
      </c>
      <c r="K14">
        <f>((1+D5)/D5)^(1/I5)</f>
        <v>1.3516382803701639</v>
      </c>
      <c r="L14">
        <f>(I5/(I5+1-J5))^(1/I5)</f>
        <v>1.1914226304796605</v>
      </c>
      <c r="M14">
        <f t="shared" si="9"/>
        <v>0.69475114524605519</v>
      </c>
      <c r="N14">
        <f>((1-E14^(J5-1-I5))/E14^(-I5))^(1/I5)</f>
        <v>1.5049265549900677</v>
      </c>
    </row>
    <row r="15" spans="1:48" x14ac:dyDescent="0.25">
      <c r="A15" t="s">
        <v>12</v>
      </c>
      <c r="B15" s="2">
        <f t="shared" si="2"/>
        <v>6.5600000000000005</v>
      </c>
      <c r="C15" s="2">
        <f t="shared" si="3"/>
        <v>0.12428571428571428</v>
      </c>
      <c r="D15">
        <f t="shared" si="4"/>
        <v>0</v>
      </c>
      <c r="E15" s="4">
        <f>(1-G6)^(-1/I6)</f>
        <v>1.2901291372974095</v>
      </c>
      <c r="F15" s="15">
        <f t="shared" si="5"/>
        <v>2.7584535782151942</v>
      </c>
      <c r="G15">
        <f>(1/E6)*(D6^(J6/(J6-1)))*((E15^(I6+1-J6))-1)^(1/(1-J6))</f>
        <v>6.1154099496251529E-2</v>
      </c>
      <c r="H15" s="16">
        <f t="shared" si="6"/>
        <v>0.99965908626291888</v>
      </c>
      <c r="I15">
        <f t="shared" si="7"/>
        <v>0.95873431628350658</v>
      </c>
      <c r="J15">
        <f t="shared" si="8"/>
        <v>0.54759725809257664</v>
      </c>
      <c r="K15">
        <f>((1+D6)/D6)^(1/I6)</f>
        <v>1.5697401645997002</v>
      </c>
      <c r="L15">
        <f>(I6/(I6+1-J6))^(1/I6)</f>
        <v>1.1571385359117508</v>
      </c>
      <c r="M15">
        <f t="shared" si="9"/>
        <v>0.96100866481040581</v>
      </c>
      <c r="N15">
        <f>((1-E15^(J6-1-I6))/E15^(-I6))^(1/I6)</f>
        <v>1.0029899387266392</v>
      </c>
    </row>
    <row r="16" spans="1:48" x14ac:dyDescent="0.25">
      <c r="A16" t="s">
        <v>13</v>
      </c>
      <c r="B16" s="2">
        <f>((1-B7)/(1-K7))*(E7/D7)</f>
        <v>1.9555555555555557</v>
      </c>
      <c r="C16" s="2">
        <f>B7*(F7+C7+D16)/(1+D7)</f>
        <v>0.1853211009174312</v>
      </c>
      <c r="D16">
        <f>K7*(F7+C7)*(D7/(D7+1-K7*D7))</f>
        <v>0</v>
      </c>
      <c r="E16" s="4">
        <f>(1-G7)^(-1/I7)</f>
        <v>1.0910891151452586</v>
      </c>
      <c r="F16" s="15">
        <f>1+(E16^(J7-1))*(((1-B7)/(1-K7))*(((E16^(I7+1-J7))-1)/D7)-1)</f>
        <v>1.8724225881314744</v>
      </c>
      <c r="G16">
        <f>(1/E7)*(D7^(J7/(J7-1)))*((E16^(I7+1-J7))-1)^(1/(1-J7))</f>
        <v>0.20951116858491692</v>
      </c>
      <c r="H16">
        <f t="shared" si="6"/>
        <v>0.98850280385455858</v>
      </c>
      <c r="I16">
        <f t="shared" si="7"/>
        <v>0.9881427051549988</v>
      </c>
      <c r="J16">
        <f>((C7-C16)/(C7+F7+D16))^(1/I7)</f>
        <v>0.60720113982143376</v>
      </c>
      <c r="K16">
        <f>((1+D7)/D7)^(1/I7)</f>
        <v>2.1293035211548363</v>
      </c>
      <c r="L16">
        <f>(I7/(I7+1-J7))^(1/I7)</f>
        <v>1.1467882269955412</v>
      </c>
      <c r="M16">
        <f>(J7/(F16*(1-K7)))^(1/I7)</f>
        <v>1.0500689600606077</v>
      </c>
      <c r="N16">
        <f>((1-E16^(J7-1-I7))/E16^(-I7))^(1/I7)</f>
        <v>0.63467073275160102</v>
      </c>
    </row>
    <row r="20" spans="1:6" x14ac:dyDescent="0.25">
      <c r="A20" s="1" t="s">
        <v>1</v>
      </c>
      <c r="B20" t="s">
        <v>27</v>
      </c>
      <c r="C20" t="s">
        <v>28</v>
      </c>
      <c r="D20" t="s">
        <v>32</v>
      </c>
      <c r="E20" s="8" t="s">
        <v>35</v>
      </c>
      <c r="F20" s="8" t="s">
        <v>34</v>
      </c>
    </row>
    <row r="21" spans="1:6" x14ac:dyDescent="0.25">
      <c r="A21" s="3" t="s">
        <v>9</v>
      </c>
      <c r="B21" s="5">
        <f>(((1/B12)*((1-B3)/(1-K3))*(1/(1-H12)^(0.35)))^(1-J3))*((E12^(I3+1-J3))-1)-D3</f>
        <v>0</v>
      </c>
      <c r="C21" s="2">
        <f>(((1/B12)*((1-B3)/(1-K3))*(1/(1-H12)^(0.35)))^(-J3))*(1/(1-H12)^(0.35))*((E12^(I3+1-J3))-1)-E3</f>
        <v>0</v>
      </c>
      <c r="D21" s="4">
        <f>(F12-1)^(1/(J3-1))*(((1-B3)/(1-K3))*(((1/B12)*((1-B3)/(1-K3))*((1-H12)^(-0.35)))^(J3-1))-1)^(-1/(J3-1))-E12</f>
        <v>-5.5511151231257827E-15</v>
      </c>
      <c r="E21" s="10">
        <v>0.53</v>
      </c>
      <c r="F21">
        <f>(0)*E21</f>
        <v>0</v>
      </c>
    </row>
    <row r="22" spans="1:6" x14ac:dyDescent="0.25">
      <c r="A22" s="3" t="s">
        <v>10</v>
      </c>
      <c r="B22" s="5">
        <f t="shared" ref="B22:B24" si="10">(((1/B13)*((1-B4)/(1-K4))*(1/(1-H13)^(0.35)))^(1-J4))*((E13^(I4+1-J4))-1)-D4</f>
        <v>5.5511151231257827E-16</v>
      </c>
      <c r="C22" s="2">
        <f t="shared" ref="C22:C24" si="11">(((1/B13)*((1-B4)/(1-K4))*(1/(1-H13)^(0.35)))^(-J4))*(1/(1-H13)^(0.35))*((E13^(I4+1-J4))-1)-E4</f>
        <v>1.2212453270876722E-15</v>
      </c>
      <c r="D22" s="4">
        <f t="shared" ref="D22:D24" si="12">(F13-1)^(1/(J4-1))*(((1-B4)/(1-K4))*(((1/B13)*((1-B4)/(1-K4))*((1-H13)^(-0.35)))^(J4-1))-1)^(-1/(J4-1))-E13</f>
        <v>2.2204460492503131E-15</v>
      </c>
      <c r="E22" s="9">
        <v>0.63</v>
      </c>
      <c r="F22">
        <f t="shared" ref="F22:F25" si="13">(0)*E22</f>
        <v>0</v>
      </c>
    </row>
    <row r="23" spans="1:6" x14ac:dyDescent="0.25">
      <c r="A23" t="s">
        <v>11</v>
      </c>
      <c r="B23" s="5">
        <f t="shared" si="10"/>
        <v>9.7144514654701197E-16</v>
      </c>
      <c r="C23" s="2">
        <f t="shared" si="11"/>
        <v>2.4424906541753444E-15</v>
      </c>
      <c r="D23" s="4">
        <f t="shared" si="12"/>
        <v>2.6645352591003757E-15</v>
      </c>
      <c r="E23" s="9">
        <v>0.59099999999999997</v>
      </c>
      <c r="F23">
        <f t="shared" si="13"/>
        <v>0</v>
      </c>
    </row>
    <row r="24" spans="1:6" x14ac:dyDescent="0.25">
      <c r="A24" s="3" t="s">
        <v>12</v>
      </c>
      <c r="B24" s="5">
        <f t="shared" si="10"/>
        <v>0</v>
      </c>
      <c r="C24" s="2">
        <f t="shared" si="11"/>
        <v>0</v>
      </c>
      <c r="D24" s="4">
        <f t="shared" si="12"/>
        <v>-3.1086244689504383E-15</v>
      </c>
      <c r="E24" s="13">
        <v>0.64</v>
      </c>
      <c r="F24">
        <f t="shared" si="13"/>
        <v>0</v>
      </c>
    </row>
    <row r="25" spans="1:6" x14ac:dyDescent="0.25">
      <c r="A25" t="s">
        <v>13</v>
      </c>
      <c r="B25" s="5">
        <f>(((1/B16)*((1-B7)/(1-K7))*(1/(1-H16)^(0.35)))^(1-J7))*((E16^(I7+1-J7))-1)-D7</f>
        <v>-2.3592239273284576E-16</v>
      </c>
      <c r="C25" s="2">
        <f>(((1/B16)*((1-B7)/(1-K7))*(1/(1-H16)^(0.35)))^(-J7))*(1/(1-H16)^(0.35))*((E16^(I7+1-J7))-1)-E7</f>
        <v>-5.8286708792820718E-16</v>
      </c>
      <c r="D25" s="4">
        <f>(F16-1)^(1/(J7-1))*(((1-B7)/(1-K7))*(((1/B16)*((1-B7)/(1-K7))*((1-H16)^(-0.35)))^(J7-1))-1)^(-1/(J7-1))-E16</f>
        <v>-5.3290705182007514E-15</v>
      </c>
      <c r="E25" s="9">
        <v>0.63</v>
      </c>
      <c r="F25">
        <f t="shared" si="13"/>
        <v>0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477D-FF6B-4809-B7C5-0F70EE69B55C}">
  <dimension ref="A1:J17"/>
  <sheetViews>
    <sheetView workbookViewId="0">
      <selection activeCell="K8" sqref="K8"/>
    </sheetView>
  </sheetViews>
  <sheetFormatPr baseColWidth="10" defaultRowHeight="15" x14ac:dyDescent="0.25"/>
  <sheetData>
    <row r="1" spans="1:8" x14ac:dyDescent="0.25">
      <c r="A1" s="44" t="s">
        <v>47</v>
      </c>
      <c r="B1" s="44"/>
      <c r="C1" s="44"/>
      <c r="D1" s="44"/>
      <c r="E1" s="44"/>
      <c r="F1" s="44"/>
      <c r="G1" s="44"/>
      <c r="H1" s="44"/>
    </row>
    <row r="2" spans="1:8" x14ac:dyDescent="0.25">
      <c r="A2" s="18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</row>
    <row r="3" spans="1:8" x14ac:dyDescent="0.25">
      <c r="A3" s="9" t="s">
        <v>9</v>
      </c>
      <c r="B3" s="2">
        <v>7.0000000000000007E-2</v>
      </c>
      <c r="C3" s="2">
        <v>0.24829999999999999</v>
      </c>
      <c r="D3" s="13">
        <v>0.35</v>
      </c>
      <c r="E3" s="2">
        <v>1.2573363431151243</v>
      </c>
      <c r="F3" s="2">
        <v>0.53</v>
      </c>
      <c r="G3" s="2">
        <v>0.46</v>
      </c>
      <c r="H3" s="2">
        <v>0.15</v>
      </c>
    </row>
    <row r="4" spans="1:8" x14ac:dyDescent="0.25">
      <c r="A4" s="9" t="s">
        <v>10</v>
      </c>
      <c r="B4" s="2">
        <v>0.18</v>
      </c>
      <c r="C4" s="2">
        <v>0.36</v>
      </c>
      <c r="D4" s="2">
        <v>0.33</v>
      </c>
      <c r="E4" s="2">
        <v>0.6556291390728477</v>
      </c>
      <c r="F4" s="2">
        <v>0.63</v>
      </c>
      <c r="G4" s="2">
        <v>0.71</v>
      </c>
      <c r="H4" s="2">
        <v>0.25</v>
      </c>
    </row>
    <row r="5" spans="1:8" x14ac:dyDescent="0.25">
      <c r="A5" s="9" t="s">
        <v>11</v>
      </c>
      <c r="B5" s="2">
        <v>0.1</v>
      </c>
      <c r="C5" s="2">
        <v>0.18210000000000001</v>
      </c>
      <c r="D5" s="2">
        <v>0.22700000000000001</v>
      </c>
      <c r="E5" s="2">
        <v>0.56999999999999995</v>
      </c>
      <c r="F5" s="2">
        <v>0.59099999999999997</v>
      </c>
      <c r="G5" s="2">
        <v>0.93499999999999994</v>
      </c>
      <c r="H5" s="2">
        <v>0.3</v>
      </c>
    </row>
    <row r="6" spans="1:8" x14ac:dyDescent="0.25">
      <c r="A6" s="9" t="s">
        <v>12</v>
      </c>
      <c r="B6" s="2">
        <v>0.18</v>
      </c>
      <c r="C6" s="2">
        <v>0.23</v>
      </c>
      <c r="D6" s="2">
        <v>0.26</v>
      </c>
      <c r="E6" s="2">
        <v>2.08</v>
      </c>
      <c r="F6" s="2">
        <v>0.64</v>
      </c>
      <c r="G6" s="2">
        <v>0.59</v>
      </c>
      <c r="H6" s="2">
        <v>0.2</v>
      </c>
    </row>
    <row r="12" spans="1:8" x14ac:dyDescent="0.25">
      <c r="G12">
        <f>0.506*0.725</f>
        <v>0.36685000000000001</v>
      </c>
    </row>
    <row r="13" spans="1:8" x14ac:dyDescent="0.25">
      <c r="G13">
        <f>G12/(1-G12)</f>
        <v>0.57940456447919142</v>
      </c>
    </row>
    <row r="17" spans="10:10" x14ac:dyDescent="0.25">
      <c r="J17">
        <f>400/675</f>
        <v>0.59259259259259256</v>
      </c>
    </row>
  </sheetData>
  <mergeCells count="1">
    <mergeCell ref="A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B65C-A71E-4478-8EDD-6C08DFDFE575}">
  <dimension ref="A1:G18"/>
  <sheetViews>
    <sheetView workbookViewId="0">
      <selection activeCell="J11" sqref="J11"/>
    </sheetView>
  </sheetViews>
  <sheetFormatPr baseColWidth="10" defaultRowHeight="15" x14ac:dyDescent="0.25"/>
  <sheetData>
    <row r="1" spans="1:7" ht="34.5" thickBot="1" x14ac:dyDescent="0.3">
      <c r="A1" s="31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</row>
    <row r="2" spans="1:7" ht="15.75" thickBot="1" x14ac:dyDescent="0.3">
      <c r="A2" s="32">
        <v>2022</v>
      </c>
      <c r="B2" s="29" t="s">
        <v>48</v>
      </c>
      <c r="C2" s="29"/>
      <c r="D2" s="29"/>
      <c r="E2" s="29"/>
      <c r="F2" s="36">
        <v>0.23089999999999999</v>
      </c>
      <c r="G2" s="33" t="s">
        <v>49</v>
      </c>
    </row>
    <row r="3" spans="1:7" ht="15.75" thickBot="1" x14ac:dyDescent="0.3">
      <c r="A3" s="34">
        <v>2021</v>
      </c>
      <c r="B3" s="30" t="s">
        <v>50</v>
      </c>
      <c r="C3" s="30" t="s">
        <v>51</v>
      </c>
      <c r="D3" s="30"/>
      <c r="E3" s="30" t="s">
        <v>52</v>
      </c>
      <c r="F3" s="37">
        <v>0.23549999999999999</v>
      </c>
      <c r="G3" s="35" t="s">
        <v>53</v>
      </c>
    </row>
    <row r="4" spans="1:7" ht="15.75" thickBot="1" x14ac:dyDescent="0.3">
      <c r="A4" s="32">
        <v>2020</v>
      </c>
      <c r="B4" s="29" t="s">
        <v>54</v>
      </c>
      <c r="C4" s="29" t="s">
        <v>45</v>
      </c>
      <c r="D4" s="29"/>
      <c r="E4" s="29" t="s">
        <v>55</v>
      </c>
      <c r="F4" s="36">
        <v>0.26860000000000001</v>
      </c>
      <c r="G4" s="33" t="s">
        <v>56</v>
      </c>
    </row>
    <row r="5" spans="1:7" ht="15.75" thickBot="1" x14ac:dyDescent="0.3">
      <c r="A5" s="34">
        <v>2019</v>
      </c>
      <c r="B5" s="30" t="s">
        <v>57</v>
      </c>
      <c r="C5" s="30" t="s">
        <v>58</v>
      </c>
      <c r="D5" s="30"/>
      <c r="E5" s="30" t="s">
        <v>59</v>
      </c>
      <c r="F5" s="37">
        <v>0.21149999999999999</v>
      </c>
      <c r="G5" s="35" t="s">
        <v>60</v>
      </c>
    </row>
    <row r="6" spans="1:7" ht="15.75" thickBot="1" x14ac:dyDescent="0.3">
      <c r="A6" s="32">
        <v>2018</v>
      </c>
      <c r="B6" s="29" t="s">
        <v>61</v>
      </c>
      <c r="C6" s="29" t="s">
        <v>62</v>
      </c>
      <c r="D6" s="29"/>
      <c r="E6" s="29" t="s">
        <v>63</v>
      </c>
      <c r="F6" s="36">
        <v>0.2127</v>
      </c>
      <c r="G6" s="33" t="s">
        <v>64</v>
      </c>
    </row>
    <row r="7" spans="1:7" ht="15.75" thickBot="1" x14ac:dyDescent="0.3">
      <c r="A7" s="34">
        <v>2017</v>
      </c>
      <c r="B7" s="30" t="s">
        <v>65</v>
      </c>
      <c r="C7" s="30" t="s">
        <v>66</v>
      </c>
      <c r="D7" s="30" t="s">
        <v>67</v>
      </c>
      <c r="E7" s="30" t="s">
        <v>68</v>
      </c>
      <c r="F7" s="37">
        <v>0.2109</v>
      </c>
      <c r="G7" s="35" t="s">
        <v>69</v>
      </c>
    </row>
    <row r="8" spans="1:7" ht="15.75" thickBot="1" x14ac:dyDescent="0.3">
      <c r="A8" s="32">
        <v>2016</v>
      </c>
      <c r="B8" s="29" t="s">
        <v>70</v>
      </c>
      <c r="C8" s="29" t="s">
        <v>51</v>
      </c>
      <c r="D8" s="29" t="s">
        <v>71</v>
      </c>
      <c r="E8" s="29" t="s">
        <v>72</v>
      </c>
      <c r="F8" s="36">
        <v>0.20949999999999999</v>
      </c>
      <c r="G8" s="33" t="s">
        <v>73</v>
      </c>
    </row>
    <row r="9" spans="1:7" ht="15.75" thickBot="1" x14ac:dyDescent="0.3">
      <c r="A9" s="34">
        <v>2015</v>
      </c>
      <c r="B9" s="30" t="s">
        <v>74</v>
      </c>
      <c r="C9" s="30" t="s">
        <v>75</v>
      </c>
      <c r="D9" s="30" t="s">
        <v>76</v>
      </c>
      <c r="E9" s="30" t="s">
        <v>77</v>
      </c>
      <c r="F9" s="37">
        <v>0.22320000000000001</v>
      </c>
      <c r="G9" s="35" t="s">
        <v>78</v>
      </c>
    </row>
    <row r="10" spans="1:7" ht="15.75" thickBot="1" x14ac:dyDescent="0.3">
      <c r="A10" s="32">
        <v>2014</v>
      </c>
      <c r="B10" s="29" t="s">
        <v>79</v>
      </c>
      <c r="C10" s="29" t="s">
        <v>46</v>
      </c>
      <c r="D10" s="29" t="s">
        <v>80</v>
      </c>
      <c r="E10" s="29" t="s">
        <v>81</v>
      </c>
      <c r="F10" s="36">
        <v>0.22550000000000001</v>
      </c>
      <c r="G10" s="33" t="s">
        <v>82</v>
      </c>
    </row>
    <row r="11" spans="1:7" ht="15.75" thickBot="1" x14ac:dyDescent="0.3">
      <c r="A11" s="34">
        <v>2013</v>
      </c>
      <c r="B11" s="30" t="s">
        <v>83</v>
      </c>
      <c r="C11" s="30" t="s">
        <v>84</v>
      </c>
      <c r="D11" s="30" t="s">
        <v>85</v>
      </c>
      <c r="E11" s="30" t="s">
        <v>86</v>
      </c>
      <c r="F11" s="37">
        <v>0.215</v>
      </c>
      <c r="G11" s="35" t="s">
        <v>87</v>
      </c>
    </row>
    <row r="12" spans="1:7" ht="15.75" thickBot="1" x14ac:dyDescent="0.3">
      <c r="A12" s="32">
        <v>2012</v>
      </c>
      <c r="B12" s="29" t="s">
        <v>88</v>
      </c>
      <c r="C12" s="29" t="s">
        <v>89</v>
      </c>
      <c r="D12" s="29" t="s">
        <v>90</v>
      </c>
      <c r="E12" s="29" t="s">
        <v>91</v>
      </c>
      <c r="F12" s="36">
        <v>0.2029</v>
      </c>
      <c r="G12" s="33" t="s">
        <v>92</v>
      </c>
    </row>
    <row r="13" spans="1:7" ht="15.75" thickBot="1" x14ac:dyDescent="0.3">
      <c r="A13" s="34">
        <v>2011</v>
      </c>
      <c r="B13" s="30" t="s">
        <v>93</v>
      </c>
      <c r="C13" s="30" t="s">
        <v>94</v>
      </c>
      <c r="D13" s="30" t="s">
        <v>95</v>
      </c>
      <c r="E13" s="30" t="s">
        <v>96</v>
      </c>
      <c r="F13" s="37">
        <v>0.19750000000000001</v>
      </c>
      <c r="G13" s="35" t="s">
        <v>97</v>
      </c>
    </row>
    <row r="14" spans="1:7" ht="15.75" thickBot="1" x14ac:dyDescent="0.3">
      <c r="A14" s="32">
        <v>2010</v>
      </c>
      <c r="B14" s="29" t="s">
        <v>98</v>
      </c>
      <c r="C14" s="29" t="s">
        <v>99</v>
      </c>
      <c r="D14" s="29" t="s">
        <v>100</v>
      </c>
      <c r="E14" s="29" t="s">
        <v>96</v>
      </c>
      <c r="F14" s="36">
        <v>0.20949999999999999</v>
      </c>
      <c r="G14" s="33" t="s">
        <v>101</v>
      </c>
    </row>
    <row r="15" spans="1:7" ht="15.75" thickBot="1" x14ac:dyDescent="0.3">
      <c r="A15" s="34">
        <v>2009</v>
      </c>
      <c r="B15" s="30" t="s">
        <v>102</v>
      </c>
      <c r="C15" s="30" t="s">
        <v>103</v>
      </c>
      <c r="D15" s="30" t="s">
        <v>104</v>
      </c>
      <c r="E15" s="30" t="s">
        <v>105</v>
      </c>
      <c r="F15" s="37">
        <v>0.2135</v>
      </c>
      <c r="G15" s="35" t="s">
        <v>106</v>
      </c>
    </row>
    <row r="16" spans="1:7" ht="15.75" thickBot="1" x14ac:dyDescent="0.3">
      <c r="A16" s="32">
        <v>2008</v>
      </c>
      <c r="B16" s="29" t="s">
        <v>107</v>
      </c>
      <c r="C16" s="29" t="s">
        <v>108</v>
      </c>
      <c r="D16" s="29" t="s">
        <v>109</v>
      </c>
      <c r="E16" s="29" t="s">
        <v>110</v>
      </c>
      <c r="F16" s="36">
        <v>0.1983</v>
      </c>
      <c r="G16" s="33" t="s">
        <v>111</v>
      </c>
    </row>
    <row r="17" spans="1:7" ht="15.75" thickBot="1" x14ac:dyDescent="0.3">
      <c r="A17" s="38">
        <v>2007</v>
      </c>
      <c r="B17" s="39" t="s">
        <v>112</v>
      </c>
      <c r="C17" s="39" t="s">
        <v>113</v>
      </c>
      <c r="D17" s="39" t="s">
        <v>114</v>
      </c>
      <c r="E17" s="39" t="s">
        <v>115</v>
      </c>
      <c r="F17" s="41">
        <v>0.18590000000000001</v>
      </c>
      <c r="G17" s="40" t="s">
        <v>116</v>
      </c>
    </row>
    <row r="18" spans="1:7" x14ac:dyDescent="0.25">
      <c r="F18" s="42">
        <f>AVERAGE(F6:F17)</f>
        <v>0.20870000000000002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A118-2DE3-4C7B-8B03-1CCD8E095390}">
  <dimension ref="A2:L16"/>
  <sheetViews>
    <sheetView workbookViewId="0">
      <selection activeCell="L16" sqref="L16"/>
    </sheetView>
  </sheetViews>
  <sheetFormatPr baseColWidth="10" defaultRowHeight="15" x14ac:dyDescent="0.25"/>
  <sheetData>
    <row r="2" spans="1:12" x14ac:dyDescent="0.25">
      <c r="A2" t="s">
        <v>1</v>
      </c>
      <c r="B2" t="s">
        <v>14</v>
      </c>
      <c r="C2" t="s">
        <v>15</v>
      </c>
      <c r="D2" t="s">
        <v>18</v>
      </c>
      <c r="E2" t="s">
        <v>19</v>
      </c>
      <c r="F2" t="s">
        <v>20</v>
      </c>
      <c r="G2" t="s">
        <v>21</v>
      </c>
      <c r="H2" t="s">
        <v>26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5">
      <c r="A3" t="s">
        <v>9</v>
      </c>
      <c r="B3">
        <v>2.2661294556144682</v>
      </c>
      <c r="C3">
        <v>3.5937335092348283E-2</v>
      </c>
      <c r="D3">
        <v>1.0102274978914121</v>
      </c>
      <c r="E3">
        <v>1.1998732361576503</v>
      </c>
      <c r="F3">
        <v>0.40173700678662078</v>
      </c>
      <c r="G3">
        <v>0.92614068838919628</v>
      </c>
      <c r="H3">
        <v>1.1038848596276361</v>
      </c>
      <c r="I3">
        <v>1.029771576397247</v>
      </c>
      <c r="J3">
        <v>1.0179565889722741</v>
      </c>
      <c r="K3">
        <v>1.0033531387985417</v>
      </c>
      <c r="L3">
        <v>1.0495419575666092</v>
      </c>
    </row>
    <row r="4" spans="1:12" x14ac:dyDescent="0.25">
      <c r="A4" t="s">
        <v>10</v>
      </c>
      <c r="B4">
        <v>1.6291390728476822</v>
      </c>
      <c r="C4">
        <v>0.13390375939849625</v>
      </c>
      <c r="D4">
        <v>1.0199691618012445</v>
      </c>
      <c r="E4">
        <v>4.8869182931110462</v>
      </c>
      <c r="F4">
        <v>0.43526677225590266</v>
      </c>
      <c r="G4">
        <v>0.9071305444009119</v>
      </c>
      <c r="H4">
        <v>1.072220166182094</v>
      </c>
      <c r="I4">
        <v>1.0086438217914837</v>
      </c>
      <c r="J4">
        <v>1.0232845155895005</v>
      </c>
      <c r="K4">
        <v>1.0033531387985417</v>
      </c>
      <c r="L4">
        <v>1.0353708232543444</v>
      </c>
    </row>
    <row r="5" spans="1:12" x14ac:dyDescent="0.25">
      <c r="A5" t="s">
        <v>11</v>
      </c>
      <c r="B5">
        <v>1.6272841937828917</v>
      </c>
      <c r="C5">
        <v>6.3007334963325182E-2</v>
      </c>
      <c r="D5">
        <v>1.0953919746931016</v>
      </c>
      <c r="E5">
        <v>54.166559638161409</v>
      </c>
      <c r="F5">
        <v>0.26639769372218314</v>
      </c>
      <c r="G5">
        <v>0.97716197946252459</v>
      </c>
      <c r="H5">
        <v>1.10662382612765</v>
      </c>
      <c r="I5">
        <v>1.021448472821765</v>
      </c>
      <c r="J5">
        <v>1.0578577940493776</v>
      </c>
      <c r="K5">
        <v>1.0060958899999466</v>
      </c>
      <c r="L5">
        <v>1.0179275955358686</v>
      </c>
    </row>
    <row r="6" spans="1:12" x14ac:dyDescent="0.25">
      <c r="A6" t="s">
        <v>12</v>
      </c>
      <c r="B6">
        <v>6.5600000000000005</v>
      </c>
      <c r="C6">
        <v>0.12428571428571428</v>
      </c>
      <c r="D6">
        <v>1.0148325653774659</v>
      </c>
      <c r="E6">
        <v>3.8001635891463801</v>
      </c>
      <c r="F6">
        <v>0.11004714697409494</v>
      </c>
      <c r="G6">
        <v>0.99817335699017962</v>
      </c>
      <c r="H6">
        <v>1.0624749712868027</v>
      </c>
      <c r="I6">
        <v>0.99733093119740635</v>
      </c>
      <c r="J6">
        <v>1.0264043544243358</v>
      </c>
      <c r="K6">
        <v>1.0033531387985417</v>
      </c>
      <c r="L6">
        <v>1.0344443223479458</v>
      </c>
    </row>
    <row r="7" spans="1:12" x14ac:dyDescent="0.25">
      <c r="A7" t="s">
        <v>13</v>
      </c>
      <c r="B7">
        <v>1.7599999999999998</v>
      </c>
      <c r="C7">
        <v>0.19703636363636362</v>
      </c>
      <c r="D7">
        <v>1.0074658498937648</v>
      </c>
      <c r="E7">
        <v>1.6589826599940798</v>
      </c>
      <c r="F7">
        <v>0.39399957931996044</v>
      </c>
      <c r="G7">
        <v>0.9301327588432089</v>
      </c>
      <c r="H7">
        <v>1.1554085608136497</v>
      </c>
      <c r="I7">
        <v>1.0081901949964176</v>
      </c>
      <c r="J7">
        <v>1.0832110695489614</v>
      </c>
      <c r="K7">
        <v>1.0060958899999466</v>
      </c>
      <c r="L7">
        <v>1.0515759552748831</v>
      </c>
    </row>
    <row r="11" spans="1:12" x14ac:dyDescent="0.25">
      <c r="A11" t="s">
        <v>1</v>
      </c>
      <c r="B11" t="s">
        <v>27</v>
      </c>
      <c r="C11" t="s">
        <v>28</v>
      </c>
      <c r="D11" t="s">
        <v>18</v>
      </c>
    </row>
    <row r="12" spans="1:12" x14ac:dyDescent="0.25">
      <c r="A12" t="s">
        <v>9</v>
      </c>
      <c r="B12">
        <v>1.9984014443252818E-15</v>
      </c>
      <c r="C12">
        <v>5.3290705182007514E-15</v>
      </c>
      <c r="D12">
        <v>3.3306690738754696E-15</v>
      </c>
    </row>
    <row r="13" spans="1:12" x14ac:dyDescent="0.25">
      <c r="A13" t="s">
        <v>10</v>
      </c>
      <c r="B13">
        <v>0</v>
      </c>
      <c r="C13">
        <v>0</v>
      </c>
      <c r="D13">
        <v>0</v>
      </c>
    </row>
    <row r="14" spans="1:12" x14ac:dyDescent="0.25">
      <c r="A14" t="s">
        <v>11</v>
      </c>
      <c r="B14">
        <v>-2.4980018054066022E-16</v>
      </c>
      <c r="C14">
        <v>-4.4408920985006262E-16</v>
      </c>
      <c r="D14">
        <v>0</v>
      </c>
    </row>
    <row r="15" spans="1:12" x14ac:dyDescent="0.25">
      <c r="A15" t="s">
        <v>12</v>
      </c>
      <c r="B15">
        <v>-1.3211653993039363E-14</v>
      </c>
      <c r="C15">
        <v>-1.056932319443149E-13</v>
      </c>
      <c r="D15">
        <v>-6.6613381477509392E-15</v>
      </c>
    </row>
    <row r="16" spans="1:12" x14ac:dyDescent="0.25">
      <c r="A16" t="s">
        <v>13</v>
      </c>
      <c r="B16">
        <v>1.9428902930940239E-16</v>
      </c>
      <c r="C16">
        <v>3.6082248300317588E-16</v>
      </c>
      <c r="D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E07D-5514-4B21-98CF-DBD930654854}">
  <dimension ref="A1:D6"/>
  <sheetViews>
    <sheetView workbookViewId="0">
      <selection activeCell="B2" sqref="B2"/>
    </sheetView>
  </sheetViews>
  <sheetFormatPr baseColWidth="10" defaultRowHeight="15" x14ac:dyDescent="0.25"/>
  <cols>
    <col min="2" max="2" width="15.140625" bestFit="1" customWidth="1"/>
  </cols>
  <sheetData>
    <row r="1" spans="1:4" x14ac:dyDescent="0.25">
      <c r="A1" t="s">
        <v>17</v>
      </c>
      <c r="B1" t="s">
        <v>37</v>
      </c>
      <c r="C1" t="s">
        <v>36</v>
      </c>
      <c r="D1" s="8" t="s">
        <v>7</v>
      </c>
    </row>
    <row r="2" spans="1:4" x14ac:dyDescent="0.25">
      <c r="A2" s="12">
        <f>1.09/(1.09-1)</f>
        <v>12.111111111111102</v>
      </c>
      <c r="B2" s="19">
        <f>A2/(A2-1)</f>
        <v>1.0900000000000001</v>
      </c>
      <c r="C2" s="19">
        <f>targets!J3/(targets!J3-1)</f>
        <v>2.4285714285714288</v>
      </c>
      <c r="D2" s="10">
        <v>0.46</v>
      </c>
    </row>
    <row r="3" spans="1:4" x14ac:dyDescent="0.25">
      <c r="A3" s="12">
        <f>1.09/(1.09-1)</f>
        <v>12.111111111111102</v>
      </c>
      <c r="B3" s="19">
        <f t="shared" ref="B3:B6" si="0">A3/(A3-1)</f>
        <v>1.0900000000000001</v>
      </c>
      <c r="C3" s="19">
        <f>targets!J4/(targets!J4-1)</f>
        <v>1.625</v>
      </c>
      <c r="D3" s="9">
        <v>0.69799999999999995</v>
      </c>
    </row>
    <row r="4" spans="1:4" x14ac:dyDescent="0.25">
      <c r="A4" s="14">
        <v>6</v>
      </c>
      <c r="B4" s="19">
        <f t="shared" si="0"/>
        <v>1.2</v>
      </c>
      <c r="C4" s="19">
        <f>targets!J5/(targets!J5-1)</f>
        <v>1.2857142857142858</v>
      </c>
      <c r="D4" s="9">
        <v>0.93499999999999994</v>
      </c>
    </row>
    <row r="5" spans="1:4" x14ac:dyDescent="0.25">
      <c r="A5" s="12">
        <f>A3</f>
        <v>12.111111111111102</v>
      </c>
      <c r="B5" s="19">
        <f t="shared" si="0"/>
        <v>1.0900000000000001</v>
      </c>
      <c r="C5" s="19">
        <f>targets!J6/(targets!J6-1)</f>
        <v>1.7142857142857144</v>
      </c>
      <c r="D5" s="9">
        <v>0.59</v>
      </c>
    </row>
    <row r="6" spans="1:4" x14ac:dyDescent="0.25">
      <c r="A6" s="14">
        <v>6</v>
      </c>
      <c r="B6" s="19">
        <f t="shared" si="0"/>
        <v>1.2</v>
      </c>
      <c r="C6" s="19">
        <f>targets!J7/(targets!J7-1)</f>
        <v>1.8333333333333333</v>
      </c>
      <c r="D6" s="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474A-3E8C-4C50-B90B-A2FBB06E94CC}">
  <dimension ref="A1:AV25"/>
  <sheetViews>
    <sheetView zoomScale="96" zoomScaleNormal="96" workbookViewId="0">
      <selection activeCell="E3" sqref="E3"/>
    </sheetView>
  </sheetViews>
  <sheetFormatPr baseColWidth="10" defaultRowHeight="15" x14ac:dyDescent="0.25"/>
  <cols>
    <col min="2" max="2" width="12.5703125" bestFit="1" customWidth="1"/>
    <col min="5" max="5" width="14.5703125" bestFit="1" customWidth="1"/>
    <col min="6" max="6" width="13.140625" bestFit="1" customWidth="1"/>
    <col min="7" max="7" width="13.5703125" bestFit="1" customWidth="1"/>
    <col min="8" max="8" width="15" customWidth="1"/>
  </cols>
  <sheetData>
    <row r="1" spans="1:48" x14ac:dyDescent="0.25">
      <c r="A1" s="44" t="s">
        <v>0</v>
      </c>
      <c r="B1" s="44"/>
      <c r="C1" s="44"/>
      <c r="D1" s="44"/>
      <c r="E1" s="44"/>
      <c r="F1" s="44"/>
      <c r="G1" s="44"/>
      <c r="H1" s="44"/>
      <c r="I1" s="6"/>
      <c r="J1" s="7"/>
    </row>
    <row r="2" spans="1:48" x14ac:dyDescent="0.25">
      <c r="A2" s="1" t="s">
        <v>1</v>
      </c>
      <c r="B2" s="1" t="s">
        <v>2</v>
      </c>
      <c r="C2" s="8" t="s">
        <v>3</v>
      </c>
      <c r="D2" s="8" t="s">
        <v>4</v>
      </c>
      <c r="E2" s="1" t="s">
        <v>5</v>
      </c>
      <c r="F2" s="8" t="s">
        <v>6</v>
      </c>
      <c r="G2" s="8" t="s">
        <v>7</v>
      </c>
      <c r="H2" s="1" t="s">
        <v>8</v>
      </c>
      <c r="I2" s="1" t="s">
        <v>16</v>
      </c>
      <c r="J2" s="8" t="s">
        <v>17</v>
      </c>
      <c r="K2" s="8" t="s">
        <v>31</v>
      </c>
      <c r="L2" s="8" t="s">
        <v>33</v>
      </c>
    </row>
    <row r="3" spans="1:48" s="3" customFormat="1" x14ac:dyDescent="0.25">
      <c r="A3" t="s">
        <v>9</v>
      </c>
      <c r="B3" s="9">
        <v>7.0000000000000007E-2</v>
      </c>
      <c r="C3" s="10">
        <v>0.24829999999999999</v>
      </c>
      <c r="D3" s="10">
        <v>0.51600000000000001</v>
      </c>
      <c r="E3" s="10">
        <v>1.2573363431151243</v>
      </c>
      <c r="F3" s="10">
        <f>E21+F21</f>
        <v>0.77380000000000004</v>
      </c>
      <c r="G3" s="10">
        <v>0.46</v>
      </c>
      <c r="H3" s="11">
        <v>0.15</v>
      </c>
      <c r="I3" s="10">
        <f>J3+4</f>
        <v>6</v>
      </c>
      <c r="J3" s="12">
        <v>2</v>
      </c>
      <c r="K3" s="3">
        <v>0</v>
      </c>
      <c r="L3" s="2">
        <f>C3+F3+D12</f>
        <v>1.0221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3" customFormat="1" x14ac:dyDescent="0.25">
      <c r="A4" t="s">
        <v>10</v>
      </c>
      <c r="B4" s="9">
        <v>0.18</v>
      </c>
      <c r="C4" s="13">
        <v>0.3594</v>
      </c>
      <c r="D4" s="13">
        <v>0.33</v>
      </c>
      <c r="E4" s="13">
        <v>0.6556291390728477</v>
      </c>
      <c r="F4" s="10">
        <f>E22+F22</f>
        <v>1.0697399999999999</v>
      </c>
      <c r="G4" s="9">
        <v>0.69799999999999995</v>
      </c>
      <c r="H4" s="9">
        <v>0.25</v>
      </c>
      <c r="I4" s="10">
        <f t="shared" ref="I4:I7" si="0">J4+4</f>
        <v>16.1111111111111</v>
      </c>
      <c r="J4" s="12">
        <f>1.09/(1.09-1)</f>
        <v>12.111111111111102</v>
      </c>
      <c r="K4" s="3">
        <v>0</v>
      </c>
      <c r="L4" s="2">
        <f t="shared" ref="L4:L7" si="1">C4+F4+D13</f>
        <v>1.4291399999999999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t="s">
        <v>11</v>
      </c>
      <c r="B5" s="9">
        <v>0.1</v>
      </c>
      <c r="C5" s="13">
        <v>0.18210000000000001</v>
      </c>
      <c r="D5" s="13">
        <v>0.22700000000000001</v>
      </c>
      <c r="E5" s="13">
        <v>0.41043723554301825</v>
      </c>
      <c r="F5" s="10">
        <f>E23+F23</f>
        <v>1.1435849999999999</v>
      </c>
      <c r="G5" s="9">
        <v>0.93499999999999994</v>
      </c>
      <c r="H5" s="9">
        <v>0.3</v>
      </c>
      <c r="I5" s="10">
        <f t="shared" si="0"/>
        <v>10</v>
      </c>
      <c r="J5" s="14">
        <v>6</v>
      </c>
      <c r="K5" s="3">
        <v>0</v>
      </c>
      <c r="L5" s="2">
        <f t="shared" si="1"/>
        <v>1.3256849999999998</v>
      </c>
    </row>
    <row r="6" spans="1:48" s="3" customFormat="1" x14ac:dyDescent="0.25">
      <c r="A6" t="s">
        <v>12</v>
      </c>
      <c r="B6" s="9">
        <v>0.18</v>
      </c>
      <c r="C6" s="13">
        <v>0.23</v>
      </c>
      <c r="D6" s="17">
        <v>0.24</v>
      </c>
      <c r="E6" s="13">
        <v>2.08</v>
      </c>
      <c r="F6" s="10">
        <f>E24+F24</f>
        <v>1.0811999999999999</v>
      </c>
      <c r="G6" s="9">
        <v>0.59</v>
      </c>
      <c r="H6" s="9">
        <v>0.2</v>
      </c>
      <c r="I6" s="10">
        <f t="shared" si="0"/>
        <v>16.1111111111111</v>
      </c>
      <c r="J6" s="12">
        <f>J4</f>
        <v>12.111111111111102</v>
      </c>
      <c r="K6" s="3">
        <v>0</v>
      </c>
      <c r="L6" s="2">
        <f t="shared" si="1"/>
        <v>1.3111999999999999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t="s">
        <v>13</v>
      </c>
      <c r="B7" s="9">
        <v>0.2</v>
      </c>
      <c r="C7" s="13">
        <v>0.44869999999999999</v>
      </c>
      <c r="D7" s="17">
        <v>0.09</v>
      </c>
      <c r="E7" s="13">
        <v>0.22</v>
      </c>
      <c r="F7" s="10">
        <f>E25+F25</f>
        <v>0.76200000000000001</v>
      </c>
      <c r="G7" s="9">
        <v>0.2</v>
      </c>
      <c r="H7" s="9">
        <v>0.1</v>
      </c>
      <c r="I7" s="10">
        <f t="shared" si="0"/>
        <v>10</v>
      </c>
      <c r="J7" s="14">
        <v>6</v>
      </c>
      <c r="K7" s="3">
        <v>0</v>
      </c>
      <c r="L7" s="2">
        <f t="shared" si="1"/>
        <v>1.2107000000000001</v>
      </c>
    </row>
    <row r="11" spans="1:48" x14ac:dyDescent="0.25">
      <c r="A11" s="1" t="s">
        <v>1</v>
      </c>
      <c r="B11" t="s">
        <v>14</v>
      </c>
      <c r="C11" t="s">
        <v>15</v>
      </c>
      <c r="D11" t="s">
        <v>30</v>
      </c>
      <c r="E11" t="s">
        <v>18</v>
      </c>
      <c r="F11" t="s">
        <v>19</v>
      </c>
      <c r="G11" t="s">
        <v>20</v>
      </c>
      <c r="H11" t="s">
        <v>21</v>
      </c>
      <c r="I11" t="s">
        <v>26</v>
      </c>
      <c r="J11" t="s">
        <v>22</v>
      </c>
      <c r="K11" t="s">
        <v>23</v>
      </c>
      <c r="L11" t="s">
        <v>24</v>
      </c>
      <c r="M11" t="s">
        <v>25</v>
      </c>
      <c r="N11" t="s">
        <v>29</v>
      </c>
    </row>
    <row r="12" spans="1:48" x14ac:dyDescent="0.25">
      <c r="A12" t="s">
        <v>9</v>
      </c>
      <c r="B12" s="2">
        <f>((1-B3)/(1-K3))*(E3/D3)</f>
        <v>2.2661294556144682</v>
      </c>
      <c r="C12" s="2">
        <f>B3*(F3+C3+D12)/(1+D3)</f>
        <v>4.7194591029023757E-2</v>
      </c>
      <c r="D12">
        <f>K3*(F3+C3)*(D3/(D3+1-K3*D3))</f>
        <v>0</v>
      </c>
      <c r="E12" s="4">
        <f>(1-G3)^(-1/I3)</f>
        <v>1.1081563515798643</v>
      </c>
      <c r="F12" s="15">
        <f>1+(E12^(J3-1))*(((1-B3)/(1-K3))*(((E12^(I3+1-J3))-1)/D3)-1)</f>
        <v>1.2322250733289521</v>
      </c>
      <c r="G12">
        <f>(1/E3)*(D3^(J3/(J3-1)))*((E12^(I3+1-J3))-1)^(1/(1-J3))</f>
        <v>0.31553956358510377</v>
      </c>
      <c r="H12">
        <f>1-(G12^(1/0.35))</f>
        <v>0.96295537510912255</v>
      </c>
      <c r="I12">
        <f>J12*K12*L12*M12*N12</f>
        <v>0.97084381793165342</v>
      </c>
      <c r="J12">
        <f>((C3-C12)/(C3+F3+D12))^(1/I3)</f>
        <v>0.7626437706012037</v>
      </c>
      <c r="K12">
        <f>((1+D3)/D3)^(1/I3)</f>
        <v>1.1967632650455593</v>
      </c>
      <c r="L12">
        <f>(I3/(I3+1-J3))^(1/I3)</f>
        <v>1.0308533208864445</v>
      </c>
      <c r="M12">
        <f>(J3/(F12*(1-K3)))^(1/I3)</f>
        <v>1.0840683347386131</v>
      </c>
      <c r="N12">
        <f>((1-E12^(J3-1-I3))/E12^(-I3))^(1/I3)</f>
        <v>0.95184418041159047</v>
      </c>
    </row>
    <row r="13" spans="1:48" x14ac:dyDescent="0.25">
      <c r="A13" t="s">
        <v>10</v>
      </c>
      <c r="B13" s="2">
        <f t="shared" ref="B13:B16" si="2">((1-B4)/(1-K4))*(E4/D4)</f>
        <v>1.6291390728476822</v>
      </c>
      <c r="C13" s="2">
        <f t="shared" ref="C13:C16" si="3">B4*(F4+C4+D13)/(1+D4)</f>
        <v>0.19341744360902252</v>
      </c>
      <c r="D13">
        <f t="shared" ref="D13:D16" si="4">K4*(F4+C4)*(D4/(D4+1-K4*D4))</f>
        <v>0</v>
      </c>
      <c r="E13" s="4">
        <f>(1-G4)^(-1/I4)</f>
        <v>1.0771481282813951</v>
      </c>
      <c r="F13" s="15">
        <f t="shared" ref="F13:F16" si="5">1+(E13^(J4-1))*(((1-B4)/(1-K4))*(((E13^(I4+1-J4))-1)/D4)-1)</f>
        <v>1.2700508466490261</v>
      </c>
      <c r="G13">
        <f>(1/E4)*(D4^(J4/(J4-1)))*((E13^(I4+1-J4))-1)^(1/(1-J4))</f>
        <v>0.48947460715441227</v>
      </c>
      <c r="H13">
        <f t="shared" ref="H13:H16" si="6">1-(G13^(1/0.35))</f>
        <v>0.87012822942334733</v>
      </c>
      <c r="I13">
        <f t="shared" ref="I13:I16" si="7">J13*K13*L13*M13*N13</f>
        <v>1.1819583458176397</v>
      </c>
      <c r="J13">
        <f t="shared" ref="J13:J16" si="8">((C4-C13)/(C4+F4+D13))^(1/I4)</f>
        <v>0.87491276349726854</v>
      </c>
      <c r="K13">
        <f>((1+D4)/D4)^(1/I4)</f>
        <v>1.0903669643716813</v>
      </c>
      <c r="L13">
        <f>(I4/(I4+1-J4))^(1/I4)</f>
        <v>1.0753273342789151</v>
      </c>
      <c r="M13">
        <f t="shared" ref="M13:M16" si="9">(J4/(F13*(1-K4)))^(1/I4)</f>
        <v>1.150238873238812</v>
      </c>
      <c r="N13">
        <f>((1-E13^(J4-1-I4))/E13^(-I4))^(1/I4)</f>
        <v>1.0016961582028523</v>
      </c>
    </row>
    <row r="14" spans="1:48" x14ac:dyDescent="0.25">
      <c r="A14" t="s">
        <v>11</v>
      </c>
      <c r="B14" s="2">
        <f t="shared" si="2"/>
        <v>1.6272841937828917</v>
      </c>
      <c r="C14" s="2">
        <f t="shared" si="3"/>
        <v>0.10804278728606355</v>
      </c>
      <c r="D14">
        <f t="shared" si="4"/>
        <v>0</v>
      </c>
      <c r="E14" s="4">
        <f>(1-G5)^(-1/I5)</f>
        <v>1.3143428421504784</v>
      </c>
      <c r="F14" s="15">
        <f t="shared" si="5"/>
        <v>42.52289057330028</v>
      </c>
      <c r="G14">
        <f>(1/E5)*(D5^(J5/(J5-1)))*((E14^(I5+1-J5))-1)^(1/(1-J5))</f>
        <v>0.33177116701630172</v>
      </c>
      <c r="H14">
        <f t="shared" si="6"/>
        <v>0.95724690655023359</v>
      </c>
      <c r="I14">
        <f t="shared" si="7"/>
        <v>0.99764853388146846</v>
      </c>
      <c r="J14">
        <f t="shared" si="8"/>
        <v>0.74939829732964536</v>
      </c>
      <c r="K14">
        <f>((1+D5)/D5)^(1/I5)</f>
        <v>1.1838096355183048</v>
      </c>
      <c r="L14">
        <f>(I5/(I5+1-J5))^(1/I5)</f>
        <v>1.0717734625362931</v>
      </c>
      <c r="M14">
        <f t="shared" si="9"/>
        <v>0.82215338108122005</v>
      </c>
      <c r="N14">
        <f>((1-E14^(J5-1-I5))/E14^(-I5))^(1/I5)</f>
        <v>1.2762247108218532</v>
      </c>
    </row>
    <row r="15" spans="1:48" x14ac:dyDescent="0.25">
      <c r="A15" t="s">
        <v>12</v>
      </c>
      <c r="B15" s="2">
        <f t="shared" si="2"/>
        <v>7.1066666666666682</v>
      </c>
      <c r="C15" s="2">
        <f t="shared" si="3"/>
        <v>0.19033548387096771</v>
      </c>
      <c r="D15">
        <f t="shared" si="4"/>
        <v>0</v>
      </c>
      <c r="E15" s="4">
        <f>(1-G6)^(-1/I6)</f>
        <v>1.0569005050798399</v>
      </c>
      <c r="F15" s="15">
        <f t="shared" si="5"/>
        <v>1.164872338169423</v>
      </c>
      <c r="G15">
        <f>(1/E6)*(D6^(J6/(J6-1)))*((E15^(I6+1-J6))-1)^(1/(1-J6))</f>
        <v>0.11247432669605283</v>
      </c>
      <c r="H15" s="16">
        <f t="shared" si="6"/>
        <v>0.99805587580218602</v>
      </c>
      <c r="I15">
        <f t="shared" si="7"/>
        <v>1.0724692904925239</v>
      </c>
      <c r="J15">
        <f t="shared" si="8"/>
        <v>0.8048235626138498</v>
      </c>
      <c r="K15">
        <f>((1+D6)/D6)^(1/I6)</f>
        <v>1.1073074819951316</v>
      </c>
      <c r="L15">
        <f>(I6/(I6+1-J6))^(1/I6)</f>
        <v>1.0753273342789151</v>
      </c>
      <c r="M15">
        <f t="shared" si="9"/>
        <v>1.1564271575789071</v>
      </c>
      <c r="N15">
        <f>((1-E15^(J6-1-I6))/E15^(-I6))^(1/I6)</f>
        <v>0.96773618589949517</v>
      </c>
    </row>
    <row r="16" spans="1:48" x14ac:dyDescent="0.25">
      <c r="A16" t="s">
        <v>13</v>
      </c>
      <c r="B16" s="2">
        <f t="shared" si="2"/>
        <v>1.9555555555555557</v>
      </c>
      <c r="C16" s="2">
        <f t="shared" si="3"/>
        <v>0.22214678899082568</v>
      </c>
      <c r="D16">
        <f t="shared" si="4"/>
        <v>0</v>
      </c>
      <c r="E16" s="4">
        <f>(1-G7)^(-1/I7)</f>
        <v>1.0225651825635729</v>
      </c>
      <c r="F16" s="15">
        <f t="shared" si="5"/>
        <v>1.0549972223621493</v>
      </c>
      <c r="G16">
        <f>(1/E7)*(D7^(J7/(J7-1)))*((E16^(I7+1-J7))-1)^(1/(1-J7))</f>
        <v>0.38749572341240535</v>
      </c>
      <c r="H16">
        <f t="shared" si="6"/>
        <v>0.93337767976180741</v>
      </c>
      <c r="I16">
        <f t="shared" si="7"/>
        <v>1.1302407692172436</v>
      </c>
      <c r="J16">
        <f t="shared" si="8"/>
        <v>0.84569423088690854</v>
      </c>
      <c r="K16">
        <f>((1+D7)/D7)^(1/I7)</f>
        <v>1.2832710557785441</v>
      </c>
      <c r="L16">
        <f>(I7/(I7+1-J7))^(1/I7)</f>
        <v>1.0717734625362931</v>
      </c>
      <c r="M16">
        <f t="shared" si="9"/>
        <v>1.1898439136416719</v>
      </c>
      <c r="N16">
        <f>((1-E16^(J7-1-I7))/E16^(-I7))^(1/I7)</f>
        <v>0.81666926048848798</v>
      </c>
    </row>
    <row r="20" spans="1:6" x14ac:dyDescent="0.25">
      <c r="A20" s="1" t="s">
        <v>1</v>
      </c>
      <c r="B20" t="s">
        <v>27</v>
      </c>
      <c r="C20" t="s">
        <v>28</v>
      </c>
      <c r="D20" t="s">
        <v>32</v>
      </c>
      <c r="E20" s="8" t="s">
        <v>35</v>
      </c>
      <c r="F20" s="8" t="s">
        <v>34</v>
      </c>
    </row>
    <row r="21" spans="1:6" x14ac:dyDescent="0.25">
      <c r="A21" s="3" t="s">
        <v>9</v>
      </c>
      <c r="B21" s="5">
        <f>(((1/B12)*((1-B3)/(1-K3))*(1/(1-H12)^(0.35)))^(1-J3))*((E12^(I3+1-J3))-1)-D3</f>
        <v>0</v>
      </c>
      <c r="C21" s="2">
        <f>(((1/B12)*((1-B3)/(1-K3))*(1/(1-H12)^(0.35)))^(-J3))*(1/(1-H12)^(0.35))*((E12^(I3+1-J3))-1)-E3</f>
        <v>0</v>
      </c>
      <c r="D21" s="4">
        <f>(F12-1)^(1/(J3-1))*(((1-B3)/(1-K3))*(((1/B12)*((1-B3)/(1-K3))*((1-H12)^(-0.35)))^(J3-1))-1)^(-1/(J3-1))-E12</f>
        <v>0</v>
      </c>
      <c r="E21" s="10">
        <v>0.53</v>
      </c>
      <c r="F21">
        <f>(G3)*E21</f>
        <v>0.24380000000000002</v>
      </c>
    </row>
    <row r="22" spans="1:6" x14ac:dyDescent="0.25">
      <c r="A22" s="3" t="s">
        <v>10</v>
      </c>
      <c r="B22" s="5">
        <f t="shared" ref="B22:B25" si="10">(((1/B13)*((1-B4)/(1-K4))*(1/(1-H13)^(0.35)))^(1-J4))*((E13^(I4+1-J4))-1)-D4</f>
        <v>0</v>
      </c>
      <c r="C22" s="2">
        <f t="shared" ref="C22:C25" si="11">(((1/B13)*((1-B4)/(1-K4))*(1/(1-H13)^(0.35)))^(-J4))*(1/(1-H13)^(0.35))*((E13^(I4+1-J4))-1)-E4</f>
        <v>0</v>
      </c>
      <c r="D22" s="4">
        <f t="shared" ref="D22:D25" si="12">(F13-1)^(1/(J4-1))*(((1-B4)/(1-K4))*(((1/B13)*((1-B4)/(1-K4))*((1-H13)^(-0.35)))^(J4-1))-1)^(-1/(J4-1))-E13</f>
        <v>0</v>
      </c>
      <c r="E22" s="18">
        <v>0.63</v>
      </c>
      <c r="F22">
        <f t="shared" ref="F22:F25" si="13">(G4)*E22</f>
        <v>0.43973999999999996</v>
      </c>
    </row>
    <row r="23" spans="1:6" x14ac:dyDescent="0.25">
      <c r="A23" t="s">
        <v>11</v>
      </c>
      <c r="B23" s="5">
        <f t="shared" si="10"/>
        <v>-3.0531133177191805E-16</v>
      </c>
      <c r="C23" s="2">
        <f t="shared" si="11"/>
        <v>-6.106226635438361E-16</v>
      </c>
      <c r="D23" s="4">
        <f t="shared" si="12"/>
        <v>0</v>
      </c>
      <c r="E23" s="9">
        <v>0.59099999999999997</v>
      </c>
      <c r="F23">
        <f t="shared" si="13"/>
        <v>0.55258499999999999</v>
      </c>
    </row>
    <row r="24" spans="1:6" x14ac:dyDescent="0.25">
      <c r="A24" s="3" t="s">
        <v>12</v>
      </c>
      <c r="B24" s="5">
        <f t="shared" si="10"/>
        <v>-2.5701663020072374E-14</v>
      </c>
      <c r="C24" s="2">
        <f t="shared" si="11"/>
        <v>-2.2248869413488137E-13</v>
      </c>
      <c r="D24" s="4">
        <f t="shared" si="12"/>
        <v>-1.2456702336294256E-13</v>
      </c>
      <c r="E24" s="17">
        <v>0.68</v>
      </c>
      <c r="F24">
        <f t="shared" si="13"/>
        <v>0.4012</v>
      </c>
    </row>
    <row r="25" spans="1:6" x14ac:dyDescent="0.25">
      <c r="A25" t="s">
        <v>13</v>
      </c>
      <c r="B25" s="5">
        <f t="shared" si="10"/>
        <v>0</v>
      </c>
      <c r="C25" s="2">
        <f t="shared" si="11"/>
        <v>0</v>
      </c>
      <c r="D25" s="4">
        <f t="shared" si="12"/>
        <v>2.886579864025407E-15</v>
      </c>
      <c r="E25" s="9">
        <v>0.63500000000000001</v>
      </c>
      <c r="F25">
        <f t="shared" si="13"/>
        <v>0.127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1291C850661246B16DB566EBD28676" ma:contentTypeVersion="9" ma:contentTypeDescription="Crear nuevo documento." ma:contentTypeScope="" ma:versionID="360cf77e816a3b4acaebf48913430c7b">
  <xsd:schema xmlns:xsd="http://www.w3.org/2001/XMLSchema" xmlns:xs="http://www.w3.org/2001/XMLSchema" xmlns:p="http://schemas.microsoft.com/office/2006/metadata/properties" xmlns:ns3="8a2241db-a948-4e09-88c6-322e665fae47" xmlns:ns4="1d166257-a975-40a6-a2a6-cf5452c1c336" targetNamespace="http://schemas.microsoft.com/office/2006/metadata/properties" ma:root="true" ma:fieldsID="2c2aee9366a34161974c5e59b5267ff6" ns3:_="" ns4:_="">
    <xsd:import namespace="8a2241db-a948-4e09-88c6-322e665fae47"/>
    <xsd:import namespace="1d166257-a975-40a6-a2a6-cf5452c1c3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2241db-a948-4e09-88c6-322e665fae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66257-a975-40a6-a2a6-cf5452c1c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B0414B-9E7A-4452-ABF7-F3889C2D949E}">
  <ds:schemaRefs>
    <ds:schemaRef ds:uri="http://purl.org/dc/elements/1.1/"/>
    <ds:schemaRef ds:uri="http://schemas.microsoft.com/office/2006/metadata/properties"/>
    <ds:schemaRef ds:uri="1d166257-a975-40a6-a2a6-cf5452c1c336"/>
    <ds:schemaRef ds:uri="8a2241db-a948-4e09-88c6-322e665fae4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261C15-A779-41F3-92AB-4C39C32010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2241db-a948-4e09-88c6-322e665fae47"/>
    <ds:schemaRef ds:uri="1d166257-a975-40a6-a2a6-cf5452c1c3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7D946-EB0A-4303-8BA0-9438B2E473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targets</vt:lpstr>
      <vt:lpstr>fuentes</vt:lpstr>
      <vt:lpstr>Hoja2</vt:lpstr>
      <vt:lpstr>params</vt:lpstr>
      <vt:lpstr>epsilon</vt:lpstr>
      <vt:lpstr>targets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richard asto cabezas</cp:lastModifiedBy>
  <dcterms:created xsi:type="dcterms:W3CDTF">2023-04-02T22:40:27Z</dcterms:created>
  <dcterms:modified xsi:type="dcterms:W3CDTF">2023-09-06T16:28:13Z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0x0101003B1291C850661246B16DB566EBD28676</vt:lpwstr>
  </property>
</Properties>
</file>