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ok/Documents/VS Code/Yoga Studio Forecasting/"/>
    </mc:Choice>
  </mc:AlternateContent>
  <xr:revisionPtr revIDLastSave="0" documentId="13_ncr:1_{927D22CB-D490-624B-87A2-A596350C70B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Inputs" sheetId="1" r:id="rId1"/>
    <sheet name="5 Year Cash Flow" sheetId="3" r:id="rId2"/>
    <sheet name="Carrying Capacit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76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J64" i="3"/>
  <c r="H64" i="3"/>
  <c r="F64" i="3"/>
  <c r="B64" i="3"/>
  <c r="F2" i="4" l="1"/>
  <c r="F4" i="4" s="1"/>
  <c r="E2" i="4"/>
  <c r="D2" i="4"/>
  <c r="A2" i="4"/>
  <c r="E4" i="4"/>
  <c r="D4" i="4"/>
  <c r="D30" i="3"/>
  <c r="D42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Y49" i="1" s="1"/>
  <c r="H50" i="3" s="1"/>
  <c r="W39" i="1"/>
  <c r="W40" i="1"/>
  <c r="W41" i="1"/>
  <c r="W42" i="1"/>
  <c r="W43" i="1"/>
  <c r="W44" i="1"/>
  <c r="W45" i="1"/>
  <c r="W46" i="1"/>
  <c r="W47" i="1"/>
  <c r="W48" i="1"/>
  <c r="W49" i="1"/>
  <c r="W50" i="1"/>
  <c r="Y61" i="1" s="1"/>
  <c r="J50" i="3" s="1"/>
  <c r="W51" i="1"/>
  <c r="W52" i="1"/>
  <c r="W53" i="1"/>
  <c r="W54" i="1"/>
  <c r="W55" i="1"/>
  <c r="W56" i="1"/>
  <c r="W57" i="1"/>
  <c r="W58" i="1"/>
  <c r="W59" i="1"/>
  <c r="W60" i="1"/>
  <c r="W61" i="1"/>
  <c r="W2" i="1"/>
  <c r="B38" i="3"/>
  <c r="B55" i="3"/>
  <c r="D55" i="3" s="1"/>
  <c r="F55" i="3" s="1"/>
  <c r="H55" i="3" s="1"/>
  <c r="J55" i="3" s="1"/>
  <c r="B5" i="1"/>
  <c r="B56" i="3"/>
  <c r="L56" i="3" s="1"/>
  <c r="B47" i="3"/>
  <c r="D47" i="3" s="1"/>
  <c r="F47" i="3" s="1"/>
  <c r="H47" i="3" s="1"/>
  <c r="J47" i="3" s="1"/>
  <c r="J42" i="3"/>
  <c r="H42" i="3"/>
  <c r="F42" i="3"/>
  <c r="B42" i="3"/>
  <c r="B48" i="3"/>
  <c r="L48" i="3" s="1"/>
  <c r="L62" i="3"/>
  <c r="J56" i="3"/>
  <c r="H56" i="3"/>
  <c r="F56" i="3"/>
  <c r="D56" i="3"/>
  <c r="L54" i="3"/>
  <c r="L53" i="3"/>
  <c r="L52" i="3"/>
  <c r="L51" i="3"/>
  <c r="D49" i="3"/>
  <c r="F49" i="3" s="1"/>
  <c r="H49" i="3" s="1"/>
  <c r="J49" i="3" s="1"/>
  <c r="L46" i="3"/>
  <c r="L45" i="3"/>
  <c r="L44" i="3"/>
  <c r="L43" i="3"/>
  <c r="L41" i="3"/>
  <c r="L40" i="3"/>
  <c r="L39" i="3"/>
  <c r="L37" i="3"/>
  <c r="L36" i="3"/>
  <c r="L34" i="3"/>
  <c r="L33" i="3"/>
  <c r="L32" i="3"/>
  <c r="L31" i="3"/>
  <c r="J27" i="3"/>
  <c r="H27" i="3"/>
  <c r="F27" i="3"/>
  <c r="D27" i="3"/>
  <c r="B27" i="3"/>
  <c r="L26" i="3"/>
  <c r="L25" i="3"/>
  <c r="L24" i="3"/>
  <c r="L23" i="3"/>
  <c r="L22" i="3"/>
  <c r="L17" i="3"/>
  <c r="L16" i="3"/>
  <c r="L15" i="3"/>
  <c r="L14" i="3"/>
  <c r="L13" i="3"/>
  <c r="H31" i="1"/>
  <c r="O53" i="1"/>
  <c r="O54" i="1"/>
  <c r="O55" i="1"/>
  <c r="O56" i="1"/>
  <c r="O57" i="1"/>
  <c r="O58" i="1"/>
  <c r="O59" i="1"/>
  <c r="O60" i="1"/>
  <c r="O61" i="1"/>
  <c r="O52" i="1"/>
  <c r="O42" i="1"/>
  <c r="O43" i="1"/>
  <c r="O44" i="1"/>
  <c r="O45" i="1"/>
  <c r="O46" i="1"/>
  <c r="O47" i="1"/>
  <c r="O48" i="1"/>
  <c r="O49" i="1"/>
  <c r="O50" i="1"/>
  <c r="O51" i="1"/>
  <c r="O41" i="1"/>
  <c r="O27" i="1"/>
  <c r="O28" i="1"/>
  <c r="O29" i="1"/>
  <c r="O30" i="1"/>
  <c r="O31" i="1"/>
  <c r="O32" i="1"/>
  <c r="O33" i="1"/>
  <c r="O34" i="1"/>
  <c r="O35" i="1"/>
  <c r="O36" i="1"/>
  <c r="O37" i="1"/>
  <c r="B6" i="1" s="1"/>
  <c r="B23" i="1" s="1"/>
  <c r="O38" i="1"/>
  <c r="O39" i="1"/>
  <c r="O40" i="1"/>
  <c r="O26" i="1"/>
  <c r="B10" i="1"/>
  <c r="E19" i="1"/>
  <c r="M2" i="1"/>
  <c r="M3" i="1" s="1"/>
  <c r="M4" i="1" s="1"/>
  <c r="M5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K2" i="1"/>
  <c r="Y37" i="1" l="1"/>
  <c r="F50" i="3" s="1"/>
  <c r="Y13" i="1"/>
  <c r="B50" i="3" s="1"/>
  <c r="B57" i="3" s="1"/>
  <c r="D5" i="4"/>
  <c r="D38" i="3"/>
  <c r="F38" i="3" s="1"/>
  <c r="H38" i="3" s="1"/>
  <c r="J38" i="3" s="1"/>
  <c r="Y25" i="1"/>
  <c r="D64" i="3" s="1"/>
  <c r="L64" i="3" s="1"/>
  <c r="L27" i="3"/>
  <c r="D75" i="1"/>
  <c r="H30" i="3"/>
  <c r="J30" i="3"/>
  <c r="F30" i="3"/>
  <c r="B141" i="1"/>
  <c r="K3" i="1"/>
  <c r="L42" i="3"/>
  <c r="L55" i="3"/>
  <c r="L49" i="3"/>
  <c r="L38" i="3"/>
  <c r="M6" i="1"/>
  <c r="M7" i="1" s="1"/>
  <c r="M8" i="1" s="1"/>
  <c r="M9" i="1" s="1"/>
  <c r="M10" i="1" s="1"/>
  <c r="M11" i="1" s="1"/>
  <c r="M12" i="1" s="1"/>
  <c r="M13" i="1" s="1"/>
  <c r="M14" i="1" s="1"/>
  <c r="B24" i="1"/>
  <c r="D50" i="3" l="1"/>
  <c r="L50" i="3" s="1"/>
  <c r="C238" i="1"/>
  <c r="C226" i="1"/>
  <c r="C214" i="1"/>
  <c r="C262" i="1"/>
  <c r="C250" i="1"/>
  <c r="L30" i="3"/>
  <c r="K4" i="1"/>
  <c r="B142" i="1"/>
  <c r="D76" i="1"/>
  <c r="L47" i="3"/>
  <c r="E2" i="1"/>
  <c r="E6" i="1" s="1"/>
  <c r="B25" i="1"/>
  <c r="D57" i="3" l="1"/>
  <c r="L57" i="3"/>
  <c r="B143" i="1"/>
  <c r="D77" i="1"/>
  <c r="K5" i="1"/>
  <c r="F57" i="3"/>
  <c r="K6" i="1" l="1"/>
  <c r="B144" i="1"/>
  <c r="D78" i="1"/>
  <c r="H57" i="3"/>
  <c r="J57" i="3"/>
  <c r="L35" i="3" l="1"/>
  <c r="K7" i="1"/>
  <c r="B145" i="1"/>
  <c r="D79" i="1"/>
  <c r="K8" i="1" l="1"/>
  <c r="D80" i="1"/>
  <c r="B146" i="1"/>
  <c r="K9" i="1" l="1"/>
  <c r="B147" i="1"/>
  <c r="D81" i="1"/>
  <c r="K10" i="1" l="1"/>
  <c r="B148" i="1"/>
  <c r="D82" i="1"/>
  <c r="K11" i="1" l="1"/>
  <c r="B149" i="1"/>
  <c r="D83" i="1"/>
  <c r="K12" i="1" l="1"/>
  <c r="B150" i="1"/>
  <c r="D84" i="1"/>
  <c r="M15" i="1"/>
  <c r="K13" i="1" l="1"/>
  <c r="C85" i="1" s="1"/>
  <c r="B151" i="1"/>
  <c r="M16" i="1"/>
  <c r="K14" i="1" l="1"/>
  <c r="B152" i="1"/>
  <c r="D85" i="1"/>
  <c r="D86" i="1" s="1"/>
  <c r="M17" i="1"/>
  <c r="C150" i="1" l="1"/>
  <c r="B12" i="3" s="1"/>
  <c r="B18" i="3" s="1"/>
  <c r="K15" i="1"/>
  <c r="B153" i="1"/>
  <c r="D87" i="1"/>
  <c r="H74" i="1"/>
  <c r="M18" i="1"/>
  <c r="B59" i="3" l="1"/>
  <c r="B63" i="3" s="1"/>
  <c r="B65" i="3" s="1"/>
  <c r="B67" i="3" s="1"/>
  <c r="K16" i="1"/>
  <c r="B154" i="1"/>
  <c r="D88" i="1"/>
  <c r="M19" i="1"/>
  <c r="B69" i="3" l="1"/>
  <c r="K17" i="1"/>
  <c r="B155" i="1"/>
  <c r="D89" i="1"/>
  <c r="M20" i="1"/>
  <c r="K18" i="1" l="1"/>
  <c r="B156" i="1"/>
  <c r="D90" i="1"/>
  <c r="B71" i="3"/>
  <c r="D9" i="3" s="1"/>
  <c r="M21" i="1"/>
  <c r="K19" i="1" l="1"/>
  <c r="B157" i="1"/>
  <c r="D91" i="1"/>
  <c r="M22" i="1"/>
  <c r="K20" i="1" l="1"/>
  <c r="D92" i="1"/>
  <c r="B158" i="1"/>
  <c r="M23" i="1"/>
  <c r="K21" i="1" l="1"/>
  <c r="D93" i="1"/>
  <c r="B159" i="1"/>
  <c r="M24" i="1"/>
  <c r="K22" i="1" l="1"/>
  <c r="D94" i="1"/>
  <c r="B160" i="1"/>
  <c r="M25" i="1"/>
  <c r="K23" i="1" l="1"/>
  <c r="B161" i="1"/>
  <c r="D95" i="1"/>
  <c r="M26" i="1"/>
  <c r="K24" i="1" l="1"/>
  <c r="B162" i="1"/>
  <c r="D96" i="1"/>
  <c r="M27" i="1"/>
  <c r="K25" i="1" l="1"/>
  <c r="C97" i="1" s="1"/>
  <c r="B163" i="1"/>
  <c r="M28" i="1"/>
  <c r="K26" i="1" l="1"/>
  <c r="B164" i="1"/>
  <c r="C162" i="1" s="1"/>
  <c r="D12" i="3" s="1"/>
  <c r="H75" i="1"/>
  <c r="D97" i="1"/>
  <c r="D98" i="1" s="1"/>
  <c r="M29" i="1"/>
  <c r="D18" i="3" l="1"/>
  <c r="K27" i="1"/>
  <c r="B165" i="1"/>
  <c r="D99" i="1"/>
  <c r="M30" i="1"/>
  <c r="D59" i="3" l="1"/>
  <c r="D63" i="3" s="1"/>
  <c r="K28" i="1"/>
  <c r="B166" i="1"/>
  <c r="D100" i="1"/>
  <c r="M31" i="1"/>
  <c r="D65" i="3" l="1"/>
  <c r="K29" i="1"/>
  <c r="B167" i="1"/>
  <c r="D101" i="1"/>
  <c r="M32" i="1"/>
  <c r="K30" i="1" l="1"/>
  <c r="B168" i="1"/>
  <c r="D102" i="1"/>
  <c r="D67" i="3"/>
  <c r="D71" i="3" s="1"/>
  <c r="F9" i="3" s="1"/>
  <c r="D69" i="3"/>
  <c r="M33" i="1"/>
  <c r="K31" i="1" l="1"/>
  <c r="B169" i="1"/>
  <c r="D103" i="1"/>
  <c r="M34" i="1"/>
  <c r="K32" i="1" l="1"/>
  <c r="B170" i="1"/>
  <c r="D104" i="1"/>
  <c r="M35" i="1"/>
  <c r="K33" i="1" l="1"/>
  <c r="B171" i="1"/>
  <c r="D105" i="1"/>
  <c r="M36" i="1"/>
  <c r="K34" i="1" l="1"/>
  <c r="B172" i="1"/>
  <c r="D106" i="1"/>
  <c r="M37" i="1"/>
  <c r="K35" i="1" l="1"/>
  <c r="B173" i="1"/>
  <c r="D107" i="1"/>
  <c r="E4" i="1"/>
  <c r="M38" i="1"/>
  <c r="K36" i="1" l="1"/>
  <c r="B174" i="1"/>
  <c r="M39" i="1"/>
  <c r="K37" i="1" l="1"/>
  <c r="B175" i="1"/>
  <c r="D108" i="1"/>
  <c r="M40" i="1"/>
  <c r="C109" i="1" l="1"/>
  <c r="E3" i="1"/>
  <c r="D109" i="1"/>
  <c r="K38" i="1"/>
  <c r="B176" i="1"/>
  <c r="M41" i="1"/>
  <c r="B22" i="1" l="1"/>
  <c r="B11" i="1"/>
  <c r="B28" i="1" s="1"/>
  <c r="C174" i="1"/>
  <c r="F12" i="3" s="1"/>
  <c r="F18" i="3" s="1"/>
  <c r="K39" i="1"/>
  <c r="B177" i="1"/>
  <c r="H76" i="1"/>
  <c r="D110" i="1"/>
  <c r="M42" i="1"/>
  <c r="B26" i="1" l="1"/>
  <c r="B29" i="1" s="1"/>
  <c r="B27" i="1"/>
  <c r="F59" i="3"/>
  <c r="F63" i="3" s="1"/>
  <c r="D111" i="1"/>
  <c r="K40" i="1"/>
  <c r="B178" i="1"/>
  <c r="M43" i="1"/>
  <c r="D112" i="1" l="1"/>
  <c r="D113" i="1" s="1"/>
  <c r="F65" i="3"/>
  <c r="K41" i="1"/>
  <c r="B179" i="1"/>
  <c r="M44" i="1"/>
  <c r="K42" i="1" l="1"/>
  <c r="B180" i="1"/>
  <c r="D114" i="1"/>
  <c r="F67" i="3"/>
  <c r="F71" i="3" s="1"/>
  <c r="H9" i="3" s="1"/>
  <c r="F69" i="3"/>
  <c r="M45" i="1"/>
  <c r="K43" i="1" l="1"/>
  <c r="B181" i="1"/>
  <c r="D115" i="1"/>
  <c r="M46" i="1"/>
  <c r="K44" i="1" l="1"/>
  <c r="D116" i="1"/>
  <c r="B182" i="1"/>
  <c r="M47" i="1"/>
  <c r="K45" i="1" l="1"/>
  <c r="D117" i="1"/>
  <c r="B183" i="1"/>
  <c r="M48" i="1"/>
  <c r="K46" i="1" l="1"/>
  <c r="D118" i="1"/>
  <c r="B184" i="1"/>
  <c r="M49" i="1"/>
  <c r="K47" i="1" l="1"/>
  <c r="B185" i="1"/>
  <c r="D119" i="1"/>
  <c r="M50" i="1"/>
  <c r="K48" i="1" l="1"/>
  <c r="B186" i="1"/>
  <c r="D120" i="1"/>
  <c r="M51" i="1"/>
  <c r="K49" i="1" l="1"/>
  <c r="C121" i="1" s="1"/>
  <c r="B187" i="1"/>
  <c r="M52" i="1"/>
  <c r="K50" i="1" l="1"/>
  <c r="B188" i="1"/>
  <c r="C186" i="1" s="1"/>
  <c r="H12" i="3" s="1"/>
  <c r="H77" i="1"/>
  <c r="D121" i="1"/>
  <c r="M53" i="1"/>
  <c r="D122" i="1" l="1"/>
  <c r="H18" i="3"/>
  <c r="K51" i="1"/>
  <c r="B189" i="1"/>
  <c r="D123" i="1"/>
  <c r="M54" i="1"/>
  <c r="H59" i="3" l="1"/>
  <c r="H63" i="3" s="1"/>
  <c r="K52" i="1"/>
  <c r="B190" i="1"/>
  <c r="D124" i="1"/>
  <c r="M55" i="1"/>
  <c r="H65" i="3" l="1"/>
  <c r="K53" i="1"/>
  <c r="B191" i="1"/>
  <c r="D125" i="1"/>
  <c r="M56" i="1"/>
  <c r="K54" i="1" l="1"/>
  <c r="B192" i="1"/>
  <c r="D126" i="1"/>
  <c r="H67" i="3"/>
  <c r="H71" i="3" s="1"/>
  <c r="J9" i="3" s="1"/>
  <c r="H69" i="3"/>
  <c r="M57" i="1"/>
  <c r="K55" i="1" l="1"/>
  <c r="B193" i="1"/>
  <c r="D127" i="1"/>
  <c r="M58" i="1"/>
  <c r="K56" i="1" l="1"/>
  <c r="D128" i="1"/>
  <c r="B194" i="1"/>
  <c r="M59" i="1"/>
  <c r="K57" i="1" l="1"/>
  <c r="B195" i="1"/>
  <c r="D129" i="1"/>
  <c r="M60" i="1"/>
  <c r="K58" i="1" l="1"/>
  <c r="B196" i="1"/>
  <c r="D130" i="1"/>
  <c r="M61" i="1"/>
  <c r="K59" i="1" l="1"/>
  <c r="B197" i="1"/>
  <c r="D131" i="1"/>
  <c r="K60" i="1" l="1"/>
  <c r="B198" i="1"/>
  <c r="K61" i="1" l="1"/>
  <c r="C133" i="1" s="1"/>
  <c r="B199" i="1"/>
  <c r="D132" i="1"/>
  <c r="D133" i="1" l="1"/>
  <c r="B200" i="1"/>
  <c r="C198" i="1" s="1"/>
  <c r="J12" i="3" s="1"/>
  <c r="L12" i="3" l="1"/>
  <c r="L18" i="3" s="1"/>
  <c r="J18" i="3"/>
  <c r="H78" i="1"/>
  <c r="D134" i="1"/>
  <c r="L59" i="3" l="1"/>
  <c r="L63" i="3" s="1"/>
  <c r="L65" i="3" s="1"/>
  <c r="L69" i="3" s="1"/>
  <c r="J59" i="3"/>
  <c r="J63" i="3" s="1"/>
  <c r="J65" i="3" s="1"/>
  <c r="L67" i="3" l="1"/>
  <c r="J67" i="3"/>
  <c r="J69" i="3"/>
  <c r="J71" i="3" l="1"/>
  <c r="L9" i="3" s="1"/>
  <c r="L7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spassantino</author>
    <author>KasraS</author>
  </authors>
  <commentList>
    <comment ref="A4" authorId="0" shapeId="0" xr:uid="{2A56AA4A-B67E-2E4A-9CB7-0227AA800C82}">
      <text>
        <r>
          <rPr>
            <i/>
            <sz val="9"/>
            <color rgb="FF000000"/>
            <rFont val="Tahoma"/>
            <family val="2"/>
          </rPr>
          <t>Instructions</t>
        </r>
        <r>
          <rPr>
            <sz val="9"/>
            <color rgb="FF000000"/>
            <rFont val="Tahoma"/>
            <family val="2"/>
          </rPr>
          <t>: Enter your Company Name in this cell.</t>
        </r>
      </text>
    </comment>
    <comment ref="A6" authorId="0" shapeId="0" xr:uid="{C54ADD9F-9DE8-244C-9998-71455208EC1A}">
      <text>
        <r>
          <rPr>
            <i/>
            <sz val="9"/>
            <color rgb="FF000000"/>
            <rFont val="Tahoma"/>
            <family val="2"/>
          </rPr>
          <t>Instructions</t>
        </r>
        <r>
          <rPr>
            <sz val="9"/>
            <color rgb="FF000000"/>
            <rFont val="Tahoma"/>
            <family val="2"/>
          </rPr>
          <t>: Enter the date (as MM/DD/YYYY) all below figures are reported as of.</t>
        </r>
      </text>
    </comment>
    <comment ref="B7" authorId="1" shapeId="0" xr:uid="{BDA3FF44-8039-364E-9BCF-EAAA2C44D2C7}">
      <text>
        <r>
          <rPr>
            <i/>
            <sz val="9"/>
            <color indexed="81"/>
            <rFont val="Tahoma"/>
            <family val="2"/>
          </rPr>
          <t xml:space="preserve">Instructions: </t>
        </r>
        <r>
          <rPr>
            <sz val="9"/>
            <color indexed="81"/>
            <rFont val="Tahoma"/>
            <family val="2"/>
          </rPr>
          <t>Enter the Current Period amounts for each line item in this column's cells.</t>
        </r>
      </text>
    </comment>
    <comment ref="D7" authorId="1" shapeId="0" xr:uid="{37DD4796-9BD7-9946-9413-25C2BCD8705C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Prior Period amounts for each line item in this column's cells.</t>
        </r>
      </text>
    </comment>
    <comment ref="F7" authorId="1" shapeId="0" xr:uid="{5D62873F-CCD6-B141-BBF7-D6F3DD6B7797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Prior Period amounts for each line item in this column's cells.</t>
        </r>
      </text>
    </comment>
    <comment ref="H7" authorId="1" shapeId="0" xr:uid="{16C50562-CB38-2B4D-BE99-63ED092694C3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Prior Period amounts for each line item in this column's cells.</t>
        </r>
      </text>
    </comment>
    <comment ref="J7" authorId="1" shapeId="0" xr:uid="{0FDEA91F-A6D6-DC44-B4DD-0E6D3889560E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Prior Period amounts for each line item in this column's cells.</t>
        </r>
      </text>
    </comment>
    <comment ref="B8" authorId="1" shapeId="0" xr:uid="{EDECEE96-3ACE-E04F-9F0C-0075C53489B2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dates or timeframe the Current Period figures will cover. (e.g. "07/01/2014 to 09/30/2014")</t>
        </r>
      </text>
    </comment>
    <comment ref="D8" authorId="1" shapeId="0" xr:uid="{999DA5EC-E706-9046-A249-232E32CC4CAC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dates or timeframe the company's prior period figures will cover. (e.g. "07/01/2014 to 09/30/2014")  Please note that for the best comparison to the Current Period, the prior period time frame should cover the same number of days as the Current Period.</t>
        </r>
      </text>
    </comment>
    <comment ref="F8" authorId="1" shapeId="0" xr:uid="{5F6F8FCF-8BFF-994F-80E7-BD0D351F0867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dates or timeframe the company's prior period figures will cover. (e.g. "07/01/2014 to 09/30/2014")  Please note that for the best comparison to the Current Period, the prior period time frame should cover the same number of days as the Current Period.</t>
        </r>
      </text>
    </comment>
    <comment ref="H8" authorId="1" shapeId="0" xr:uid="{AFA4DC45-C65D-CA47-8AD5-6601489E5A98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dates or timeframe the company's prior period figures will cover. (e.g. "07/01/2014 to 09/30/2014")  Please note that for the best comparison to the Current Period, the prior period time frame should cover the same number of days as the Current Period.</t>
        </r>
      </text>
    </comment>
    <comment ref="J8" authorId="1" shapeId="0" xr:uid="{A5ADC4AA-440A-9649-8771-28AE69FFFBBD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dates or timeframe the company's prior period figures will cover. (e.g. "07/01/2014 to 09/30/2014")  Please note that for the best comparison to the Current Period, the prior period time frame should cover the same number of days as the Current Period.</t>
        </r>
      </text>
    </comment>
    <comment ref="A12" authorId="1" shapeId="0" xr:uid="{8920A98C-288F-844E-B279-A8072D053AFE}">
      <text>
        <r>
          <rPr>
            <i/>
            <sz val="9"/>
            <color indexed="81"/>
            <rFont val="Tahoma"/>
            <family val="2"/>
          </rPr>
          <t>Instructions:</t>
        </r>
        <r>
          <rPr>
            <sz val="9"/>
            <color indexed="81"/>
            <rFont val="Tahoma"/>
            <family val="2"/>
          </rPr>
          <t xml:space="preserve"> Enter the total amount of cash sales to customers.</t>
        </r>
      </text>
    </comment>
    <comment ref="A13" authorId="1" shapeId="0" xr:uid="{93CDA59D-640E-0746-9D60-99B19D08E95D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amount of cash collections from customers on credit payment terms (Accounts Receivable).</t>
        </r>
      </text>
    </comment>
    <comment ref="A14" authorId="1" shapeId="0" xr:uid="{D6373451-4DB9-7147-8398-1CD6F1DAAD96}">
      <text>
        <r>
          <rPr>
            <i/>
            <sz val="9"/>
            <color indexed="81"/>
            <rFont val="Tahoma"/>
            <family val="2"/>
          </rPr>
          <t xml:space="preserve">Instructions: </t>
        </r>
        <r>
          <rPr>
            <sz val="9"/>
            <color indexed="81"/>
            <rFont val="Tahoma"/>
            <family val="2"/>
          </rPr>
          <t>Enter the total amount of Loans or other Cash Injections received.</t>
        </r>
      </text>
    </comment>
    <comment ref="A15" authorId="1" shapeId="0" xr:uid="{F6E2D524-79CA-B442-8798-552540AE6B34}">
      <text>
        <r>
          <rPr>
            <i/>
            <sz val="9"/>
            <color indexed="81"/>
            <rFont val="Tahoma"/>
            <family val="2"/>
          </rPr>
          <t xml:space="preserve">Instructions: </t>
        </r>
        <r>
          <rPr>
            <sz val="9"/>
            <color indexed="81"/>
            <rFont val="Tahoma"/>
            <family val="2"/>
          </rPr>
          <t>Enter the total interest income received each month.</t>
        </r>
      </text>
    </comment>
    <comment ref="A16" authorId="1" shapeId="0" xr:uid="{58219CB7-8F2D-A345-8D07-AB94B5DD261C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Income Tax Refund received. This includes any federal, state or local taxes. </t>
        </r>
      </text>
    </comment>
    <comment ref="A17" authorId="1" shapeId="0" xr:uid="{876FCEC4-536B-1E4F-939D-3815ABD4623C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total Misc. Cash received each month.</t>
        </r>
      </text>
    </comment>
    <comment ref="A22" authorId="1" shapeId="0" xr:uid="{DC37E843-4EF9-FF43-B379-2566B2058BDA}">
      <text>
        <r>
          <rPr>
            <i/>
            <sz val="9"/>
            <color indexed="81"/>
            <rFont val="Tahoma"/>
            <family val="2"/>
          </rPr>
          <t xml:space="preserve">Instructions: </t>
        </r>
        <r>
          <rPr>
            <sz val="9"/>
            <color indexed="81"/>
            <rFont val="Tahoma"/>
            <family val="2"/>
          </rPr>
          <t xml:space="preserve">Enter the total amount of Product/Service Cost of Goods Sold.  This would include costs directly related to producing the product or providing the service.  Enter the appropriate Row label for your Product/Service if desired. </t>
        </r>
      </text>
    </comment>
    <comment ref="A23" authorId="1" shapeId="0" xr:uid="{35943F74-F89B-8E47-AAB6-196EFF060DC1}">
      <text>
        <r>
          <rPr>
            <i/>
            <sz val="9"/>
            <color indexed="81"/>
            <rFont val="Tahoma"/>
            <family val="2"/>
          </rPr>
          <t xml:space="preserve">Instructions: </t>
        </r>
        <r>
          <rPr>
            <sz val="9"/>
            <color indexed="81"/>
            <rFont val="Tahoma"/>
            <family val="2"/>
          </rPr>
          <t>Insert the total Direct Labor costs.  Direct Labor is labor costs for the employees that are directly involved in producing a product or providing a service.</t>
        </r>
      </text>
    </comment>
    <comment ref="A24" authorId="1" shapeId="0" xr:uid="{3A8DB3B3-CEF6-F14F-937A-4AF2264C4819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Insert the total Direct Labor Payroll Tax and Benefit costs.  Direct Labor is labor costs for the employees that are directly involved in producing a product or providing a service.</t>
        </r>
      </text>
    </comment>
    <comment ref="A25" authorId="1" shapeId="0" xr:uid="{4C9F3364-01F1-6C4B-8009-85B7F7858F65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Insert the total costs of Supplies used to produce a product or provide a service.</t>
        </r>
      </text>
    </comment>
    <comment ref="A26" authorId="1" shapeId="0" xr:uid="{31BC7F1E-26B1-BA46-94A8-098D4B1DD093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Other Costs not previously specified.</t>
        </r>
      </text>
    </comment>
    <comment ref="A30" authorId="1" shapeId="0" xr:uid="{3032B038-8C94-1844-95BA-CFC3C51AFBEA}">
      <text>
        <r>
          <rPr>
            <i/>
            <sz val="9"/>
            <color indexed="81"/>
            <rFont val="Tahoma"/>
            <family val="2"/>
          </rPr>
          <t xml:space="preserve">Instructions: </t>
        </r>
        <r>
          <rPr>
            <sz val="9"/>
            <color indexed="81"/>
            <rFont val="Tahoma"/>
            <family val="2"/>
          </rPr>
          <t>Enter the total Advertising and Promotion expenses.</t>
        </r>
      </text>
    </comment>
    <comment ref="A31" authorId="1" shapeId="0" xr:uid="{751D993D-8303-5F4E-AEE1-75F8C4AD0129}">
      <text>
        <r>
          <rPr>
            <i/>
            <sz val="9"/>
            <color indexed="81"/>
            <rFont val="Tahoma"/>
            <family val="2"/>
          </rPr>
          <t xml:space="preserve">Instructions: </t>
        </r>
        <r>
          <rPr>
            <sz val="9"/>
            <color indexed="81"/>
            <rFont val="Tahoma"/>
            <family val="2"/>
          </rPr>
          <t>Enter the total Automobile/Transportation expenses. If the company offers delivery, all delivery related expenses will go here.</t>
        </r>
      </text>
    </comment>
    <comment ref="A32" authorId="1" shapeId="0" xr:uid="{750DAB1F-B563-0B48-AF64-5CBFFD80B209}">
      <text>
        <r>
          <rPr>
            <i/>
            <sz val="9"/>
            <color indexed="81"/>
            <rFont val="Tahoma"/>
            <family val="2"/>
          </rPr>
          <t>Instructions:</t>
        </r>
        <r>
          <rPr>
            <sz val="9"/>
            <color indexed="81"/>
            <rFont val="Tahoma"/>
            <family val="2"/>
          </rPr>
          <t xml:space="preserve"> Enter the total Bank Service Charges expenses.
</t>
        </r>
      </text>
    </comment>
    <comment ref="A33" authorId="1" shapeId="0" xr:uid="{9D47F808-090D-9A46-A5BE-3FCC6D0B0537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Business Licenses and Permits expenses.</t>
        </r>
      </text>
    </comment>
    <comment ref="A34" authorId="1" shapeId="0" xr:uid="{C135E560-A090-F14B-8DE7-405510FE1A28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Charitable Contribution expenses.</t>
        </r>
      </text>
    </comment>
    <comment ref="A35" authorId="1" shapeId="0" xr:uid="{E63B66BD-3EEB-7F41-9697-4C4FFD1CA6C2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Computer and Internet Expenses.
</t>
        </r>
      </text>
    </comment>
    <comment ref="A36" authorId="1" shapeId="0" xr:uid="{D6473766-0E00-824E-8527-CA5E115C3912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 xml:space="preserve">Enter the total Continuing Education expenses. This includes expenses for classes, seminars, or symposiums the company's staff attends. </t>
        </r>
      </text>
    </comment>
    <comment ref="A37" authorId="1" shapeId="0" xr:uid="{B8F380FC-954B-8B48-9417-5884B323E0A6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total Dues and Subscriptions. Dues and Subscriptions include magazines, trade subscriptions, organizations etc.</t>
        </r>
      </text>
    </comment>
    <comment ref="A38" authorId="1" shapeId="0" xr:uid="{43DA8FE9-C689-B842-9938-2C59A5ADAF03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total Insurance Expenses .</t>
        </r>
        <r>
          <rPr>
            <b/>
            <sz val="9"/>
            <color rgb="FF000000"/>
            <rFont val="Tahoma"/>
            <family val="2"/>
          </rPr>
          <t xml:space="preserve"> </t>
        </r>
      </text>
    </comment>
    <comment ref="A39" authorId="1" shapeId="0" xr:uid="{F32B3824-95D6-1B49-B472-F184B4C5C520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 xml:space="preserve">Enter the total Meals and Entertainment expenses. This includes any meals or entertainment the company paid for on behalf of its employees or as part of conducting business. </t>
        </r>
      </text>
    </comment>
    <comment ref="A40" authorId="1" shapeId="0" xr:uid="{02AE9A50-066F-9C4F-9016-227932668A70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total costs of Merchant Account Fees. Merchant Account Fees are any fees administered by merchants or wholesalers used by the company, such as delivery fees &amp; credit card services.</t>
        </r>
      </text>
    </comment>
    <comment ref="A41" authorId="1" shapeId="0" xr:uid="{24EEA55F-C295-5140-A5D4-0C5C88C5D603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Miscellaneous Expenses. This is any expense that has not been otherwise specified.</t>
        </r>
      </text>
    </comment>
    <comment ref="A42" authorId="1" shapeId="0" xr:uid="{B73D379E-EA7A-D84F-95FA-B65609C3B329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Office Supplies expenses. This includes printers, copy machines, pens, pencil, notepads, etc.</t>
        </r>
      </text>
    </comment>
    <comment ref="A43" authorId="1" shapeId="0" xr:uid="{503B74E0-8305-6143-8261-0C3BABB3464E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total Payroll Processing Expenses. This includes fees associated with administering the company's payroll.</t>
        </r>
      </text>
    </comment>
    <comment ref="A44" authorId="1" shapeId="0" xr:uid="{70C94294-FE2D-1547-9DDB-A7EE39272E89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Postage and Delivery expenses.</t>
        </r>
      </text>
    </comment>
    <comment ref="A45" authorId="1" shapeId="0" xr:uid="{0430D6B2-FF7B-E34A-8952-830295E75CA8}">
      <text>
        <r>
          <rPr>
            <i/>
            <sz val="9"/>
            <color indexed="81"/>
            <rFont val="Tahoma"/>
            <family val="2"/>
          </rPr>
          <t>Instructions:</t>
        </r>
        <r>
          <rPr>
            <sz val="9"/>
            <color indexed="81"/>
            <rFont val="Tahoma"/>
            <family val="2"/>
          </rPr>
          <t xml:space="preserve"> Enter the total Printing and Reproduction expenses.</t>
        </r>
      </text>
    </comment>
    <comment ref="A46" authorId="1" shapeId="0" xr:uid="{D02A9076-23B6-9A43-9DAA-C42E560FE202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total expenses for professional services, such as legal fees and accounting fees.</t>
        </r>
      </text>
    </comment>
    <comment ref="A47" authorId="1" shapeId="0" xr:uid="{A774C9EA-BA0F-EE4E-80C7-48D622F45CEA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Rent and or Mortgage Expenses (excluding interest expense) and any Property Tax expenses.</t>
        </r>
      </text>
    </comment>
    <comment ref="A49" authorId="1" shapeId="0" xr:uid="{C7711BF8-801D-AE46-ADC2-18C687E46EA7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>Enter the total Rentals expense. Rentals can include equipment, office equipment etc.  Rentals payments are for items not owned by the company.</t>
        </r>
      </text>
    </comment>
    <comment ref="A50" authorId="1" shapeId="0" xr:uid="{A1193C95-A4EC-5141-B0C9-548D3E157E08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Indirect Salaries costs. This typically includes labor for employees that do not directly produce a product or provide a service.</t>
        </r>
      </text>
    </comment>
    <comment ref="A51" authorId="1" shapeId="0" xr:uid="{55759976-842E-F94A-AC72-0F2779C2BF16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Indirect Payroll Taxes and Benefits costs. This typically includes labor for employees that do not directly produce a product or provide a service.</t>
        </r>
      </text>
    </comment>
    <comment ref="A52" authorId="1" shapeId="0" xr:uid="{3F394F63-AB0C-CB47-818E-CB9B86BA72BB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Subcontractor expenses.</t>
        </r>
      </text>
    </comment>
    <comment ref="A53" authorId="1" shapeId="0" xr:uid="{F0916337-AD30-FA4A-9024-2DD2CD7D6D80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Telephone Expenses. </t>
        </r>
      </text>
    </comment>
    <comment ref="A54" authorId="1" shapeId="0" xr:uid="{67327E53-9500-964C-A849-A41A45D56304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Travel Expenses. This includes any employee travel expenses the company has paid for.  </t>
        </r>
        <r>
          <rPr>
            <i/>
            <sz val="9"/>
            <color rgb="FF000000"/>
            <rFont val="Tahoma"/>
            <family val="2"/>
          </rPr>
          <t xml:space="preserve">
</t>
        </r>
      </text>
    </comment>
    <comment ref="A55" authorId="1" shapeId="0" xr:uid="{94C04EC1-E2C7-DF40-B493-E7EE594EACF2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 xml:space="preserve">Enter the total Utility expenses. This includes electricity, gas, water &amp; sewer. </t>
        </r>
      </text>
    </comment>
    <comment ref="A56" authorId="1" shapeId="0" xr:uid="{84B73BBB-9F52-F842-86AE-A500643C32FD}">
      <text>
        <r>
          <rPr>
            <i/>
            <sz val="9"/>
            <color rgb="FF000000"/>
            <rFont val="Tahoma"/>
            <family val="2"/>
          </rPr>
          <t xml:space="preserve">Instructions: </t>
        </r>
        <r>
          <rPr>
            <sz val="9"/>
            <color rgb="FF000000"/>
            <rFont val="Tahoma"/>
            <family val="2"/>
          </rPr>
          <t xml:space="preserve">Enter the total Website Development expense. This includes development and hosting costs. </t>
        </r>
      </text>
    </comment>
    <comment ref="A62" authorId="1" shapeId="0" xr:uid="{CB179083-13DB-A949-9729-CEB678A9F604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Interest Expense payments. This is the cost of financing and includes any interest the Restaurant pays on loans, car payments, mortgages, revolving credit etc.</t>
        </r>
      </text>
    </comment>
    <comment ref="A63" authorId="1" shapeId="0" xr:uid="{37942C1C-2D4B-854B-B2C7-735C7286A2B1}">
      <text>
        <r>
          <rPr>
            <i/>
            <sz val="9"/>
            <color indexed="81"/>
            <rFont val="Tahoma"/>
            <family val="2"/>
          </rPr>
          <t>Instructions:</t>
        </r>
        <r>
          <rPr>
            <sz val="9"/>
            <color indexed="81"/>
            <rFont val="Tahoma"/>
            <family val="2"/>
          </rPr>
          <t xml:space="preserve"> Enter the total Income Tax Expense payments. This includes any federal, state or local taxes. </t>
        </r>
      </text>
    </comment>
    <comment ref="A64" authorId="1" shapeId="0" xr:uid="{FFDBF79D-727F-2B4D-841B-7BEDA8506FDC}">
      <text>
        <r>
          <rPr>
            <i/>
            <sz val="9"/>
            <color rgb="FF000000"/>
            <rFont val="Tahoma"/>
            <family val="2"/>
          </rPr>
          <t>Instructions:</t>
        </r>
        <r>
          <rPr>
            <sz val="9"/>
            <color rgb="FF000000"/>
            <rFont val="Tahoma"/>
            <family val="2"/>
          </rPr>
          <t xml:space="preserve"> Enter the total Cash Disbursements to Owners.</t>
        </r>
      </text>
    </comment>
  </commentList>
</comments>
</file>

<file path=xl/sharedStrings.xml><?xml version="1.0" encoding="utf-8"?>
<sst xmlns="http://schemas.openxmlformats.org/spreadsheetml/2006/main" count="155" uniqueCount="139">
  <si>
    <t>Input Variable</t>
  </si>
  <si>
    <t>Value</t>
  </si>
  <si>
    <t>Monthly Rent</t>
  </si>
  <si>
    <t>Monthly Marketing</t>
  </si>
  <si>
    <t>Other Fixed Costs</t>
  </si>
  <si>
    <t>Instructor Salary per Class</t>
  </si>
  <si>
    <t>Cost of Goods Sold per Month</t>
  </si>
  <si>
    <t>Other Variable Costs</t>
  </si>
  <si>
    <t>Monthly Membership Rate</t>
  </si>
  <si>
    <t>Class Pack Rate (10 Classes)</t>
  </si>
  <si>
    <t>Number of Monthly Members</t>
  </si>
  <si>
    <t>Number of Drop-Ins per Month</t>
  </si>
  <si>
    <t>Number of Classes per Week</t>
  </si>
  <si>
    <t>Calculation Variable</t>
  </si>
  <si>
    <t>Total Monthly Revenue</t>
  </si>
  <si>
    <t>Total Monthly Fixed Costs</t>
  </si>
  <si>
    <t>Total Monthly Variable Costs</t>
  </si>
  <si>
    <t>Total Monthly Costs</t>
  </si>
  <si>
    <t>Net Monthly Profit</t>
  </si>
  <si>
    <t>Total Members</t>
  </si>
  <si>
    <t>Avg Revenue Per Student</t>
  </si>
  <si>
    <t>Avg Cost Per Student</t>
  </si>
  <si>
    <t>Number of Class Pack Sales Per Mo</t>
  </si>
  <si>
    <t>Owner Take Home</t>
  </si>
  <si>
    <t># of Classes Taught by Owner Per Week</t>
  </si>
  <si>
    <t>Number of Yearly Members</t>
  </si>
  <si>
    <t>Year-Long Membership Rate</t>
  </si>
  <si>
    <t>Monthly Members</t>
  </si>
  <si>
    <t>Class Pack Purchases</t>
  </si>
  <si>
    <t>Year-Long Members</t>
  </si>
  <si>
    <t>Number of Pack Purcahsers</t>
  </si>
  <si>
    <t>Drop-in Price</t>
  </si>
  <si>
    <t>Legend:</t>
  </si>
  <si>
    <t>User-Input Field</t>
  </si>
  <si>
    <t>Results Field</t>
  </si>
  <si>
    <t>Totals</t>
  </si>
  <si>
    <t>Growth Rate for Year-Long Members (r)</t>
  </si>
  <si>
    <t>Growth Rate for Class Pack Purchasers (r)</t>
  </si>
  <si>
    <t>Growth Rate for Monthly Members (r)</t>
  </si>
  <si>
    <t>Carrying Capacity for Year-Long Members (K)</t>
  </si>
  <si>
    <t>Carrying Capacity for Class Pack Purchasers (K)</t>
  </si>
  <si>
    <t>Carrying Capacity for Monthly Members (K)</t>
  </si>
  <si>
    <t>Initial Year-Long Members (P_0​)</t>
  </si>
  <si>
    <t>Initial Class Pack Purchasers (P_0​)</t>
  </si>
  <si>
    <t>Initial Monthly Members (P_0​)</t>
  </si>
  <si>
    <t>Month</t>
  </si>
  <si>
    <t>Monthly Proft</t>
  </si>
  <si>
    <t>Classes Taught by Owner Per Week</t>
  </si>
  <si>
    <t>Monthly Cost of Marketing</t>
  </si>
  <si>
    <t>Yearly Profit</t>
  </si>
  <si>
    <t>Year (in Months)</t>
  </si>
  <si>
    <t>Net Profit</t>
  </si>
  <si>
    <t>Months Between Class Pack Purchases</t>
  </si>
  <si>
    <t>Seasonal Amplitude for Monthly Members</t>
  </si>
  <si>
    <t>Seasonal Amplitude for Year-Long Members</t>
  </si>
  <si>
    <t>Seasonal Amplitude for Class Pack Purchasers</t>
  </si>
  <si>
    <t>Seasonal Period (in months)</t>
  </si>
  <si>
    <t>Attrition Rate for Monthly Members</t>
  </si>
  <si>
    <t>Attrition Rate for Class Pack Purchasers</t>
  </si>
  <si>
    <t>Attrition Rate for Year-Long Members</t>
  </si>
  <si>
    <t>Monthly Revenue</t>
  </si>
  <si>
    <t>Monthly Cost</t>
  </si>
  <si>
    <t>Enter your Company's name here</t>
  </si>
  <si>
    <t>Statement of Cash Flows</t>
  </si>
  <si>
    <t>Current Period</t>
  </si>
  <si>
    <t>Prior Period</t>
  </si>
  <si>
    <t>Increase (Decrease)</t>
  </si>
  <si>
    <t>Jan 2025 to Dec 2025</t>
  </si>
  <si>
    <t>Jan 2026 to Dec 2026</t>
  </si>
  <si>
    <t>Jan 2027 to Dec 2027</t>
  </si>
  <si>
    <t>Jan 2028 to Dec 2028</t>
  </si>
  <si>
    <t>Jan 2029 to Dec 2029</t>
  </si>
  <si>
    <t>Jan 2025 to Dec 2029</t>
  </si>
  <si>
    <t>BEGINNING CASH ON HAND</t>
  </si>
  <si>
    <t>ADD: CASH RECEIPTS</t>
  </si>
  <si>
    <t>Cash Sales</t>
  </si>
  <si>
    <t>Collections from Customer Credit Accounts</t>
  </si>
  <si>
    <t>Loan or Other Cash Injection</t>
  </si>
  <si>
    <t>Interest Income</t>
  </si>
  <si>
    <t>Income Tax Refund</t>
  </si>
  <si>
    <t>Misc. Cash Receipts</t>
  </si>
  <si>
    <t>TOTAL CASH RECEIPTS</t>
  </si>
  <si>
    <t>LESS: CASH PAYMENTS</t>
  </si>
  <si>
    <t>COST OF GOODS SOLD:</t>
  </si>
  <si>
    <t>Direct Product/Service Costs</t>
  </si>
  <si>
    <t>Salaries-Direct</t>
  </si>
  <si>
    <t>Payroll Taxes and Benefits-Direct</t>
  </si>
  <si>
    <t>Supplies</t>
  </si>
  <si>
    <t>Other Costs</t>
  </si>
  <si>
    <t>Sub-Total Cost of Goods Sold</t>
  </si>
  <si>
    <t>OPERATING EXPENSES:</t>
  </si>
  <si>
    <t>Advertising and Promotion</t>
  </si>
  <si>
    <t>Automobile/Transportation</t>
  </si>
  <si>
    <t>Bank Service Charges</t>
  </si>
  <si>
    <t>Business Licenses and Permits</t>
  </si>
  <si>
    <t>Charitable Contributions</t>
  </si>
  <si>
    <t>Computer and Internet</t>
  </si>
  <si>
    <t>Continuing Education</t>
  </si>
  <si>
    <t>Dues and Subscriptions</t>
  </si>
  <si>
    <t>Insurance</t>
  </si>
  <si>
    <t>Meals and Entertainment</t>
  </si>
  <si>
    <t>Merchant Account Fees</t>
  </si>
  <si>
    <t>Miscellaneous Expense</t>
  </si>
  <si>
    <t>Office Supplies</t>
  </si>
  <si>
    <t>Payroll Processing</t>
  </si>
  <si>
    <t>Postage and Delivery</t>
  </si>
  <si>
    <t>Printing and Reproduction</t>
  </si>
  <si>
    <t>Professional Services - Legal, Accounting</t>
  </si>
  <si>
    <t>Occupancy</t>
  </si>
  <si>
    <t>Renovations</t>
  </si>
  <si>
    <t>Rental Payments</t>
  </si>
  <si>
    <t>Salaries-Indirect</t>
  </si>
  <si>
    <t>Payroll Taxes and Benefits-Indirect</t>
  </si>
  <si>
    <t>Subcontractor</t>
  </si>
  <si>
    <t>Telephone</t>
  </si>
  <si>
    <t>Travel</t>
  </si>
  <si>
    <t>Utilities</t>
  </si>
  <si>
    <t>Website Development</t>
  </si>
  <si>
    <t>Sub-Total Operating Expenses</t>
  </si>
  <si>
    <t>OTHER EXPENSE PAYMENTS</t>
  </si>
  <si>
    <t>Interest Expense</t>
  </si>
  <si>
    <t>Income Tax Expense</t>
  </si>
  <si>
    <t>Cash Disbursements to Owners</t>
  </si>
  <si>
    <t>Sub-Total Other Expense Payments</t>
  </si>
  <si>
    <t>TOTAL CASH PAYMENTS</t>
  </si>
  <si>
    <t>NET CASH CHANGE - Inflow (Outflow)</t>
  </si>
  <si>
    <t>CASH POSITION (end of year)</t>
  </si>
  <si>
    <t>Building Costs</t>
  </si>
  <si>
    <t>total classes taught by others</t>
  </si>
  <si>
    <t>EBITDA</t>
  </si>
  <si>
    <t>Average Days per Week</t>
  </si>
  <si>
    <t>Class Capacity</t>
  </si>
  <si>
    <t>Total Spots per Week</t>
  </si>
  <si>
    <t>Max Members</t>
  </si>
  <si>
    <t>Yearly</t>
  </si>
  <si>
    <t>Monthly</t>
  </si>
  <si>
    <t>Class Pack</t>
  </si>
  <si>
    <t>Total Per Week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</si>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</sst>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 vertical="top"/>
    </xf>
    <xf numFmtId="0" fontId="1" fillId="0" borderId="1" xfId="0" applyFont="1" applyBorder="1"/>
    <xf numFmtId="0" fontId="0" fillId="2" borderId="1" xfId="0" applyFill="1" applyBorder="1"/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2" xfId="0" applyFont="1" applyBorder="1"/>
    <xf numFmtId="0" fontId="0" fillId="2" borderId="3" xfId="0" applyFill="1" applyBorder="1"/>
    <xf numFmtId="164" fontId="0" fillId="3" borderId="3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/>
    <xf numFmtId="165" fontId="0" fillId="2" borderId="3" xfId="0" applyNumberFormat="1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0" fontId="1" fillId="2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3" xfId="0" applyFill="1" applyBorder="1" applyProtection="1">
      <protection locked="0"/>
    </xf>
    <xf numFmtId="164" fontId="1" fillId="3" borderId="1" xfId="0" applyNumberFormat="1" applyFont="1" applyFill="1" applyBorder="1"/>
    <xf numFmtId="1" fontId="0" fillId="2" borderId="1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1" fontId="1" fillId="3" borderId="1" xfId="0" applyNumberFormat="1" applyFont="1" applyFill="1" applyBorder="1"/>
    <xf numFmtId="1" fontId="0" fillId="3" borderId="1" xfId="0" applyNumberFormat="1" applyFill="1" applyBorder="1"/>
    <xf numFmtId="165" fontId="0" fillId="0" borderId="0" xfId="0" applyNumberFormat="1"/>
    <xf numFmtId="164" fontId="0" fillId="0" borderId="0" xfId="0" applyNumberFormat="1"/>
    <xf numFmtId="165" fontId="0" fillId="3" borderId="1" xfId="0" applyNumberFormat="1" applyFill="1" applyBorder="1" applyProtection="1">
      <protection locked="0"/>
    </xf>
    <xf numFmtId="1" fontId="0" fillId="0" borderId="0" xfId="0" applyNumberFormat="1"/>
    <xf numFmtId="9" fontId="0" fillId="2" borderId="1" xfId="2" applyFont="1" applyFill="1" applyBorder="1"/>
    <xf numFmtId="14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0" xfId="0" applyFont="1" applyProtection="1">
      <protection hidden="1"/>
    </xf>
    <xf numFmtId="43" fontId="2" fillId="0" borderId="0" xfId="1" applyFont="1" applyFill="1"/>
    <xf numFmtId="0" fontId="0" fillId="0" borderId="0" xfId="0" applyAlignment="1" applyProtection="1">
      <alignment horizontal="left" indent="1"/>
      <protection locked="0"/>
    </xf>
    <xf numFmtId="43" fontId="2" fillId="0" borderId="6" xfId="1" applyFont="1" applyFill="1" applyBorder="1"/>
    <xf numFmtId="0" fontId="1" fillId="0" borderId="0" xfId="0" applyFont="1" applyAlignment="1" applyProtection="1">
      <alignment wrapText="1"/>
      <protection hidden="1"/>
    </xf>
    <xf numFmtId="43" fontId="1" fillId="0" borderId="7" xfId="1" applyFont="1" applyFill="1" applyBorder="1"/>
    <xf numFmtId="0" fontId="4" fillId="0" borderId="0" xfId="0" applyFont="1" applyAlignment="1" applyProtection="1">
      <alignment horizontal="left" indent="1"/>
      <protection hidden="1"/>
    </xf>
    <xf numFmtId="0" fontId="1" fillId="0" borderId="0" xfId="0" applyFont="1" applyAlignment="1" applyProtection="1">
      <alignment horizontal="left" indent="1"/>
      <protection hidden="1"/>
    </xf>
    <xf numFmtId="43" fontId="1" fillId="0" borderId="0" xfId="1" applyFont="1" applyFill="1"/>
    <xf numFmtId="0" fontId="0" fillId="0" borderId="0" xfId="0" applyProtection="1">
      <protection hidden="1"/>
    </xf>
    <xf numFmtId="0" fontId="1" fillId="0" borderId="0" xfId="0" applyFont="1" applyAlignment="1">
      <alignment horizontal="left" indent="1"/>
    </xf>
    <xf numFmtId="43" fontId="2" fillId="0" borderId="0" xfId="1" applyFont="1" applyFill="1" applyBorder="1"/>
    <xf numFmtId="0" fontId="1" fillId="0" borderId="0" xfId="0" applyFont="1" applyAlignment="1" applyProtection="1">
      <alignment horizontal="left"/>
      <protection hidden="1"/>
    </xf>
    <xf numFmtId="43" fontId="1" fillId="0" borderId="0" xfId="1" applyFont="1" applyFill="1" applyBorder="1"/>
    <xf numFmtId="43" fontId="1" fillId="0" borderId="8" xfId="1" applyFont="1" applyFill="1" applyBorder="1"/>
    <xf numFmtId="43" fontId="2" fillId="0" borderId="0" xfId="1" applyFont="1"/>
    <xf numFmtId="43" fontId="2" fillId="0" borderId="5" xfId="1" applyFont="1" applyFill="1" applyBorder="1"/>
    <xf numFmtId="0" fontId="0" fillId="0" borderId="4" xfId="0" applyBorder="1"/>
    <xf numFmtId="0" fontId="1" fillId="0" borderId="1" xfId="0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Monthly Profit by</a:t>
            </a:r>
            <a:r>
              <a:rPr lang="en-US" sz="1800" baseline="0"/>
              <a:t> Month, Projection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Inputs!$B$75</c:f>
              <c:strCache>
                <c:ptCount val="1"/>
                <c:pt idx="0">
                  <c:v>Monthly Proft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Inputs!$B$76:$B$135</c:f>
              <c:numCache>
                <c:formatCode>"$"#,##0.00</c:formatCode>
                <c:ptCount val="60"/>
                <c:pt idx="0">
                  <c:v>-38866.833333333336</c:v>
                </c:pt>
                <c:pt idx="1">
                  <c:v>-8609.6785696167099</c:v>
                </c:pt>
                <c:pt idx="2">
                  <c:v>-8304.9059291437006</c:v>
                </c:pt>
                <c:pt idx="3">
                  <c:v>-7949.6915268369285</c:v>
                </c:pt>
                <c:pt idx="4">
                  <c:v>-7541.0091587625666</c:v>
                </c:pt>
                <c:pt idx="5">
                  <c:v>-7075.7990190086603</c:v>
                </c:pt>
                <c:pt idx="6">
                  <c:v>-6551.191215272569</c:v>
                </c:pt>
                <c:pt idx="7">
                  <c:v>-6971.7902664970861</c:v>
                </c:pt>
                <c:pt idx="8">
                  <c:v>-5315.0202094182587</c:v>
                </c:pt>
                <c:pt idx="9">
                  <c:v>-4601.5192295458946</c:v>
                </c:pt>
                <c:pt idx="10">
                  <c:v>-5212.557744570362</c:v>
                </c:pt>
                <c:pt idx="11">
                  <c:v>-4820.4357969208195</c:v>
                </c:pt>
                <c:pt idx="12">
                  <c:v>-5578.7733839479006</c:v>
                </c:pt>
                <c:pt idx="13">
                  <c:v>-6349.4823868465101</c:v>
                </c:pt>
                <c:pt idx="14">
                  <c:v>-3627.5445685887462</c:v>
                </c:pt>
                <c:pt idx="15">
                  <c:v>-4009.6827387629855</c:v>
                </c:pt>
                <c:pt idx="16">
                  <c:v>-1582.053441370248</c:v>
                </c:pt>
                <c:pt idx="17">
                  <c:v>-559.29956061417761</c:v>
                </c:pt>
                <c:pt idx="18">
                  <c:v>-395.66024338869738</c:v>
                </c:pt>
                <c:pt idx="19">
                  <c:v>1417.299322110026</c:v>
                </c:pt>
                <c:pt idx="20">
                  <c:v>2349.3421645301969</c:v>
                </c:pt>
                <c:pt idx="21">
                  <c:v>18.431821621998097</c:v>
                </c:pt>
                <c:pt idx="22">
                  <c:v>3069.7127480066483</c:v>
                </c:pt>
                <c:pt idx="23">
                  <c:v>3855.3992880580772</c:v>
                </c:pt>
                <c:pt idx="24">
                  <c:v>3437.066706210524</c:v>
                </c:pt>
                <c:pt idx="25">
                  <c:v>5139.7336842953191</c:v>
                </c:pt>
                <c:pt idx="26">
                  <c:v>4789.9151670891479</c:v>
                </c:pt>
                <c:pt idx="27">
                  <c:v>6419.7993303568037</c:v>
                </c:pt>
                <c:pt idx="28">
                  <c:v>7011.6511273146134</c:v>
                </c:pt>
                <c:pt idx="29">
                  <c:v>6187.4866923017253</c:v>
                </c:pt>
                <c:pt idx="30">
                  <c:v>6279.0118512799636</c:v>
                </c:pt>
                <c:pt idx="31">
                  <c:v>8614.7807913283759</c:v>
                </c:pt>
                <c:pt idx="32">
                  <c:v>7362.5088577017377</c:v>
                </c:pt>
                <c:pt idx="33">
                  <c:v>9534.4651703705167</c:v>
                </c:pt>
                <c:pt idx="34">
                  <c:v>8544.8741532071581</c:v>
                </c:pt>
                <c:pt idx="35">
                  <c:v>10320.267629652983</c:v>
                </c:pt>
                <c:pt idx="36">
                  <c:v>10501.214425910675</c:v>
                </c:pt>
                <c:pt idx="37">
                  <c:v>9563.1420764743525</c:v>
                </c:pt>
                <c:pt idx="38">
                  <c:v>11231.051460707131</c:v>
                </c:pt>
                <c:pt idx="39">
                  <c:v>11310.306947969941</c:v>
                </c:pt>
                <c:pt idx="40">
                  <c:v>10671.631469520107</c:v>
                </c:pt>
                <c:pt idx="41">
                  <c:v>11683.635387997361</c:v>
                </c:pt>
                <c:pt idx="42">
                  <c:v>11828.367205722527</c:v>
                </c:pt>
                <c:pt idx="43">
                  <c:v>9732.945905226552</c:v>
                </c:pt>
                <c:pt idx="44">
                  <c:v>12048.281738560188</c:v>
                </c:pt>
                <c:pt idx="45">
                  <c:v>12129.196454505254</c:v>
                </c:pt>
                <c:pt idx="46">
                  <c:v>11187.343619342508</c:v>
                </c:pt>
                <c:pt idx="47">
                  <c:v>12246.156168840804</c:v>
                </c:pt>
                <c:pt idx="48">
                  <c:v>11279.817452804207</c:v>
                </c:pt>
                <c:pt idx="49">
                  <c:v>12318.251105677446</c:v>
                </c:pt>
                <c:pt idx="50">
                  <c:v>12182.474991768875</c:v>
                </c:pt>
                <c:pt idx="51">
                  <c:v>10813.214905489447</c:v>
                </c:pt>
                <c:pt idx="52">
                  <c:v>10383.024396240857</c:v>
                </c:pt>
                <c:pt idx="53">
                  <c:v>12221.907852645891</c:v>
                </c:pt>
                <c:pt idx="54">
                  <c:v>10499.694709674099</c:v>
                </c:pt>
                <c:pt idx="55">
                  <c:v>12231.063276291883</c:v>
                </c:pt>
                <c:pt idx="56">
                  <c:v>10832.563198540716</c:v>
                </c:pt>
                <c:pt idx="57">
                  <c:v>12232.635973771139</c:v>
                </c:pt>
                <c:pt idx="58">
                  <c:v>12073.099895045358</c:v>
                </c:pt>
                <c:pt idx="59">
                  <c:v>12103.832680972097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3-5E4B-A941-B04B656612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4311024"/>
        <c:axId val="534312736"/>
      </c:lineChart>
      <c:catAx>
        <c:axId val="5343110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layout>
            <c:manualLayout>
              <c:xMode val="edge"/>
              <c:yMode val="edge"/>
              <c:x val="0.46636780630538105"/>
              <c:y val="0.93646389717422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2736"/>
        <c:crosses val="autoZero"/>
        <c:auto val="1"/>
        <c:lblAlgn val="ctr"/>
        <c:lblOffset val="100"/>
        <c:noMultiLvlLbl val="0"/>
      </c:catAx>
      <c:valAx>
        <c:axId val="5343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10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Yearly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Inputs!$H$73</c:f>
              <c:strCache>
                <c:ptCount val="1"/>
                <c:pt idx="0">
                  <c:v>Yearly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Inputs!$G$74:$G$78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Inputs!$H$74:$H$78</c:f>
              <c:numCache>
                <c:formatCode>"$"#,##0.00</c:formatCode>
                <c:ptCount val="5"/>
                <c:pt idx="0">
                  <c:v>-111820.43199892691</c:v>
                </c:pt>
                <c:pt idx="1">
                  <c:v>-11392.31097919232</c:v>
                </c:pt>
                <c:pt idx="2">
                  <c:v>83641.561161108868</c:v>
                </c:pt>
                <c:pt idx="3">
                  <c:v>134133.27286077739</c:v>
                </c:pt>
                <c:pt idx="4">
                  <c:v>139171.58043892201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A-044F-BBD7-8751D8F0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209040"/>
        <c:axId val="543553584"/>
      </c:barChart>
      <c:catAx>
        <c:axId val="46220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 (in 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3584"/>
        <c:crosses val="autoZero"/>
        <c:auto val="1"/>
        <c:lblAlgn val="ctr"/>
        <c:lblOffset val="100"/>
        <c:noMultiLvlLbl val="0"/>
      </c:catAx>
      <c:valAx>
        <c:axId val="5435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0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1395322</xdr:colOff>
      <xdr:row>45</xdr:row>
      <xdr:rowOff>45799</xdr:rowOff>
    </xdr:from>
    <xdr:to>
      <xdr:col>11</xdr:col>
      <xdr:colOff>1370188</xdr:colOff>
      <xdr:row>81</xdr:row>
      <xdr:rowOff>130033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8A0B09-ECBC-BBBF-3CC8-65B7D0597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1586537</xdr:colOff>
      <xdr:row>45</xdr:row>
      <xdr:rowOff>52573</xdr:rowOff>
    </xdr:from>
    <xdr:to>
      <xdr:col>20</xdr:col>
      <xdr:colOff>54071</xdr:colOff>
      <xdr:row>81</xdr:row>
      <xdr:rowOff>165522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B72FDF-B179-53B3-7A2A-9D11A07A0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0</xdr:row>
      <xdr:rowOff>30480</xdr:rowOff>
    </xdr:from>
    <xdr:to>
      <xdr:col>12</xdr:col>
      <xdr:colOff>0</xdr:colOff>
      <xdr:row>2</xdr:row>
      <xdr:rowOff>182281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55FE2E-6FB8-8F41-B34E-B772DB1C7129}"/>
            </a:ext>
          </a:extLst>
        </xdr:cNvPr>
        <xdr:cNvSpPr/>
      </xdr:nvSpPr>
      <xdr:spPr>
        <a:xfrm>
          <a:off x="88899" y="30480"/>
          <a:ext cx="15849601" cy="532801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/>
            <a:t>Statement of Cash Flows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4"/>
  <sheetViews>
    <sheetView tabSelected="1" topLeftCell="A176" zoomScaleNormal="90" workbookViewId="0">
      <selection activeCell="D207" sqref="D207"/>
    </sheetView>
  </sheetViews>
  <sheetFormatPr baseColWidth="10" defaultColWidth="8.83203125" defaultRowHeight="15" x14ac:dyDescent="0.2"/>
  <cols>
    <col min="1" max="1" width="27.1640625" bestFit="1" customWidth="1"/>
    <col min="2" max="2" width="17.5" bestFit="1" customWidth="1"/>
    <col min="3" max="3" width="21" customWidth="1"/>
    <col min="4" max="4" width="31" bestFit="1" customWidth="1"/>
    <col min="5" max="5" width="13.83203125" customWidth="1"/>
    <col min="6" max="6" width="5.83203125" customWidth="1"/>
    <col min="7" max="7" width="36.1640625" bestFit="1" customWidth="1"/>
    <col min="8" max="8" width="21" customWidth="1"/>
    <col min="9" max="9" width="8" customWidth="1"/>
    <col min="10" max="13" width="21" customWidth="1"/>
    <col min="14" max="14" width="28" bestFit="1" customWidth="1"/>
    <col min="15" max="15" width="22" bestFit="1" customWidth="1"/>
    <col min="16" max="16" width="22" customWidth="1"/>
    <col min="17" max="17" width="21" customWidth="1"/>
    <col min="18" max="18" width="36.1640625" bestFit="1" customWidth="1"/>
    <col min="23" max="23" width="23.1640625" bestFit="1" customWidth="1"/>
  </cols>
  <sheetData>
    <row r="1" spans="1:25" ht="16" thickBot="1" x14ac:dyDescent="0.25">
      <c r="A1" s="3" t="s">
        <v>0</v>
      </c>
      <c r="B1" s="3" t="s">
        <v>1</v>
      </c>
      <c r="D1" s="3" t="s">
        <v>0</v>
      </c>
      <c r="E1" s="3" t="s">
        <v>1</v>
      </c>
      <c r="F1" s="6"/>
      <c r="G1" s="3" t="s">
        <v>0</v>
      </c>
      <c r="H1" s="3" t="s">
        <v>1</v>
      </c>
      <c r="I1" s="7"/>
      <c r="J1" s="8" t="s">
        <v>45</v>
      </c>
      <c r="K1" s="8" t="s">
        <v>27</v>
      </c>
      <c r="L1" s="8" t="s">
        <v>28</v>
      </c>
      <c r="M1" s="8" t="s">
        <v>29</v>
      </c>
      <c r="N1" s="8" t="s">
        <v>47</v>
      </c>
      <c r="O1" s="8" t="s">
        <v>48</v>
      </c>
      <c r="P1" s="8" t="s">
        <v>7</v>
      </c>
      <c r="Q1" s="8"/>
      <c r="W1" t="s">
        <v>128</v>
      </c>
    </row>
    <row r="2" spans="1:25" x14ac:dyDescent="0.2">
      <c r="A2" s="2" t="s">
        <v>2</v>
      </c>
      <c r="B2" s="13">
        <v>7286</v>
      </c>
      <c r="D2" s="1" t="s">
        <v>30</v>
      </c>
      <c r="E2" s="23">
        <f>VLOOKUP(B14, J:P, 3, FALSE)</f>
        <v>20</v>
      </c>
      <c r="G2" s="2" t="s">
        <v>8</v>
      </c>
      <c r="H2" s="13">
        <v>160</v>
      </c>
      <c r="J2" s="1">
        <v>1</v>
      </c>
      <c r="K2" s="20">
        <f>H20</f>
        <v>20</v>
      </c>
      <c r="L2" s="20">
        <f>H21</f>
        <v>20</v>
      </c>
      <c r="M2" s="20">
        <f>H22</f>
        <v>10</v>
      </c>
      <c r="N2" s="17">
        <v>29</v>
      </c>
      <c r="O2" s="13">
        <v>0</v>
      </c>
      <c r="P2" s="13">
        <v>30000</v>
      </c>
      <c r="Q2" s="1"/>
      <c r="W2">
        <f>29-N2</f>
        <v>0</v>
      </c>
    </row>
    <row r="3" spans="1:25" x14ac:dyDescent="0.2">
      <c r="A3" s="2" t="s">
        <v>116</v>
      </c>
      <c r="B3" s="13">
        <v>1000</v>
      </c>
      <c r="D3" s="1" t="s">
        <v>10</v>
      </c>
      <c r="E3" s="23">
        <f>VLOOKUP(B14, J:P, 2, FALSE)</f>
        <v>20</v>
      </c>
      <c r="G3" s="1" t="s">
        <v>9</v>
      </c>
      <c r="H3" s="14">
        <v>200</v>
      </c>
      <c r="I3" s="27"/>
      <c r="J3" s="1">
        <v>2</v>
      </c>
      <c r="K3" s="21">
        <f t="shared" ref="K3:K34" si="0">$H$23/(1+(($H$23-K2)/K2)*EXP(-$H$26*J3))+($H$29*COS(2*PI()*J3)/12)-($H$33*$K$2)</f>
        <v>20.917549580341245</v>
      </c>
      <c r="L3" s="21">
        <f t="shared" ref="L3:L34" si="1">$H$24/(1+(($H$24-L2)/L2)*EXP(-$H$27*J3))+($H$30*COS(2*PI()*J3)/12)-($H$34*$L$2)</f>
        <v>20.971920794143255</v>
      </c>
      <c r="M3" s="21">
        <f t="shared" ref="M3:M13" si="2">$H$25/(1+(($H$25-M2)/M2)*EXP(-$H$28*J3))</f>
        <v>10.089235170928426</v>
      </c>
      <c r="N3" s="19">
        <v>21</v>
      </c>
      <c r="O3" s="14">
        <v>0</v>
      </c>
      <c r="P3" s="13">
        <v>0</v>
      </c>
      <c r="Q3" s="1"/>
      <c r="W3">
        <f t="shared" ref="W3:W61" si="3">29-N3</f>
        <v>8</v>
      </c>
    </row>
    <row r="4" spans="1:25" x14ac:dyDescent="0.2">
      <c r="A4" s="2" t="s">
        <v>99</v>
      </c>
      <c r="B4" s="13">
        <v>125</v>
      </c>
      <c r="D4" s="1" t="s">
        <v>25</v>
      </c>
      <c r="E4" s="23">
        <f>VLOOKUP(B14, J:P, 4, FALSE)</f>
        <v>10</v>
      </c>
      <c r="G4" s="1" t="s">
        <v>26</v>
      </c>
      <c r="H4" s="14">
        <v>1769</v>
      </c>
      <c r="J4" s="1">
        <v>3</v>
      </c>
      <c r="K4" s="21">
        <f t="shared" si="0"/>
        <v>21.978137907929906</v>
      </c>
      <c r="L4" s="21">
        <f t="shared" si="1"/>
        <v>22.123461997737643</v>
      </c>
      <c r="M4" s="21">
        <f t="shared" si="2"/>
        <v>10.224392125361783</v>
      </c>
      <c r="N4" s="17">
        <v>21</v>
      </c>
      <c r="O4" s="13">
        <v>0</v>
      </c>
      <c r="P4" s="13">
        <v>0</v>
      </c>
      <c r="Q4" s="1"/>
      <c r="W4">
        <f t="shared" si="3"/>
        <v>8</v>
      </c>
    </row>
    <row r="5" spans="1:25" x14ac:dyDescent="0.2">
      <c r="A5" s="1" t="s">
        <v>127</v>
      </c>
      <c r="B5" s="26">
        <f>SUM(B3:B4)</f>
        <v>1125</v>
      </c>
      <c r="D5" s="1" t="s">
        <v>11</v>
      </c>
      <c r="E5" s="16">
        <v>16</v>
      </c>
      <c r="G5" s="1" t="s">
        <v>31</v>
      </c>
      <c r="H5" s="14">
        <v>30</v>
      </c>
      <c r="J5" s="1">
        <v>4</v>
      </c>
      <c r="K5" s="21">
        <f t="shared" si="0"/>
        <v>23.188157995567746</v>
      </c>
      <c r="L5" s="21">
        <f t="shared" si="1"/>
        <v>23.470298698162811</v>
      </c>
      <c r="M5" s="21">
        <f t="shared" si="2"/>
        <v>10.407054770306061</v>
      </c>
      <c r="N5" s="19">
        <v>21</v>
      </c>
      <c r="O5" s="14">
        <v>0</v>
      </c>
      <c r="P5" s="13">
        <v>0</v>
      </c>
      <c r="Q5" s="1"/>
      <c r="W5">
        <f t="shared" si="3"/>
        <v>8</v>
      </c>
    </row>
    <row r="6" spans="1:25" x14ac:dyDescent="0.2">
      <c r="A6" s="1" t="s">
        <v>3</v>
      </c>
      <c r="B6" s="26">
        <f>VLOOKUP(B14, J:P, 6, FALSE)</f>
        <v>0</v>
      </c>
      <c r="D6" s="1" t="s">
        <v>22</v>
      </c>
      <c r="E6" s="23">
        <f>E2/E9</f>
        <v>10</v>
      </c>
      <c r="J6" s="1">
        <v>5</v>
      </c>
      <c r="K6" s="21">
        <f t="shared" si="0"/>
        <v>24.553401437582636</v>
      </c>
      <c r="L6" s="21">
        <f t="shared" si="1"/>
        <v>25.03026719998147</v>
      </c>
      <c r="M6" s="21">
        <f t="shared" si="2"/>
        <v>10.639366136072796</v>
      </c>
      <c r="N6" s="17">
        <v>14</v>
      </c>
      <c r="O6" s="13">
        <v>0</v>
      </c>
      <c r="P6" s="13">
        <v>0</v>
      </c>
      <c r="Q6" s="1"/>
      <c r="W6">
        <f t="shared" si="3"/>
        <v>15</v>
      </c>
    </row>
    <row r="7" spans="1:25" x14ac:dyDescent="0.2">
      <c r="A7" s="1" t="s">
        <v>4</v>
      </c>
      <c r="B7" s="14">
        <v>650</v>
      </c>
      <c r="D7" s="1" t="s">
        <v>12</v>
      </c>
      <c r="E7" s="16">
        <v>29</v>
      </c>
      <c r="J7" s="1">
        <v>6</v>
      </c>
      <c r="K7" s="21">
        <f t="shared" si="0"/>
        <v>26.078238452350782</v>
      </c>
      <c r="L7" s="21">
        <f t="shared" si="1"/>
        <v>26.822951393012392</v>
      </c>
      <c r="M7" s="21">
        <f t="shared" si="2"/>
        <v>10.924054421575871</v>
      </c>
      <c r="N7" s="19">
        <v>14</v>
      </c>
      <c r="O7" s="14">
        <v>0</v>
      </c>
      <c r="P7" s="13">
        <v>0</v>
      </c>
      <c r="Q7" s="1"/>
      <c r="W7">
        <f t="shared" si="3"/>
        <v>15</v>
      </c>
    </row>
    <row r="8" spans="1:25" x14ac:dyDescent="0.2">
      <c r="A8" s="1" t="s">
        <v>5</v>
      </c>
      <c r="B8" s="14">
        <v>60</v>
      </c>
      <c r="D8" s="1" t="s">
        <v>131</v>
      </c>
      <c r="E8" s="16">
        <v>30</v>
      </c>
      <c r="J8" s="1">
        <v>7</v>
      </c>
      <c r="K8" s="21">
        <f t="shared" si="0"/>
        <v>27.764613536450973</v>
      </c>
      <c r="L8" s="21">
        <f t="shared" si="1"/>
        <v>28.869008006003984</v>
      </c>
      <c r="M8" s="21">
        <f t="shared" si="2"/>
        <v>11.264464567291412</v>
      </c>
      <c r="N8" s="17">
        <v>14</v>
      </c>
      <c r="O8" s="14">
        <v>0</v>
      </c>
      <c r="P8" s="13">
        <v>0</v>
      </c>
      <c r="Q8" s="1"/>
      <c r="W8">
        <f t="shared" si="3"/>
        <v>15</v>
      </c>
    </row>
    <row r="9" spans="1:25" x14ac:dyDescent="0.2">
      <c r="A9" s="1" t="s">
        <v>6</v>
      </c>
      <c r="B9" s="14">
        <v>0</v>
      </c>
      <c r="D9" s="1" t="s">
        <v>52</v>
      </c>
      <c r="E9" s="16">
        <v>2</v>
      </c>
      <c r="J9" s="1">
        <v>8</v>
      </c>
      <c r="K9" s="21">
        <f t="shared" si="0"/>
        <v>29.610878478949271</v>
      </c>
      <c r="L9" s="21">
        <f t="shared" si="1"/>
        <v>31.18913546826154</v>
      </c>
      <c r="M9" s="21">
        <f t="shared" si="2"/>
        <v>11.66459443783976</v>
      </c>
      <c r="N9" s="19">
        <v>14</v>
      </c>
      <c r="O9" s="14">
        <v>0</v>
      </c>
      <c r="P9" s="13">
        <v>1007</v>
      </c>
      <c r="Q9" s="1"/>
      <c r="W9">
        <f t="shared" si="3"/>
        <v>15</v>
      </c>
    </row>
    <row r="10" spans="1:25" x14ac:dyDescent="0.2">
      <c r="A10" s="1" t="s">
        <v>7</v>
      </c>
      <c r="B10" s="14">
        <f>VLOOKUP(B14, J:P, 7, FALSE)</f>
        <v>30000</v>
      </c>
      <c r="J10" s="1">
        <v>9</v>
      </c>
      <c r="K10" s="21">
        <f t="shared" si="0"/>
        <v>31.610528231639087</v>
      </c>
      <c r="L10" s="21">
        <f t="shared" si="1"/>
        <v>33.802587359925255</v>
      </c>
      <c r="M10" s="21">
        <f t="shared" si="2"/>
        <v>12.129134228560513</v>
      </c>
      <c r="N10" s="17">
        <v>14</v>
      </c>
      <c r="O10" s="14">
        <v>0</v>
      </c>
      <c r="P10" s="13">
        <v>0</v>
      </c>
      <c r="Q10" s="1"/>
      <c r="W10">
        <f t="shared" si="3"/>
        <v>15</v>
      </c>
    </row>
    <row r="11" spans="1:25" x14ac:dyDescent="0.2">
      <c r="A11" s="4" t="s">
        <v>19</v>
      </c>
      <c r="B11" s="22">
        <f>SUM(E2:E4)</f>
        <v>50</v>
      </c>
      <c r="J11" s="1">
        <v>10</v>
      </c>
      <c r="K11" s="21">
        <f t="shared" si="0"/>
        <v>33.750962763026592</v>
      </c>
      <c r="L11" s="21">
        <f t="shared" si="1"/>
        <v>36.725147290249417</v>
      </c>
      <c r="M11" s="21">
        <f t="shared" si="2"/>
        <v>12.663507061695256</v>
      </c>
      <c r="N11" s="19">
        <v>14</v>
      </c>
      <c r="O11" s="14">
        <v>0</v>
      </c>
      <c r="P11" s="13">
        <v>0</v>
      </c>
      <c r="Q11" s="1"/>
      <c r="W11">
        <f t="shared" si="3"/>
        <v>15</v>
      </c>
    </row>
    <row r="12" spans="1:25" x14ac:dyDescent="0.2">
      <c r="J12" s="1">
        <v>11</v>
      </c>
      <c r="K12" s="21">
        <f t="shared" si="0"/>
        <v>36.012461772674328</v>
      </c>
      <c r="L12" s="21">
        <f t="shared" si="1"/>
        <v>39.966531216269736</v>
      </c>
      <c r="M12" s="21">
        <f t="shared" si="2"/>
        <v>13.273907858732194</v>
      </c>
      <c r="N12" s="17">
        <v>14</v>
      </c>
      <c r="O12" s="14">
        <v>0</v>
      </c>
      <c r="P12" s="13">
        <v>1387</v>
      </c>
      <c r="Q12" s="1"/>
      <c r="W12">
        <f t="shared" si="3"/>
        <v>15</v>
      </c>
    </row>
    <row r="13" spans="1:25" x14ac:dyDescent="0.2">
      <c r="J13" s="1">
        <v>12</v>
      </c>
      <c r="K13" s="21">
        <f t="shared" si="0"/>
        <v>38.367612383985758</v>
      </c>
      <c r="L13" s="21">
        <f t="shared" si="1"/>
        <v>43.52728045413027</v>
      </c>
      <c r="M13" s="21">
        <f t="shared" si="2"/>
        <v>13.967336413081506</v>
      </c>
      <c r="N13" s="19">
        <v>14</v>
      </c>
      <c r="O13" s="14">
        <v>0</v>
      </c>
      <c r="P13" s="13">
        <v>1830</v>
      </c>
      <c r="Q13" s="1"/>
      <c r="W13">
        <f t="shared" si="3"/>
        <v>15</v>
      </c>
      <c r="Y13">
        <f>SUM(W2:W13)</f>
        <v>144</v>
      </c>
    </row>
    <row r="14" spans="1:25" x14ac:dyDescent="0.2">
      <c r="A14" s="4" t="s">
        <v>45</v>
      </c>
      <c r="B14" s="15">
        <v>1</v>
      </c>
      <c r="J14" s="1">
        <v>13</v>
      </c>
      <c r="K14" s="21">
        <f t="shared" si="0"/>
        <v>40.781447624431742</v>
      </c>
      <c r="L14" s="21">
        <f t="shared" si="1"/>
        <v>47.395363341358603</v>
      </c>
      <c r="M14" s="21">
        <f>$H$25/(1+(($H$25-M13)/M13)*EXP(-$H$28*J14))+(H31*COS((2*PI()*J14)/12))-($H$35*$M$13)</f>
        <v>18.299549996656829</v>
      </c>
      <c r="N14" s="19">
        <v>14</v>
      </c>
      <c r="O14" s="14">
        <v>4000</v>
      </c>
      <c r="P14" s="13">
        <v>0</v>
      </c>
      <c r="Q14" s="1"/>
      <c r="W14">
        <f t="shared" si="3"/>
        <v>15</v>
      </c>
    </row>
    <row r="15" spans="1:25" x14ac:dyDescent="0.2">
      <c r="J15" s="1">
        <v>14</v>
      </c>
      <c r="K15" s="21">
        <f t="shared" si="0"/>
        <v>43.212508121016242</v>
      </c>
      <c r="L15" s="21">
        <f t="shared" si="1"/>
        <v>51.542908532692877</v>
      </c>
      <c r="M15" s="21">
        <f t="shared" ref="M15:M61" si="4">$H$25/(1+(($H$25-M14)/M14)*EXP(-$H$28*J15))+(S25*COS((2*PI()*J15)/12))-(S29*M14)</f>
        <v>19.341269376065146</v>
      </c>
      <c r="N15" s="19">
        <v>14</v>
      </c>
      <c r="O15" s="14">
        <v>4000</v>
      </c>
      <c r="P15" s="13">
        <v>1728</v>
      </c>
      <c r="Q15" s="1"/>
      <c r="W15">
        <f t="shared" si="3"/>
        <v>15</v>
      </c>
    </row>
    <row r="16" spans="1:25" x14ac:dyDescent="0.2">
      <c r="J16" s="1">
        <v>15</v>
      </c>
      <c r="K16" s="21">
        <f t="shared" si="0"/>
        <v>45.614913489910499</v>
      </c>
      <c r="L16" s="21">
        <f t="shared" si="1"/>
        <v>55.923710620919209</v>
      </c>
      <c r="M16" s="21">
        <f t="shared" si="4"/>
        <v>20.504453663767006</v>
      </c>
      <c r="N16" s="19">
        <v>14</v>
      </c>
      <c r="O16" s="14">
        <v>4000</v>
      </c>
      <c r="P16" s="13">
        <v>0</v>
      </c>
      <c r="Q16" s="1"/>
      <c r="W16">
        <f t="shared" si="3"/>
        <v>15</v>
      </c>
    </row>
    <row r="17" spans="1:25" x14ac:dyDescent="0.2">
      <c r="J17" s="1">
        <v>16</v>
      </c>
      <c r="K17" s="21">
        <f t="shared" si="0"/>
        <v>47.941331597541826</v>
      </c>
      <c r="L17" s="21">
        <f t="shared" si="1"/>
        <v>60.472302012765063</v>
      </c>
      <c r="M17" s="21">
        <f t="shared" si="4"/>
        <v>21.79858001822825</v>
      </c>
      <c r="N17" s="19">
        <v>14</v>
      </c>
      <c r="O17" s="14">
        <v>4000</v>
      </c>
      <c r="P17" s="13">
        <v>1400</v>
      </c>
      <c r="Q17" s="1"/>
      <c r="W17">
        <f t="shared" si="3"/>
        <v>15</v>
      </c>
    </row>
    <row r="18" spans="1:25" x14ac:dyDescent="0.2">
      <c r="J18" s="1">
        <v>17</v>
      </c>
      <c r="K18" s="21">
        <f t="shared" si="0"/>
        <v>50.146507010605305</v>
      </c>
      <c r="L18" s="21">
        <f t="shared" si="1"/>
        <v>65.105366445840886</v>
      </c>
      <c r="M18" s="21">
        <f t="shared" si="4"/>
        <v>23.233253537696875</v>
      </c>
      <c r="N18" s="19">
        <v>14</v>
      </c>
      <c r="O18" s="14">
        <v>4000</v>
      </c>
      <c r="P18" s="13">
        <v>0</v>
      </c>
      <c r="Q18" s="1"/>
      <c r="W18">
        <f t="shared" si="3"/>
        <v>15</v>
      </c>
    </row>
    <row r="19" spans="1:25" ht="16" thickBot="1" x14ac:dyDescent="0.25">
      <c r="D19" s="4" t="s">
        <v>24</v>
      </c>
      <c r="E19" s="15">
        <f>VLOOKUP(B14, J:P, 5, FALSE)</f>
        <v>29</v>
      </c>
      <c r="G19" s="8" t="s">
        <v>0</v>
      </c>
      <c r="H19" s="8" t="s">
        <v>1</v>
      </c>
      <c r="J19" s="1">
        <v>18</v>
      </c>
      <c r="K19" s="21">
        <f t="shared" si="0"/>
        <v>52.190827104855899</v>
      </c>
      <c r="L19" s="21">
        <f t="shared" si="1"/>
        <v>69.725982108143924</v>
      </c>
      <c r="M19" s="21">
        <f t="shared" si="4"/>
        <v>24.817885077181373</v>
      </c>
      <c r="N19" s="19">
        <v>14</v>
      </c>
      <c r="O19" s="14">
        <v>4000</v>
      </c>
      <c r="P19" s="13">
        <v>0</v>
      </c>
      <c r="Q19" s="1"/>
      <c r="W19">
        <f t="shared" si="3"/>
        <v>15</v>
      </c>
    </row>
    <row r="20" spans="1:25" x14ac:dyDescent="0.2">
      <c r="G20" s="2" t="s">
        <v>44</v>
      </c>
      <c r="H20" s="9">
        <v>20</v>
      </c>
      <c r="J20" s="1">
        <v>19</v>
      </c>
      <c r="K20" s="21">
        <f t="shared" si="0"/>
        <v>54.043339474506269</v>
      </c>
      <c r="L20" s="21">
        <f t="shared" si="1"/>
        <v>74.230606886729063</v>
      </c>
      <c r="M20" s="21">
        <f t="shared" si="4"/>
        <v>26.561267451807737</v>
      </c>
      <c r="N20" s="19">
        <v>14</v>
      </c>
      <c r="O20" s="14">
        <v>4000</v>
      </c>
      <c r="P20" s="13">
        <v>840.22875816993405</v>
      </c>
      <c r="Q20" s="1"/>
      <c r="W20">
        <f t="shared" si="3"/>
        <v>15</v>
      </c>
    </row>
    <row r="21" spans="1:25" ht="16" thickBot="1" x14ac:dyDescent="0.25">
      <c r="A21" s="3" t="s">
        <v>13</v>
      </c>
      <c r="B21" s="3" t="s">
        <v>35</v>
      </c>
      <c r="G21" s="1" t="s">
        <v>43</v>
      </c>
      <c r="H21" s="5">
        <v>20</v>
      </c>
      <c r="J21" s="1">
        <v>20</v>
      </c>
      <c r="K21" s="21">
        <f t="shared" si="0"/>
        <v>55.683725824411077</v>
      </c>
      <c r="L21" s="21">
        <f t="shared" si="1"/>
        <v>78.517974532030166</v>
      </c>
      <c r="M21" s="21">
        <f t="shared" si="4"/>
        <v>28.471039482201704</v>
      </c>
      <c r="N21" s="19">
        <v>14</v>
      </c>
      <c r="O21" s="14">
        <v>4000</v>
      </c>
      <c r="P21" s="13">
        <v>0</v>
      </c>
      <c r="Q21" s="1"/>
      <c r="W21">
        <f t="shared" si="3"/>
        <v>15</v>
      </c>
    </row>
    <row r="22" spans="1:25" x14ac:dyDescent="0.2">
      <c r="A22" s="2" t="s">
        <v>14</v>
      </c>
      <c r="B22" s="10">
        <f>H2*Inputs!E3 + H5*Inputs!E5 + H3*Inputs!E6+(Inputs!E4*Inputs!H4/12)</f>
        <v>7154.166666666667</v>
      </c>
      <c r="G22" s="1" t="s">
        <v>42</v>
      </c>
      <c r="H22" s="5">
        <v>10</v>
      </c>
      <c r="J22" s="1">
        <v>21</v>
      </c>
      <c r="K22" s="21">
        <f t="shared" si="0"/>
        <v>57.102963623779594</v>
      </c>
      <c r="L22" s="21">
        <f t="shared" si="1"/>
        <v>82.498414384439513</v>
      </c>
      <c r="M22" s="21">
        <f t="shared" si="4"/>
        <v>30.553034796708957</v>
      </c>
      <c r="N22" s="19">
        <v>14</v>
      </c>
      <c r="O22" s="14">
        <v>4000</v>
      </c>
      <c r="P22" s="13">
        <v>0</v>
      </c>
      <c r="Q22" s="1"/>
      <c r="W22">
        <f t="shared" si="3"/>
        <v>15</v>
      </c>
    </row>
    <row r="23" spans="1:25" x14ac:dyDescent="0.2">
      <c r="A23" s="1" t="s">
        <v>15</v>
      </c>
      <c r="B23" s="11">
        <f>Inputs!B2 + Inputs!B5 + Inputs!B6 + Inputs!B7</f>
        <v>9061</v>
      </c>
      <c r="G23" s="1" t="s">
        <v>41</v>
      </c>
      <c r="H23" s="5">
        <v>60</v>
      </c>
      <c r="J23" s="1">
        <v>22</v>
      </c>
      <c r="K23" s="21">
        <f t="shared" si="0"/>
        <v>58.302691866593477</v>
      </c>
      <c r="L23" s="21">
        <f t="shared" si="1"/>
        <v>86.101829717694713</v>
      </c>
      <c r="M23" s="21">
        <f t="shared" si="4"/>
        <v>32.810524485229429</v>
      </c>
      <c r="N23" s="19">
        <v>14</v>
      </c>
      <c r="O23" s="14">
        <v>5000</v>
      </c>
      <c r="P23" s="13">
        <v>2216</v>
      </c>
      <c r="Q23" s="1"/>
      <c r="W23">
        <f t="shared" si="3"/>
        <v>15</v>
      </c>
    </row>
    <row r="24" spans="1:25" x14ac:dyDescent="0.2">
      <c r="A24" s="1" t="s">
        <v>16</v>
      </c>
      <c r="B24" s="11">
        <f>((Inputs!B8 * Inputs!E7)-(E19*B8) )* 4+B10+B9</f>
        <v>30000</v>
      </c>
      <c r="G24" s="1" t="s">
        <v>40</v>
      </c>
      <c r="H24" s="5">
        <v>100</v>
      </c>
      <c r="J24" s="1">
        <v>23</v>
      </c>
      <c r="K24" s="21">
        <f t="shared" si="0"/>
        <v>59.293547504955825</v>
      </c>
      <c r="L24" s="21">
        <f t="shared" si="1"/>
        <v>89.28283514438418</v>
      </c>
      <c r="M24" s="21">
        <f t="shared" si="4"/>
        <v>35.243380211025212</v>
      </c>
      <c r="N24" s="19">
        <v>14</v>
      </c>
      <c r="O24" s="14">
        <v>5000</v>
      </c>
      <c r="P24" s="13">
        <v>0</v>
      </c>
      <c r="Q24" s="1"/>
      <c r="W24">
        <f t="shared" si="3"/>
        <v>15</v>
      </c>
    </row>
    <row r="25" spans="1:25" x14ac:dyDescent="0.2">
      <c r="A25" s="1" t="s">
        <v>17</v>
      </c>
      <c r="B25" s="11">
        <f>B23 + B24</f>
        <v>39061</v>
      </c>
      <c r="G25" s="1" t="s">
        <v>39</v>
      </c>
      <c r="H25" s="5">
        <v>90</v>
      </c>
      <c r="J25" s="1">
        <v>24</v>
      </c>
      <c r="K25" s="21">
        <f t="shared" si="0"/>
        <v>60.092885151931561</v>
      </c>
      <c r="L25" s="21">
        <f t="shared" si="1"/>
        <v>92.022285761725854</v>
      </c>
      <c r="M25" s="21">
        <f t="shared" si="4"/>
        <v>37.847206925334824</v>
      </c>
      <c r="N25" s="19">
        <v>14</v>
      </c>
      <c r="O25" s="14">
        <v>5000</v>
      </c>
      <c r="P25" s="13">
        <v>0</v>
      </c>
      <c r="Q25" s="1"/>
      <c r="W25">
        <f t="shared" si="3"/>
        <v>15</v>
      </c>
      <c r="Y25">
        <f>SUM(W14:W25)</f>
        <v>180</v>
      </c>
    </row>
    <row r="26" spans="1:25" x14ac:dyDescent="0.2">
      <c r="A26" s="1" t="s">
        <v>18</v>
      </c>
      <c r="B26" s="11">
        <f>B22 - B25</f>
        <v>-31906.833333333332</v>
      </c>
      <c r="G26" s="1" t="s">
        <v>38</v>
      </c>
      <c r="H26" s="5">
        <v>0.01</v>
      </c>
      <c r="J26" s="1">
        <v>25</v>
      </c>
      <c r="K26" s="21">
        <f t="shared" si="0"/>
        <v>60.722314266096724</v>
      </c>
      <c r="L26" s="21">
        <f t="shared" si="1"/>
        <v>94.325340913077099</v>
      </c>
      <c r="M26" s="21">
        <f t="shared" si="4"/>
        <v>40.61252006101077</v>
      </c>
      <c r="N26" s="19">
        <v>14</v>
      </c>
      <c r="O26" s="14">
        <f>5000*1.03</f>
        <v>5150</v>
      </c>
      <c r="P26" s="13">
        <v>1007</v>
      </c>
      <c r="Q26" s="1"/>
      <c r="W26">
        <f t="shared" si="3"/>
        <v>15</v>
      </c>
    </row>
    <row r="27" spans="1:25" x14ac:dyDescent="0.2">
      <c r="A27" s="1" t="s">
        <v>20</v>
      </c>
      <c r="B27" s="11">
        <f>ROUNDUP((Inputs!B22/Inputs!B11),0)</f>
        <v>144</v>
      </c>
      <c r="G27" s="1" t="s">
        <v>37</v>
      </c>
      <c r="H27" s="5">
        <v>0.01</v>
      </c>
      <c r="J27" s="1">
        <v>26</v>
      </c>
      <c r="K27" s="21">
        <f t="shared" si="0"/>
        <v>61.205410730733128</v>
      </c>
      <c r="L27" s="21">
        <f t="shared" si="1"/>
        <v>96.21695075013298</v>
      </c>
      <c r="M27" s="21">
        <f t="shared" si="4"/>
        <v>43.524067104791769</v>
      </c>
      <c r="N27" s="19">
        <v>14</v>
      </c>
      <c r="O27" s="14">
        <f t="shared" ref="O27:O40" si="5">5000*1.03</f>
        <v>5150</v>
      </c>
      <c r="P27" s="13">
        <v>0</v>
      </c>
      <c r="Q27" s="1"/>
      <c r="W27">
        <f t="shared" si="3"/>
        <v>15</v>
      </c>
    </row>
    <row r="28" spans="1:25" x14ac:dyDescent="0.2">
      <c r="A28" s="1" t="s">
        <v>21</v>
      </c>
      <c r="B28" s="11">
        <f>ROUNDUP((Inputs!B24/Inputs!B11),0)</f>
        <v>600</v>
      </c>
      <c r="G28" s="1" t="s">
        <v>36</v>
      </c>
      <c r="H28" s="5">
        <v>5.0000000000000001E-3</v>
      </c>
      <c r="J28" s="1">
        <v>27</v>
      </c>
      <c r="K28" s="21">
        <f t="shared" si="0"/>
        <v>61.56583219836002</v>
      </c>
      <c r="L28" s="21">
        <f t="shared" si="1"/>
        <v>97.73601331139082</v>
      </c>
      <c r="M28" s="21">
        <f t="shared" si="4"/>
        <v>46.560411650960731</v>
      </c>
      <c r="N28" s="19">
        <v>14</v>
      </c>
      <c r="O28" s="14">
        <f t="shared" si="5"/>
        <v>5150</v>
      </c>
      <c r="P28" s="13">
        <v>1007</v>
      </c>
      <c r="Q28" s="1"/>
      <c r="W28">
        <f t="shared" si="3"/>
        <v>15</v>
      </c>
    </row>
    <row r="29" spans="1:25" x14ac:dyDescent="0.2">
      <c r="A29" s="4" t="s">
        <v>23</v>
      </c>
      <c r="B29" s="18">
        <f>IF(0&gt;B26,0,Inputs!B26)</f>
        <v>0</v>
      </c>
      <c r="G29" s="1" t="s">
        <v>53</v>
      </c>
      <c r="H29" s="5">
        <v>15</v>
      </c>
      <c r="J29" s="1">
        <v>28</v>
      </c>
      <c r="K29" s="21">
        <f t="shared" si="0"/>
        <v>61.825935853251352</v>
      </c>
      <c r="L29" s="21">
        <f t="shared" si="1"/>
        <v>98.929402445417665</v>
      </c>
      <c r="M29" s="21">
        <f t="shared" si="4"/>
        <v>49.693901747618924</v>
      </c>
      <c r="N29" s="19">
        <v>7</v>
      </c>
      <c r="O29" s="14">
        <f t="shared" si="5"/>
        <v>5150</v>
      </c>
      <c r="P29" s="13">
        <v>0</v>
      </c>
      <c r="Q29" s="1"/>
      <c r="W29">
        <f t="shared" si="3"/>
        <v>22</v>
      </c>
    </row>
    <row r="30" spans="1:25" x14ac:dyDescent="0.2">
      <c r="G30" s="1" t="s">
        <v>55</v>
      </c>
      <c r="H30" s="5">
        <v>15</v>
      </c>
      <c r="J30" s="1">
        <v>29</v>
      </c>
      <c r="K30" s="21">
        <f t="shared" si="0"/>
        <v>62.005893895131152</v>
      </c>
      <c r="L30" s="21">
        <f t="shared" si="1"/>
        <v>99.84674601733883</v>
      </c>
      <c r="M30" s="21">
        <f t="shared" si="4"/>
        <v>52.891126075928192</v>
      </c>
      <c r="N30" s="19">
        <v>7</v>
      </c>
      <c r="O30" s="14">
        <f t="shared" si="5"/>
        <v>5150</v>
      </c>
      <c r="P30" s="13">
        <v>0</v>
      </c>
      <c r="Q30" s="1"/>
      <c r="W30">
        <f t="shared" si="3"/>
        <v>22</v>
      </c>
    </row>
    <row r="31" spans="1:25" x14ac:dyDescent="0.2">
      <c r="G31" s="1" t="s">
        <v>54</v>
      </c>
      <c r="H31" s="5">
        <f>H25*0.05</f>
        <v>4.5</v>
      </c>
      <c r="J31" s="1">
        <v>30</v>
      </c>
      <c r="K31" s="21">
        <f t="shared" si="0"/>
        <v>62.123237361857299</v>
      </c>
      <c r="L31" s="21">
        <f t="shared" si="1"/>
        <v>100.5364215431627</v>
      </c>
      <c r="M31" s="21">
        <f t="shared" si="4"/>
        <v>56.113916744522022</v>
      </c>
      <c r="N31" s="19">
        <v>7</v>
      </c>
      <c r="O31" s="14">
        <f t="shared" si="5"/>
        <v>5150</v>
      </c>
      <c r="P31" s="13">
        <v>1387</v>
      </c>
      <c r="Q31" s="1"/>
      <c r="W31">
        <f t="shared" si="3"/>
        <v>22</v>
      </c>
    </row>
    <row r="32" spans="1:25" x14ac:dyDescent="0.2">
      <c r="G32" s="1" t="s">
        <v>56</v>
      </c>
      <c r="H32" s="5">
        <v>12</v>
      </c>
      <c r="J32" s="1">
        <v>31</v>
      </c>
      <c r="K32" s="21">
        <f t="shared" si="0"/>
        <v>62.192730040915947</v>
      </c>
      <c r="L32" s="21">
        <f t="shared" si="1"/>
        <v>101.04287499657707</v>
      </c>
      <c r="M32" s="21">
        <f t="shared" si="4"/>
        <v>59.320887812836908</v>
      </c>
      <c r="N32" s="19">
        <v>7</v>
      </c>
      <c r="O32" s="14">
        <f t="shared" si="5"/>
        <v>5150</v>
      </c>
      <c r="P32" s="13">
        <v>1830</v>
      </c>
      <c r="Q32" s="1"/>
      <c r="W32">
        <f t="shared" si="3"/>
        <v>22</v>
      </c>
    </row>
    <row r="33" spans="1:25" x14ac:dyDescent="0.2">
      <c r="G33" s="1" t="s">
        <v>57</v>
      </c>
      <c r="H33" s="28">
        <v>0.03</v>
      </c>
      <c r="J33" s="1">
        <v>32</v>
      </c>
      <c r="K33" s="21">
        <f t="shared" si="0"/>
        <v>62.226471449110747</v>
      </c>
      <c r="L33" s="21">
        <f t="shared" si="1"/>
        <v>101.40512609241114</v>
      </c>
      <c r="M33" s="21">
        <f t="shared" si="4"/>
        <v>62.469413794660554</v>
      </c>
      <c r="N33" s="19">
        <v>7</v>
      </c>
      <c r="O33" s="14">
        <f t="shared" si="5"/>
        <v>5150</v>
      </c>
      <c r="P33" s="13">
        <v>0</v>
      </c>
      <c r="Q33" s="1"/>
      <c r="W33">
        <f t="shared" si="3"/>
        <v>22</v>
      </c>
    </row>
    <row r="34" spans="1:25" x14ac:dyDescent="0.2">
      <c r="G34" s="1" t="s">
        <v>58</v>
      </c>
      <c r="H34" s="28">
        <v>0.03</v>
      </c>
      <c r="J34" s="1">
        <v>33</v>
      </c>
      <c r="K34" s="21">
        <f t="shared" si="0"/>
        <v>62.234140363900465</v>
      </c>
      <c r="L34" s="21">
        <f t="shared" si="1"/>
        <v>101.6562045157519</v>
      </c>
      <c r="M34" s="21">
        <f t="shared" si="4"/>
        <v>65.517869629638071</v>
      </c>
      <c r="N34" s="19">
        <v>7</v>
      </c>
      <c r="O34" s="14">
        <f t="shared" si="5"/>
        <v>5150</v>
      </c>
      <c r="P34" s="13">
        <v>1728</v>
      </c>
      <c r="Q34" s="1"/>
      <c r="W34">
        <f t="shared" si="3"/>
        <v>22</v>
      </c>
    </row>
    <row r="35" spans="1:25" ht="16" thickBot="1" x14ac:dyDescent="0.25">
      <c r="A35" s="8" t="s">
        <v>32</v>
      </c>
      <c r="G35" s="1" t="s">
        <v>59</v>
      </c>
      <c r="H35" s="28">
        <v>2.5000000000000001E-2</v>
      </c>
      <c r="J35" s="1">
        <v>34</v>
      </c>
      <c r="K35" s="21">
        <f t="shared" ref="K35:K61" si="6">$H$23/(1+(($H$23-K34)/K34)*EXP(-$H$26*J35))+($H$29*COS(2*PI()*J35)/12)-($H$33*$K$2)</f>
        <v>62.223309381503462</v>
      </c>
      <c r="L35" s="21">
        <f t="shared" ref="L35:L61" si="7">$H$24/(1+(($H$24-L34)/L34)*EXP(-$H$27*J35))+($H$30*COS(2*PI()*J35)/12)-($H$34*$L$2)</f>
        <v>101.82323657505862</v>
      </c>
      <c r="M35" s="21">
        <f t="shared" si="4"/>
        <v>68.42789380547724</v>
      </c>
      <c r="N35" s="19">
        <v>7</v>
      </c>
      <c r="O35" s="14">
        <f t="shared" si="5"/>
        <v>5150</v>
      </c>
      <c r="P35" s="13">
        <v>0</v>
      </c>
      <c r="Q35" s="1"/>
      <c r="W35">
        <f t="shared" si="3"/>
        <v>22</v>
      </c>
    </row>
    <row r="36" spans="1:25" x14ac:dyDescent="0.2">
      <c r="A36" s="9" t="s">
        <v>33</v>
      </c>
      <c r="J36" s="1">
        <v>35</v>
      </c>
      <c r="K36" s="21">
        <f t="shared" si="6"/>
        <v>62.199780656181808</v>
      </c>
      <c r="L36" s="21">
        <f t="shared" si="7"/>
        <v>101.9279324110763</v>
      </c>
      <c r="M36" s="21">
        <f t="shared" si="4"/>
        <v>71.16641723308382</v>
      </c>
      <c r="N36" s="19">
        <v>7</v>
      </c>
      <c r="O36" s="14">
        <f t="shared" si="5"/>
        <v>5150</v>
      </c>
      <c r="P36" s="14">
        <v>1400</v>
      </c>
      <c r="Q36" s="1"/>
      <c r="W36">
        <f t="shared" si="3"/>
        <v>22</v>
      </c>
    </row>
    <row r="37" spans="1:25" x14ac:dyDescent="0.2">
      <c r="A37" s="12" t="s">
        <v>34</v>
      </c>
      <c r="J37" s="1">
        <v>36</v>
      </c>
      <c r="K37" s="21">
        <f t="shared" si="6"/>
        <v>62.167910223482288</v>
      </c>
      <c r="L37" s="21">
        <f t="shared" si="7"/>
        <v>101.98727834612545</v>
      </c>
      <c r="M37" s="21">
        <f t="shared" si="4"/>
        <v>73.70723002340263</v>
      </c>
      <c r="N37" s="19">
        <v>7</v>
      </c>
      <c r="O37" s="14">
        <f t="shared" si="5"/>
        <v>5150</v>
      </c>
      <c r="P37" s="14">
        <v>0</v>
      </c>
      <c r="Q37" s="1"/>
      <c r="W37">
        <f t="shared" si="3"/>
        <v>22</v>
      </c>
      <c r="Y37">
        <f>SUM(W26:W37)</f>
        <v>243</v>
      </c>
    </row>
    <row r="38" spans="1:25" x14ac:dyDescent="0.2">
      <c r="J38" s="1">
        <v>37</v>
      </c>
      <c r="K38" s="21">
        <f t="shared" si="6"/>
        <v>62.13090192031347</v>
      </c>
      <c r="L38" s="21">
        <f t="shared" si="7"/>
        <v>102.01429645356397</v>
      </c>
      <c r="M38" s="21">
        <f t="shared" si="4"/>
        <v>76.031930853391458</v>
      </c>
      <c r="N38" s="19">
        <v>7</v>
      </c>
      <c r="O38" s="14">
        <f t="shared" si="5"/>
        <v>5150</v>
      </c>
      <c r="P38" s="13">
        <v>158.53333333333401</v>
      </c>
      <c r="Q38" s="1"/>
      <c r="W38">
        <f t="shared" si="3"/>
        <v>22</v>
      </c>
    </row>
    <row r="39" spans="1:25" x14ac:dyDescent="0.2">
      <c r="J39" s="1">
        <v>38</v>
      </c>
      <c r="K39" s="21">
        <f t="shared" si="6"/>
        <v>62.091061820422603</v>
      </c>
      <c r="L39" s="21">
        <f t="shared" si="7"/>
        <v>102.01878324283796</v>
      </c>
      <c r="M39" s="21">
        <f t="shared" si="4"/>
        <v>78.130201430794386</v>
      </c>
      <c r="N39" s="19">
        <v>7</v>
      </c>
      <c r="O39" s="14">
        <f t="shared" si="5"/>
        <v>5150</v>
      </c>
      <c r="P39" s="13">
        <v>1400</v>
      </c>
      <c r="Q39" s="1"/>
      <c r="W39">
        <f t="shared" si="3"/>
        <v>22</v>
      </c>
    </row>
    <row r="40" spans="1:25" x14ac:dyDescent="0.2">
      <c r="J40" s="1">
        <v>39</v>
      </c>
      <c r="K40" s="21">
        <f t="shared" si="6"/>
        <v>62.050010798055609</v>
      </c>
      <c r="L40" s="21">
        <f t="shared" si="7"/>
        <v>102.00797770755058</v>
      </c>
      <c r="M40" s="21">
        <f t="shared" si="4"/>
        <v>79.999448019874535</v>
      </c>
      <c r="N40" s="19">
        <v>7</v>
      </c>
      <c r="O40" s="14">
        <f t="shared" si="5"/>
        <v>5150</v>
      </c>
      <c r="P40" s="13">
        <v>0</v>
      </c>
      <c r="Q40" s="1"/>
      <c r="W40">
        <f t="shared" si="3"/>
        <v>22</v>
      </c>
    </row>
    <row r="41" spans="1:25" x14ac:dyDescent="0.2">
      <c r="J41" s="1">
        <v>40</v>
      </c>
      <c r="K41" s="21">
        <f t="shared" si="6"/>
        <v>62.008856998221773</v>
      </c>
      <c r="L41" s="21">
        <f t="shared" si="7"/>
        <v>101.98713600276339</v>
      </c>
      <c r="M41" s="21">
        <f t="shared" si="4"/>
        <v>81.643931450388607</v>
      </c>
      <c r="N41" s="19">
        <v>7</v>
      </c>
      <c r="O41" s="14">
        <f>5150*1.03</f>
        <v>5304.5</v>
      </c>
      <c r="P41" s="13">
        <v>0</v>
      </c>
      <c r="Q41" s="1"/>
      <c r="W41">
        <f t="shared" si="3"/>
        <v>22</v>
      </c>
    </row>
    <row r="42" spans="1:25" x14ac:dyDescent="0.2">
      <c r="J42" s="1">
        <v>41</v>
      </c>
      <c r="K42" s="21">
        <f t="shared" si="6"/>
        <v>61.968332301748546</v>
      </c>
      <c r="L42" s="21">
        <f t="shared" si="7"/>
        <v>101.96000757234044</v>
      </c>
      <c r="M42" s="21">
        <f t="shared" si="4"/>
        <v>83.073553208657287</v>
      </c>
      <c r="N42" s="19">
        <v>7</v>
      </c>
      <c r="O42" s="14">
        <f t="shared" ref="O42:O51" si="8">5150*1.03</f>
        <v>5304.5</v>
      </c>
      <c r="P42" s="13">
        <v>840.22875816993405</v>
      </c>
      <c r="Q42" s="1"/>
      <c r="W42">
        <f t="shared" si="3"/>
        <v>22</v>
      </c>
    </row>
    <row r="43" spans="1:25" x14ac:dyDescent="0.2">
      <c r="J43" s="1">
        <v>42</v>
      </c>
      <c r="K43" s="21">
        <f t="shared" si="6"/>
        <v>61.928897901109693</v>
      </c>
      <c r="L43" s="21">
        <f t="shared" si="7"/>
        <v>101.92921795641941</v>
      </c>
      <c r="M43" s="21">
        <f t="shared" si="4"/>
        <v>84.302475487922237</v>
      </c>
      <c r="N43" s="19">
        <v>7</v>
      </c>
      <c r="O43" s="14">
        <f t="shared" si="8"/>
        <v>5304.5</v>
      </c>
      <c r="P43" s="13">
        <v>0</v>
      </c>
      <c r="Q43" s="1"/>
      <c r="W43">
        <f t="shared" si="3"/>
        <v>22</v>
      </c>
    </row>
    <row r="44" spans="1:25" x14ac:dyDescent="0.2">
      <c r="J44" s="1">
        <v>43</v>
      </c>
      <c r="K44" s="21">
        <f t="shared" si="6"/>
        <v>61.890824299032886</v>
      </c>
      <c r="L44" s="21">
        <f t="shared" si="7"/>
        <v>101.8965689086605</v>
      </c>
      <c r="M44" s="21">
        <f t="shared" si="4"/>
        <v>85.347733818052347</v>
      </c>
      <c r="N44" s="19">
        <v>7</v>
      </c>
      <c r="O44" s="14">
        <f t="shared" si="8"/>
        <v>5304.5</v>
      </c>
      <c r="P44" s="13">
        <v>0</v>
      </c>
      <c r="Q44" s="1"/>
      <c r="W44">
        <f t="shared" si="3"/>
        <v>22</v>
      </c>
    </row>
    <row r="45" spans="1:25" x14ac:dyDescent="0.2">
      <c r="J45" s="1">
        <v>44</v>
      </c>
      <c r="K45" s="21">
        <f t="shared" si="6"/>
        <v>61.854250739055836</v>
      </c>
      <c r="L45" s="21">
        <f t="shared" si="7"/>
        <v>101.86326856148132</v>
      </c>
      <c r="M45" s="21">
        <f t="shared" si="4"/>
        <v>86.227963352150283</v>
      </c>
      <c r="N45" s="19">
        <v>7</v>
      </c>
      <c r="O45" s="14">
        <f t="shared" si="8"/>
        <v>5304.5</v>
      </c>
      <c r="P45" s="13">
        <v>2216</v>
      </c>
      <c r="Q45" s="1"/>
      <c r="W45">
        <f t="shared" si="3"/>
        <v>22</v>
      </c>
    </row>
    <row r="46" spans="1:25" x14ac:dyDescent="0.2">
      <c r="J46" s="1">
        <v>45</v>
      </c>
      <c r="K46" s="21">
        <f t="shared" si="6"/>
        <v>61.819228509934334</v>
      </c>
      <c r="L46" s="21">
        <f t="shared" si="7"/>
        <v>101.83010446979905</v>
      </c>
      <c r="M46" s="21">
        <f t="shared" si="4"/>
        <v>86.96231586200652</v>
      </c>
      <c r="N46" s="19">
        <v>7</v>
      </c>
      <c r="O46" s="14">
        <f t="shared" si="8"/>
        <v>5304.5</v>
      </c>
      <c r="P46" s="13">
        <v>0</v>
      </c>
      <c r="Q46" s="1"/>
      <c r="W46">
        <f t="shared" si="3"/>
        <v>22</v>
      </c>
    </row>
    <row r="47" spans="1:25" x14ac:dyDescent="0.2">
      <c r="J47" s="1">
        <v>46</v>
      </c>
      <c r="K47" s="21">
        <f t="shared" si="6"/>
        <v>61.785751891371355</v>
      </c>
      <c r="L47" s="21">
        <f t="shared" si="7"/>
        <v>101.79757133109764</v>
      </c>
      <c r="M47" s="21">
        <f t="shared" si="4"/>
        <v>87.569603292997641</v>
      </c>
      <c r="N47" s="19">
        <v>7</v>
      </c>
      <c r="O47" s="14">
        <f t="shared" si="8"/>
        <v>5304.5</v>
      </c>
      <c r="P47" s="13">
        <v>0</v>
      </c>
      <c r="Q47" s="1"/>
      <c r="W47">
        <f t="shared" si="3"/>
        <v>22</v>
      </c>
    </row>
    <row r="48" spans="1:25" x14ac:dyDescent="0.2">
      <c r="J48" s="1">
        <v>47</v>
      </c>
      <c r="K48" s="21">
        <f t="shared" si="6"/>
        <v>61.753779826507937</v>
      </c>
      <c r="L48" s="21">
        <f t="shared" si="7"/>
        <v>101.76596361409113</v>
      </c>
      <c r="M48" s="21">
        <f t="shared" si="4"/>
        <v>88.067670903507917</v>
      </c>
      <c r="N48" s="19">
        <v>7</v>
      </c>
      <c r="O48" s="14">
        <f t="shared" si="8"/>
        <v>5304.5</v>
      </c>
      <c r="P48" s="13">
        <v>1007</v>
      </c>
      <c r="Q48" s="1"/>
      <c r="W48">
        <f t="shared" si="3"/>
        <v>22</v>
      </c>
    </row>
    <row r="49" spans="10:25" x14ac:dyDescent="0.2">
      <c r="J49" s="1">
        <v>48</v>
      </c>
      <c r="K49" s="21">
        <f t="shared" si="6"/>
        <v>61.723250775070305</v>
      </c>
      <c r="L49" s="21">
        <f t="shared" si="7"/>
        <v>101.73544160294593</v>
      </c>
      <c r="M49" s="21">
        <f t="shared" si="4"/>
        <v>88.472980562136541</v>
      </c>
      <c r="N49" s="19">
        <v>7</v>
      </c>
      <c r="O49" s="14">
        <f t="shared" si="8"/>
        <v>5304.5</v>
      </c>
      <c r="P49" s="13">
        <v>0</v>
      </c>
      <c r="Q49" s="1"/>
      <c r="W49">
        <f t="shared" si="3"/>
        <v>22</v>
      </c>
      <c r="Y49">
        <f>SUM(W38:W49)</f>
        <v>264</v>
      </c>
    </row>
    <row r="50" spans="10:25" x14ac:dyDescent="0.2">
      <c r="J50" s="1">
        <v>49</v>
      </c>
      <c r="K50" s="21">
        <f t="shared" si="6"/>
        <v>61.694092649341776</v>
      </c>
      <c r="L50" s="21">
        <f t="shared" si="7"/>
        <v>101.70607769848509</v>
      </c>
      <c r="M50" s="21">
        <f t="shared" si="4"/>
        <v>88.800372136083752</v>
      </c>
      <c r="N50" s="19">
        <v>7</v>
      </c>
      <c r="O50" s="14">
        <f t="shared" si="8"/>
        <v>5304.5</v>
      </c>
      <c r="P50" s="13">
        <v>1007</v>
      </c>
      <c r="Q50" s="1"/>
      <c r="W50">
        <f t="shared" si="3"/>
        <v>22</v>
      </c>
    </row>
    <row r="51" spans="10:25" x14ac:dyDescent="0.2">
      <c r="J51" s="1">
        <v>50</v>
      </c>
      <c r="K51" s="21">
        <f t="shared" si="6"/>
        <v>61.666229273535208</v>
      </c>
      <c r="L51" s="21">
        <f t="shared" si="7"/>
        <v>101.67788832796592</v>
      </c>
      <c r="M51" s="21">
        <f t="shared" si="4"/>
        <v>89.062966121753902</v>
      </c>
      <c r="N51" s="19">
        <v>7</v>
      </c>
      <c r="O51" s="14">
        <f t="shared" si="8"/>
        <v>5304.5</v>
      </c>
      <c r="P51" s="13">
        <v>0</v>
      </c>
      <c r="Q51" s="1"/>
      <c r="W51">
        <f t="shared" si="3"/>
        <v>22</v>
      </c>
    </row>
    <row r="52" spans="10:25" x14ac:dyDescent="0.2">
      <c r="J52" s="1">
        <v>51</v>
      </c>
      <c r="K52" s="21">
        <f t="shared" si="6"/>
        <v>61.639584434148254</v>
      </c>
      <c r="L52" s="21">
        <f t="shared" si="7"/>
        <v>101.65085554967827</v>
      </c>
      <c r="M52" s="21">
        <f t="shared" si="4"/>
        <v>89.272171355595233</v>
      </c>
      <c r="N52" s="19">
        <v>7</v>
      </c>
      <c r="O52" s="14">
        <f>5305*1.03</f>
        <v>5464.1500000000005</v>
      </c>
      <c r="P52" s="13">
        <v>0</v>
      </c>
      <c r="Q52" s="1"/>
      <c r="W52">
        <f t="shared" si="3"/>
        <v>22</v>
      </c>
    </row>
    <row r="53" spans="10:25" x14ac:dyDescent="0.2">
      <c r="J53" s="1">
        <v>52</v>
      </c>
      <c r="K53" s="21">
        <f t="shared" si="6"/>
        <v>61.614084296252571</v>
      </c>
      <c r="L53" s="21">
        <f t="shared" si="7"/>
        <v>101.62494140520518</v>
      </c>
      <c r="M53" s="21">
        <f t="shared" si="4"/>
        <v>89.437765591194037</v>
      </c>
      <c r="N53" s="19">
        <v>7</v>
      </c>
      <c r="O53" s="14">
        <f t="shared" ref="O53:O61" si="9">5305*1.03</f>
        <v>5464.1500000000005</v>
      </c>
      <c r="P53" s="13">
        <v>1387</v>
      </c>
      <c r="Q53" s="1"/>
      <c r="W53">
        <f t="shared" si="3"/>
        <v>22</v>
      </c>
    </row>
    <row r="54" spans="10:25" x14ac:dyDescent="0.2">
      <c r="J54" s="1">
        <v>53</v>
      </c>
      <c r="K54" s="21">
        <f t="shared" si="6"/>
        <v>61.58965873700523</v>
      </c>
      <c r="L54" s="21">
        <f t="shared" si="7"/>
        <v>101.60009725462243</v>
      </c>
      <c r="M54" s="21">
        <f t="shared" si="4"/>
        <v>89.568022201409448</v>
      </c>
      <c r="N54" s="19">
        <v>7</v>
      </c>
      <c r="O54" s="14">
        <f t="shared" si="9"/>
        <v>5464.1500000000005</v>
      </c>
      <c r="P54" s="13">
        <v>1830</v>
      </c>
      <c r="Q54" s="1"/>
      <c r="W54">
        <f t="shared" si="3"/>
        <v>22</v>
      </c>
    </row>
    <row r="55" spans="10:25" x14ac:dyDescent="0.2">
      <c r="J55" s="1">
        <v>54</v>
      </c>
      <c r="K55" s="21">
        <f t="shared" si="6"/>
        <v>61.566241980750689</v>
      </c>
      <c r="L55" s="21">
        <f t="shared" si="7"/>
        <v>101.57626970046188</v>
      </c>
      <c r="M55" s="21">
        <f t="shared" si="4"/>
        <v>89.669862062269715</v>
      </c>
      <c r="N55" s="19">
        <v>7</v>
      </c>
      <c r="O55" s="14">
        <f t="shared" si="9"/>
        <v>5464.1500000000005</v>
      </c>
      <c r="P55" s="13">
        <v>0</v>
      </c>
      <c r="Q55" s="1"/>
      <c r="W55">
        <f t="shared" si="3"/>
        <v>22</v>
      </c>
    </row>
    <row r="56" spans="10:25" x14ac:dyDescent="0.2">
      <c r="J56" s="1">
        <v>55</v>
      </c>
      <c r="K56" s="21">
        <f t="shared" si="6"/>
        <v>61.54377279825723</v>
      </c>
      <c r="L56" s="21">
        <f t="shared" si="7"/>
        <v>101.55340423319959</v>
      </c>
      <c r="M56" s="21">
        <f t="shared" si="4"/>
        <v>89.749015072694093</v>
      </c>
      <c r="N56" s="19">
        <v>7</v>
      </c>
      <c r="O56" s="14">
        <f t="shared" si="9"/>
        <v>5464.1500000000005</v>
      </c>
      <c r="P56" s="13">
        <v>1728</v>
      </c>
      <c r="Q56" s="1"/>
      <c r="W56">
        <f t="shared" si="3"/>
        <v>22</v>
      </c>
    </row>
    <row r="57" spans="10:25" x14ac:dyDescent="0.2">
      <c r="J57" s="1">
        <v>56</v>
      </c>
      <c r="K57" s="21">
        <f t="shared" si="6"/>
        <v>61.522194445596355</v>
      </c>
      <c r="L57" s="21">
        <f t="shared" si="7"/>
        <v>101.53144738324525</v>
      </c>
      <c r="M57" s="21">
        <f t="shared" si="4"/>
        <v>89.810180395739579</v>
      </c>
      <c r="N57" s="19">
        <v>7</v>
      </c>
      <c r="O57" s="14">
        <f t="shared" si="9"/>
        <v>5464.1500000000005</v>
      </c>
      <c r="P57" s="13">
        <v>0</v>
      </c>
      <c r="Q57" s="1"/>
      <c r="W57">
        <f t="shared" si="3"/>
        <v>22</v>
      </c>
    </row>
    <row r="58" spans="10:25" x14ac:dyDescent="0.2">
      <c r="J58" s="1">
        <v>57</v>
      </c>
      <c r="K58" s="21">
        <f t="shared" si="6"/>
        <v>61.50145445727162</v>
      </c>
      <c r="L58" s="21">
        <f t="shared" si="7"/>
        <v>101.51034791392509</v>
      </c>
      <c r="M58" s="21">
        <f t="shared" si="4"/>
        <v>89.857178252016396</v>
      </c>
      <c r="N58" s="19">
        <v>7</v>
      </c>
      <c r="O58" s="14">
        <f t="shared" si="9"/>
        <v>5464.1500000000005</v>
      </c>
      <c r="P58" s="14">
        <v>1400</v>
      </c>
      <c r="Q58" s="1"/>
      <c r="W58">
        <f t="shared" si="3"/>
        <v>22</v>
      </c>
    </row>
    <row r="59" spans="10:25" x14ac:dyDescent="0.2">
      <c r="J59" s="1">
        <v>58</v>
      </c>
      <c r="K59" s="21">
        <f t="shared" si="6"/>
        <v>61.481504366460769</v>
      </c>
      <c r="L59" s="21">
        <f t="shared" si="7"/>
        <v>101.49005741301865</v>
      </c>
      <c r="M59" s="21">
        <f t="shared" si="4"/>
        <v>89.893088980229905</v>
      </c>
      <c r="N59" s="19">
        <v>7</v>
      </c>
      <c r="O59" s="14">
        <f t="shared" si="9"/>
        <v>5464.1500000000005</v>
      </c>
      <c r="P59" s="14">
        <v>0</v>
      </c>
      <c r="Q59" s="1"/>
      <c r="W59">
        <f t="shared" si="3"/>
        <v>22</v>
      </c>
    </row>
    <row r="60" spans="10:25" x14ac:dyDescent="0.2">
      <c r="J60" s="1">
        <v>59</v>
      </c>
      <c r="K60" s="21">
        <f t="shared" si="6"/>
        <v>61.462299397221599</v>
      </c>
      <c r="L60" s="21">
        <f t="shared" si="7"/>
        <v>101.4705305177539</v>
      </c>
      <c r="M60" s="21">
        <f t="shared" si="4"/>
        <v>89.920377205525227</v>
      </c>
      <c r="N60" s="19">
        <v>7</v>
      </c>
      <c r="O60" s="14">
        <f t="shared" si="9"/>
        <v>5464.1500000000005</v>
      </c>
      <c r="P60" s="13">
        <v>158.53333333333401</v>
      </c>
      <c r="Q60" s="1"/>
      <c r="W60">
        <f t="shared" si="3"/>
        <v>22</v>
      </c>
    </row>
    <row r="61" spans="10:25" x14ac:dyDescent="0.2">
      <c r="J61" s="1">
        <v>60</v>
      </c>
      <c r="K61" s="21">
        <f t="shared" si="6"/>
        <v>61.443798155123005</v>
      </c>
      <c r="L61" s="21">
        <f t="shared" si="7"/>
        <v>101.45172492466953</v>
      </c>
      <c r="M61" s="21">
        <f t="shared" si="4"/>
        <v>89.941000454621573</v>
      </c>
      <c r="N61" s="19">
        <v>7</v>
      </c>
      <c r="O61" s="14">
        <f t="shared" si="9"/>
        <v>5464.1500000000005</v>
      </c>
      <c r="P61" s="13">
        <v>126</v>
      </c>
      <c r="Q61" s="1"/>
      <c r="W61">
        <f t="shared" si="3"/>
        <v>22</v>
      </c>
      <c r="Y61">
        <f>SUM(W50:W61)</f>
        <v>264</v>
      </c>
    </row>
    <row r="73" spans="1:8" x14ac:dyDescent="0.2">
      <c r="C73" t="s">
        <v>51</v>
      </c>
      <c r="G73" t="s">
        <v>50</v>
      </c>
      <c r="H73" t="s">
        <v>49</v>
      </c>
    </row>
    <row r="74" spans="1:8" x14ac:dyDescent="0.2">
      <c r="G74">
        <v>12</v>
      </c>
      <c r="H74" s="25">
        <f>SUM(B76:B87)</f>
        <v>-111820.43199892691</v>
      </c>
    </row>
    <row r="75" spans="1:8" x14ac:dyDescent="0.2">
      <c r="A75" t="s">
        <v>45</v>
      </c>
      <c r="B75" t="s">
        <v>46</v>
      </c>
      <c r="D75" s="25">
        <f>B76</f>
        <v>-38866.833333333336</v>
      </c>
      <c r="G75">
        <v>24</v>
      </c>
      <c r="H75" s="25">
        <f>SUM(B88:B99)</f>
        <v>-11392.31097919232</v>
      </c>
    </row>
    <row r="76" spans="1:8" x14ac:dyDescent="0.2">
      <c r="A76">
        <v>1</v>
      </c>
      <c r="B76" s="25">
        <f>$H$2*Inputs!K2+$H$5*Inputs!$E$5+$H$3*(Inputs!L2/$E$9)+(Inputs!M2*Inputs!$H$4/12)-(Inputs!$B$2+Inputs!$B$5+Inputs!O2+Inputs!$B$7)-((((Inputs!$B$8*Inputs!$E$7)*4)+P2+$B$9))</f>
        <v>-38866.833333333336</v>
      </c>
      <c r="D76" s="25">
        <f t="shared" ref="D76:D107" si="10">D75+B77</f>
        <v>-47476.511902950049</v>
      </c>
      <c r="G76">
        <v>36</v>
      </c>
      <c r="H76" s="25">
        <f>SUM(B100:B111)</f>
        <v>83641.561161108868</v>
      </c>
    </row>
    <row r="77" spans="1:8" x14ac:dyDescent="0.2">
      <c r="A77">
        <v>2</v>
      </c>
      <c r="B77" s="25">
        <f>$H$2*Inputs!K3+$H$5*Inputs!$E$5+$H$3*(Inputs!L3/$E$9)+(Inputs!M3*Inputs!$H$4/12)-(Inputs!$B$2+Inputs!$B$5+Inputs!O3+Inputs!$B$7)-((((Inputs!$B$8*Inputs!$E$7)*4)+P3+$B$9))</f>
        <v>-8609.6785696167099</v>
      </c>
      <c r="D77" s="25">
        <f t="shared" si="10"/>
        <v>-55781.41783209375</v>
      </c>
      <c r="G77">
        <v>48</v>
      </c>
      <c r="H77" s="25">
        <f>SUM(B112:B123)</f>
        <v>134133.27286077739</v>
      </c>
    </row>
    <row r="78" spans="1:8" x14ac:dyDescent="0.2">
      <c r="A78">
        <v>3</v>
      </c>
      <c r="B78" s="25">
        <f>$H$2*Inputs!K4+$H$5*Inputs!$E$5+$H$3*(Inputs!L4/$E$9)+(Inputs!M4*Inputs!$H$4/12)-(Inputs!$B$2+Inputs!$B$5+Inputs!O4+Inputs!$B$7)-((((Inputs!$B$8*Inputs!$E$7)*4)+P4+$B$9))</f>
        <v>-8304.9059291437006</v>
      </c>
      <c r="D78" s="25">
        <f t="shared" si="10"/>
        <v>-63731.109358930677</v>
      </c>
      <c r="G78">
        <v>60</v>
      </c>
      <c r="H78" s="25">
        <f>SUM(B124:B135)</f>
        <v>139171.58043892201</v>
      </c>
    </row>
    <row r="79" spans="1:8" x14ac:dyDescent="0.2">
      <c r="A79">
        <v>4</v>
      </c>
      <c r="B79" s="25">
        <f>$H$2*Inputs!K5+$H$5*Inputs!$E$5+$H$3*(Inputs!L5/$E$9)+(Inputs!M5*Inputs!$H$4/12)-(Inputs!$B$2+Inputs!$B$5+Inputs!O5+Inputs!$B$7)-((((Inputs!$B$8*Inputs!$E$7)*4)+P5+$B$9))</f>
        <v>-7949.6915268369285</v>
      </c>
      <c r="D79" s="25">
        <f t="shared" si="10"/>
        <v>-71272.118517693249</v>
      </c>
    </row>
    <row r="80" spans="1:8" x14ac:dyDescent="0.2">
      <c r="A80">
        <v>5</v>
      </c>
      <c r="B80" s="25">
        <f>$H$2*Inputs!K6+$H$5*Inputs!$E$5+$H$3*(Inputs!L6/$E$9)+(Inputs!M6*Inputs!$H$4/12)-(Inputs!$B$2+Inputs!$B$5+Inputs!O6+Inputs!$B$7)-((((Inputs!$B$8*Inputs!$E$7)*4)+P6+$B$9))</f>
        <v>-7541.0091587625666</v>
      </c>
      <c r="D80" s="25">
        <f t="shared" si="10"/>
        <v>-78347.917536701905</v>
      </c>
    </row>
    <row r="81" spans="1:4" x14ac:dyDescent="0.2">
      <c r="A81">
        <v>6</v>
      </c>
      <c r="B81" s="25">
        <f>$H$2*Inputs!K7+$H$5*Inputs!$E$5+$H$3*(Inputs!L7/$E$9)+(Inputs!M7*Inputs!$H$4/12)-(Inputs!$B$2+Inputs!$B$5+Inputs!O7+Inputs!$B$7)-((((Inputs!$B$8*Inputs!$E$7)*4)+P7+$B$9))</f>
        <v>-7075.7990190086603</v>
      </c>
      <c r="D81" s="25">
        <f t="shared" si="10"/>
        <v>-84899.108751974476</v>
      </c>
    </row>
    <row r="82" spans="1:4" x14ac:dyDescent="0.2">
      <c r="A82">
        <v>7</v>
      </c>
      <c r="B82" s="25">
        <f>$H$2*Inputs!K8+$H$5*Inputs!$E$5+$H$3*(Inputs!L8/$E$9)+(Inputs!M8*Inputs!$H$4/12)-(Inputs!$B$2+Inputs!$B$5+Inputs!O8+Inputs!$B$7)-((((Inputs!$B$8*Inputs!$E$7)*4)+P8+$B$9))</f>
        <v>-6551.191215272569</v>
      </c>
      <c r="D82" s="25">
        <f t="shared" si="10"/>
        <v>-91870.899018471566</v>
      </c>
    </row>
    <row r="83" spans="1:4" x14ac:dyDescent="0.2">
      <c r="A83">
        <v>8</v>
      </c>
      <c r="B83" s="25">
        <f>$H$2*Inputs!K9+$H$5*Inputs!$E$5+$H$3*(Inputs!L9/$E$9)+(Inputs!M9*Inputs!$H$4/12)-(Inputs!$B$2+Inputs!$B$5+Inputs!O9+Inputs!$B$7)-((((Inputs!$B$8*Inputs!$E$7)*4)+P9+$B$9))</f>
        <v>-6971.7902664970861</v>
      </c>
      <c r="D83" s="25">
        <f t="shared" si="10"/>
        <v>-97185.919227889826</v>
      </c>
    </row>
    <row r="84" spans="1:4" x14ac:dyDescent="0.2">
      <c r="A84">
        <v>9</v>
      </c>
      <c r="B84" s="25">
        <f>$H$2*Inputs!K10+$H$5*Inputs!$E$5+$H$3*(Inputs!L10/$E$9)+(Inputs!M10*Inputs!$H$4/12)-(Inputs!$B$2+Inputs!$B$5+Inputs!O10+Inputs!$B$7)-((((Inputs!$B$8*Inputs!$E$7)*4)+P10+$B$9))</f>
        <v>-5315.0202094182587</v>
      </c>
      <c r="D84" s="25">
        <f t="shared" si="10"/>
        <v>-101787.43845743572</v>
      </c>
    </row>
    <row r="85" spans="1:4" x14ac:dyDescent="0.2">
      <c r="A85">
        <v>10</v>
      </c>
      <c r="B85" s="25">
        <f>$H$2*Inputs!K11+$H$5*Inputs!$E$5+$H$3*(Inputs!L11/$E$9)+(Inputs!M11*Inputs!$H$4/12)-(Inputs!$B$2+Inputs!$B$5+Inputs!O11+Inputs!$B$7)-((((Inputs!$B$8*Inputs!$E$7)*4)+P11+$B$9))</f>
        <v>-4601.5192295458946</v>
      </c>
      <c r="C85" s="25">
        <f>SUM(B76:B87)</f>
        <v>-111820.43199892691</v>
      </c>
      <c r="D85" s="25">
        <f t="shared" si="10"/>
        <v>-106999.99620200609</v>
      </c>
    </row>
    <row r="86" spans="1:4" x14ac:dyDescent="0.2">
      <c r="A86">
        <v>11</v>
      </c>
      <c r="B86" s="25">
        <f>$H$2*Inputs!K12+$H$5*Inputs!$E$5+$H$3*(Inputs!L12/$E$9)+(Inputs!M12*Inputs!$H$4/12)-(Inputs!$B$2+Inputs!$B$5+Inputs!O12+Inputs!$B$7)-((((Inputs!$B$8*Inputs!$E$7)*4)+P12+$B$9))</f>
        <v>-5212.557744570362</v>
      </c>
      <c r="D86" s="25">
        <f t="shared" si="10"/>
        <v>-111820.43199892691</v>
      </c>
    </row>
    <row r="87" spans="1:4" x14ac:dyDescent="0.2">
      <c r="A87">
        <v>12</v>
      </c>
      <c r="B87" s="25">
        <f>$H$2*Inputs!K13+$H$5*Inputs!$E$5+$H$3*(Inputs!L13/$E$9)+(Inputs!M13*Inputs!$H$4/12)-(Inputs!$B$2+Inputs!$B$5+Inputs!O13+Inputs!$B$7)-((((Inputs!$B$8*Inputs!$E$7)*4)+P13+$B$9))</f>
        <v>-4820.4357969208195</v>
      </c>
      <c r="D87" s="25">
        <f t="shared" si="10"/>
        <v>-117399.20538287482</v>
      </c>
    </row>
    <row r="88" spans="1:4" x14ac:dyDescent="0.2">
      <c r="A88">
        <v>13</v>
      </c>
      <c r="B88" s="25">
        <f>$H$2*Inputs!K14+$H$5*Inputs!$E$5+$H$3*(Inputs!L14/$E$9)+(Inputs!M14*Inputs!$H$4/12)-(Inputs!$B$2+Inputs!$B$5+Inputs!O14+Inputs!$B$7)-((((Inputs!$B$8*Inputs!$E$7)*4)+P14+$B$9))</f>
        <v>-5578.7733839479006</v>
      </c>
      <c r="D88" s="25">
        <f t="shared" si="10"/>
        <v>-123748.68776972132</v>
      </c>
    </row>
    <row r="89" spans="1:4" x14ac:dyDescent="0.2">
      <c r="A89">
        <v>14</v>
      </c>
      <c r="B89" s="25">
        <f>$H$2*Inputs!K15+$H$5*Inputs!$E$5+$H$3*(Inputs!L15/$E$9)+(Inputs!M15*Inputs!$H$4/12)-(Inputs!$B$2+Inputs!$B$5+Inputs!O15+Inputs!$B$7)-((((Inputs!$B$8*Inputs!$E$7)*4)+P15+$B$9))</f>
        <v>-6349.4823868465101</v>
      </c>
      <c r="D89" s="25">
        <f t="shared" si="10"/>
        <v>-127376.23233831007</v>
      </c>
    </row>
    <row r="90" spans="1:4" x14ac:dyDescent="0.2">
      <c r="A90">
        <v>15</v>
      </c>
      <c r="B90" s="25">
        <f>$H$2*Inputs!K16+$H$5*Inputs!$E$5+$H$3*(Inputs!L16/$E$9)+(Inputs!M16*Inputs!$H$4/12)-(Inputs!$B$2+Inputs!$B$5+Inputs!O16+Inputs!$B$7)-((((Inputs!$B$8*Inputs!$E$7)*4)+P16+$B$9))</f>
        <v>-3627.5445685887462</v>
      </c>
      <c r="D90" s="25">
        <f t="shared" si="10"/>
        <v>-131385.91507707306</v>
      </c>
    </row>
    <row r="91" spans="1:4" x14ac:dyDescent="0.2">
      <c r="A91">
        <v>16</v>
      </c>
      <c r="B91" s="25">
        <f>$H$2*Inputs!K17+$H$5*Inputs!$E$5+$H$3*(Inputs!L17/$E$9)+(Inputs!M17*Inputs!$H$4/12)-(Inputs!$B$2+Inputs!$B$5+Inputs!O17+Inputs!$B$7)-((((Inputs!$B$8*Inputs!$E$7)*4)+P17+$B$9))</f>
        <v>-4009.6827387629855</v>
      </c>
      <c r="D91" s="25">
        <f t="shared" si="10"/>
        <v>-132967.96851844332</v>
      </c>
    </row>
    <row r="92" spans="1:4" x14ac:dyDescent="0.2">
      <c r="A92">
        <v>17</v>
      </c>
      <c r="B92" s="25">
        <f>$H$2*Inputs!K18+$H$5*Inputs!$E$5+$H$3*(Inputs!L18/$E$9)+(Inputs!M18*Inputs!$H$4/12)-(Inputs!$B$2+Inputs!$B$5+Inputs!O18+Inputs!$B$7)-((((Inputs!$B$8*Inputs!$E$7)*4)+P18+$B$9))</f>
        <v>-1582.053441370248</v>
      </c>
      <c r="D92" s="25">
        <f t="shared" si="10"/>
        <v>-133527.26807905751</v>
      </c>
    </row>
    <row r="93" spans="1:4" x14ac:dyDescent="0.2">
      <c r="A93">
        <v>18</v>
      </c>
      <c r="B93" s="25">
        <f>$H$2*Inputs!K19+$H$5*Inputs!$E$5+$H$3*(Inputs!L19/$E$9)+(Inputs!M19*Inputs!$H$4/12)-(Inputs!$B$2+Inputs!$B$5+Inputs!O19+Inputs!$B$7)-((((Inputs!$B$8*Inputs!$E$7)*4)+P19+$B$9))</f>
        <v>-559.29956061417761</v>
      </c>
      <c r="D93" s="25">
        <f t="shared" si="10"/>
        <v>-133922.92832244621</v>
      </c>
    </row>
    <row r="94" spans="1:4" x14ac:dyDescent="0.2">
      <c r="A94">
        <v>19</v>
      </c>
      <c r="B94" s="25">
        <f>$H$2*Inputs!K20+$H$5*Inputs!$E$5+$H$3*(Inputs!L20/$E$9)+(Inputs!M20*Inputs!$H$4/12)-(Inputs!$B$2+Inputs!$B$5+Inputs!O20+Inputs!$B$7)-((((Inputs!$B$8*Inputs!$E$7)*4)+P20+$B$9))</f>
        <v>-395.66024338869738</v>
      </c>
      <c r="D94" s="25">
        <f t="shared" si="10"/>
        <v>-132505.62900033619</v>
      </c>
    </row>
    <row r="95" spans="1:4" x14ac:dyDescent="0.2">
      <c r="A95">
        <v>20</v>
      </c>
      <c r="B95" s="25">
        <f>$H$2*Inputs!K21+$H$5*Inputs!$E$5+$H$3*(Inputs!L21/$E$9)+(Inputs!M21*Inputs!$H$4/12)-(Inputs!$B$2+Inputs!$B$5+Inputs!O21+Inputs!$B$7)-((((Inputs!$B$8*Inputs!$E$7)*4)+P21+$B$9))</f>
        <v>1417.299322110026</v>
      </c>
      <c r="D95" s="25">
        <f t="shared" si="10"/>
        <v>-130156.28683580599</v>
      </c>
    </row>
    <row r="96" spans="1:4" x14ac:dyDescent="0.2">
      <c r="A96">
        <v>21</v>
      </c>
      <c r="B96" s="25">
        <f>$H$2*Inputs!K22+$H$5*Inputs!$E$5+$H$3*(Inputs!L22/$E$9)+(Inputs!M22*Inputs!$H$4/12)-(Inputs!$B$2+Inputs!$B$5+Inputs!O22+Inputs!$B$7)-((((Inputs!$B$8*Inputs!$E$7)*4)+P22+$B$9))</f>
        <v>2349.3421645301969</v>
      </c>
      <c r="D96" s="25">
        <f t="shared" si="10"/>
        <v>-130137.855014184</v>
      </c>
    </row>
    <row r="97" spans="1:4" x14ac:dyDescent="0.2">
      <c r="A97">
        <v>22</v>
      </c>
      <c r="B97" s="25">
        <f>$H$2*Inputs!K23+$H$5*Inputs!$E$5+$H$3*(Inputs!L23/$E$9)+(Inputs!M23*Inputs!$H$4/12)-(Inputs!$B$2+Inputs!$B$5+Inputs!O23+Inputs!$B$7)-((((Inputs!$B$8*Inputs!$E$7)*4)+P23+$B$9))</f>
        <v>18.431821621998097</v>
      </c>
      <c r="C97" s="25">
        <f>SUM(B88:B99)</f>
        <v>-11392.31097919232</v>
      </c>
      <c r="D97" s="25">
        <f t="shared" si="10"/>
        <v>-127068.14226617734</v>
      </c>
    </row>
    <row r="98" spans="1:4" x14ac:dyDescent="0.2">
      <c r="A98">
        <v>23</v>
      </c>
      <c r="B98" s="25">
        <f>$H$2*Inputs!K24+$H$5*Inputs!$E$5+$H$3*(Inputs!L24/$E$9)+(Inputs!M24*Inputs!$H$4/12)-(Inputs!$B$2+Inputs!$B$5+Inputs!O24+Inputs!$B$7)-((((Inputs!$B$8*Inputs!$E$7)*4)+P24+$B$9))</f>
        <v>3069.7127480066483</v>
      </c>
      <c r="D98" s="25">
        <f t="shared" si="10"/>
        <v>-123212.74297811926</v>
      </c>
    </row>
    <row r="99" spans="1:4" x14ac:dyDescent="0.2">
      <c r="A99">
        <v>24</v>
      </c>
      <c r="B99" s="25">
        <f>$H$2*Inputs!K25+$H$5*Inputs!$E$5+$H$3*(Inputs!L25/$E$9)+(Inputs!M25*Inputs!$H$4/12)-(Inputs!$B$2+Inputs!$B$5+Inputs!O25+Inputs!$B$7)-((((Inputs!$B$8*Inputs!$E$7)*4)+P25+$B$9))</f>
        <v>3855.3992880580772</v>
      </c>
      <c r="D99" s="25">
        <f t="shared" si="10"/>
        <v>-119775.67627190874</v>
      </c>
    </row>
    <row r="100" spans="1:4" x14ac:dyDescent="0.2">
      <c r="A100">
        <v>25</v>
      </c>
      <c r="B100" s="25">
        <f>$H$2*Inputs!K26+$H$5*Inputs!$E$5+$H$3*(Inputs!L26/$E$9)+(Inputs!M26*Inputs!$H$4/12)-(Inputs!$B$2+Inputs!$B$5+Inputs!O26+Inputs!$B$7)-((((Inputs!$B$8*Inputs!$E$7)*4)+P26+$B$9))</f>
        <v>3437.066706210524</v>
      </c>
      <c r="D100" s="25">
        <f t="shared" si="10"/>
        <v>-114635.94258761342</v>
      </c>
    </row>
    <row r="101" spans="1:4" x14ac:dyDescent="0.2">
      <c r="A101">
        <v>26</v>
      </c>
      <c r="B101" s="25">
        <f>$H$2*Inputs!K27+$H$5*Inputs!$E$5+$H$3*(Inputs!L27/$E$9)+(Inputs!M27*Inputs!$H$4/12)-(Inputs!$B$2+Inputs!$B$5+Inputs!O27+Inputs!$B$7)-((((Inputs!$B$8*Inputs!$E$7)*4)+P27+$B$9))</f>
        <v>5139.7336842953191</v>
      </c>
      <c r="D101" s="25">
        <f t="shared" si="10"/>
        <v>-109846.02742052427</v>
      </c>
    </row>
    <row r="102" spans="1:4" x14ac:dyDescent="0.2">
      <c r="A102">
        <v>27</v>
      </c>
      <c r="B102" s="25">
        <f>$H$2*Inputs!K28+$H$5*Inputs!$E$5+$H$3*(Inputs!L28/$E$9)+(Inputs!M28*Inputs!$H$4/12)-(Inputs!$B$2+Inputs!$B$5+Inputs!O28+Inputs!$B$7)-((((Inputs!$B$8*Inputs!$E$7)*4)+P28+$B$9))</f>
        <v>4789.9151670891479</v>
      </c>
      <c r="D102" s="25">
        <f t="shared" si="10"/>
        <v>-103426.22809016747</v>
      </c>
    </row>
    <row r="103" spans="1:4" x14ac:dyDescent="0.2">
      <c r="A103">
        <v>28</v>
      </c>
      <c r="B103" s="25">
        <f>$H$2*Inputs!K29+$H$5*Inputs!$E$5+$H$3*(Inputs!L29/$E$9)+(Inputs!M29*Inputs!$H$4/12)-(Inputs!$B$2+Inputs!$B$5+Inputs!O29+Inputs!$B$7)-((((Inputs!$B$8*Inputs!$E$7)*4)+P29+$B$9))</f>
        <v>6419.7993303568037</v>
      </c>
      <c r="D103" s="25">
        <f t="shared" si="10"/>
        <v>-96414.576962852851</v>
      </c>
    </row>
    <row r="104" spans="1:4" x14ac:dyDescent="0.2">
      <c r="A104">
        <v>29</v>
      </c>
      <c r="B104" s="25">
        <f>$H$2*Inputs!K30+$H$5*Inputs!$E$5+$H$3*(Inputs!L30/$E$9)+(Inputs!M30*Inputs!$H$4/12)-(Inputs!$B$2+Inputs!$B$5+Inputs!O30+Inputs!$B$7)-((((Inputs!$B$8*Inputs!$E$7)*4)+P30+$B$9))</f>
        <v>7011.6511273146134</v>
      </c>
      <c r="D104" s="25">
        <f t="shared" si="10"/>
        <v>-90227.090270551125</v>
      </c>
    </row>
    <row r="105" spans="1:4" x14ac:dyDescent="0.2">
      <c r="A105">
        <v>30</v>
      </c>
      <c r="B105" s="25">
        <f>$H$2*Inputs!K31+$H$5*Inputs!$E$5+$H$3*(Inputs!L31/$E$9)+(Inputs!M31*Inputs!$H$4/12)-(Inputs!$B$2+Inputs!$B$5+Inputs!O31+Inputs!$B$7)-((((Inputs!$B$8*Inputs!$E$7)*4)+P31+$B$9))</f>
        <v>6187.4866923017253</v>
      </c>
      <c r="D105" s="25">
        <f t="shared" si="10"/>
        <v>-83948.078419271158</v>
      </c>
    </row>
    <row r="106" spans="1:4" x14ac:dyDescent="0.2">
      <c r="A106">
        <v>31</v>
      </c>
      <c r="B106" s="25">
        <f>$H$2*Inputs!K32+$H$5*Inputs!$E$5+$H$3*(Inputs!L32/$E$9)+(Inputs!M32*Inputs!$H$4/12)-(Inputs!$B$2+Inputs!$B$5+Inputs!O32+Inputs!$B$7)-((((Inputs!$B$8*Inputs!$E$7)*4)+P32+$B$9))</f>
        <v>6279.0118512799636</v>
      </c>
      <c r="D106" s="25">
        <f t="shared" si="10"/>
        <v>-75333.297627942782</v>
      </c>
    </row>
    <row r="107" spans="1:4" x14ac:dyDescent="0.2">
      <c r="A107">
        <v>32</v>
      </c>
      <c r="B107" s="25">
        <f>$H$2*Inputs!K33+$H$5*Inputs!$E$5+$H$3*(Inputs!L33/$E$9)+(Inputs!M33*Inputs!$H$4/12)-(Inputs!$B$2+Inputs!$B$5+Inputs!O33+Inputs!$B$7)-((((Inputs!$B$8*Inputs!$E$7)*4)+P33+$B$9))</f>
        <v>8614.7807913283759</v>
      </c>
      <c r="D107" s="25">
        <f t="shared" si="10"/>
        <v>-67970.788770241052</v>
      </c>
    </row>
    <row r="108" spans="1:4" x14ac:dyDescent="0.2">
      <c r="A108">
        <v>33</v>
      </c>
      <c r="B108" s="25">
        <f>$H$2*Inputs!K34+$H$5*Inputs!$E$5+$H$3*(Inputs!L34/$E$9)+(Inputs!M34*Inputs!$H$4/12)-(Inputs!$B$2+Inputs!$B$5+Inputs!O34+Inputs!$B$7)-((((Inputs!$B$8*Inputs!$E$7)*4)+P34+$B$9))</f>
        <v>7362.5088577017377</v>
      </c>
      <c r="D108" s="25">
        <f t="shared" ref="D108:D134" si="11">D107+B109</f>
        <v>-58436.323599870535</v>
      </c>
    </row>
    <row r="109" spans="1:4" x14ac:dyDescent="0.2">
      <c r="A109">
        <v>34</v>
      </c>
      <c r="B109" s="25">
        <f>$H$2*Inputs!K35+$H$5*Inputs!$E$5+$H$3*(Inputs!L35/$E$9)+(Inputs!M35*Inputs!$H$4/12)-(Inputs!$B$2+Inputs!$B$5+Inputs!O35+Inputs!$B$7)-((((Inputs!$B$8*Inputs!$E$7)*4)+P35+$B$9))</f>
        <v>9534.4651703705167</v>
      </c>
      <c r="C109" s="25">
        <f>SUM(B100:B111)</f>
        <v>83641.561161108868</v>
      </c>
      <c r="D109" s="25">
        <f t="shared" si="11"/>
        <v>-49891.449446663377</v>
      </c>
    </row>
    <row r="110" spans="1:4" x14ac:dyDescent="0.2">
      <c r="A110">
        <v>35</v>
      </c>
      <c r="B110" s="25">
        <f>$H$2*Inputs!K36+$H$5*Inputs!$E$5+$H$3*(Inputs!L36/$E$9)+(Inputs!M36*Inputs!$H$4/12)-(Inputs!$B$2+Inputs!$B$5+Inputs!O36+Inputs!$B$7)-((((Inputs!$B$8*Inputs!$E$7)*4)+P36+$B$9))</f>
        <v>8544.8741532071581</v>
      </c>
      <c r="D110" s="25">
        <f t="shared" si="11"/>
        <v>-39571.181817010394</v>
      </c>
    </row>
    <row r="111" spans="1:4" x14ac:dyDescent="0.2">
      <c r="A111">
        <v>36</v>
      </c>
      <c r="B111" s="25">
        <f>$H$2*Inputs!K37+$H$5*Inputs!$E$5+$H$3*(Inputs!L37/$E$9)+(Inputs!M37*Inputs!$H$4/12)-(Inputs!$B$2+Inputs!$B$5+Inputs!O37+Inputs!$B$7)-((((Inputs!$B$8*Inputs!$E$7)*4)+P37+$B$9))</f>
        <v>10320.267629652983</v>
      </c>
      <c r="D111" s="25">
        <f t="shared" si="11"/>
        <v>-29069.967391099719</v>
      </c>
    </row>
    <row r="112" spans="1:4" x14ac:dyDescent="0.2">
      <c r="A112">
        <v>37</v>
      </c>
      <c r="B112" s="25">
        <f>$H$2*Inputs!K38+$H$5*Inputs!$E$5+$H$3*(Inputs!L38/$E$9)+(Inputs!M38*Inputs!$H$4/12)-(Inputs!$B$2+Inputs!$B$5+Inputs!O38+Inputs!$B$7)-((((Inputs!$B$8*Inputs!$E$7)*4)+P38+$B$9))</f>
        <v>10501.214425910675</v>
      </c>
      <c r="D112" s="25">
        <f t="shared" si="11"/>
        <v>-19506.825314625366</v>
      </c>
    </row>
    <row r="113" spans="1:4" x14ac:dyDescent="0.2">
      <c r="A113">
        <v>38</v>
      </c>
      <c r="B113" s="25">
        <f>$H$2*Inputs!K39+$H$5*Inputs!$E$5+$H$3*(Inputs!L39/$E$9)+(Inputs!M39*Inputs!$H$4/12)-(Inputs!$B$2+Inputs!$B$5+Inputs!O39+Inputs!$B$7)-((((Inputs!$B$8*Inputs!$E$7)*4)+P39+$B$9))</f>
        <v>9563.1420764743525</v>
      </c>
      <c r="D113" s="25">
        <f t="shared" si="11"/>
        <v>-8275.7738539182355</v>
      </c>
    </row>
    <row r="114" spans="1:4" x14ac:dyDescent="0.2">
      <c r="A114">
        <v>39</v>
      </c>
      <c r="B114" s="25">
        <f>$H$2*Inputs!K40+$H$5*Inputs!$E$5+$H$3*(Inputs!L40/$E$9)+(Inputs!M40*Inputs!$H$4/12)-(Inputs!$B$2+Inputs!$B$5+Inputs!O40+Inputs!$B$7)-((((Inputs!$B$8*Inputs!$E$7)*4)+P40+$B$9))</f>
        <v>11231.051460707131</v>
      </c>
      <c r="D114" s="25">
        <f t="shared" si="11"/>
        <v>3034.5330940517051</v>
      </c>
    </row>
    <row r="115" spans="1:4" x14ac:dyDescent="0.2">
      <c r="A115">
        <v>40</v>
      </c>
      <c r="B115" s="25">
        <f>$H$2*Inputs!K41+$H$5*Inputs!$E$5+$H$3*(Inputs!L41/$E$9)+(Inputs!M41*Inputs!$H$4/12)-(Inputs!$B$2+Inputs!$B$5+Inputs!O41+Inputs!$B$7)-((((Inputs!$B$8*Inputs!$E$7)*4)+P41+$B$9))</f>
        <v>11310.306947969941</v>
      </c>
      <c r="D115" s="25">
        <f t="shared" si="11"/>
        <v>13706.164563571812</v>
      </c>
    </row>
    <row r="116" spans="1:4" x14ac:dyDescent="0.2">
      <c r="A116">
        <v>41</v>
      </c>
      <c r="B116" s="25">
        <f>$H$2*Inputs!K42+$H$5*Inputs!$E$5+$H$3*(Inputs!L42/$E$9)+(Inputs!M42*Inputs!$H$4/12)-(Inputs!$B$2+Inputs!$B$5+Inputs!O42+Inputs!$B$7)-((((Inputs!$B$8*Inputs!$E$7)*4)+P42+$B$9))</f>
        <v>10671.631469520107</v>
      </c>
      <c r="D116" s="25">
        <f t="shared" si="11"/>
        <v>25389.799951569174</v>
      </c>
    </row>
    <row r="117" spans="1:4" x14ac:dyDescent="0.2">
      <c r="A117">
        <v>42</v>
      </c>
      <c r="B117" s="25">
        <f>$H$2*Inputs!K43+$H$5*Inputs!$E$5+$H$3*(Inputs!L43/$E$9)+(Inputs!M43*Inputs!$H$4/12)-(Inputs!$B$2+Inputs!$B$5+Inputs!O43+Inputs!$B$7)-((((Inputs!$B$8*Inputs!$E$7)*4)+P43+$B$9))</f>
        <v>11683.635387997361</v>
      </c>
      <c r="D117" s="25">
        <f t="shared" si="11"/>
        <v>37218.167157291697</v>
      </c>
    </row>
    <row r="118" spans="1:4" x14ac:dyDescent="0.2">
      <c r="A118">
        <v>43</v>
      </c>
      <c r="B118" s="25">
        <f>$H$2*Inputs!K44+$H$5*Inputs!$E$5+$H$3*(Inputs!L44/$E$9)+(Inputs!M44*Inputs!$H$4/12)-(Inputs!$B$2+Inputs!$B$5+Inputs!O44+Inputs!$B$7)-((((Inputs!$B$8*Inputs!$E$7)*4)+P44+$B$9))</f>
        <v>11828.367205722527</v>
      </c>
      <c r="D118" s="25">
        <f t="shared" si="11"/>
        <v>46951.113062518249</v>
      </c>
    </row>
    <row r="119" spans="1:4" x14ac:dyDescent="0.2">
      <c r="A119">
        <v>44</v>
      </c>
      <c r="B119" s="25">
        <f>$H$2*Inputs!K45+$H$5*Inputs!$E$5+$H$3*(Inputs!L45/$E$9)+(Inputs!M45*Inputs!$H$4/12)-(Inputs!$B$2+Inputs!$B$5+Inputs!O45+Inputs!$B$7)-((((Inputs!$B$8*Inputs!$E$7)*4)+P45+$B$9))</f>
        <v>9732.945905226552</v>
      </c>
      <c r="D119" s="25">
        <f t="shared" si="11"/>
        <v>58999.394801078437</v>
      </c>
    </row>
    <row r="120" spans="1:4" x14ac:dyDescent="0.2">
      <c r="A120">
        <v>45</v>
      </c>
      <c r="B120" s="25">
        <f>$H$2*Inputs!K46+$H$5*Inputs!$E$5+$H$3*(Inputs!L46/$E$9)+(Inputs!M46*Inputs!$H$4/12)-(Inputs!$B$2+Inputs!$B$5+Inputs!O46+Inputs!$B$7)-((((Inputs!$B$8*Inputs!$E$7)*4)+P46+$B$9))</f>
        <v>12048.281738560188</v>
      </c>
      <c r="D120" s="25">
        <f t="shared" si="11"/>
        <v>71128.591255583684</v>
      </c>
    </row>
    <row r="121" spans="1:4" x14ac:dyDescent="0.2">
      <c r="A121">
        <v>46</v>
      </c>
      <c r="B121" s="25">
        <f>$H$2*Inputs!K47+$H$5*Inputs!$E$5+$H$3*(Inputs!L47/$E$9)+(Inputs!M47*Inputs!$H$4/12)-(Inputs!$B$2+Inputs!$B$5+Inputs!O47+Inputs!$B$7)-((((Inputs!$B$8*Inputs!$E$7)*4)+P47+$B$9))</f>
        <v>12129.196454505254</v>
      </c>
      <c r="C121" s="25">
        <f>SUM(B112:B123)</f>
        <v>134133.27286077739</v>
      </c>
      <c r="D121" s="25">
        <f t="shared" si="11"/>
        <v>82315.934874926199</v>
      </c>
    </row>
    <row r="122" spans="1:4" x14ac:dyDescent="0.2">
      <c r="A122">
        <v>47</v>
      </c>
      <c r="B122" s="25">
        <f>$H$2*Inputs!K48+$H$5*Inputs!$E$5+$H$3*(Inputs!L48/$E$9)+(Inputs!M48*Inputs!$H$4/12)-(Inputs!$B$2+Inputs!$B$5+Inputs!O48+Inputs!$B$7)-((((Inputs!$B$8*Inputs!$E$7)*4)+P48+$B$9))</f>
        <v>11187.343619342508</v>
      </c>
      <c r="D122" s="25">
        <f t="shared" si="11"/>
        <v>94562.091043766995</v>
      </c>
    </row>
    <row r="123" spans="1:4" x14ac:dyDescent="0.2">
      <c r="A123">
        <v>48</v>
      </c>
      <c r="B123" s="25">
        <f>$H$2*Inputs!K49+$H$5*Inputs!$E$5+$H$3*(Inputs!L49/$E$9)+(Inputs!M49*Inputs!$H$4/12)-(Inputs!$B$2+Inputs!$B$5+Inputs!O49+Inputs!$B$7)-((((Inputs!$B$8*Inputs!$E$7)*4)+P49+$B$9))</f>
        <v>12246.156168840804</v>
      </c>
      <c r="D123" s="25">
        <f t="shared" si="11"/>
        <v>105841.90849657121</v>
      </c>
    </row>
    <row r="124" spans="1:4" x14ac:dyDescent="0.2">
      <c r="A124">
        <v>49</v>
      </c>
      <c r="B124" s="25">
        <f>$H$2*Inputs!K50+$H$5*Inputs!$E$5+$H$3*(Inputs!L50/$E$9)+(Inputs!M50*Inputs!$H$4/12)-(Inputs!$B$2+Inputs!$B$5+Inputs!O50+Inputs!$B$7)-((((Inputs!$B$8*Inputs!$E$7)*4)+P50+$B$9))</f>
        <v>11279.817452804207</v>
      </c>
      <c r="D124" s="25">
        <f t="shared" si="11"/>
        <v>118160.15960224866</v>
      </c>
    </row>
    <row r="125" spans="1:4" x14ac:dyDescent="0.2">
      <c r="A125">
        <v>50</v>
      </c>
      <c r="B125" s="25">
        <f>$H$2*Inputs!K51+$H$5*Inputs!$E$5+$H$3*(Inputs!L51/$E$9)+(Inputs!M51*Inputs!$H$4/12)-(Inputs!$B$2+Inputs!$B$5+Inputs!O51+Inputs!$B$7)-((((Inputs!$B$8*Inputs!$E$7)*4)+P51+$B$9))</f>
        <v>12318.251105677446</v>
      </c>
      <c r="D125" s="25">
        <f t="shared" si="11"/>
        <v>130342.63459401754</v>
      </c>
    </row>
    <row r="126" spans="1:4" x14ac:dyDescent="0.2">
      <c r="A126">
        <v>51</v>
      </c>
      <c r="B126" s="25">
        <f>$H$2*Inputs!K52+$H$5*Inputs!$E$5+$H$3*(Inputs!L52/$E$9)+(Inputs!M52*Inputs!$H$4/12)-(Inputs!$B$2+Inputs!$B$5+Inputs!O52+Inputs!$B$7)-((((Inputs!$B$8*Inputs!$E$7)*4)+P52+$B$9))</f>
        <v>12182.474991768875</v>
      </c>
      <c r="D126" s="25">
        <f t="shared" si="11"/>
        <v>141155.84949950699</v>
      </c>
    </row>
    <row r="127" spans="1:4" x14ac:dyDescent="0.2">
      <c r="A127">
        <v>52</v>
      </c>
      <c r="B127" s="25">
        <f>$H$2*Inputs!K53+$H$5*Inputs!$E$5+$H$3*(Inputs!L53/$E$9)+(Inputs!M53*Inputs!$H$4/12)-(Inputs!$B$2+Inputs!$B$5+Inputs!O53+Inputs!$B$7)-((((Inputs!$B$8*Inputs!$E$7)*4)+P53+$B$9))</f>
        <v>10813.214905489447</v>
      </c>
      <c r="D127" s="25">
        <f t="shared" si="11"/>
        <v>151538.87389574785</v>
      </c>
    </row>
    <row r="128" spans="1:4" x14ac:dyDescent="0.2">
      <c r="A128">
        <v>53</v>
      </c>
      <c r="B128" s="25">
        <f>$H$2*Inputs!K54+$H$5*Inputs!$E$5+$H$3*(Inputs!L54/$E$9)+(Inputs!M54*Inputs!$H$4/12)-(Inputs!$B$2+Inputs!$B$5+Inputs!O54+Inputs!$B$7)-((((Inputs!$B$8*Inputs!$E$7)*4)+P54+$B$9))</f>
        <v>10383.024396240857</v>
      </c>
      <c r="D128" s="25">
        <f t="shared" si="11"/>
        <v>163760.78174839373</v>
      </c>
    </row>
    <row r="129" spans="1:4" x14ac:dyDescent="0.2">
      <c r="A129">
        <v>54</v>
      </c>
      <c r="B129" s="25">
        <f>$H$2*Inputs!K55+$H$5*Inputs!$E$5+$H$3*(Inputs!L55/$E$9)+(Inputs!M55*Inputs!$H$4/12)-(Inputs!$B$2+Inputs!$B$5+Inputs!O55+Inputs!$B$7)-((((Inputs!$B$8*Inputs!$E$7)*4)+P55+$B$9))</f>
        <v>12221.907852645891</v>
      </c>
      <c r="D129" s="25">
        <f t="shared" si="11"/>
        <v>174260.47645806783</v>
      </c>
    </row>
    <row r="130" spans="1:4" x14ac:dyDescent="0.2">
      <c r="A130">
        <v>55</v>
      </c>
      <c r="B130" s="25">
        <f>$H$2*Inputs!K56+$H$5*Inputs!$E$5+$H$3*(Inputs!L56/$E$9)+(Inputs!M56*Inputs!$H$4/12)-(Inputs!$B$2+Inputs!$B$5+Inputs!O56+Inputs!$B$7)-((((Inputs!$B$8*Inputs!$E$7)*4)+P56+$B$9))</f>
        <v>10499.694709674099</v>
      </c>
      <c r="D130" s="25">
        <f t="shared" si="11"/>
        <v>186491.53973435971</v>
      </c>
    </row>
    <row r="131" spans="1:4" x14ac:dyDescent="0.2">
      <c r="A131">
        <v>56</v>
      </c>
      <c r="B131" s="25">
        <f>$H$2*Inputs!K57+$H$5*Inputs!$E$5+$H$3*(Inputs!L57/$E$9)+(Inputs!M57*Inputs!$H$4/12)-(Inputs!$B$2+Inputs!$B$5+Inputs!O57+Inputs!$B$7)-((((Inputs!$B$8*Inputs!$E$7)*4)+P57+$B$9))</f>
        <v>12231.063276291883</v>
      </c>
      <c r="D131" s="25">
        <f t="shared" si="11"/>
        <v>197324.10293290042</v>
      </c>
    </row>
    <row r="132" spans="1:4" x14ac:dyDescent="0.2">
      <c r="A132">
        <v>57</v>
      </c>
      <c r="B132" s="25">
        <f>$H$2*Inputs!K58+$H$5*Inputs!$E$5+$H$3*(Inputs!L58/$E$9)+(Inputs!M58*Inputs!$H$4/12)-(Inputs!$B$2+Inputs!$B$5+Inputs!O58+Inputs!$B$7)-((((Inputs!$B$8*Inputs!$E$7)*4)+P58+$B$9))</f>
        <v>10832.563198540716</v>
      </c>
      <c r="D132" s="25">
        <f t="shared" si="11"/>
        <v>209556.73890667156</v>
      </c>
    </row>
    <row r="133" spans="1:4" x14ac:dyDescent="0.2">
      <c r="A133">
        <v>58</v>
      </c>
      <c r="B133" s="25">
        <f>$H$2*Inputs!K59+$H$5*Inputs!$E$5+$H$3*(Inputs!L59/$E$9)+(Inputs!M59*Inputs!$H$4/12)-(Inputs!$B$2+Inputs!$B$5+Inputs!O59+Inputs!$B$7)-((((Inputs!$B$8*Inputs!$E$7)*4)+P59+$B$9))</f>
        <v>12232.635973771139</v>
      </c>
      <c r="C133" s="25">
        <f>SUM(B124:B135)</f>
        <v>139171.58043892201</v>
      </c>
      <c r="D133" s="25">
        <f t="shared" si="11"/>
        <v>221629.83880171692</v>
      </c>
    </row>
    <row r="134" spans="1:4" x14ac:dyDescent="0.2">
      <c r="A134">
        <v>59</v>
      </c>
      <c r="B134" s="25">
        <f>$H$2*Inputs!K60+$H$5*Inputs!$E$5+$H$3*(Inputs!L60/$E$9)+(Inputs!M60*Inputs!$H$4/12)-(Inputs!$B$2+Inputs!$B$5+Inputs!O60+Inputs!$B$7)-((((Inputs!$B$8*Inputs!$E$7)*4)+P60+$B$9))</f>
        <v>12073.099895045358</v>
      </c>
      <c r="D134" s="25">
        <f t="shared" si="11"/>
        <v>233733.67148268901</v>
      </c>
    </row>
    <row r="135" spans="1:4" x14ac:dyDescent="0.2">
      <c r="A135">
        <v>60</v>
      </c>
      <c r="B135" s="25">
        <f>$H$2*Inputs!K61+$H$5*Inputs!$E$5+$H$3*(Inputs!L61/$E$9)+(Inputs!M61*Inputs!$H$4/12)-(Inputs!$B$2+Inputs!$B$5+Inputs!O61+Inputs!$B$7)-((((Inputs!$B$8*Inputs!$E$7)*4)+P61+$B$9))</f>
        <v>12103.832680972097</v>
      </c>
    </row>
    <row r="140" spans="1:4" x14ac:dyDescent="0.2">
      <c r="A140" t="s">
        <v>45</v>
      </c>
      <c r="B140" t="s">
        <v>60</v>
      </c>
    </row>
    <row r="141" spans="1:4" x14ac:dyDescent="0.2">
      <c r="A141">
        <v>1</v>
      </c>
      <c r="B141" s="25">
        <f>$H$2*Inputs!K2 + $H$5*Inputs!$E$5 + $H$3*(Inputs!L2/$E$9)+(Inputs!M2*Inputs!$H$4/12)</f>
        <v>7154.166666666667</v>
      </c>
    </row>
    <row r="142" spans="1:4" x14ac:dyDescent="0.2">
      <c r="A142">
        <v>2</v>
      </c>
      <c r="B142" s="25">
        <f>$H$2*Inputs!K3 + $H$5*Inputs!$E$5 + $H$3*(Inputs!L3/$E$9)+(Inputs!M3*Inputs!$H$4/12)</f>
        <v>7411.321430383291</v>
      </c>
    </row>
    <row r="143" spans="1:4" x14ac:dyDescent="0.2">
      <c r="A143">
        <v>3</v>
      </c>
      <c r="B143" s="25">
        <f>$H$2*Inputs!K4 + $H$5*Inputs!$E$5 + $H$3*(Inputs!L4/$E$9)+(Inputs!M4*Inputs!$H$4/12)</f>
        <v>7716.0940708562985</v>
      </c>
    </row>
    <row r="144" spans="1:4" x14ac:dyDescent="0.2">
      <c r="A144">
        <v>4</v>
      </c>
      <c r="B144" s="25">
        <f>$H$2*Inputs!K5 + $H$5*Inputs!$E$5 + $H$3*(Inputs!L5/$E$9)+(Inputs!M5*Inputs!$H$4/12)</f>
        <v>8071.3084731630715</v>
      </c>
    </row>
    <row r="145" spans="1:3" x14ac:dyDescent="0.2">
      <c r="A145">
        <v>5</v>
      </c>
      <c r="B145" s="25">
        <f>$H$2*Inputs!K6 + $H$5*Inputs!$E$5 + $H$3*(Inputs!L6/$E$9)+(Inputs!M6*Inputs!$H$4/12)</f>
        <v>8479.9908412374334</v>
      </c>
    </row>
    <row r="146" spans="1:3" x14ac:dyDescent="0.2">
      <c r="A146">
        <v>6</v>
      </c>
      <c r="B146" s="25">
        <f>$H$2*Inputs!K7 + $H$5*Inputs!$E$5 + $H$3*(Inputs!L7/$E$9)+(Inputs!M7*Inputs!$H$4/12)</f>
        <v>8945.2009809913397</v>
      </c>
    </row>
    <row r="147" spans="1:3" x14ac:dyDescent="0.2">
      <c r="A147">
        <v>7</v>
      </c>
      <c r="B147" s="25">
        <f>$H$2*Inputs!K8 + $H$5*Inputs!$E$5 + $H$3*(Inputs!L8/$E$9)+(Inputs!M8*Inputs!$H$4/12)</f>
        <v>9469.808784727431</v>
      </c>
    </row>
    <row r="148" spans="1:3" x14ac:dyDescent="0.2">
      <c r="A148">
        <v>8</v>
      </c>
      <c r="B148" s="25">
        <f>$H$2*Inputs!K9 + $H$5*Inputs!$E$5 + $H$3*(Inputs!L9/$E$9)+(Inputs!M9*Inputs!$H$4/12)</f>
        <v>10056.209733502914</v>
      </c>
    </row>
    <row r="149" spans="1:3" x14ac:dyDescent="0.2">
      <c r="A149">
        <v>9</v>
      </c>
      <c r="B149" s="25">
        <f>$H$2*Inputs!K10 + $H$5*Inputs!$E$5 + $H$3*(Inputs!L10/$E$9)+(Inputs!M10*Inputs!$H$4/12)</f>
        <v>10705.979790581741</v>
      </c>
    </row>
    <row r="150" spans="1:3" x14ac:dyDescent="0.2">
      <c r="A150">
        <v>10</v>
      </c>
      <c r="B150" s="25">
        <f>$H$2*Inputs!K11 + $H$5*Inputs!$E$5 + $H$3*(Inputs!L11/$E$9)+(Inputs!M11*Inputs!$H$4/12)</f>
        <v>11419.480770454105</v>
      </c>
      <c r="C150" s="25">
        <f>SUM(B141:B152)</f>
        <v>114655.5680010731</v>
      </c>
    </row>
    <row r="151" spans="1:3" x14ac:dyDescent="0.2">
      <c r="A151">
        <v>11</v>
      </c>
      <c r="B151" s="25">
        <f>$H$2*Inputs!K12 + $H$5*Inputs!$E$5 + $H$3*(Inputs!L12/$E$9)+(Inputs!M12*Inputs!$H$4/12)</f>
        <v>12195.442255429638</v>
      </c>
    </row>
    <row r="152" spans="1:3" x14ac:dyDescent="0.2">
      <c r="A152">
        <v>12</v>
      </c>
      <c r="B152" s="25">
        <f>$H$2*Inputs!K13 + $H$5*Inputs!$E$5 + $H$3*(Inputs!L13/$E$9)+(Inputs!M13*Inputs!$H$4/12)</f>
        <v>13030.564203079181</v>
      </c>
    </row>
    <row r="153" spans="1:3" x14ac:dyDescent="0.2">
      <c r="A153">
        <v>13</v>
      </c>
      <c r="B153" s="25">
        <f>$H$2*Inputs!K14 + $H$5*Inputs!$E$5 + $H$3*(Inputs!L14/$E$9)+(Inputs!M14*Inputs!$H$4/12)</f>
        <v>14442.226616052099</v>
      </c>
    </row>
    <row r="154" spans="1:3" x14ac:dyDescent="0.2">
      <c r="A154">
        <v>14</v>
      </c>
      <c r="B154" s="25">
        <f>$H$2*Inputs!K15 + $H$5*Inputs!$E$5 + $H$3*(Inputs!L15/$E$9)+(Inputs!M15*Inputs!$H$4/12)</f>
        <v>15399.51761315349</v>
      </c>
    </row>
    <row r="155" spans="1:3" x14ac:dyDescent="0.2">
      <c r="A155">
        <v>15</v>
      </c>
      <c r="B155" s="25">
        <f>$H$2*Inputs!K16 + $H$5*Inputs!$E$5 + $H$3*(Inputs!L16/$E$9)+(Inputs!M16*Inputs!$H$4/12)</f>
        <v>16393.455431411254</v>
      </c>
    </row>
    <row r="156" spans="1:3" x14ac:dyDescent="0.2">
      <c r="A156">
        <v>16</v>
      </c>
      <c r="B156" s="25">
        <f>$H$2*Inputs!K17 + $H$5*Inputs!$E$5 + $H$3*(Inputs!L17/$E$9)+(Inputs!M17*Inputs!$H$4/12)</f>
        <v>17411.317261237014</v>
      </c>
    </row>
    <row r="157" spans="1:3" x14ac:dyDescent="0.2">
      <c r="A157">
        <v>17</v>
      </c>
      <c r="B157" s="25">
        <f>$H$2*Inputs!K18 + $H$5*Inputs!$E$5 + $H$3*(Inputs!L18/$E$9)+(Inputs!M18*Inputs!$H$4/12)</f>
        <v>18438.946558629752</v>
      </c>
    </row>
    <row r="158" spans="1:3" x14ac:dyDescent="0.2">
      <c r="A158">
        <v>18</v>
      </c>
      <c r="B158" s="25">
        <f>$H$2*Inputs!K19 + $H$5*Inputs!$E$5 + $H$3*(Inputs!L19/$E$9)+(Inputs!M19*Inputs!$H$4/12)</f>
        <v>19461.700439385822</v>
      </c>
    </row>
    <row r="159" spans="1:3" x14ac:dyDescent="0.2">
      <c r="A159">
        <v>19</v>
      </c>
      <c r="B159" s="25">
        <f>$H$2*Inputs!K20 + $H$5*Inputs!$E$5 + $H$3*(Inputs!L20/$E$9)+(Inputs!M20*Inputs!$H$4/12)</f>
        <v>20465.568514781236</v>
      </c>
    </row>
    <row r="160" spans="1:3" x14ac:dyDescent="0.2">
      <c r="A160">
        <v>20</v>
      </c>
      <c r="B160" s="25">
        <f>$H$2*Inputs!K21 + $H$5*Inputs!$E$5 + $H$3*(Inputs!L21/$E$9)+(Inputs!M21*Inputs!$H$4/12)</f>
        <v>21438.299322110026</v>
      </c>
    </row>
    <row r="161" spans="1:3" x14ac:dyDescent="0.2">
      <c r="A161">
        <v>21</v>
      </c>
      <c r="B161" s="25">
        <f>$H$2*Inputs!K22 + $H$5*Inputs!$E$5 + $H$3*(Inputs!L22/$E$9)+(Inputs!M22*Inputs!$H$4/12)</f>
        <v>22370.342164530197</v>
      </c>
    </row>
    <row r="162" spans="1:3" x14ac:dyDescent="0.2">
      <c r="A162">
        <v>22</v>
      </c>
      <c r="B162" s="25">
        <f>$H$2*Inputs!K23 + $H$5*Inputs!$E$5 + $H$3*(Inputs!L23/$E$9)+(Inputs!M23*Inputs!$H$4/12)</f>
        <v>23255.431821621998</v>
      </c>
      <c r="C162" s="25">
        <f>SUM(B153:B164)</f>
        <v>238043.9177789776</v>
      </c>
    </row>
    <row r="163" spans="1:3" x14ac:dyDescent="0.2">
      <c r="A163">
        <v>23</v>
      </c>
      <c r="B163" s="25">
        <f>$H$2*Inputs!K24 + $H$5*Inputs!$E$5 + $H$3*(Inputs!L24/$E$9)+(Inputs!M24*Inputs!$H$4/12)</f>
        <v>24090.712748006648</v>
      </c>
    </row>
    <row r="164" spans="1:3" x14ac:dyDescent="0.2">
      <c r="A164">
        <v>24</v>
      </c>
      <c r="B164" s="25">
        <f>$H$2*Inputs!K25 + $H$5*Inputs!$E$5 + $H$3*(Inputs!L25/$E$9)+(Inputs!M25*Inputs!$H$4/12)</f>
        <v>24876.399288058077</v>
      </c>
    </row>
    <row r="165" spans="1:3" x14ac:dyDescent="0.2">
      <c r="A165">
        <v>25</v>
      </c>
      <c r="B165" s="25">
        <f>$H$2*Inputs!K26 + $H$5*Inputs!$E$5 + $H$3*(Inputs!L26/$E$9)+(Inputs!M26*Inputs!$H$4/12)</f>
        <v>25615.066706210524</v>
      </c>
    </row>
    <row r="166" spans="1:3" x14ac:dyDescent="0.2">
      <c r="A166">
        <v>26</v>
      </c>
      <c r="B166" s="25">
        <f>$H$2*Inputs!K27 + $H$5*Inputs!$E$5 + $H$3*(Inputs!L27/$E$9)+(Inputs!M27*Inputs!$H$4/12)</f>
        <v>26310.733684295319</v>
      </c>
    </row>
    <row r="167" spans="1:3" x14ac:dyDescent="0.2">
      <c r="A167">
        <v>27</v>
      </c>
      <c r="B167" s="25">
        <f>$H$2*Inputs!K28 + $H$5*Inputs!$E$5 + $H$3*(Inputs!L28/$E$9)+(Inputs!M28*Inputs!$H$4/12)</f>
        <v>26967.915167089148</v>
      </c>
    </row>
    <row r="168" spans="1:3" x14ac:dyDescent="0.2">
      <c r="A168">
        <v>28</v>
      </c>
      <c r="B168" s="25">
        <f>$H$2*Inputs!K29 + $H$5*Inputs!$E$5 + $H$3*(Inputs!L29/$E$9)+(Inputs!M29*Inputs!$H$4/12)</f>
        <v>27590.799330356804</v>
      </c>
    </row>
    <row r="169" spans="1:3" x14ac:dyDescent="0.2">
      <c r="A169">
        <v>29</v>
      </c>
      <c r="B169" s="25">
        <f>$H$2*Inputs!K30 + $H$5*Inputs!$E$5 + $H$3*(Inputs!L30/$E$9)+(Inputs!M30*Inputs!$H$4/12)</f>
        <v>28182.651127314613</v>
      </c>
    </row>
    <row r="170" spans="1:3" x14ac:dyDescent="0.2">
      <c r="A170">
        <v>30</v>
      </c>
      <c r="B170" s="25">
        <f>$H$2*Inputs!K31 + $H$5*Inputs!$E$5 + $H$3*(Inputs!L31/$E$9)+(Inputs!M31*Inputs!$H$4/12)</f>
        <v>28745.486692301725</v>
      </c>
    </row>
    <row r="171" spans="1:3" x14ac:dyDescent="0.2">
      <c r="A171">
        <v>31</v>
      </c>
      <c r="B171" s="25">
        <f>$H$2*Inputs!K32 + $H$5*Inputs!$E$5 + $H$3*(Inputs!L32/$E$9)+(Inputs!M32*Inputs!$H$4/12)</f>
        <v>29280.011851279964</v>
      </c>
    </row>
    <row r="172" spans="1:3" x14ac:dyDescent="0.2">
      <c r="A172">
        <v>32</v>
      </c>
      <c r="B172" s="25">
        <f>$H$2*Inputs!K33 + $H$5*Inputs!$E$5 + $H$3*(Inputs!L33/$E$9)+(Inputs!M33*Inputs!$H$4/12)</f>
        <v>29785.780791328376</v>
      </c>
    </row>
    <row r="173" spans="1:3" x14ac:dyDescent="0.2">
      <c r="A173">
        <v>33</v>
      </c>
      <c r="B173" s="25">
        <f>$H$2*Inputs!K34 + $H$5*Inputs!$E$5 + $H$3*(Inputs!L34/$E$9)+(Inputs!M34*Inputs!$H$4/12)</f>
        <v>30261.508857701738</v>
      </c>
    </row>
    <row r="174" spans="1:3" x14ac:dyDescent="0.2">
      <c r="A174">
        <v>34</v>
      </c>
      <c r="B174" s="25">
        <f>$H$2*Inputs!K35 + $H$5*Inputs!$E$5 + $H$3*(Inputs!L35/$E$9)+(Inputs!M35*Inputs!$H$4/12)</f>
        <v>30705.465170370517</v>
      </c>
      <c r="C174" s="25">
        <f>SUM(B165:B176)</f>
        <v>346052.5611611089</v>
      </c>
    </row>
    <row r="175" spans="1:3" x14ac:dyDescent="0.2">
      <c r="A175">
        <v>35</v>
      </c>
      <c r="B175" s="25">
        <f>$H$2*Inputs!K36 + $H$5*Inputs!$E$5 + $H$3*(Inputs!L36/$E$9)+(Inputs!M36*Inputs!$H$4/12)</f>
        <v>31115.874153207158</v>
      </c>
    </row>
    <row r="176" spans="1:3" x14ac:dyDescent="0.2">
      <c r="A176">
        <v>36</v>
      </c>
      <c r="B176" s="25">
        <f>$H$2*Inputs!K37 + $H$5*Inputs!$E$5 + $H$3*(Inputs!L37/$E$9)+(Inputs!M37*Inputs!$H$4/12)</f>
        <v>31491.267629652983</v>
      </c>
    </row>
    <row r="177" spans="1:3" x14ac:dyDescent="0.2">
      <c r="A177">
        <v>37</v>
      </c>
      <c r="B177" s="25">
        <f>$H$2*Inputs!K38 + $H$5*Inputs!$E$5 + $H$3*(Inputs!L38/$E$9)+(Inputs!M38*Inputs!$H$4/12)</f>
        <v>31830.747759244008</v>
      </c>
    </row>
    <row r="178" spans="1:3" x14ac:dyDescent="0.2">
      <c r="A178">
        <v>38</v>
      </c>
      <c r="B178" s="25">
        <f>$H$2*Inputs!K39 + $H$5*Inputs!$E$5 + $H$3*(Inputs!L39/$E$9)+(Inputs!M39*Inputs!$H$4/12)</f>
        <v>32134.142076474353</v>
      </c>
    </row>
    <row r="179" spans="1:3" x14ac:dyDescent="0.2">
      <c r="A179">
        <v>39</v>
      </c>
      <c r="B179" s="25">
        <f>$H$2*Inputs!K40 + $H$5*Inputs!$E$5 + $H$3*(Inputs!L40/$E$9)+(Inputs!M40*Inputs!$H$4/12)</f>
        <v>32402.051460707131</v>
      </c>
    </row>
    <row r="180" spans="1:3" x14ac:dyDescent="0.2">
      <c r="A180">
        <v>40</v>
      </c>
      <c r="B180" s="25">
        <f>$H$2*Inputs!K41 + $H$5*Inputs!$E$5 + $H$3*(Inputs!L41/$E$9)+(Inputs!M41*Inputs!$H$4/12)</f>
        <v>32635.806947969941</v>
      </c>
    </row>
    <row r="181" spans="1:3" x14ac:dyDescent="0.2">
      <c r="A181">
        <v>41</v>
      </c>
      <c r="B181" s="25">
        <f>$H$2*Inputs!K42 + $H$5*Inputs!$E$5 + $H$3*(Inputs!L42/$E$9)+(Inputs!M42*Inputs!$H$4/12)</f>
        <v>32837.360227690042</v>
      </c>
    </row>
    <row r="182" spans="1:3" x14ac:dyDescent="0.2">
      <c r="A182">
        <v>42</v>
      </c>
      <c r="B182" s="25">
        <f>$H$2*Inputs!K43 + $H$5*Inputs!$E$5 + $H$3*(Inputs!L43/$E$9)+(Inputs!M43*Inputs!$H$4/12)</f>
        <v>33009.135387997361</v>
      </c>
    </row>
    <row r="183" spans="1:3" x14ac:dyDescent="0.2">
      <c r="A183">
        <v>43</v>
      </c>
      <c r="B183" s="25">
        <f>$H$2*Inputs!K44 + $H$5*Inputs!$E$5 + $H$3*(Inputs!L44/$E$9)+(Inputs!M44*Inputs!$H$4/12)</f>
        <v>33153.867205722527</v>
      </c>
    </row>
    <row r="184" spans="1:3" x14ac:dyDescent="0.2">
      <c r="A184">
        <v>44</v>
      </c>
      <c r="B184" s="25">
        <f>$H$2*Inputs!K45 + $H$5*Inputs!$E$5 + $H$3*(Inputs!L45/$E$9)+(Inputs!M45*Inputs!$H$4/12)</f>
        <v>33274.445905226552</v>
      </c>
    </row>
    <row r="185" spans="1:3" x14ac:dyDescent="0.2">
      <c r="A185">
        <v>45</v>
      </c>
      <c r="B185" s="25">
        <f>$H$2*Inputs!K46 + $H$5*Inputs!$E$5 + $H$3*(Inputs!L46/$E$9)+(Inputs!M46*Inputs!$H$4/12)</f>
        <v>33373.781738560188</v>
      </c>
    </row>
    <row r="186" spans="1:3" x14ac:dyDescent="0.2">
      <c r="A186">
        <v>46</v>
      </c>
      <c r="B186" s="25">
        <f>$H$2*Inputs!K47 + $H$5*Inputs!$E$5 + $H$3*(Inputs!L47/$E$9)+(Inputs!M47*Inputs!$H$4/12)</f>
        <v>33454.696454505254</v>
      </c>
      <c r="C186" s="25">
        <f>SUM(B177:B188)</f>
        <v>395197.53495228069</v>
      </c>
    </row>
    <row r="187" spans="1:3" x14ac:dyDescent="0.2">
      <c r="A187">
        <v>47</v>
      </c>
      <c r="B187" s="25">
        <f>$H$2*Inputs!K48 + $H$5*Inputs!$E$5 + $H$3*(Inputs!L48/$E$9)+(Inputs!M48*Inputs!$H$4/12)</f>
        <v>33519.843619342508</v>
      </c>
    </row>
    <row r="188" spans="1:3" x14ac:dyDescent="0.2">
      <c r="A188">
        <v>48</v>
      </c>
      <c r="B188" s="25">
        <f>$H$2*Inputs!K49 + $H$5*Inputs!$E$5 + $H$3*(Inputs!L49/$E$9)+(Inputs!M49*Inputs!$H$4/12)</f>
        <v>33571.656168840804</v>
      </c>
    </row>
    <row r="189" spans="1:3" x14ac:dyDescent="0.2">
      <c r="A189">
        <v>49</v>
      </c>
      <c r="B189" s="25">
        <f>$H$2*Inputs!K50 + $H$5*Inputs!$E$5 + $H$3*(Inputs!L50/$E$9)+(Inputs!M50*Inputs!$H$4/12)</f>
        <v>33612.317452804207</v>
      </c>
    </row>
    <row r="190" spans="1:3" x14ac:dyDescent="0.2">
      <c r="A190">
        <v>50</v>
      </c>
      <c r="B190" s="25">
        <f>$H$2*Inputs!K51 + $H$5*Inputs!$E$5 + $H$3*(Inputs!L51/$E$9)+(Inputs!M51*Inputs!$H$4/12)</f>
        <v>33643.751105677446</v>
      </c>
    </row>
    <row r="191" spans="1:3" x14ac:dyDescent="0.2">
      <c r="A191">
        <v>51</v>
      </c>
      <c r="B191" s="25">
        <f>$H$2*Inputs!K52 + $H$5*Inputs!$E$5 + $H$3*(Inputs!L52/$E$9)+(Inputs!M52*Inputs!$H$4/12)</f>
        <v>33667.624991768876</v>
      </c>
    </row>
    <row r="192" spans="1:3" x14ac:dyDescent="0.2">
      <c r="A192">
        <v>52</v>
      </c>
      <c r="B192" s="25">
        <f>$H$2*Inputs!K53 + $H$5*Inputs!$E$5 + $H$3*(Inputs!L53/$E$9)+(Inputs!M53*Inputs!$H$4/12)</f>
        <v>33685.364905489449</v>
      </c>
    </row>
    <row r="193" spans="1:3" x14ac:dyDescent="0.2">
      <c r="A193">
        <v>53</v>
      </c>
      <c r="B193" s="25">
        <f>$H$2*Inputs!K54 + $H$5*Inputs!$E$5 + $H$3*(Inputs!L54/$E$9)+(Inputs!M54*Inputs!$H$4/12)</f>
        <v>33698.174396240858</v>
      </c>
    </row>
    <row r="194" spans="1:3" x14ac:dyDescent="0.2">
      <c r="A194">
        <v>54</v>
      </c>
      <c r="B194" s="25">
        <f>$H$2*Inputs!K55 + $H$5*Inputs!$E$5 + $H$3*(Inputs!L55/$E$9)+(Inputs!M55*Inputs!$H$4/12)</f>
        <v>33707.057852645892</v>
      </c>
    </row>
    <row r="195" spans="1:3" x14ac:dyDescent="0.2">
      <c r="A195">
        <v>55</v>
      </c>
      <c r="B195" s="25">
        <f>$H$2*Inputs!K56 + $H$5*Inputs!$E$5 + $H$3*(Inputs!L56/$E$9)+(Inputs!M56*Inputs!$H$4/12)</f>
        <v>33712.8447096741</v>
      </c>
    </row>
    <row r="196" spans="1:3" x14ac:dyDescent="0.2">
      <c r="A196">
        <v>56</v>
      </c>
      <c r="B196" s="25">
        <f>$H$2*Inputs!K57 + $H$5*Inputs!$E$5 + $H$3*(Inputs!L57/$E$9)+(Inputs!M57*Inputs!$H$4/12)</f>
        <v>33716.213276291885</v>
      </c>
    </row>
    <row r="197" spans="1:3" x14ac:dyDescent="0.2">
      <c r="A197">
        <v>57</v>
      </c>
      <c r="B197" s="25">
        <f>$H$2*Inputs!K58 + $H$5*Inputs!$E$5 + $H$3*(Inputs!L58/$E$9)+(Inputs!M58*Inputs!$H$4/12)</f>
        <v>33717.713198540718</v>
      </c>
    </row>
    <row r="198" spans="1:3" x14ac:dyDescent="0.2">
      <c r="A198">
        <v>58</v>
      </c>
      <c r="B198" s="25">
        <f>$H$2*Inputs!K59 + $H$5*Inputs!$E$5 + $H$3*(Inputs!L59/$E$9)+(Inputs!M59*Inputs!$H$4/12)</f>
        <v>33717.785973771141</v>
      </c>
      <c r="C198" s="25">
        <f>SUM(B189:B200)</f>
        <v>404310.61377225537</v>
      </c>
    </row>
    <row r="199" spans="1:3" x14ac:dyDescent="0.2">
      <c r="A199">
        <v>59</v>
      </c>
      <c r="B199" s="25">
        <f>$H$2*Inputs!K60 + $H$5*Inputs!$E$5 + $H$3*(Inputs!L60/$E$9)+(Inputs!M60*Inputs!$H$4/12)</f>
        <v>33716.783228378692</v>
      </c>
    </row>
    <row r="200" spans="1:3" x14ac:dyDescent="0.2">
      <c r="A200">
        <v>60</v>
      </c>
      <c r="B200" s="25">
        <f>$H$2*Inputs!K61 + $H$5*Inputs!$E$5 + $H$3*(Inputs!L61/$E$9)+(Inputs!M61*Inputs!$H$4/12)</f>
        <v>33714.982680972098</v>
      </c>
    </row>
    <row r="204" spans="1:3" x14ac:dyDescent="0.2">
      <c r="A204" t="s">
        <v>45</v>
      </c>
      <c r="B204" t="s">
        <v>61</v>
      </c>
    </row>
    <row r="205" spans="1:3" x14ac:dyDescent="0.2">
      <c r="A205">
        <v>1</v>
      </c>
      <c r="B205" s="24">
        <f>ABS(-(Inputs!$B$2 + Inputs!$B$5 + Inputs!O2 + Inputs!$B$7)-((((Inputs!$B$8 * Inputs!$E$7) )* 4)+P2+$B$9))</f>
        <v>46021</v>
      </c>
    </row>
    <row r="206" spans="1:3" x14ac:dyDescent="0.2">
      <c r="A206">
        <v>2</v>
      </c>
      <c r="B206" s="24">
        <f>ABS(-(Inputs!$B$2 + Inputs!$B$5 + Inputs!O3 + Inputs!$B$7)-((((Inputs!$B$8 * Inputs!$E$7) )* 4)+P3+$B$9))</f>
        <v>16021</v>
      </c>
    </row>
    <row r="207" spans="1:3" x14ac:dyDescent="0.2">
      <c r="A207">
        <v>3</v>
      </c>
      <c r="B207" s="24">
        <f>ABS(-(Inputs!$B$2 + Inputs!$B$5 + Inputs!O4 + Inputs!$B$7)-((((Inputs!$B$8 * Inputs!$E$7) )* 4)+P4+$B$9))</f>
        <v>16021</v>
      </c>
    </row>
    <row r="208" spans="1:3" x14ac:dyDescent="0.2">
      <c r="A208">
        <v>4</v>
      </c>
      <c r="B208" s="24">
        <f>ABS(-(Inputs!$B$2 + Inputs!$B$5 + Inputs!O5 + Inputs!$B$7)-((((Inputs!$B$8 * Inputs!$E$7) )* 4)+P5+$B$9))</f>
        <v>16021</v>
      </c>
    </row>
    <row r="209" spans="1:3" x14ac:dyDescent="0.2">
      <c r="A209">
        <v>5</v>
      </c>
      <c r="B209" s="24">
        <f>ABS(-(Inputs!$B$2 + Inputs!$B$5 + Inputs!O6 + Inputs!$B$7)-((((Inputs!$B$8 * Inputs!$E$7) )* 4)+P6+$B$9))</f>
        <v>16021</v>
      </c>
    </row>
    <row r="210" spans="1:3" x14ac:dyDescent="0.2">
      <c r="A210">
        <v>6</v>
      </c>
      <c r="B210" s="24">
        <f>ABS(-(Inputs!$B$2 + Inputs!$B$5 + Inputs!O7 + Inputs!$B$7)-((((Inputs!$B$8 * Inputs!$E$7) )* 4)+P7+$B$9))</f>
        <v>16021</v>
      </c>
    </row>
    <row r="211" spans="1:3" x14ac:dyDescent="0.2">
      <c r="A211">
        <v>7</v>
      </c>
      <c r="B211" s="24">
        <f>ABS(-(Inputs!$B$2 + Inputs!$B$5 + Inputs!O8 + Inputs!$B$7)-((((Inputs!$B$8 * Inputs!$E$7) )* 4)+P8+$B$9))</f>
        <v>16021</v>
      </c>
    </row>
    <row r="212" spans="1:3" x14ac:dyDescent="0.2">
      <c r="A212">
        <v>8</v>
      </c>
      <c r="B212" s="24">
        <f>ABS(-(Inputs!$B$2 + Inputs!$B$5 + Inputs!O9 + Inputs!$B$7)-((((Inputs!$B$8 * Inputs!$E$7) )* 4)+P9+$B$9))</f>
        <v>17028</v>
      </c>
    </row>
    <row r="213" spans="1:3" x14ac:dyDescent="0.2">
      <c r="A213">
        <v>9</v>
      </c>
      <c r="B213" s="24">
        <f>ABS(-(Inputs!$B$2 + Inputs!$B$5 + Inputs!O10 + Inputs!$B$7)-((((Inputs!$B$8 * Inputs!$E$7) )* 4)+P10+$B$9))</f>
        <v>16021</v>
      </c>
    </row>
    <row r="214" spans="1:3" x14ac:dyDescent="0.2">
      <c r="A214">
        <v>10</v>
      </c>
      <c r="B214" s="24">
        <f>ABS(-(Inputs!$B$2 + Inputs!$B$5 + Inputs!O11 + Inputs!$B$7)-((((Inputs!$B$8 * Inputs!$E$7) )* 4)+P11+$B$9))</f>
        <v>16021</v>
      </c>
      <c r="C214" s="25">
        <f>SUM(B205:B216)</f>
        <v>226476</v>
      </c>
    </row>
    <row r="215" spans="1:3" x14ac:dyDescent="0.2">
      <c r="A215">
        <v>11</v>
      </c>
      <c r="B215" s="24">
        <f>ABS(-(Inputs!$B$2 + Inputs!$B$5 + Inputs!O12 + Inputs!$B$7)-((((Inputs!$B$8 * Inputs!$E$7) )* 4)+P12+$B$9))</f>
        <v>17408</v>
      </c>
    </row>
    <row r="216" spans="1:3" x14ac:dyDescent="0.2">
      <c r="A216">
        <v>12</v>
      </c>
      <c r="B216" s="24">
        <f>ABS(-(Inputs!$B$2 + Inputs!$B$5 + Inputs!O13 + Inputs!$B$7)-((((Inputs!$B$8 * Inputs!$E$7) )* 4)+P13+$B$9))</f>
        <v>17851</v>
      </c>
    </row>
    <row r="217" spans="1:3" x14ac:dyDescent="0.2">
      <c r="A217">
        <v>13</v>
      </c>
      <c r="B217" s="24">
        <f>ABS(-(Inputs!$B$2 + Inputs!$B$5 + Inputs!O14 + Inputs!$B$7)-((((Inputs!$B$8 * Inputs!$E$7) )* 4)+P14+$B$9))</f>
        <v>20021</v>
      </c>
    </row>
    <row r="218" spans="1:3" x14ac:dyDescent="0.2">
      <c r="A218">
        <v>14</v>
      </c>
      <c r="B218" s="24">
        <f>ABS(-(Inputs!$B$2 + Inputs!$B$5 + Inputs!O15 + Inputs!$B$7)-((((Inputs!$B$8 * Inputs!$E$7) )* 4)+P15+$B$9))</f>
        <v>21749</v>
      </c>
    </row>
    <row r="219" spans="1:3" x14ac:dyDescent="0.2">
      <c r="A219">
        <v>15</v>
      </c>
      <c r="B219" s="24">
        <f>ABS(-(Inputs!$B$2 + Inputs!$B$5 + Inputs!O16 + Inputs!$B$7)-((((Inputs!$B$8 * Inputs!$E$7) )* 4)+P16+$B$9))</f>
        <v>20021</v>
      </c>
    </row>
    <row r="220" spans="1:3" x14ac:dyDescent="0.2">
      <c r="A220">
        <v>16</v>
      </c>
      <c r="B220" s="24">
        <f>ABS(-(Inputs!$B$2 + Inputs!$B$5 + Inputs!O17 + Inputs!$B$7)-((((Inputs!$B$8 * Inputs!$E$7) )* 4)+P17+$B$9))</f>
        <v>21421</v>
      </c>
    </row>
    <row r="221" spans="1:3" x14ac:dyDescent="0.2">
      <c r="A221">
        <v>17</v>
      </c>
      <c r="B221" s="24">
        <f>ABS(-(Inputs!$B$2 + Inputs!$B$5 + Inputs!O18 + Inputs!$B$7)-((((Inputs!$B$8 * Inputs!$E$7) )* 4)+P18+$B$9))</f>
        <v>20021</v>
      </c>
    </row>
    <row r="222" spans="1:3" x14ac:dyDescent="0.2">
      <c r="A222">
        <v>18</v>
      </c>
      <c r="B222" s="24">
        <f>ABS(-(Inputs!$B$2 + Inputs!$B$5 + Inputs!O19 + Inputs!$B$7)-((((Inputs!$B$8 * Inputs!$E$7) )* 4)+P19+$B$9))</f>
        <v>20021</v>
      </c>
    </row>
    <row r="223" spans="1:3" x14ac:dyDescent="0.2">
      <c r="A223">
        <v>19</v>
      </c>
      <c r="B223" s="24">
        <f>ABS(-(Inputs!$B$2 + Inputs!$B$5 + Inputs!O20 + Inputs!$B$7)-((((Inputs!$B$8 * Inputs!$E$7) )* 4)+P20+$B$9))</f>
        <v>20861.228758169935</v>
      </c>
    </row>
    <row r="224" spans="1:3" x14ac:dyDescent="0.2">
      <c r="A224">
        <v>20</v>
      </c>
      <c r="B224" s="24">
        <f>ABS(-(Inputs!$B$2 + Inputs!$B$5 + Inputs!O21 + Inputs!$B$7)-((((Inputs!$B$8 * Inputs!$E$7) )* 4)+P21+$B$9))</f>
        <v>20021</v>
      </c>
    </row>
    <row r="225" spans="1:3" x14ac:dyDescent="0.2">
      <c r="A225">
        <v>21</v>
      </c>
      <c r="B225" s="24">
        <f>ABS(-(Inputs!$B$2 + Inputs!$B$5 + Inputs!O22 + Inputs!$B$7)-((((Inputs!$B$8 * Inputs!$E$7) )* 4)+P22+$B$9))</f>
        <v>20021</v>
      </c>
    </row>
    <row r="226" spans="1:3" x14ac:dyDescent="0.2">
      <c r="A226">
        <v>22</v>
      </c>
      <c r="B226" s="24">
        <f>ABS(-(Inputs!$B$2 + Inputs!$B$5 + Inputs!O23 + Inputs!$B$7)-((((Inputs!$B$8 * Inputs!$E$7) )* 4)+P23+$B$9))</f>
        <v>23237</v>
      </c>
      <c r="C226" s="25">
        <f>SUM(B217:B228)</f>
        <v>249436.22875816992</v>
      </c>
    </row>
    <row r="227" spans="1:3" x14ac:dyDescent="0.2">
      <c r="A227">
        <v>23</v>
      </c>
      <c r="B227" s="24">
        <f>ABS(-(Inputs!$B$2 + Inputs!$B$5 + Inputs!O24 + Inputs!$B$7)-((((Inputs!$B$8 * Inputs!$E$7) )* 4)+P24+$B$9))</f>
        <v>21021</v>
      </c>
    </row>
    <row r="228" spans="1:3" x14ac:dyDescent="0.2">
      <c r="A228">
        <v>24</v>
      </c>
      <c r="B228" s="24">
        <f>ABS(-(Inputs!$B$2 + Inputs!$B$5 + Inputs!O25 + Inputs!$B$7)-((((Inputs!$B$8 * Inputs!$E$7) )* 4)+P25+$B$9))</f>
        <v>21021</v>
      </c>
    </row>
    <row r="229" spans="1:3" x14ac:dyDescent="0.2">
      <c r="A229">
        <v>25</v>
      </c>
      <c r="B229" s="24">
        <f>ABS(-(Inputs!$B$2 + Inputs!$B$5 + Inputs!O26 + Inputs!$B$7)-((((Inputs!$B$8 * Inputs!$E$7) )* 4)+P26+$B$9))</f>
        <v>22178</v>
      </c>
    </row>
    <row r="230" spans="1:3" x14ac:dyDescent="0.2">
      <c r="A230">
        <v>26</v>
      </c>
      <c r="B230" s="24">
        <f>ABS(-(Inputs!$B$2 + Inputs!$B$5 + Inputs!O27 + Inputs!$B$7)-((((Inputs!$B$8 * Inputs!$E$7) )* 4)+P27+$B$9))</f>
        <v>21171</v>
      </c>
    </row>
    <row r="231" spans="1:3" x14ac:dyDescent="0.2">
      <c r="A231">
        <v>27</v>
      </c>
      <c r="B231" s="24">
        <f>ABS(-(Inputs!$B$2 + Inputs!$B$5 + Inputs!O28 + Inputs!$B$7)-((((Inputs!$B$8 * Inputs!$E$7) )* 4)+P28+$B$9))</f>
        <v>22178</v>
      </c>
    </row>
    <row r="232" spans="1:3" x14ac:dyDescent="0.2">
      <c r="A232">
        <v>28</v>
      </c>
      <c r="B232" s="24">
        <f>ABS(-(Inputs!$B$2 + Inputs!$B$5 + Inputs!O29 + Inputs!$B$7)-((((Inputs!$B$8 * Inputs!$E$7) )* 4)+P29+$B$9))</f>
        <v>21171</v>
      </c>
    </row>
    <row r="233" spans="1:3" x14ac:dyDescent="0.2">
      <c r="A233">
        <v>29</v>
      </c>
      <c r="B233" s="24">
        <f>ABS(-(Inputs!$B$2 + Inputs!$B$5 + Inputs!O30 + Inputs!$B$7)-((((Inputs!$B$8 * Inputs!$E$7) )* 4)+P30+$B$9))</f>
        <v>21171</v>
      </c>
    </row>
    <row r="234" spans="1:3" x14ac:dyDescent="0.2">
      <c r="A234">
        <v>30</v>
      </c>
      <c r="B234" s="24">
        <f>ABS(-(Inputs!$B$2 + Inputs!$B$5 + Inputs!O31 + Inputs!$B$7)-((((Inputs!$B$8 * Inputs!$E$7) )* 4)+P31+$B$9))</f>
        <v>22558</v>
      </c>
    </row>
    <row r="235" spans="1:3" x14ac:dyDescent="0.2">
      <c r="A235">
        <v>31</v>
      </c>
      <c r="B235" s="24">
        <f>ABS(-(Inputs!$B$2 + Inputs!$B$5 + Inputs!O32 + Inputs!$B$7)-((((Inputs!$B$8 * Inputs!$E$7) )* 4)+P32+$B$9))</f>
        <v>23001</v>
      </c>
    </row>
    <row r="236" spans="1:3" x14ac:dyDescent="0.2">
      <c r="A236">
        <v>32</v>
      </c>
      <c r="B236" s="24">
        <f>ABS(-(Inputs!$B$2 + Inputs!$B$5 + Inputs!O33 + Inputs!$B$7)-((((Inputs!$B$8 * Inputs!$E$7) )* 4)+P33+$B$9))</f>
        <v>21171</v>
      </c>
    </row>
    <row r="237" spans="1:3" x14ac:dyDescent="0.2">
      <c r="A237">
        <v>33</v>
      </c>
      <c r="B237" s="24">
        <f>ABS(-(Inputs!$B$2 + Inputs!$B$5 + Inputs!O34 + Inputs!$B$7)-((((Inputs!$B$8 * Inputs!$E$7) )* 4)+P34+$B$9))</f>
        <v>22899</v>
      </c>
    </row>
    <row r="238" spans="1:3" x14ac:dyDescent="0.2">
      <c r="A238">
        <v>34</v>
      </c>
      <c r="B238" s="24">
        <f>ABS(-(Inputs!$B$2 + Inputs!$B$5 + Inputs!O35 + Inputs!$B$7)-((((Inputs!$B$8 * Inputs!$E$7) )* 4)+P35+$B$9))</f>
        <v>21171</v>
      </c>
      <c r="C238" s="25">
        <f>SUM(B229:B240)</f>
        <v>262411</v>
      </c>
    </row>
    <row r="239" spans="1:3" x14ac:dyDescent="0.2">
      <c r="A239">
        <v>35</v>
      </c>
      <c r="B239" s="24">
        <f>ABS(-(Inputs!$B$2 + Inputs!$B$5 + Inputs!O36 + Inputs!$B$7)-((((Inputs!$B$8 * Inputs!$E$7) )* 4)+P36+$B$9))</f>
        <v>22571</v>
      </c>
    </row>
    <row r="240" spans="1:3" x14ac:dyDescent="0.2">
      <c r="A240">
        <v>36</v>
      </c>
      <c r="B240" s="24">
        <f>ABS(-(Inputs!$B$2 + Inputs!$B$5 + Inputs!O37 + Inputs!$B$7)-((((Inputs!$B$8 * Inputs!$E$7) )* 4)+P37+$B$9))</f>
        <v>21171</v>
      </c>
    </row>
    <row r="241" spans="1:3" x14ac:dyDescent="0.2">
      <c r="A241">
        <v>37</v>
      </c>
      <c r="B241" s="24">
        <f>ABS(-(Inputs!$B$2 + Inputs!$B$5 + Inputs!O38 + Inputs!$B$7)-((((Inputs!$B$8 * Inputs!$E$7) )* 4)+P38+$B$9))</f>
        <v>21329.533333333333</v>
      </c>
    </row>
    <row r="242" spans="1:3" x14ac:dyDescent="0.2">
      <c r="A242">
        <v>38</v>
      </c>
      <c r="B242" s="24">
        <f>ABS(-(Inputs!$B$2 + Inputs!$B$5 + Inputs!O39 + Inputs!$B$7)-((((Inputs!$B$8 * Inputs!$E$7) )* 4)+P39+$B$9))</f>
        <v>22571</v>
      </c>
    </row>
    <row r="243" spans="1:3" x14ac:dyDescent="0.2">
      <c r="A243">
        <v>39</v>
      </c>
      <c r="B243" s="24">
        <f>ABS(-(Inputs!$B$2 + Inputs!$B$5 + Inputs!O40 + Inputs!$B$7)-((((Inputs!$B$8 * Inputs!$E$7) )* 4)+P40+$B$9))</f>
        <v>21171</v>
      </c>
    </row>
    <row r="244" spans="1:3" x14ac:dyDescent="0.2">
      <c r="A244">
        <v>40</v>
      </c>
      <c r="B244" s="24">
        <f>ABS(-(Inputs!$B$2 + Inputs!$B$5 + Inputs!O41 + Inputs!$B$7)-((((Inputs!$B$8 * Inputs!$E$7) )* 4)+P41+$B$9))</f>
        <v>21325.5</v>
      </c>
    </row>
    <row r="245" spans="1:3" x14ac:dyDescent="0.2">
      <c r="A245">
        <v>41</v>
      </c>
      <c r="B245" s="24">
        <f>ABS(-(Inputs!$B$2 + Inputs!$B$5 + Inputs!O42 + Inputs!$B$7)-((((Inputs!$B$8 * Inputs!$E$7) )* 4)+P42+$B$9))</f>
        <v>22165.728758169935</v>
      </c>
    </row>
    <row r="246" spans="1:3" x14ac:dyDescent="0.2">
      <c r="A246">
        <v>42</v>
      </c>
      <c r="B246" s="24">
        <f>ABS(-(Inputs!$B$2 + Inputs!$B$5 + Inputs!O43 + Inputs!$B$7)-((((Inputs!$B$8 * Inputs!$E$7) )* 4)+P43+$B$9))</f>
        <v>21325.5</v>
      </c>
    </row>
    <row r="247" spans="1:3" x14ac:dyDescent="0.2">
      <c r="A247">
        <v>43</v>
      </c>
      <c r="B247" s="24">
        <f>ABS(-(Inputs!$B$2 + Inputs!$B$5 + Inputs!O44 + Inputs!$B$7)-((((Inputs!$B$8 * Inputs!$E$7) )* 4)+P44+$B$9))</f>
        <v>21325.5</v>
      </c>
    </row>
    <row r="248" spans="1:3" x14ac:dyDescent="0.2">
      <c r="A248">
        <v>44</v>
      </c>
      <c r="B248" s="24">
        <f>ABS(-(Inputs!$B$2 + Inputs!$B$5 + Inputs!O45 + Inputs!$B$7)-((((Inputs!$B$8 * Inputs!$E$7) )* 4)+P45+$B$9))</f>
        <v>23541.5</v>
      </c>
    </row>
    <row r="249" spans="1:3" x14ac:dyDescent="0.2">
      <c r="A249">
        <v>45</v>
      </c>
      <c r="B249" s="24">
        <f>ABS(-(Inputs!$B$2 + Inputs!$B$5 + Inputs!O46 + Inputs!$B$7)-((((Inputs!$B$8 * Inputs!$E$7) )* 4)+P46+$B$9))</f>
        <v>21325.5</v>
      </c>
    </row>
    <row r="250" spans="1:3" x14ac:dyDescent="0.2">
      <c r="A250">
        <v>46</v>
      </c>
      <c r="B250" s="24">
        <f>ABS(-(Inputs!$B$2 + Inputs!$B$5 + Inputs!O47 + Inputs!$B$7)-((((Inputs!$B$8 * Inputs!$E$7) )* 4)+P47+$B$9))</f>
        <v>21325.5</v>
      </c>
      <c r="C250" s="25">
        <f>SUM(B241:B252)</f>
        <v>261064.26209150325</v>
      </c>
    </row>
    <row r="251" spans="1:3" x14ac:dyDescent="0.2">
      <c r="A251">
        <v>47</v>
      </c>
      <c r="B251" s="24">
        <f>ABS(-(Inputs!$B$2 + Inputs!$B$5 + Inputs!O48 + Inputs!$B$7)-((((Inputs!$B$8 * Inputs!$E$7) )* 4)+P48+$B$9))</f>
        <v>22332.5</v>
      </c>
    </row>
    <row r="252" spans="1:3" x14ac:dyDescent="0.2">
      <c r="A252">
        <v>48</v>
      </c>
      <c r="B252" s="24">
        <f>ABS(-(Inputs!$B$2 + Inputs!$B$5 + Inputs!O49 + Inputs!$B$7)-((((Inputs!$B$8 * Inputs!$E$7) )* 4)+P49+$B$9))</f>
        <v>21325.5</v>
      </c>
    </row>
    <row r="253" spans="1:3" x14ac:dyDescent="0.2">
      <c r="A253">
        <v>49</v>
      </c>
      <c r="B253" s="24">
        <f>ABS(-(Inputs!$B$2 + Inputs!$B$5 + Inputs!O50 + Inputs!$B$7)-((((Inputs!$B$8 * Inputs!$E$7) )* 4)+P50+$B$9))</f>
        <v>22332.5</v>
      </c>
    </row>
    <row r="254" spans="1:3" x14ac:dyDescent="0.2">
      <c r="A254">
        <v>50</v>
      </c>
      <c r="B254" s="24">
        <f>ABS(-(Inputs!$B$2 + Inputs!$B$5 + Inputs!O51 + Inputs!$B$7)-((((Inputs!$B$8 * Inputs!$E$7) )* 4)+P51+$B$9))</f>
        <v>21325.5</v>
      </c>
    </row>
    <row r="255" spans="1:3" x14ac:dyDescent="0.2">
      <c r="A255">
        <v>51</v>
      </c>
      <c r="B255" s="24">
        <f>ABS(-(Inputs!$B$2 + Inputs!$B$5 + Inputs!O52 + Inputs!$B$7)-((((Inputs!$B$8 * Inputs!$E$7) )* 4)+P52+$B$9))</f>
        <v>21485.15</v>
      </c>
    </row>
    <row r="256" spans="1:3" x14ac:dyDescent="0.2">
      <c r="A256">
        <v>52</v>
      </c>
      <c r="B256" s="24">
        <f>ABS(-(Inputs!$B$2 + Inputs!$B$5 + Inputs!O53 + Inputs!$B$7)-((((Inputs!$B$8 * Inputs!$E$7) )* 4)+P53+$B$9))</f>
        <v>22872.15</v>
      </c>
    </row>
    <row r="257" spans="1:3" x14ac:dyDescent="0.2">
      <c r="A257">
        <v>53</v>
      </c>
      <c r="B257" s="24">
        <f>ABS(-(Inputs!$B$2 + Inputs!$B$5 + Inputs!O54 + Inputs!$B$7)-((((Inputs!$B$8 * Inputs!$E$7) )* 4)+P54+$B$9))</f>
        <v>23315.15</v>
      </c>
    </row>
    <row r="258" spans="1:3" x14ac:dyDescent="0.2">
      <c r="A258">
        <v>54</v>
      </c>
      <c r="B258" s="24">
        <f>ABS(-(Inputs!$B$2 + Inputs!$B$5 + Inputs!O55 + Inputs!$B$7)-((((Inputs!$B$8 * Inputs!$E$7) )* 4)+P55+$B$9))</f>
        <v>21485.15</v>
      </c>
    </row>
    <row r="259" spans="1:3" x14ac:dyDescent="0.2">
      <c r="A259">
        <v>55</v>
      </c>
      <c r="B259" s="24">
        <f>ABS(-(Inputs!$B$2 + Inputs!$B$5 + Inputs!O56 + Inputs!$B$7)-((((Inputs!$B$8 * Inputs!$E$7) )* 4)+P56+$B$9))</f>
        <v>23213.15</v>
      </c>
    </row>
    <row r="260" spans="1:3" x14ac:dyDescent="0.2">
      <c r="A260">
        <v>56</v>
      </c>
      <c r="B260" s="24">
        <f>ABS(-(Inputs!$B$2 + Inputs!$B$5 + Inputs!O57 + Inputs!$B$7)-((((Inputs!$B$8 * Inputs!$E$7) )* 4)+P57+$B$9))</f>
        <v>21485.15</v>
      </c>
    </row>
    <row r="261" spans="1:3" x14ac:dyDescent="0.2">
      <c r="A261">
        <v>57</v>
      </c>
      <c r="B261" s="24">
        <f>ABS(-(Inputs!$B$2 + Inputs!$B$5 + Inputs!O58 + Inputs!$B$7)-((((Inputs!$B$8 * Inputs!$E$7) )* 4)+P58+$B$9))</f>
        <v>22885.15</v>
      </c>
    </row>
    <row r="262" spans="1:3" x14ac:dyDescent="0.2">
      <c r="A262">
        <v>58</v>
      </c>
      <c r="B262" s="24">
        <f>ABS(-(Inputs!$B$2 + Inputs!$B$5 + Inputs!O59 + Inputs!$B$7)-((((Inputs!$B$8 * Inputs!$E$7) )* 4)+P59+$B$9))</f>
        <v>21485.15</v>
      </c>
      <c r="C262" s="25">
        <f>SUM(B253:B264)</f>
        <v>265139.03333333333</v>
      </c>
    </row>
    <row r="263" spans="1:3" x14ac:dyDescent="0.2">
      <c r="A263">
        <v>59</v>
      </c>
      <c r="B263" s="24">
        <f>ABS(-(Inputs!$B$2 + Inputs!$B$5 + Inputs!O60 + Inputs!$B$7)-((((Inputs!$B$8 * Inputs!$E$7) )* 4)+P60+$B$9))</f>
        <v>21643.683333333334</v>
      </c>
    </row>
    <row r="264" spans="1:3" x14ac:dyDescent="0.2">
      <c r="A264">
        <v>60</v>
      </c>
      <c r="B264" s="24">
        <f>ABS(-(Inputs!$B$2 + Inputs!$B$5 + Inputs!O61 + Inputs!$B$7)-((((Inputs!$B$8 * Inputs!$E$7) )* 4)+P61+$B$9))</f>
        <v>21611.15</v>
      </c>
    </row>
  </sheetData>
  <sheetProtection selectLockedCells="1"/>
  <phoneticPr fontId="3" type="noConversion"/>
  <dataValidations count="1">
    <dataValidation type="list" allowBlank="1" showInputMessage="1" showErrorMessage="1" sqref="B14" xr:uid="{9CF30512-78CF-7B41-8FEA-68963D99B418}">
      <formula1>$J$2:$J$37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ADF1-E808-6446-B00E-90D104E56BC3}">
  <dimension ref="A4:L96"/>
  <sheetViews>
    <sheetView topLeftCell="A32" zoomScale="135" workbookViewId="0">
      <selection activeCell="B64" sqref="B64"/>
    </sheetView>
  </sheetViews>
  <sheetFormatPr baseColWidth="10" defaultColWidth="8.83203125" defaultRowHeight="15" x14ac:dyDescent="0.2"/>
  <cols>
    <col min="1" max="1" width="41.6640625" bestFit="1" customWidth="1"/>
    <col min="2" max="2" width="24.1640625" customWidth="1"/>
    <col min="3" max="3" width="4.5" customWidth="1"/>
    <col min="4" max="4" width="24.1640625" customWidth="1"/>
    <col min="5" max="5" width="4.5" customWidth="1"/>
    <col min="6" max="6" width="24.1640625" customWidth="1"/>
    <col min="7" max="7" width="4.5" customWidth="1"/>
    <col min="8" max="8" width="24.1640625" customWidth="1"/>
    <col min="9" max="9" width="4.5" customWidth="1"/>
    <col min="10" max="10" width="24.1640625" customWidth="1"/>
    <col min="11" max="11" width="4.5" customWidth="1"/>
    <col min="12" max="12" width="24.1640625" customWidth="1"/>
    <col min="257" max="257" width="41.6640625" bestFit="1" customWidth="1"/>
    <col min="258" max="258" width="24.1640625" customWidth="1"/>
    <col min="259" max="259" width="4.5" customWidth="1"/>
    <col min="260" max="260" width="24.1640625" customWidth="1"/>
    <col min="261" max="261" width="4.5" customWidth="1"/>
    <col min="262" max="262" width="24.1640625" customWidth="1"/>
    <col min="263" max="263" width="4.5" customWidth="1"/>
    <col min="264" max="264" width="24.1640625" customWidth="1"/>
    <col min="265" max="265" width="4.5" customWidth="1"/>
    <col min="266" max="266" width="24.1640625" customWidth="1"/>
    <col min="267" max="267" width="4.5" customWidth="1"/>
    <col min="268" max="268" width="24.1640625" customWidth="1"/>
    <col min="513" max="513" width="41.6640625" bestFit="1" customWidth="1"/>
    <col min="514" max="514" width="24.1640625" customWidth="1"/>
    <col min="515" max="515" width="4.5" customWidth="1"/>
    <col min="516" max="516" width="24.1640625" customWidth="1"/>
    <col min="517" max="517" width="4.5" customWidth="1"/>
    <col min="518" max="518" width="24.1640625" customWidth="1"/>
    <col min="519" max="519" width="4.5" customWidth="1"/>
    <col min="520" max="520" width="24.1640625" customWidth="1"/>
    <col min="521" max="521" width="4.5" customWidth="1"/>
    <col min="522" max="522" width="24.1640625" customWidth="1"/>
    <col min="523" max="523" width="4.5" customWidth="1"/>
    <col min="524" max="524" width="24.1640625" customWidth="1"/>
    <col min="769" max="769" width="41.6640625" bestFit="1" customWidth="1"/>
    <col min="770" max="770" width="24.1640625" customWidth="1"/>
    <col min="771" max="771" width="4.5" customWidth="1"/>
    <col min="772" max="772" width="24.1640625" customWidth="1"/>
    <col min="773" max="773" width="4.5" customWidth="1"/>
    <col min="774" max="774" width="24.1640625" customWidth="1"/>
    <col min="775" max="775" width="4.5" customWidth="1"/>
    <col min="776" max="776" width="24.1640625" customWidth="1"/>
    <col min="777" max="777" width="4.5" customWidth="1"/>
    <col min="778" max="778" width="24.1640625" customWidth="1"/>
    <col min="779" max="779" width="4.5" customWidth="1"/>
    <col min="780" max="780" width="24.1640625" customWidth="1"/>
    <col min="1025" max="1025" width="41.6640625" bestFit="1" customWidth="1"/>
    <col min="1026" max="1026" width="24.1640625" customWidth="1"/>
    <col min="1027" max="1027" width="4.5" customWidth="1"/>
    <col min="1028" max="1028" width="24.1640625" customWidth="1"/>
    <col min="1029" max="1029" width="4.5" customWidth="1"/>
    <col min="1030" max="1030" width="24.1640625" customWidth="1"/>
    <col min="1031" max="1031" width="4.5" customWidth="1"/>
    <col min="1032" max="1032" width="24.1640625" customWidth="1"/>
    <col min="1033" max="1033" width="4.5" customWidth="1"/>
    <col min="1034" max="1034" width="24.1640625" customWidth="1"/>
    <col min="1035" max="1035" width="4.5" customWidth="1"/>
    <col min="1036" max="1036" width="24.1640625" customWidth="1"/>
    <col min="1281" max="1281" width="41.6640625" bestFit="1" customWidth="1"/>
    <col min="1282" max="1282" width="24.1640625" customWidth="1"/>
    <col min="1283" max="1283" width="4.5" customWidth="1"/>
    <col min="1284" max="1284" width="24.1640625" customWidth="1"/>
    <col min="1285" max="1285" width="4.5" customWidth="1"/>
    <col min="1286" max="1286" width="24.1640625" customWidth="1"/>
    <col min="1287" max="1287" width="4.5" customWidth="1"/>
    <col min="1288" max="1288" width="24.1640625" customWidth="1"/>
    <col min="1289" max="1289" width="4.5" customWidth="1"/>
    <col min="1290" max="1290" width="24.1640625" customWidth="1"/>
    <col min="1291" max="1291" width="4.5" customWidth="1"/>
    <col min="1292" max="1292" width="24.1640625" customWidth="1"/>
    <col min="1537" max="1537" width="41.6640625" bestFit="1" customWidth="1"/>
    <col min="1538" max="1538" width="24.1640625" customWidth="1"/>
    <col min="1539" max="1539" width="4.5" customWidth="1"/>
    <col min="1540" max="1540" width="24.1640625" customWidth="1"/>
    <col min="1541" max="1541" width="4.5" customWidth="1"/>
    <col min="1542" max="1542" width="24.1640625" customWidth="1"/>
    <col min="1543" max="1543" width="4.5" customWidth="1"/>
    <col min="1544" max="1544" width="24.1640625" customWidth="1"/>
    <col min="1545" max="1545" width="4.5" customWidth="1"/>
    <col min="1546" max="1546" width="24.1640625" customWidth="1"/>
    <col min="1547" max="1547" width="4.5" customWidth="1"/>
    <col min="1548" max="1548" width="24.1640625" customWidth="1"/>
    <col min="1793" max="1793" width="41.6640625" bestFit="1" customWidth="1"/>
    <col min="1794" max="1794" width="24.1640625" customWidth="1"/>
    <col min="1795" max="1795" width="4.5" customWidth="1"/>
    <col min="1796" max="1796" width="24.1640625" customWidth="1"/>
    <col min="1797" max="1797" width="4.5" customWidth="1"/>
    <col min="1798" max="1798" width="24.1640625" customWidth="1"/>
    <col min="1799" max="1799" width="4.5" customWidth="1"/>
    <col min="1800" max="1800" width="24.1640625" customWidth="1"/>
    <col min="1801" max="1801" width="4.5" customWidth="1"/>
    <col min="1802" max="1802" width="24.1640625" customWidth="1"/>
    <col min="1803" max="1803" width="4.5" customWidth="1"/>
    <col min="1804" max="1804" width="24.1640625" customWidth="1"/>
    <col min="2049" max="2049" width="41.6640625" bestFit="1" customWidth="1"/>
    <col min="2050" max="2050" width="24.1640625" customWidth="1"/>
    <col min="2051" max="2051" width="4.5" customWidth="1"/>
    <col min="2052" max="2052" width="24.1640625" customWidth="1"/>
    <col min="2053" max="2053" width="4.5" customWidth="1"/>
    <col min="2054" max="2054" width="24.1640625" customWidth="1"/>
    <col min="2055" max="2055" width="4.5" customWidth="1"/>
    <col min="2056" max="2056" width="24.1640625" customWidth="1"/>
    <col min="2057" max="2057" width="4.5" customWidth="1"/>
    <col min="2058" max="2058" width="24.1640625" customWidth="1"/>
    <col min="2059" max="2059" width="4.5" customWidth="1"/>
    <col min="2060" max="2060" width="24.1640625" customWidth="1"/>
    <col min="2305" max="2305" width="41.6640625" bestFit="1" customWidth="1"/>
    <col min="2306" max="2306" width="24.1640625" customWidth="1"/>
    <col min="2307" max="2307" width="4.5" customWidth="1"/>
    <col min="2308" max="2308" width="24.1640625" customWidth="1"/>
    <col min="2309" max="2309" width="4.5" customWidth="1"/>
    <col min="2310" max="2310" width="24.1640625" customWidth="1"/>
    <col min="2311" max="2311" width="4.5" customWidth="1"/>
    <col min="2312" max="2312" width="24.1640625" customWidth="1"/>
    <col min="2313" max="2313" width="4.5" customWidth="1"/>
    <col min="2314" max="2314" width="24.1640625" customWidth="1"/>
    <col min="2315" max="2315" width="4.5" customWidth="1"/>
    <col min="2316" max="2316" width="24.1640625" customWidth="1"/>
    <col min="2561" max="2561" width="41.6640625" bestFit="1" customWidth="1"/>
    <col min="2562" max="2562" width="24.1640625" customWidth="1"/>
    <col min="2563" max="2563" width="4.5" customWidth="1"/>
    <col min="2564" max="2564" width="24.1640625" customWidth="1"/>
    <col min="2565" max="2565" width="4.5" customWidth="1"/>
    <col min="2566" max="2566" width="24.1640625" customWidth="1"/>
    <col min="2567" max="2567" width="4.5" customWidth="1"/>
    <col min="2568" max="2568" width="24.1640625" customWidth="1"/>
    <col min="2569" max="2569" width="4.5" customWidth="1"/>
    <col min="2570" max="2570" width="24.1640625" customWidth="1"/>
    <col min="2571" max="2571" width="4.5" customWidth="1"/>
    <col min="2572" max="2572" width="24.1640625" customWidth="1"/>
    <col min="2817" max="2817" width="41.6640625" bestFit="1" customWidth="1"/>
    <col min="2818" max="2818" width="24.1640625" customWidth="1"/>
    <col min="2819" max="2819" width="4.5" customWidth="1"/>
    <col min="2820" max="2820" width="24.1640625" customWidth="1"/>
    <col min="2821" max="2821" width="4.5" customWidth="1"/>
    <col min="2822" max="2822" width="24.1640625" customWidth="1"/>
    <col min="2823" max="2823" width="4.5" customWidth="1"/>
    <col min="2824" max="2824" width="24.1640625" customWidth="1"/>
    <col min="2825" max="2825" width="4.5" customWidth="1"/>
    <col min="2826" max="2826" width="24.1640625" customWidth="1"/>
    <col min="2827" max="2827" width="4.5" customWidth="1"/>
    <col min="2828" max="2828" width="24.1640625" customWidth="1"/>
    <col min="3073" max="3073" width="41.6640625" bestFit="1" customWidth="1"/>
    <col min="3074" max="3074" width="24.1640625" customWidth="1"/>
    <col min="3075" max="3075" width="4.5" customWidth="1"/>
    <col min="3076" max="3076" width="24.1640625" customWidth="1"/>
    <col min="3077" max="3077" width="4.5" customWidth="1"/>
    <col min="3078" max="3078" width="24.1640625" customWidth="1"/>
    <col min="3079" max="3079" width="4.5" customWidth="1"/>
    <col min="3080" max="3080" width="24.1640625" customWidth="1"/>
    <col min="3081" max="3081" width="4.5" customWidth="1"/>
    <col min="3082" max="3082" width="24.1640625" customWidth="1"/>
    <col min="3083" max="3083" width="4.5" customWidth="1"/>
    <col min="3084" max="3084" width="24.1640625" customWidth="1"/>
    <col min="3329" max="3329" width="41.6640625" bestFit="1" customWidth="1"/>
    <col min="3330" max="3330" width="24.1640625" customWidth="1"/>
    <col min="3331" max="3331" width="4.5" customWidth="1"/>
    <col min="3332" max="3332" width="24.1640625" customWidth="1"/>
    <col min="3333" max="3333" width="4.5" customWidth="1"/>
    <col min="3334" max="3334" width="24.1640625" customWidth="1"/>
    <col min="3335" max="3335" width="4.5" customWidth="1"/>
    <col min="3336" max="3336" width="24.1640625" customWidth="1"/>
    <col min="3337" max="3337" width="4.5" customWidth="1"/>
    <col min="3338" max="3338" width="24.1640625" customWidth="1"/>
    <col min="3339" max="3339" width="4.5" customWidth="1"/>
    <col min="3340" max="3340" width="24.1640625" customWidth="1"/>
    <col min="3585" max="3585" width="41.6640625" bestFit="1" customWidth="1"/>
    <col min="3586" max="3586" width="24.1640625" customWidth="1"/>
    <col min="3587" max="3587" width="4.5" customWidth="1"/>
    <col min="3588" max="3588" width="24.1640625" customWidth="1"/>
    <col min="3589" max="3589" width="4.5" customWidth="1"/>
    <col min="3590" max="3590" width="24.1640625" customWidth="1"/>
    <col min="3591" max="3591" width="4.5" customWidth="1"/>
    <col min="3592" max="3592" width="24.1640625" customWidth="1"/>
    <col min="3593" max="3593" width="4.5" customWidth="1"/>
    <col min="3594" max="3594" width="24.1640625" customWidth="1"/>
    <col min="3595" max="3595" width="4.5" customWidth="1"/>
    <col min="3596" max="3596" width="24.1640625" customWidth="1"/>
    <col min="3841" max="3841" width="41.6640625" bestFit="1" customWidth="1"/>
    <col min="3842" max="3842" width="24.1640625" customWidth="1"/>
    <col min="3843" max="3843" width="4.5" customWidth="1"/>
    <col min="3844" max="3844" width="24.1640625" customWidth="1"/>
    <col min="3845" max="3845" width="4.5" customWidth="1"/>
    <col min="3846" max="3846" width="24.1640625" customWidth="1"/>
    <col min="3847" max="3847" width="4.5" customWidth="1"/>
    <col min="3848" max="3848" width="24.1640625" customWidth="1"/>
    <col min="3849" max="3849" width="4.5" customWidth="1"/>
    <col min="3850" max="3850" width="24.1640625" customWidth="1"/>
    <col min="3851" max="3851" width="4.5" customWidth="1"/>
    <col min="3852" max="3852" width="24.1640625" customWidth="1"/>
    <col min="4097" max="4097" width="41.6640625" bestFit="1" customWidth="1"/>
    <col min="4098" max="4098" width="24.1640625" customWidth="1"/>
    <col min="4099" max="4099" width="4.5" customWidth="1"/>
    <col min="4100" max="4100" width="24.1640625" customWidth="1"/>
    <col min="4101" max="4101" width="4.5" customWidth="1"/>
    <col min="4102" max="4102" width="24.1640625" customWidth="1"/>
    <col min="4103" max="4103" width="4.5" customWidth="1"/>
    <col min="4104" max="4104" width="24.1640625" customWidth="1"/>
    <col min="4105" max="4105" width="4.5" customWidth="1"/>
    <col min="4106" max="4106" width="24.1640625" customWidth="1"/>
    <col min="4107" max="4107" width="4.5" customWidth="1"/>
    <col min="4108" max="4108" width="24.1640625" customWidth="1"/>
    <col min="4353" max="4353" width="41.6640625" bestFit="1" customWidth="1"/>
    <col min="4354" max="4354" width="24.1640625" customWidth="1"/>
    <col min="4355" max="4355" width="4.5" customWidth="1"/>
    <col min="4356" max="4356" width="24.1640625" customWidth="1"/>
    <col min="4357" max="4357" width="4.5" customWidth="1"/>
    <col min="4358" max="4358" width="24.1640625" customWidth="1"/>
    <col min="4359" max="4359" width="4.5" customWidth="1"/>
    <col min="4360" max="4360" width="24.1640625" customWidth="1"/>
    <col min="4361" max="4361" width="4.5" customWidth="1"/>
    <col min="4362" max="4362" width="24.1640625" customWidth="1"/>
    <col min="4363" max="4363" width="4.5" customWidth="1"/>
    <col min="4364" max="4364" width="24.1640625" customWidth="1"/>
    <col min="4609" max="4609" width="41.6640625" bestFit="1" customWidth="1"/>
    <col min="4610" max="4610" width="24.1640625" customWidth="1"/>
    <col min="4611" max="4611" width="4.5" customWidth="1"/>
    <col min="4612" max="4612" width="24.1640625" customWidth="1"/>
    <col min="4613" max="4613" width="4.5" customWidth="1"/>
    <col min="4614" max="4614" width="24.1640625" customWidth="1"/>
    <col min="4615" max="4615" width="4.5" customWidth="1"/>
    <col min="4616" max="4616" width="24.1640625" customWidth="1"/>
    <col min="4617" max="4617" width="4.5" customWidth="1"/>
    <col min="4618" max="4618" width="24.1640625" customWidth="1"/>
    <col min="4619" max="4619" width="4.5" customWidth="1"/>
    <col min="4620" max="4620" width="24.1640625" customWidth="1"/>
    <col min="4865" max="4865" width="41.6640625" bestFit="1" customWidth="1"/>
    <col min="4866" max="4866" width="24.1640625" customWidth="1"/>
    <col min="4867" max="4867" width="4.5" customWidth="1"/>
    <col min="4868" max="4868" width="24.1640625" customWidth="1"/>
    <col min="4869" max="4869" width="4.5" customWidth="1"/>
    <col min="4870" max="4870" width="24.1640625" customWidth="1"/>
    <col min="4871" max="4871" width="4.5" customWidth="1"/>
    <col min="4872" max="4872" width="24.1640625" customWidth="1"/>
    <col min="4873" max="4873" width="4.5" customWidth="1"/>
    <col min="4874" max="4874" width="24.1640625" customWidth="1"/>
    <col min="4875" max="4875" width="4.5" customWidth="1"/>
    <col min="4876" max="4876" width="24.1640625" customWidth="1"/>
    <col min="5121" max="5121" width="41.6640625" bestFit="1" customWidth="1"/>
    <col min="5122" max="5122" width="24.1640625" customWidth="1"/>
    <col min="5123" max="5123" width="4.5" customWidth="1"/>
    <col min="5124" max="5124" width="24.1640625" customWidth="1"/>
    <col min="5125" max="5125" width="4.5" customWidth="1"/>
    <col min="5126" max="5126" width="24.1640625" customWidth="1"/>
    <col min="5127" max="5127" width="4.5" customWidth="1"/>
    <col min="5128" max="5128" width="24.1640625" customWidth="1"/>
    <col min="5129" max="5129" width="4.5" customWidth="1"/>
    <col min="5130" max="5130" width="24.1640625" customWidth="1"/>
    <col min="5131" max="5131" width="4.5" customWidth="1"/>
    <col min="5132" max="5132" width="24.1640625" customWidth="1"/>
    <col min="5377" max="5377" width="41.6640625" bestFit="1" customWidth="1"/>
    <col min="5378" max="5378" width="24.1640625" customWidth="1"/>
    <col min="5379" max="5379" width="4.5" customWidth="1"/>
    <col min="5380" max="5380" width="24.1640625" customWidth="1"/>
    <col min="5381" max="5381" width="4.5" customWidth="1"/>
    <col min="5382" max="5382" width="24.1640625" customWidth="1"/>
    <col min="5383" max="5383" width="4.5" customWidth="1"/>
    <col min="5384" max="5384" width="24.1640625" customWidth="1"/>
    <col min="5385" max="5385" width="4.5" customWidth="1"/>
    <col min="5386" max="5386" width="24.1640625" customWidth="1"/>
    <col min="5387" max="5387" width="4.5" customWidth="1"/>
    <col min="5388" max="5388" width="24.1640625" customWidth="1"/>
    <col min="5633" max="5633" width="41.6640625" bestFit="1" customWidth="1"/>
    <col min="5634" max="5634" width="24.1640625" customWidth="1"/>
    <col min="5635" max="5635" width="4.5" customWidth="1"/>
    <col min="5636" max="5636" width="24.1640625" customWidth="1"/>
    <col min="5637" max="5637" width="4.5" customWidth="1"/>
    <col min="5638" max="5638" width="24.1640625" customWidth="1"/>
    <col min="5639" max="5639" width="4.5" customWidth="1"/>
    <col min="5640" max="5640" width="24.1640625" customWidth="1"/>
    <col min="5641" max="5641" width="4.5" customWidth="1"/>
    <col min="5642" max="5642" width="24.1640625" customWidth="1"/>
    <col min="5643" max="5643" width="4.5" customWidth="1"/>
    <col min="5644" max="5644" width="24.1640625" customWidth="1"/>
    <col min="5889" max="5889" width="41.6640625" bestFit="1" customWidth="1"/>
    <col min="5890" max="5890" width="24.1640625" customWidth="1"/>
    <col min="5891" max="5891" width="4.5" customWidth="1"/>
    <col min="5892" max="5892" width="24.1640625" customWidth="1"/>
    <col min="5893" max="5893" width="4.5" customWidth="1"/>
    <col min="5894" max="5894" width="24.1640625" customWidth="1"/>
    <col min="5895" max="5895" width="4.5" customWidth="1"/>
    <col min="5896" max="5896" width="24.1640625" customWidth="1"/>
    <col min="5897" max="5897" width="4.5" customWidth="1"/>
    <col min="5898" max="5898" width="24.1640625" customWidth="1"/>
    <col min="5899" max="5899" width="4.5" customWidth="1"/>
    <col min="5900" max="5900" width="24.1640625" customWidth="1"/>
    <col min="6145" max="6145" width="41.6640625" bestFit="1" customWidth="1"/>
    <col min="6146" max="6146" width="24.1640625" customWidth="1"/>
    <col min="6147" max="6147" width="4.5" customWidth="1"/>
    <col min="6148" max="6148" width="24.1640625" customWidth="1"/>
    <col min="6149" max="6149" width="4.5" customWidth="1"/>
    <col min="6150" max="6150" width="24.1640625" customWidth="1"/>
    <col min="6151" max="6151" width="4.5" customWidth="1"/>
    <col min="6152" max="6152" width="24.1640625" customWidth="1"/>
    <col min="6153" max="6153" width="4.5" customWidth="1"/>
    <col min="6154" max="6154" width="24.1640625" customWidth="1"/>
    <col min="6155" max="6155" width="4.5" customWidth="1"/>
    <col min="6156" max="6156" width="24.1640625" customWidth="1"/>
    <col min="6401" max="6401" width="41.6640625" bestFit="1" customWidth="1"/>
    <col min="6402" max="6402" width="24.1640625" customWidth="1"/>
    <col min="6403" max="6403" width="4.5" customWidth="1"/>
    <col min="6404" max="6404" width="24.1640625" customWidth="1"/>
    <col min="6405" max="6405" width="4.5" customWidth="1"/>
    <col min="6406" max="6406" width="24.1640625" customWidth="1"/>
    <col min="6407" max="6407" width="4.5" customWidth="1"/>
    <col min="6408" max="6408" width="24.1640625" customWidth="1"/>
    <col min="6409" max="6409" width="4.5" customWidth="1"/>
    <col min="6410" max="6410" width="24.1640625" customWidth="1"/>
    <col min="6411" max="6411" width="4.5" customWidth="1"/>
    <col min="6412" max="6412" width="24.1640625" customWidth="1"/>
    <col min="6657" max="6657" width="41.6640625" bestFit="1" customWidth="1"/>
    <col min="6658" max="6658" width="24.1640625" customWidth="1"/>
    <col min="6659" max="6659" width="4.5" customWidth="1"/>
    <col min="6660" max="6660" width="24.1640625" customWidth="1"/>
    <col min="6661" max="6661" width="4.5" customWidth="1"/>
    <col min="6662" max="6662" width="24.1640625" customWidth="1"/>
    <col min="6663" max="6663" width="4.5" customWidth="1"/>
    <col min="6664" max="6664" width="24.1640625" customWidth="1"/>
    <col min="6665" max="6665" width="4.5" customWidth="1"/>
    <col min="6666" max="6666" width="24.1640625" customWidth="1"/>
    <col min="6667" max="6667" width="4.5" customWidth="1"/>
    <col min="6668" max="6668" width="24.1640625" customWidth="1"/>
    <col min="6913" max="6913" width="41.6640625" bestFit="1" customWidth="1"/>
    <col min="6914" max="6914" width="24.1640625" customWidth="1"/>
    <col min="6915" max="6915" width="4.5" customWidth="1"/>
    <col min="6916" max="6916" width="24.1640625" customWidth="1"/>
    <col min="6917" max="6917" width="4.5" customWidth="1"/>
    <col min="6918" max="6918" width="24.1640625" customWidth="1"/>
    <col min="6919" max="6919" width="4.5" customWidth="1"/>
    <col min="6920" max="6920" width="24.1640625" customWidth="1"/>
    <col min="6921" max="6921" width="4.5" customWidth="1"/>
    <col min="6922" max="6922" width="24.1640625" customWidth="1"/>
    <col min="6923" max="6923" width="4.5" customWidth="1"/>
    <col min="6924" max="6924" width="24.1640625" customWidth="1"/>
    <col min="7169" max="7169" width="41.6640625" bestFit="1" customWidth="1"/>
    <col min="7170" max="7170" width="24.1640625" customWidth="1"/>
    <col min="7171" max="7171" width="4.5" customWidth="1"/>
    <col min="7172" max="7172" width="24.1640625" customWidth="1"/>
    <col min="7173" max="7173" width="4.5" customWidth="1"/>
    <col min="7174" max="7174" width="24.1640625" customWidth="1"/>
    <col min="7175" max="7175" width="4.5" customWidth="1"/>
    <col min="7176" max="7176" width="24.1640625" customWidth="1"/>
    <col min="7177" max="7177" width="4.5" customWidth="1"/>
    <col min="7178" max="7178" width="24.1640625" customWidth="1"/>
    <col min="7179" max="7179" width="4.5" customWidth="1"/>
    <col min="7180" max="7180" width="24.1640625" customWidth="1"/>
    <col min="7425" max="7425" width="41.6640625" bestFit="1" customWidth="1"/>
    <col min="7426" max="7426" width="24.1640625" customWidth="1"/>
    <col min="7427" max="7427" width="4.5" customWidth="1"/>
    <col min="7428" max="7428" width="24.1640625" customWidth="1"/>
    <col min="7429" max="7429" width="4.5" customWidth="1"/>
    <col min="7430" max="7430" width="24.1640625" customWidth="1"/>
    <col min="7431" max="7431" width="4.5" customWidth="1"/>
    <col min="7432" max="7432" width="24.1640625" customWidth="1"/>
    <col min="7433" max="7433" width="4.5" customWidth="1"/>
    <col min="7434" max="7434" width="24.1640625" customWidth="1"/>
    <col min="7435" max="7435" width="4.5" customWidth="1"/>
    <col min="7436" max="7436" width="24.1640625" customWidth="1"/>
    <col min="7681" max="7681" width="41.6640625" bestFit="1" customWidth="1"/>
    <col min="7682" max="7682" width="24.1640625" customWidth="1"/>
    <col min="7683" max="7683" width="4.5" customWidth="1"/>
    <col min="7684" max="7684" width="24.1640625" customWidth="1"/>
    <col min="7685" max="7685" width="4.5" customWidth="1"/>
    <col min="7686" max="7686" width="24.1640625" customWidth="1"/>
    <col min="7687" max="7687" width="4.5" customWidth="1"/>
    <col min="7688" max="7688" width="24.1640625" customWidth="1"/>
    <col min="7689" max="7689" width="4.5" customWidth="1"/>
    <col min="7690" max="7690" width="24.1640625" customWidth="1"/>
    <col min="7691" max="7691" width="4.5" customWidth="1"/>
    <col min="7692" max="7692" width="24.1640625" customWidth="1"/>
    <col min="7937" max="7937" width="41.6640625" bestFit="1" customWidth="1"/>
    <col min="7938" max="7938" width="24.1640625" customWidth="1"/>
    <col min="7939" max="7939" width="4.5" customWidth="1"/>
    <col min="7940" max="7940" width="24.1640625" customWidth="1"/>
    <col min="7941" max="7941" width="4.5" customWidth="1"/>
    <col min="7942" max="7942" width="24.1640625" customWidth="1"/>
    <col min="7943" max="7943" width="4.5" customWidth="1"/>
    <col min="7944" max="7944" width="24.1640625" customWidth="1"/>
    <col min="7945" max="7945" width="4.5" customWidth="1"/>
    <col min="7946" max="7946" width="24.1640625" customWidth="1"/>
    <col min="7947" max="7947" width="4.5" customWidth="1"/>
    <col min="7948" max="7948" width="24.1640625" customWidth="1"/>
    <col min="8193" max="8193" width="41.6640625" bestFit="1" customWidth="1"/>
    <col min="8194" max="8194" width="24.1640625" customWidth="1"/>
    <col min="8195" max="8195" width="4.5" customWidth="1"/>
    <col min="8196" max="8196" width="24.1640625" customWidth="1"/>
    <col min="8197" max="8197" width="4.5" customWidth="1"/>
    <col min="8198" max="8198" width="24.1640625" customWidth="1"/>
    <col min="8199" max="8199" width="4.5" customWidth="1"/>
    <col min="8200" max="8200" width="24.1640625" customWidth="1"/>
    <col min="8201" max="8201" width="4.5" customWidth="1"/>
    <col min="8202" max="8202" width="24.1640625" customWidth="1"/>
    <col min="8203" max="8203" width="4.5" customWidth="1"/>
    <col min="8204" max="8204" width="24.1640625" customWidth="1"/>
    <col min="8449" max="8449" width="41.6640625" bestFit="1" customWidth="1"/>
    <col min="8450" max="8450" width="24.1640625" customWidth="1"/>
    <col min="8451" max="8451" width="4.5" customWidth="1"/>
    <col min="8452" max="8452" width="24.1640625" customWidth="1"/>
    <col min="8453" max="8453" width="4.5" customWidth="1"/>
    <col min="8454" max="8454" width="24.1640625" customWidth="1"/>
    <col min="8455" max="8455" width="4.5" customWidth="1"/>
    <col min="8456" max="8456" width="24.1640625" customWidth="1"/>
    <col min="8457" max="8457" width="4.5" customWidth="1"/>
    <col min="8458" max="8458" width="24.1640625" customWidth="1"/>
    <col min="8459" max="8459" width="4.5" customWidth="1"/>
    <col min="8460" max="8460" width="24.1640625" customWidth="1"/>
    <col min="8705" max="8705" width="41.6640625" bestFit="1" customWidth="1"/>
    <col min="8706" max="8706" width="24.1640625" customWidth="1"/>
    <col min="8707" max="8707" width="4.5" customWidth="1"/>
    <col min="8708" max="8708" width="24.1640625" customWidth="1"/>
    <col min="8709" max="8709" width="4.5" customWidth="1"/>
    <col min="8710" max="8710" width="24.1640625" customWidth="1"/>
    <col min="8711" max="8711" width="4.5" customWidth="1"/>
    <col min="8712" max="8712" width="24.1640625" customWidth="1"/>
    <col min="8713" max="8713" width="4.5" customWidth="1"/>
    <col min="8714" max="8714" width="24.1640625" customWidth="1"/>
    <col min="8715" max="8715" width="4.5" customWidth="1"/>
    <col min="8716" max="8716" width="24.1640625" customWidth="1"/>
    <col min="8961" max="8961" width="41.6640625" bestFit="1" customWidth="1"/>
    <col min="8962" max="8962" width="24.1640625" customWidth="1"/>
    <col min="8963" max="8963" width="4.5" customWidth="1"/>
    <col min="8964" max="8964" width="24.1640625" customWidth="1"/>
    <col min="8965" max="8965" width="4.5" customWidth="1"/>
    <col min="8966" max="8966" width="24.1640625" customWidth="1"/>
    <col min="8967" max="8967" width="4.5" customWidth="1"/>
    <col min="8968" max="8968" width="24.1640625" customWidth="1"/>
    <col min="8969" max="8969" width="4.5" customWidth="1"/>
    <col min="8970" max="8970" width="24.1640625" customWidth="1"/>
    <col min="8971" max="8971" width="4.5" customWidth="1"/>
    <col min="8972" max="8972" width="24.1640625" customWidth="1"/>
    <col min="9217" max="9217" width="41.6640625" bestFit="1" customWidth="1"/>
    <col min="9218" max="9218" width="24.1640625" customWidth="1"/>
    <col min="9219" max="9219" width="4.5" customWidth="1"/>
    <col min="9220" max="9220" width="24.1640625" customWidth="1"/>
    <col min="9221" max="9221" width="4.5" customWidth="1"/>
    <col min="9222" max="9222" width="24.1640625" customWidth="1"/>
    <col min="9223" max="9223" width="4.5" customWidth="1"/>
    <col min="9224" max="9224" width="24.1640625" customWidth="1"/>
    <col min="9225" max="9225" width="4.5" customWidth="1"/>
    <col min="9226" max="9226" width="24.1640625" customWidth="1"/>
    <col min="9227" max="9227" width="4.5" customWidth="1"/>
    <col min="9228" max="9228" width="24.1640625" customWidth="1"/>
    <col min="9473" max="9473" width="41.6640625" bestFit="1" customWidth="1"/>
    <col min="9474" max="9474" width="24.1640625" customWidth="1"/>
    <col min="9475" max="9475" width="4.5" customWidth="1"/>
    <col min="9476" max="9476" width="24.1640625" customWidth="1"/>
    <col min="9477" max="9477" width="4.5" customWidth="1"/>
    <col min="9478" max="9478" width="24.1640625" customWidth="1"/>
    <col min="9479" max="9479" width="4.5" customWidth="1"/>
    <col min="9480" max="9480" width="24.1640625" customWidth="1"/>
    <col min="9481" max="9481" width="4.5" customWidth="1"/>
    <col min="9482" max="9482" width="24.1640625" customWidth="1"/>
    <col min="9483" max="9483" width="4.5" customWidth="1"/>
    <col min="9484" max="9484" width="24.1640625" customWidth="1"/>
    <col min="9729" max="9729" width="41.6640625" bestFit="1" customWidth="1"/>
    <col min="9730" max="9730" width="24.1640625" customWidth="1"/>
    <col min="9731" max="9731" width="4.5" customWidth="1"/>
    <col min="9732" max="9732" width="24.1640625" customWidth="1"/>
    <col min="9733" max="9733" width="4.5" customWidth="1"/>
    <col min="9734" max="9734" width="24.1640625" customWidth="1"/>
    <col min="9735" max="9735" width="4.5" customWidth="1"/>
    <col min="9736" max="9736" width="24.1640625" customWidth="1"/>
    <col min="9737" max="9737" width="4.5" customWidth="1"/>
    <col min="9738" max="9738" width="24.1640625" customWidth="1"/>
    <col min="9739" max="9739" width="4.5" customWidth="1"/>
    <col min="9740" max="9740" width="24.1640625" customWidth="1"/>
    <col min="9985" max="9985" width="41.6640625" bestFit="1" customWidth="1"/>
    <col min="9986" max="9986" width="24.1640625" customWidth="1"/>
    <col min="9987" max="9987" width="4.5" customWidth="1"/>
    <col min="9988" max="9988" width="24.1640625" customWidth="1"/>
    <col min="9989" max="9989" width="4.5" customWidth="1"/>
    <col min="9990" max="9990" width="24.1640625" customWidth="1"/>
    <col min="9991" max="9991" width="4.5" customWidth="1"/>
    <col min="9992" max="9992" width="24.1640625" customWidth="1"/>
    <col min="9993" max="9993" width="4.5" customWidth="1"/>
    <col min="9994" max="9994" width="24.1640625" customWidth="1"/>
    <col min="9995" max="9995" width="4.5" customWidth="1"/>
    <col min="9996" max="9996" width="24.1640625" customWidth="1"/>
    <col min="10241" max="10241" width="41.6640625" bestFit="1" customWidth="1"/>
    <col min="10242" max="10242" width="24.1640625" customWidth="1"/>
    <col min="10243" max="10243" width="4.5" customWidth="1"/>
    <col min="10244" max="10244" width="24.1640625" customWidth="1"/>
    <col min="10245" max="10245" width="4.5" customWidth="1"/>
    <col min="10246" max="10246" width="24.1640625" customWidth="1"/>
    <col min="10247" max="10247" width="4.5" customWidth="1"/>
    <col min="10248" max="10248" width="24.1640625" customWidth="1"/>
    <col min="10249" max="10249" width="4.5" customWidth="1"/>
    <col min="10250" max="10250" width="24.1640625" customWidth="1"/>
    <col min="10251" max="10251" width="4.5" customWidth="1"/>
    <col min="10252" max="10252" width="24.1640625" customWidth="1"/>
    <col min="10497" max="10497" width="41.6640625" bestFit="1" customWidth="1"/>
    <col min="10498" max="10498" width="24.1640625" customWidth="1"/>
    <col min="10499" max="10499" width="4.5" customWidth="1"/>
    <col min="10500" max="10500" width="24.1640625" customWidth="1"/>
    <col min="10501" max="10501" width="4.5" customWidth="1"/>
    <col min="10502" max="10502" width="24.1640625" customWidth="1"/>
    <col min="10503" max="10503" width="4.5" customWidth="1"/>
    <col min="10504" max="10504" width="24.1640625" customWidth="1"/>
    <col min="10505" max="10505" width="4.5" customWidth="1"/>
    <col min="10506" max="10506" width="24.1640625" customWidth="1"/>
    <col min="10507" max="10507" width="4.5" customWidth="1"/>
    <col min="10508" max="10508" width="24.1640625" customWidth="1"/>
    <col min="10753" max="10753" width="41.6640625" bestFit="1" customWidth="1"/>
    <col min="10754" max="10754" width="24.1640625" customWidth="1"/>
    <col min="10755" max="10755" width="4.5" customWidth="1"/>
    <col min="10756" max="10756" width="24.1640625" customWidth="1"/>
    <col min="10757" max="10757" width="4.5" customWidth="1"/>
    <col min="10758" max="10758" width="24.1640625" customWidth="1"/>
    <col min="10759" max="10759" width="4.5" customWidth="1"/>
    <col min="10760" max="10760" width="24.1640625" customWidth="1"/>
    <col min="10761" max="10761" width="4.5" customWidth="1"/>
    <col min="10762" max="10762" width="24.1640625" customWidth="1"/>
    <col min="10763" max="10763" width="4.5" customWidth="1"/>
    <col min="10764" max="10764" width="24.1640625" customWidth="1"/>
    <col min="11009" max="11009" width="41.6640625" bestFit="1" customWidth="1"/>
    <col min="11010" max="11010" width="24.1640625" customWidth="1"/>
    <col min="11011" max="11011" width="4.5" customWidth="1"/>
    <col min="11012" max="11012" width="24.1640625" customWidth="1"/>
    <col min="11013" max="11013" width="4.5" customWidth="1"/>
    <col min="11014" max="11014" width="24.1640625" customWidth="1"/>
    <col min="11015" max="11015" width="4.5" customWidth="1"/>
    <col min="11016" max="11016" width="24.1640625" customWidth="1"/>
    <col min="11017" max="11017" width="4.5" customWidth="1"/>
    <col min="11018" max="11018" width="24.1640625" customWidth="1"/>
    <col min="11019" max="11019" width="4.5" customWidth="1"/>
    <col min="11020" max="11020" width="24.1640625" customWidth="1"/>
    <col min="11265" max="11265" width="41.6640625" bestFit="1" customWidth="1"/>
    <col min="11266" max="11266" width="24.1640625" customWidth="1"/>
    <col min="11267" max="11267" width="4.5" customWidth="1"/>
    <col min="11268" max="11268" width="24.1640625" customWidth="1"/>
    <col min="11269" max="11269" width="4.5" customWidth="1"/>
    <col min="11270" max="11270" width="24.1640625" customWidth="1"/>
    <col min="11271" max="11271" width="4.5" customWidth="1"/>
    <col min="11272" max="11272" width="24.1640625" customWidth="1"/>
    <col min="11273" max="11273" width="4.5" customWidth="1"/>
    <col min="11274" max="11274" width="24.1640625" customWidth="1"/>
    <col min="11275" max="11275" width="4.5" customWidth="1"/>
    <col min="11276" max="11276" width="24.1640625" customWidth="1"/>
    <col min="11521" max="11521" width="41.6640625" bestFit="1" customWidth="1"/>
    <col min="11522" max="11522" width="24.1640625" customWidth="1"/>
    <col min="11523" max="11523" width="4.5" customWidth="1"/>
    <col min="11524" max="11524" width="24.1640625" customWidth="1"/>
    <col min="11525" max="11525" width="4.5" customWidth="1"/>
    <col min="11526" max="11526" width="24.1640625" customWidth="1"/>
    <col min="11527" max="11527" width="4.5" customWidth="1"/>
    <col min="11528" max="11528" width="24.1640625" customWidth="1"/>
    <col min="11529" max="11529" width="4.5" customWidth="1"/>
    <col min="11530" max="11530" width="24.1640625" customWidth="1"/>
    <col min="11531" max="11531" width="4.5" customWidth="1"/>
    <col min="11532" max="11532" width="24.1640625" customWidth="1"/>
    <col min="11777" max="11777" width="41.6640625" bestFit="1" customWidth="1"/>
    <col min="11778" max="11778" width="24.1640625" customWidth="1"/>
    <col min="11779" max="11779" width="4.5" customWidth="1"/>
    <col min="11780" max="11780" width="24.1640625" customWidth="1"/>
    <col min="11781" max="11781" width="4.5" customWidth="1"/>
    <col min="11782" max="11782" width="24.1640625" customWidth="1"/>
    <col min="11783" max="11783" width="4.5" customWidth="1"/>
    <col min="11784" max="11784" width="24.1640625" customWidth="1"/>
    <col min="11785" max="11785" width="4.5" customWidth="1"/>
    <col min="11786" max="11786" width="24.1640625" customWidth="1"/>
    <col min="11787" max="11787" width="4.5" customWidth="1"/>
    <col min="11788" max="11788" width="24.1640625" customWidth="1"/>
    <col min="12033" max="12033" width="41.6640625" bestFit="1" customWidth="1"/>
    <col min="12034" max="12034" width="24.1640625" customWidth="1"/>
    <col min="12035" max="12035" width="4.5" customWidth="1"/>
    <col min="12036" max="12036" width="24.1640625" customWidth="1"/>
    <col min="12037" max="12037" width="4.5" customWidth="1"/>
    <col min="12038" max="12038" width="24.1640625" customWidth="1"/>
    <col min="12039" max="12039" width="4.5" customWidth="1"/>
    <col min="12040" max="12040" width="24.1640625" customWidth="1"/>
    <col min="12041" max="12041" width="4.5" customWidth="1"/>
    <col min="12042" max="12042" width="24.1640625" customWidth="1"/>
    <col min="12043" max="12043" width="4.5" customWidth="1"/>
    <col min="12044" max="12044" width="24.1640625" customWidth="1"/>
    <col min="12289" max="12289" width="41.6640625" bestFit="1" customWidth="1"/>
    <col min="12290" max="12290" width="24.1640625" customWidth="1"/>
    <col min="12291" max="12291" width="4.5" customWidth="1"/>
    <col min="12292" max="12292" width="24.1640625" customWidth="1"/>
    <col min="12293" max="12293" width="4.5" customWidth="1"/>
    <col min="12294" max="12294" width="24.1640625" customWidth="1"/>
    <col min="12295" max="12295" width="4.5" customWidth="1"/>
    <col min="12296" max="12296" width="24.1640625" customWidth="1"/>
    <col min="12297" max="12297" width="4.5" customWidth="1"/>
    <col min="12298" max="12298" width="24.1640625" customWidth="1"/>
    <col min="12299" max="12299" width="4.5" customWidth="1"/>
    <col min="12300" max="12300" width="24.1640625" customWidth="1"/>
    <col min="12545" max="12545" width="41.6640625" bestFit="1" customWidth="1"/>
    <col min="12546" max="12546" width="24.1640625" customWidth="1"/>
    <col min="12547" max="12547" width="4.5" customWidth="1"/>
    <col min="12548" max="12548" width="24.1640625" customWidth="1"/>
    <col min="12549" max="12549" width="4.5" customWidth="1"/>
    <col min="12550" max="12550" width="24.1640625" customWidth="1"/>
    <col min="12551" max="12551" width="4.5" customWidth="1"/>
    <col min="12552" max="12552" width="24.1640625" customWidth="1"/>
    <col min="12553" max="12553" width="4.5" customWidth="1"/>
    <col min="12554" max="12554" width="24.1640625" customWidth="1"/>
    <col min="12555" max="12555" width="4.5" customWidth="1"/>
    <col min="12556" max="12556" width="24.1640625" customWidth="1"/>
    <col min="12801" max="12801" width="41.6640625" bestFit="1" customWidth="1"/>
    <col min="12802" max="12802" width="24.1640625" customWidth="1"/>
    <col min="12803" max="12803" width="4.5" customWidth="1"/>
    <col min="12804" max="12804" width="24.1640625" customWidth="1"/>
    <col min="12805" max="12805" width="4.5" customWidth="1"/>
    <col min="12806" max="12806" width="24.1640625" customWidth="1"/>
    <col min="12807" max="12807" width="4.5" customWidth="1"/>
    <col min="12808" max="12808" width="24.1640625" customWidth="1"/>
    <col min="12809" max="12809" width="4.5" customWidth="1"/>
    <col min="12810" max="12810" width="24.1640625" customWidth="1"/>
    <col min="12811" max="12811" width="4.5" customWidth="1"/>
    <col min="12812" max="12812" width="24.1640625" customWidth="1"/>
    <col min="13057" max="13057" width="41.6640625" bestFit="1" customWidth="1"/>
    <col min="13058" max="13058" width="24.1640625" customWidth="1"/>
    <col min="13059" max="13059" width="4.5" customWidth="1"/>
    <col min="13060" max="13060" width="24.1640625" customWidth="1"/>
    <col min="13061" max="13061" width="4.5" customWidth="1"/>
    <col min="13062" max="13062" width="24.1640625" customWidth="1"/>
    <col min="13063" max="13063" width="4.5" customWidth="1"/>
    <col min="13064" max="13064" width="24.1640625" customWidth="1"/>
    <col min="13065" max="13065" width="4.5" customWidth="1"/>
    <col min="13066" max="13066" width="24.1640625" customWidth="1"/>
    <col min="13067" max="13067" width="4.5" customWidth="1"/>
    <col min="13068" max="13068" width="24.1640625" customWidth="1"/>
    <col min="13313" max="13313" width="41.6640625" bestFit="1" customWidth="1"/>
    <col min="13314" max="13314" width="24.1640625" customWidth="1"/>
    <col min="13315" max="13315" width="4.5" customWidth="1"/>
    <col min="13316" max="13316" width="24.1640625" customWidth="1"/>
    <col min="13317" max="13317" width="4.5" customWidth="1"/>
    <col min="13318" max="13318" width="24.1640625" customWidth="1"/>
    <col min="13319" max="13319" width="4.5" customWidth="1"/>
    <col min="13320" max="13320" width="24.1640625" customWidth="1"/>
    <col min="13321" max="13321" width="4.5" customWidth="1"/>
    <col min="13322" max="13322" width="24.1640625" customWidth="1"/>
    <col min="13323" max="13323" width="4.5" customWidth="1"/>
    <col min="13324" max="13324" width="24.1640625" customWidth="1"/>
    <col min="13569" max="13569" width="41.6640625" bestFit="1" customWidth="1"/>
    <col min="13570" max="13570" width="24.1640625" customWidth="1"/>
    <col min="13571" max="13571" width="4.5" customWidth="1"/>
    <col min="13572" max="13572" width="24.1640625" customWidth="1"/>
    <col min="13573" max="13573" width="4.5" customWidth="1"/>
    <col min="13574" max="13574" width="24.1640625" customWidth="1"/>
    <col min="13575" max="13575" width="4.5" customWidth="1"/>
    <col min="13576" max="13576" width="24.1640625" customWidth="1"/>
    <col min="13577" max="13577" width="4.5" customWidth="1"/>
    <col min="13578" max="13578" width="24.1640625" customWidth="1"/>
    <col min="13579" max="13579" width="4.5" customWidth="1"/>
    <col min="13580" max="13580" width="24.1640625" customWidth="1"/>
    <col min="13825" max="13825" width="41.6640625" bestFit="1" customWidth="1"/>
    <col min="13826" max="13826" width="24.1640625" customWidth="1"/>
    <col min="13827" max="13827" width="4.5" customWidth="1"/>
    <col min="13828" max="13828" width="24.1640625" customWidth="1"/>
    <col min="13829" max="13829" width="4.5" customWidth="1"/>
    <col min="13830" max="13830" width="24.1640625" customWidth="1"/>
    <col min="13831" max="13831" width="4.5" customWidth="1"/>
    <col min="13832" max="13832" width="24.1640625" customWidth="1"/>
    <col min="13833" max="13833" width="4.5" customWidth="1"/>
    <col min="13834" max="13834" width="24.1640625" customWidth="1"/>
    <col min="13835" max="13835" width="4.5" customWidth="1"/>
    <col min="13836" max="13836" width="24.1640625" customWidth="1"/>
    <col min="14081" max="14081" width="41.6640625" bestFit="1" customWidth="1"/>
    <col min="14082" max="14082" width="24.1640625" customWidth="1"/>
    <col min="14083" max="14083" width="4.5" customWidth="1"/>
    <col min="14084" max="14084" width="24.1640625" customWidth="1"/>
    <col min="14085" max="14085" width="4.5" customWidth="1"/>
    <col min="14086" max="14086" width="24.1640625" customWidth="1"/>
    <col min="14087" max="14087" width="4.5" customWidth="1"/>
    <col min="14088" max="14088" width="24.1640625" customWidth="1"/>
    <col min="14089" max="14089" width="4.5" customWidth="1"/>
    <col min="14090" max="14090" width="24.1640625" customWidth="1"/>
    <col min="14091" max="14091" width="4.5" customWidth="1"/>
    <col min="14092" max="14092" width="24.1640625" customWidth="1"/>
    <col min="14337" max="14337" width="41.6640625" bestFit="1" customWidth="1"/>
    <col min="14338" max="14338" width="24.1640625" customWidth="1"/>
    <col min="14339" max="14339" width="4.5" customWidth="1"/>
    <col min="14340" max="14340" width="24.1640625" customWidth="1"/>
    <col min="14341" max="14341" width="4.5" customWidth="1"/>
    <col min="14342" max="14342" width="24.1640625" customWidth="1"/>
    <col min="14343" max="14343" width="4.5" customWidth="1"/>
    <col min="14344" max="14344" width="24.1640625" customWidth="1"/>
    <col min="14345" max="14345" width="4.5" customWidth="1"/>
    <col min="14346" max="14346" width="24.1640625" customWidth="1"/>
    <col min="14347" max="14347" width="4.5" customWidth="1"/>
    <col min="14348" max="14348" width="24.1640625" customWidth="1"/>
    <col min="14593" max="14593" width="41.6640625" bestFit="1" customWidth="1"/>
    <col min="14594" max="14594" width="24.1640625" customWidth="1"/>
    <col min="14595" max="14595" width="4.5" customWidth="1"/>
    <col min="14596" max="14596" width="24.1640625" customWidth="1"/>
    <col min="14597" max="14597" width="4.5" customWidth="1"/>
    <col min="14598" max="14598" width="24.1640625" customWidth="1"/>
    <col min="14599" max="14599" width="4.5" customWidth="1"/>
    <col min="14600" max="14600" width="24.1640625" customWidth="1"/>
    <col min="14601" max="14601" width="4.5" customWidth="1"/>
    <col min="14602" max="14602" width="24.1640625" customWidth="1"/>
    <col min="14603" max="14603" width="4.5" customWidth="1"/>
    <col min="14604" max="14604" width="24.1640625" customWidth="1"/>
    <col min="14849" max="14849" width="41.6640625" bestFit="1" customWidth="1"/>
    <col min="14850" max="14850" width="24.1640625" customWidth="1"/>
    <col min="14851" max="14851" width="4.5" customWidth="1"/>
    <col min="14852" max="14852" width="24.1640625" customWidth="1"/>
    <col min="14853" max="14853" width="4.5" customWidth="1"/>
    <col min="14854" max="14854" width="24.1640625" customWidth="1"/>
    <col min="14855" max="14855" width="4.5" customWidth="1"/>
    <col min="14856" max="14856" width="24.1640625" customWidth="1"/>
    <col min="14857" max="14857" width="4.5" customWidth="1"/>
    <col min="14858" max="14858" width="24.1640625" customWidth="1"/>
    <col min="14859" max="14859" width="4.5" customWidth="1"/>
    <col min="14860" max="14860" width="24.1640625" customWidth="1"/>
    <col min="15105" max="15105" width="41.6640625" bestFit="1" customWidth="1"/>
    <col min="15106" max="15106" width="24.1640625" customWidth="1"/>
    <col min="15107" max="15107" width="4.5" customWidth="1"/>
    <col min="15108" max="15108" width="24.1640625" customWidth="1"/>
    <col min="15109" max="15109" width="4.5" customWidth="1"/>
    <col min="15110" max="15110" width="24.1640625" customWidth="1"/>
    <col min="15111" max="15111" width="4.5" customWidth="1"/>
    <col min="15112" max="15112" width="24.1640625" customWidth="1"/>
    <col min="15113" max="15113" width="4.5" customWidth="1"/>
    <col min="15114" max="15114" width="24.1640625" customWidth="1"/>
    <col min="15115" max="15115" width="4.5" customWidth="1"/>
    <col min="15116" max="15116" width="24.1640625" customWidth="1"/>
    <col min="15361" max="15361" width="41.6640625" bestFit="1" customWidth="1"/>
    <col min="15362" max="15362" width="24.1640625" customWidth="1"/>
    <col min="15363" max="15363" width="4.5" customWidth="1"/>
    <col min="15364" max="15364" width="24.1640625" customWidth="1"/>
    <col min="15365" max="15365" width="4.5" customWidth="1"/>
    <col min="15366" max="15366" width="24.1640625" customWidth="1"/>
    <col min="15367" max="15367" width="4.5" customWidth="1"/>
    <col min="15368" max="15368" width="24.1640625" customWidth="1"/>
    <col min="15369" max="15369" width="4.5" customWidth="1"/>
    <col min="15370" max="15370" width="24.1640625" customWidth="1"/>
    <col min="15371" max="15371" width="4.5" customWidth="1"/>
    <col min="15372" max="15372" width="24.1640625" customWidth="1"/>
    <col min="15617" max="15617" width="41.6640625" bestFit="1" customWidth="1"/>
    <col min="15618" max="15618" width="24.1640625" customWidth="1"/>
    <col min="15619" max="15619" width="4.5" customWidth="1"/>
    <col min="15620" max="15620" width="24.1640625" customWidth="1"/>
    <col min="15621" max="15621" width="4.5" customWidth="1"/>
    <col min="15622" max="15622" width="24.1640625" customWidth="1"/>
    <col min="15623" max="15623" width="4.5" customWidth="1"/>
    <col min="15624" max="15624" width="24.1640625" customWidth="1"/>
    <col min="15625" max="15625" width="4.5" customWidth="1"/>
    <col min="15626" max="15626" width="24.1640625" customWidth="1"/>
    <col min="15627" max="15627" width="4.5" customWidth="1"/>
    <col min="15628" max="15628" width="24.1640625" customWidth="1"/>
    <col min="15873" max="15873" width="41.6640625" bestFit="1" customWidth="1"/>
    <col min="15874" max="15874" width="24.1640625" customWidth="1"/>
    <col min="15875" max="15875" width="4.5" customWidth="1"/>
    <col min="15876" max="15876" width="24.1640625" customWidth="1"/>
    <col min="15877" max="15877" width="4.5" customWidth="1"/>
    <col min="15878" max="15878" width="24.1640625" customWidth="1"/>
    <col min="15879" max="15879" width="4.5" customWidth="1"/>
    <col min="15880" max="15880" width="24.1640625" customWidth="1"/>
    <col min="15881" max="15881" width="4.5" customWidth="1"/>
    <col min="15882" max="15882" width="24.1640625" customWidth="1"/>
    <col min="15883" max="15883" width="4.5" customWidth="1"/>
    <col min="15884" max="15884" width="24.1640625" customWidth="1"/>
    <col min="16129" max="16129" width="41.6640625" bestFit="1" customWidth="1"/>
    <col min="16130" max="16130" width="24.1640625" customWidth="1"/>
    <col min="16131" max="16131" width="4.5" customWidth="1"/>
    <col min="16132" max="16132" width="24.1640625" customWidth="1"/>
    <col min="16133" max="16133" width="4.5" customWidth="1"/>
    <col min="16134" max="16134" width="24.1640625" customWidth="1"/>
    <col min="16135" max="16135" width="4.5" customWidth="1"/>
    <col min="16136" max="16136" width="24.1640625" customWidth="1"/>
    <col min="16137" max="16137" width="4.5" customWidth="1"/>
    <col min="16138" max="16138" width="24.1640625" customWidth="1"/>
    <col min="16139" max="16139" width="4.5" customWidth="1"/>
    <col min="16140" max="16140" width="24.1640625" customWidth="1"/>
  </cols>
  <sheetData>
    <row r="4" spans="1:12" x14ac:dyDescent="0.2">
      <c r="A4" s="7" t="s">
        <v>62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x14ac:dyDescent="0.2">
      <c r="A5" s="7" t="s">
        <v>63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 x14ac:dyDescent="0.2">
      <c r="A6" s="30">
        <v>45492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2" x14ac:dyDescent="0.2">
      <c r="B7" s="31" t="s">
        <v>64</v>
      </c>
      <c r="C7" s="29"/>
      <c r="D7" s="31" t="s">
        <v>65</v>
      </c>
      <c r="E7" s="29"/>
      <c r="F7" s="31" t="s">
        <v>65</v>
      </c>
      <c r="G7" s="29"/>
      <c r="H7" s="31" t="s">
        <v>65</v>
      </c>
      <c r="I7" s="29"/>
      <c r="J7" s="31" t="s">
        <v>65</v>
      </c>
      <c r="K7" s="29"/>
      <c r="L7" s="31" t="s">
        <v>66</v>
      </c>
    </row>
    <row r="8" spans="1:12" x14ac:dyDescent="0.2">
      <c r="B8" s="32" t="s">
        <v>67</v>
      </c>
      <c r="C8" s="29"/>
      <c r="D8" s="32" t="s">
        <v>68</v>
      </c>
      <c r="E8" s="29"/>
      <c r="F8" s="32" t="s">
        <v>69</v>
      </c>
      <c r="G8" s="29"/>
      <c r="H8" s="32" t="s">
        <v>70</v>
      </c>
      <c r="I8" s="29"/>
      <c r="J8" s="32" t="s">
        <v>71</v>
      </c>
      <c r="K8" s="29"/>
      <c r="L8" s="32" t="s">
        <v>72</v>
      </c>
    </row>
    <row r="9" spans="1:12" x14ac:dyDescent="0.2">
      <c r="A9" s="33" t="s">
        <v>73</v>
      </c>
      <c r="B9" s="34">
        <v>100000</v>
      </c>
      <c r="C9" s="29"/>
      <c r="D9" s="34">
        <f>B71</f>
        <v>-18780.431998926913</v>
      </c>
      <c r="E9" s="29"/>
      <c r="F9" s="34">
        <f>D71</f>
        <v>-42451.557672488852</v>
      </c>
      <c r="G9" s="29"/>
      <c r="H9" s="34">
        <f>F71</f>
        <v>12393.875644787156</v>
      </c>
      <c r="I9" s="29"/>
      <c r="J9" s="34">
        <f>H71</f>
        <v>108274.3612048013</v>
      </c>
      <c r="K9" s="29"/>
      <c r="L9" s="34">
        <f>J71</f>
        <v>208135.10975154972</v>
      </c>
    </row>
    <row r="10" spans="1:12" x14ac:dyDescent="0.2">
      <c r="A10" s="33"/>
      <c r="B10" s="34"/>
      <c r="C10" s="29"/>
      <c r="D10" s="34"/>
      <c r="E10" s="29"/>
      <c r="F10" s="34"/>
      <c r="G10" s="29"/>
      <c r="H10" s="34"/>
      <c r="I10" s="29"/>
      <c r="J10" s="34"/>
      <c r="K10" s="29"/>
      <c r="L10" s="34"/>
    </row>
    <row r="11" spans="1:12" x14ac:dyDescent="0.2">
      <c r="A11" s="33" t="s">
        <v>74</v>
      </c>
      <c r="B11" s="34"/>
      <c r="C11" s="29"/>
      <c r="D11" s="34"/>
      <c r="E11" s="29"/>
      <c r="F11" s="34"/>
      <c r="G11" s="29"/>
      <c r="H11" s="34"/>
      <c r="I11" s="29"/>
      <c r="J11" s="34"/>
      <c r="K11" s="29"/>
      <c r="L11" s="34"/>
    </row>
    <row r="12" spans="1:12" x14ac:dyDescent="0.2">
      <c r="A12" s="35" t="s">
        <v>75</v>
      </c>
      <c r="B12" s="34">
        <f>Inputs!$C$150</f>
        <v>114655.5680010731</v>
      </c>
      <c r="C12" s="29"/>
      <c r="D12" s="34">
        <f>SUM(Inputs!$C$162)</f>
        <v>238043.9177789776</v>
      </c>
      <c r="E12" s="29"/>
      <c r="F12" s="34">
        <f>SUM(Inputs!$C$174)</f>
        <v>346052.5611611089</v>
      </c>
      <c r="G12" s="29"/>
      <c r="H12" s="34">
        <f>SUM(Inputs!$C$186)</f>
        <v>395197.53495228069</v>
      </c>
      <c r="I12" s="29"/>
      <c r="J12" s="34">
        <f>SUM(Inputs!$C$198)</f>
        <v>404310.61377225537</v>
      </c>
      <c r="K12" s="29"/>
      <c r="L12" s="34">
        <f>SUM(B12:J12)</f>
        <v>1498260.1956656957</v>
      </c>
    </row>
    <row r="13" spans="1:12" x14ac:dyDescent="0.2">
      <c r="A13" s="35" t="s">
        <v>76</v>
      </c>
      <c r="B13" s="34">
        <v>0</v>
      </c>
      <c r="C13" s="29"/>
      <c r="D13" s="34">
        <v>0</v>
      </c>
      <c r="E13" s="29"/>
      <c r="F13" s="34">
        <v>0</v>
      </c>
      <c r="G13" s="29"/>
      <c r="H13" s="34">
        <v>0</v>
      </c>
      <c r="I13" s="29"/>
      <c r="J13" s="34">
        <v>0</v>
      </c>
      <c r="K13" s="29"/>
      <c r="L13" s="34">
        <f>+B13-J13</f>
        <v>0</v>
      </c>
    </row>
    <row r="14" spans="1:12" x14ac:dyDescent="0.2">
      <c r="A14" s="35" t="s">
        <v>77</v>
      </c>
      <c r="B14" s="34">
        <v>0</v>
      </c>
      <c r="C14" s="29"/>
      <c r="D14" s="34">
        <v>0</v>
      </c>
      <c r="E14" s="29"/>
      <c r="F14" s="34">
        <v>0</v>
      </c>
      <c r="G14" s="29"/>
      <c r="H14" s="34">
        <v>0</v>
      </c>
      <c r="I14" s="29"/>
      <c r="J14" s="34">
        <v>0</v>
      </c>
      <c r="K14" s="29"/>
      <c r="L14" s="34">
        <f>+B14-J14</f>
        <v>0</v>
      </c>
    </row>
    <row r="15" spans="1:12" x14ac:dyDescent="0.2">
      <c r="A15" s="35" t="s">
        <v>78</v>
      </c>
      <c r="B15" s="34">
        <v>0</v>
      </c>
      <c r="C15" s="29"/>
      <c r="D15" s="34">
        <v>0</v>
      </c>
      <c r="E15" s="29"/>
      <c r="F15" s="34">
        <v>0</v>
      </c>
      <c r="G15" s="29"/>
      <c r="H15" s="34">
        <v>0</v>
      </c>
      <c r="I15" s="29"/>
      <c r="J15" s="34">
        <v>0</v>
      </c>
      <c r="K15" s="29"/>
      <c r="L15" s="34">
        <f>+B15-J15</f>
        <v>0</v>
      </c>
    </row>
    <row r="16" spans="1:12" x14ac:dyDescent="0.2">
      <c r="A16" s="35" t="s">
        <v>79</v>
      </c>
      <c r="B16" s="34">
        <v>0</v>
      </c>
      <c r="C16" s="29"/>
      <c r="D16" s="34">
        <v>0</v>
      </c>
      <c r="E16" s="29"/>
      <c r="F16" s="34">
        <v>0</v>
      </c>
      <c r="G16" s="29"/>
      <c r="H16" s="34">
        <v>0</v>
      </c>
      <c r="I16" s="29"/>
      <c r="J16" s="34">
        <v>0</v>
      </c>
      <c r="K16" s="29"/>
      <c r="L16" s="34">
        <f>+B16-J16</f>
        <v>0</v>
      </c>
    </row>
    <row r="17" spans="1:12" x14ac:dyDescent="0.2">
      <c r="A17" s="35" t="s">
        <v>80</v>
      </c>
      <c r="B17" s="36">
        <v>0</v>
      </c>
      <c r="C17" s="29"/>
      <c r="D17" s="36">
        <v>0</v>
      </c>
      <c r="E17" s="29"/>
      <c r="F17" s="36">
        <v>0</v>
      </c>
      <c r="G17" s="29"/>
      <c r="H17" s="36">
        <v>0</v>
      </c>
      <c r="I17" s="29"/>
      <c r="J17" s="36">
        <v>0</v>
      </c>
      <c r="K17" s="29"/>
      <c r="L17" s="36">
        <f>+B17-J17</f>
        <v>0</v>
      </c>
    </row>
    <row r="18" spans="1:12" ht="16" x14ac:dyDescent="0.2">
      <c r="A18" s="37" t="s">
        <v>81</v>
      </c>
      <c r="B18" s="38">
        <f>SUM(B12:B17)</f>
        <v>114655.5680010731</v>
      </c>
      <c r="C18" s="29"/>
      <c r="D18" s="38">
        <f>SUM(D12:D17)</f>
        <v>238043.9177789776</v>
      </c>
      <c r="E18" s="29"/>
      <c r="F18" s="38">
        <f>SUM(F12:F17)</f>
        <v>346052.5611611089</v>
      </c>
      <c r="G18" s="29"/>
      <c r="H18" s="38">
        <f>SUM(H12:H17)</f>
        <v>395197.53495228069</v>
      </c>
      <c r="I18" s="29"/>
      <c r="J18" s="38">
        <f>SUM(J12:J17)</f>
        <v>404310.61377225537</v>
      </c>
      <c r="K18" s="29"/>
      <c r="L18" s="38">
        <f>SUM(L12:L17)</f>
        <v>1498260.1956656957</v>
      </c>
    </row>
    <row r="19" spans="1:12" x14ac:dyDescent="0.2">
      <c r="B19" s="34"/>
      <c r="C19" s="29"/>
      <c r="D19" s="34"/>
      <c r="E19" s="29"/>
      <c r="F19" s="34"/>
      <c r="G19" s="29"/>
      <c r="H19" s="34"/>
      <c r="I19" s="29"/>
      <c r="J19" s="34"/>
      <c r="K19" s="29"/>
      <c r="L19" s="34"/>
    </row>
    <row r="20" spans="1:12" x14ac:dyDescent="0.2">
      <c r="A20" s="33" t="s">
        <v>82</v>
      </c>
      <c r="B20" s="34"/>
      <c r="C20" s="29"/>
      <c r="D20" s="34"/>
      <c r="E20" s="29"/>
      <c r="F20" s="34"/>
      <c r="G20" s="29"/>
      <c r="H20" s="34"/>
      <c r="I20" s="29"/>
      <c r="J20" s="34"/>
      <c r="K20" s="29"/>
      <c r="L20" s="34"/>
    </row>
    <row r="21" spans="1:12" x14ac:dyDescent="0.2">
      <c r="A21" s="39" t="s">
        <v>83</v>
      </c>
      <c r="B21" s="34"/>
      <c r="C21" s="29"/>
      <c r="D21" s="34"/>
      <c r="E21" s="29"/>
      <c r="F21" s="34"/>
      <c r="G21" s="29"/>
      <c r="H21" s="34"/>
      <c r="I21" s="29"/>
      <c r="J21" s="34"/>
      <c r="K21" s="29"/>
      <c r="L21" s="34"/>
    </row>
    <row r="22" spans="1:12" x14ac:dyDescent="0.2">
      <c r="A22" s="35" t="s">
        <v>84</v>
      </c>
      <c r="B22" s="34">
        <v>0</v>
      </c>
      <c r="C22" s="29"/>
      <c r="D22" s="34">
        <v>0</v>
      </c>
      <c r="E22" s="29"/>
      <c r="F22" s="34">
        <v>0</v>
      </c>
      <c r="G22" s="29"/>
      <c r="H22" s="34">
        <v>0</v>
      </c>
      <c r="I22" s="29"/>
      <c r="J22" s="34">
        <v>0</v>
      </c>
      <c r="K22" s="29"/>
      <c r="L22" s="34">
        <f t="shared" ref="L22:L27" si="0">+B22-J22</f>
        <v>0</v>
      </c>
    </row>
    <row r="23" spans="1:12" x14ac:dyDescent="0.2">
      <c r="A23" s="35" t="s">
        <v>85</v>
      </c>
      <c r="B23" s="34">
        <v>0</v>
      </c>
      <c r="C23" s="29"/>
      <c r="D23" s="34">
        <v>0</v>
      </c>
      <c r="E23" s="29"/>
      <c r="F23" s="34">
        <v>0</v>
      </c>
      <c r="G23" s="29"/>
      <c r="H23" s="34">
        <v>0</v>
      </c>
      <c r="I23" s="29"/>
      <c r="J23" s="34">
        <v>0</v>
      </c>
      <c r="K23" s="29"/>
      <c r="L23" s="34">
        <f t="shared" si="0"/>
        <v>0</v>
      </c>
    </row>
    <row r="24" spans="1:12" x14ac:dyDescent="0.2">
      <c r="A24" s="35" t="s">
        <v>86</v>
      </c>
      <c r="B24" s="34">
        <v>0</v>
      </c>
      <c r="C24" s="29"/>
      <c r="D24" s="34">
        <v>0</v>
      </c>
      <c r="E24" s="29"/>
      <c r="F24" s="34">
        <v>0</v>
      </c>
      <c r="G24" s="29"/>
      <c r="H24" s="34">
        <v>0</v>
      </c>
      <c r="I24" s="29"/>
      <c r="J24" s="34">
        <v>0</v>
      </c>
      <c r="K24" s="29"/>
      <c r="L24" s="34">
        <f t="shared" si="0"/>
        <v>0</v>
      </c>
    </row>
    <row r="25" spans="1:12" x14ac:dyDescent="0.2">
      <c r="A25" s="35" t="s">
        <v>87</v>
      </c>
      <c r="B25" s="34">
        <v>0</v>
      </c>
      <c r="C25" s="29"/>
      <c r="D25" s="34">
        <v>0</v>
      </c>
      <c r="E25" s="29"/>
      <c r="F25" s="34">
        <v>0</v>
      </c>
      <c r="G25" s="29"/>
      <c r="H25" s="34">
        <v>0</v>
      </c>
      <c r="I25" s="29"/>
      <c r="J25" s="34">
        <v>0</v>
      </c>
      <c r="K25" s="29"/>
      <c r="L25" s="34">
        <f t="shared" si="0"/>
        <v>0</v>
      </c>
    </row>
    <row r="26" spans="1:12" x14ac:dyDescent="0.2">
      <c r="A26" s="35" t="s">
        <v>88</v>
      </c>
      <c r="B26" s="36">
        <v>0</v>
      </c>
      <c r="C26" s="29"/>
      <c r="D26" s="36">
        <v>0</v>
      </c>
      <c r="E26" s="29"/>
      <c r="F26" s="36">
        <v>0</v>
      </c>
      <c r="G26" s="29"/>
      <c r="H26" s="36">
        <v>0</v>
      </c>
      <c r="I26" s="29"/>
      <c r="J26" s="36">
        <v>0</v>
      </c>
      <c r="K26" s="29"/>
      <c r="L26" s="36">
        <f t="shared" si="0"/>
        <v>0</v>
      </c>
    </row>
    <row r="27" spans="1:12" x14ac:dyDescent="0.2">
      <c r="A27" s="40" t="s">
        <v>89</v>
      </c>
      <c r="B27" s="41">
        <f>SUM(B22:B26)</f>
        <v>0</v>
      </c>
      <c r="C27" s="29"/>
      <c r="D27" s="41">
        <f>SUM(D22:D26)</f>
        <v>0</v>
      </c>
      <c r="E27" s="29"/>
      <c r="F27" s="41">
        <f>SUM(F22:F26)</f>
        <v>0</v>
      </c>
      <c r="G27" s="29"/>
      <c r="H27" s="41">
        <f>SUM(H22:H26)</f>
        <v>0</v>
      </c>
      <c r="I27" s="29"/>
      <c r="J27" s="41">
        <f>SUM(J22:J26)</f>
        <v>0</v>
      </c>
      <c r="K27" s="29"/>
      <c r="L27" s="41">
        <f t="shared" si="0"/>
        <v>0</v>
      </c>
    </row>
    <row r="28" spans="1:12" x14ac:dyDescent="0.2">
      <c r="A28" s="42"/>
      <c r="B28" s="34"/>
      <c r="C28" s="29"/>
      <c r="D28" s="34"/>
      <c r="E28" s="29"/>
      <c r="F28" s="34"/>
      <c r="G28" s="29"/>
      <c r="H28" s="34"/>
      <c r="I28" s="29"/>
      <c r="J28" s="34"/>
      <c r="K28" s="29"/>
      <c r="L28" s="34"/>
    </row>
    <row r="29" spans="1:12" x14ac:dyDescent="0.2">
      <c r="A29" s="39" t="s">
        <v>90</v>
      </c>
      <c r="B29" s="34"/>
      <c r="C29" s="29"/>
      <c r="D29" s="34"/>
      <c r="E29" s="29"/>
      <c r="F29" s="34"/>
      <c r="G29" s="29"/>
      <c r="H29" s="34"/>
      <c r="I29" s="29"/>
      <c r="J29" s="34"/>
      <c r="K29" s="29"/>
      <c r="L29" s="34"/>
    </row>
    <row r="30" spans="1:12" x14ac:dyDescent="0.2">
      <c r="A30" s="35" t="s">
        <v>91</v>
      </c>
      <c r="B30" s="34">
        <v>0</v>
      </c>
      <c r="C30" s="29"/>
      <c r="D30" s="34">
        <f>SUM(Inputs!O14:O25)</f>
        <v>51000</v>
      </c>
      <c r="E30" s="29"/>
      <c r="F30" s="34">
        <f>SUM(Inputs!O26:O37)</f>
        <v>61800</v>
      </c>
      <c r="G30" s="29"/>
      <c r="H30" s="34">
        <f>SUM(Inputs!O38:O49)</f>
        <v>63190.5</v>
      </c>
      <c r="I30" s="29"/>
      <c r="J30" s="34">
        <f>SUM(Inputs!O50:O61)</f>
        <v>65250.500000000015</v>
      </c>
      <c r="K30" s="29"/>
      <c r="L30" s="34">
        <f>SUM(B30:J30)</f>
        <v>241241</v>
      </c>
    </row>
    <row r="31" spans="1:12" x14ac:dyDescent="0.2">
      <c r="A31" s="35" t="s">
        <v>92</v>
      </c>
      <c r="B31" s="34">
        <v>0</v>
      </c>
      <c r="C31" s="29"/>
      <c r="D31" s="34">
        <v>0</v>
      </c>
      <c r="E31" s="29"/>
      <c r="F31" s="34">
        <v>0</v>
      </c>
      <c r="G31" s="29"/>
      <c r="H31" s="34">
        <v>0</v>
      </c>
      <c r="I31" s="29"/>
      <c r="J31" s="34">
        <v>0</v>
      </c>
      <c r="K31" s="29"/>
      <c r="L31" s="34">
        <f>+B31-J31</f>
        <v>0</v>
      </c>
    </row>
    <row r="32" spans="1:12" x14ac:dyDescent="0.2">
      <c r="A32" s="35" t="s">
        <v>93</v>
      </c>
      <c r="B32" s="34">
        <v>0</v>
      </c>
      <c r="C32" s="29"/>
      <c r="D32" s="34">
        <v>0</v>
      </c>
      <c r="E32" s="29"/>
      <c r="F32" s="34">
        <v>0</v>
      </c>
      <c r="G32" s="29"/>
      <c r="H32" s="34">
        <v>0</v>
      </c>
      <c r="I32" s="29"/>
      <c r="J32" s="34">
        <v>0</v>
      </c>
      <c r="K32" s="29"/>
      <c r="L32" s="34">
        <f>+B32-J32</f>
        <v>0</v>
      </c>
    </row>
    <row r="33" spans="1:12" x14ac:dyDescent="0.2">
      <c r="A33" s="35" t="s">
        <v>94</v>
      </c>
      <c r="B33" s="34">
        <v>0</v>
      </c>
      <c r="C33" s="29"/>
      <c r="D33" s="34">
        <v>0</v>
      </c>
      <c r="E33" s="29"/>
      <c r="F33" s="34">
        <v>0</v>
      </c>
      <c r="G33" s="29"/>
      <c r="H33" s="34">
        <v>0</v>
      </c>
      <c r="I33" s="29"/>
      <c r="J33" s="34">
        <v>0</v>
      </c>
      <c r="K33" s="29"/>
      <c r="L33" s="34">
        <f>+B33-J33</f>
        <v>0</v>
      </c>
    </row>
    <row r="34" spans="1:12" x14ac:dyDescent="0.2">
      <c r="A34" s="35" t="s">
        <v>95</v>
      </c>
      <c r="B34" s="34">
        <v>0</v>
      </c>
      <c r="C34" s="29"/>
      <c r="D34" s="34">
        <v>0</v>
      </c>
      <c r="E34" s="29"/>
      <c r="F34" s="34">
        <v>0</v>
      </c>
      <c r="G34" s="29"/>
      <c r="H34" s="34">
        <v>0</v>
      </c>
      <c r="I34" s="29"/>
      <c r="J34" s="34">
        <v>0</v>
      </c>
      <c r="K34" s="29"/>
      <c r="L34" s="34">
        <f>+B34-J34</f>
        <v>0</v>
      </c>
    </row>
    <row r="35" spans="1:12" x14ac:dyDescent="0.2">
      <c r="A35" s="35" t="s">
        <v>96</v>
      </c>
      <c r="B35" s="34"/>
      <c r="C35" s="29"/>
      <c r="D35" s="34"/>
      <c r="E35" s="29"/>
      <c r="F35" s="34"/>
      <c r="G35" s="29"/>
      <c r="H35" s="34"/>
      <c r="I35" s="29"/>
      <c r="J35" s="34"/>
      <c r="K35" s="29"/>
      <c r="L35" s="34">
        <f>SUM(B35:J35)</f>
        <v>0</v>
      </c>
    </row>
    <row r="36" spans="1:12" x14ac:dyDescent="0.2">
      <c r="A36" s="35" t="s">
        <v>97</v>
      </c>
      <c r="B36" s="34">
        <v>0</v>
      </c>
      <c r="C36" s="29"/>
      <c r="D36" s="34">
        <v>0</v>
      </c>
      <c r="E36" s="29"/>
      <c r="F36" s="34">
        <v>0</v>
      </c>
      <c r="G36" s="29"/>
      <c r="H36" s="34">
        <v>0</v>
      </c>
      <c r="I36" s="29"/>
      <c r="J36" s="34">
        <v>0</v>
      </c>
      <c r="K36" s="29"/>
      <c r="L36" s="34">
        <f t="shared" ref="L36:L55" si="1">SUM(B36:J36)</f>
        <v>0</v>
      </c>
    </row>
    <row r="37" spans="1:12" x14ac:dyDescent="0.2">
      <c r="A37" s="35" t="s">
        <v>98</v>
      </c>
      <c r="B37" s="34">
        <v>0</v>
      </c>
      <c r="C37" s="29"/>
      <c r="D37" s="34">
        <v>0</v>
      </c>
      <c r="E37" s="29"/>
      <c r="F37" s="34">
        <v>0</v>
      </c>
      <c r="G37" s="29"/>
      <c r="H37" s="34">
        <v>0</v>
      </c>
      <c r="I37" s="29"/>
      <c r="J37" s="34">
        <v>0</v>
      </c>
      <c r="K37" s="29"/>
      <c r="L37" s="34">
        <f t="shared" si="1"/>
        <v>0</v>
      </c>
    </row>
    <row r="38" spans="1:12" x14ac:dyDescent="0.2">
      <c r="A38" s="35" t="s">
        <v>99</v>
      </c>
      <c r="B38" s="34">
        <f>Inputs!B4*12</f>
        <v>1500</v>
      </c>
      <c r="C38" s="29"/>
      <c r="D38" s="34">
        <f>B38</f>
        <v>1500</v>
      </c>
      <c r="E38" s="29"/>
      <c r="F38" s="34">
        <f>D38</f>
        <v>1500</v>
      </c>
      <c r="G38" s="29"/>
      <c r="H38" s="34">
        <f>F38</f>
        <v>1500</v>
      </c>
      <c r="I38" s="29"/>
      <c r="J38" s="34">
        <f>H38</f>
        <v>1500</v>
      </c>
      <c r="K38" s="29"/>
      <c r="L38" s="34">
        <f t="shared" si="1"/>
        <v>7500</v>
      </c>
    </row>
    <row r="39" spans="1:12" x14ac:dyDescent="0.2">
      <c r="A39" s="35" t="s">
        <v>100</v>
      </c>
      <c r="B39" s="34">
        <v>0</v>
      </c>
      <c r="C39" s="29"/>
      <c r="D39" s="34">
        <v>0</v>
      </c>
      <c r="E39" s="29"/>
      <c r="F39" s="34">
        <v>0</v>
      </c>
      <c r="G39" s="29"/>
      <c r="H39" s="34">
        <v>0</v>
      </c>
      <c r="I39" s="29"/>
      <c r="J39" s="34">
        <v>0</v>
      </c>
      <c r="K39" s="29"/>
      <c r="L39" s="34">
        <f t="shared" si="1"/>
        <v>0</v>
      </c>
    </row>
    <row r="40" spans="1:12" x14ac:dyDescent="0.2">
      <c r="A40" s="35" t="s">
        <v>101</v>
      </c>
      <c r="B40" s="34">
        <v>0</v>
      </c>
      <c r="C40" s="29"/>
      <c r="D40" s="34">
        <v>0</v>
      </c>
      <c r="E40" s="29"/>
      <c r="F40" s="34">
        <v>0</v>
      </c>
      <c r="G40" s="29"/>
      <c r="H40" s="34">
        <v>0</v>
      </c>
      <c r="I40" s="29"/>
      <c r="J40" s="34">
        <v>0</v>
      </c>
      <c r="K40" s="29"/>
      <c r="L40" s="34">
        <f t="shared" si="1"/>
        <v>0</v>
      </c>
    </row>
    <row r="41" spans="1:12" x14ac:dyDescent="0.2">
      <c r="A41" s="35" t="s">
        <v>102</v>
      </c>
      <c r="B41" s="34">
        <v>0</v>
      </c>
      <c r="C41" s="29"/>
      <c r="D41" s="34">
        <v>0</v>
      </c>
      <c r="E41" s="29"/>
      <c r="F41" s="34">
        <v>0</v>
      </c>
      <c r="G41" s="29"/>
      <c r="H41" s="34">
        <v>0</v>
      </c>
      <c r="I41" s="29"/>
      <c r="J41" s="34">
        <v>0</v>
      </c>
      <c r="K41" s="29"/>
      <c r="L41" s="34">
        <f t="shared" si="1"/>
        <v>0</v>
      </c>
    </row>
    <row r="42" spans="1:12" x14ac:dyDescent="0.2">
      <c r="A42" s="35" t="s">
        <v>103</v>
      </c>
      <c r="B42" s="34">
        <f>SUM(Inputs!P3:P13)</f>
        <v>4224</v>
      </c>
      <c r="C42" s="29"/>
      <c r="D42" s="34">
        <f>SUM(Inputs!P14:P25)</f>
        <v>6184.2287581699338</v>
      </c>
      <c r="E42" s="29"/>
      <c r="F42" s="34">
        <f>SUM(Inputs!P26:P37)</f>
        <v>8359</v>
      </c>
      <c r="G42" s="29"/>
      <c r="H42" s="34">
        <f>SUM(Inputs!P38:P49)</f>
        <v>5621.7620915032676</v>
      </c>
      <c r="I42" s="29"/>
      <c r="J42" s="34">
        <f>SUM(Inputs!P50:P61)</f>
        <v>7636.5333333333338</v>
      </c>
      <c r="K42" s="29"/>
      <c r="L42" s="34">
        <f t="shared" si="1"/>
        <v>32025.524183006535</v>
      </c>
    </row>
    <row r="43" spans="1:12" x14ac:dyDescent="0.2">
      <c r="A43" s="35" t="s">
        <v>104</v>
      </c>
      <c r="B43" s="34">
        <v>0</v>
      </c>
      <c r="C43" s="29"/>
      <c r="D43" s="34">
        <v>0</v>
      </c>
      <c r="E43" s="29"/>
      <c r="F43" s="34">
        <v>0</v>
      </c>
      <c r="G43" s="29"/>
      <c r="H43" s="34">
        <v>0</v>
      </c>
      <c r="I43" s="29"/>
      <c r="J43" s="34">
        <v>0</v>
      </c>
      <c r="K43" s="29"/>
      <c r="L43" s="34">
        <f t="shared" si="1"/>
        <v>0</v>
      </c>
    </row>
    <row r="44" spans="1:12" x14ac:dyDescent="0.2">
      <c r="A44" s="35" t="s">
        <v>105</v>
      </c>
      <c r="B44" s="34">
        <v>0</v>
      </c>
      <c r="C44" s="29"/>
      <c r="D44" s="34">
        <v>0</v>
      </c>
      <c r="E44" s="29"/>
      <c r="F44" s="34">
        <v>0</v>
      </c>
      <c r="G44" s="29"/>
      <c r="H44" s="34">
        <v>0</v>
      </c>
      <c r="I44" s="29"/>
      <c r="J44" s="34">
        <v>0</v>
      </c>
      <c r="K44" s="29"/>
      <c r="L44" s="34">
        <f t="shared" si="1"/>
        <v>0</v>
      </c>
    </row>
    <row r="45" spans="1:12" x14ac:dyDescent="0.2">
      <c r="A45" s="35" t="s">
        <v>106</v>
      </c>
      <c r="B45" s="34">
        <v>0</v>
      </c>
      <c r="C45" s="29"/>
      <c r="D45" s="34">
        <v>0</v>
      </c>
      <c r="E45" s="29"/>
      <c r="F45" s="34">
        <v>0</v>
      </c>
      <c r="G45" s="29"/>
      <c r="H45" s="34">
        <v>0</v>
      </c>
      <c r="I45" s="29"/>
      <c r="J45" s="34">
        <v>0</v>
      </c>
      <c r="K45" s="29"/>
      <c r="L45" s="34">
        <f t="shared" si="1"/>
        <v>0</v>
      </c>
    </row>
    <row r="46" spans="1:12" x14ac:dyDescent="0.2">
      <c r="A46" s="35" t="s">
        <v>107</v>
      </c>
      <c r="B46" s="34">
        <v>0</v>
      </c>
      <c r="C46" s="29"/>
      <c r="D46" s="34">
        <v>0</v>
      </c>
      <c r="E46" s="29"/>
      <c r="F46" s="34">
        <v>0</v>
      </c>
      <c r="G46" s="29"/>
      <c r="H46" s="34">
        <v>0</v>
      </c>
      <c r="I46" s="29"/>
      <c r="J46" s="34">
        <v>0</v>
      </c>
      <c r="K46" s="29"/>
      <c r="L46" s="34">
        <f t="shared" si="1"/>
        <v>0</v>
      </c>
    </row>
    <row r="47" spans="1:12" x14ac:dyDescent="0.2">
      <c r="A47" s="35" t="s">
        <v>108</v>
      </c>
      <c r="B47" s="34">
        <f>Inputs!B2*12</f>
        <v>87432</v>
      </c>
      <c r="C47" s="29"/>
      <c r="D47" s="34">
        <f>B47</f>
        <v>87432</v>
      </c>
      <c r="E47" s="29"/>
      <c r="F47" s="34">
        <f>D47</f>
        <v>87432</v>
      </c>
      <c r="G47" s="29"/>
      <c r="H47" s="34">
        <f>F47</f>
        <v>87432</v>
      </c>
      <c r="I47" s="29"/>
      <c r="J47" s="34">
        <f>H47</f>
        <v>87432</v>
      </c>
      <c r="K47" s="29"/>
      <c r="L47" s="34">
        <f t="shared" si="1"/>
        <v>437160</v>
      </c>
    </row>
    <row r="48" spans="1:12" x14ac:dyDescent="0.2">
      <c r="A48" s="35" t="s">
        <v>109</v>
      </c>
      <c r="B48" s="34">
        <f>Inputs!P2</f>
        <v>30000</v>
      </c>
      <c r="C48" s="29"/>
      <c r="D48" s="34">
        <v>0</v>
      </c>
      <c r="E48" s="29"/>
      <c r="F48" s="34">
        <v>0</v>
      </c>
      <c r="G48" s="29"/>
      <c r="H48" s="34">
        <v>0</v>
      </c>
      <c r="I48" s="29"/>
      <c r="J48" s="34">
        <v>0</v>
      </c>
      <c r="K48" s="29"/>
      <c r="L48" s="34">
        <f>SUM(B48:J48)</f>
        <v>30000</v>
      </c>
    </row>
    <row r="49" spans="1:12" x14ac:dyDescent="0.2">
      <c r="A49" s="35" t="s">
        <v>110</v>
      </c>
      <c r="B49" s="34">
        <v>0</v>
      </c>
      <c r="C49" s="29"/>
      <c r="D49" s="34">
        <f>B49*1.04</f>
        <v>0</v>
      </c>
      <c r="E49" s="29"/>
      <c r="F49" s="34">
        <f>D49*1.04</f>
        <v>0</v>
      </c>
      <c r="G49" s="29"/>
      <c r="H49" s="34">
        <f>F49*1.04</f>
        <v>0</v>
      </c>
      <c r="I49" s="29"/>
      <c r="J49" s="34">
        <f>H49*1.04</f>
        <v>0</v>
      </c>
      <c r="K49" s="29"/>
      <c r="L49" s="34">
        <f t="shared" si="1"/>
        <v>0</v>
      </c>
    </row>
    <row r="50" spans="1:12" x14ac:dyDescent="0.2">
      <c r="A50" s="35" t="s">
        <v>111</v>
      </c>
      <c r="B50" s="34">
        <f>Inputs!Y13/12*52*Inputs!B8</f>
        <v>37440</v>
      </c>
      <c r="C50" s="29"/>
      <c r="D50" s="34">
        <f>Inputs!Y25/12*52*Inputs!B8</f>
        <v>46800</v>
      </c>
      <c r="E50" s="29"/>
      <c r="F50" s="34">
        <f>Inputs!Y37/12*52*Inputs!B8</f>
        <v>63180</v>
      </c>
      <c r="G50" s="29"/>
      <c r="H50" s="34">
        <f>Inputs!Y49/12*52*Inputs!B8</f>
        <v>68640</v>
      </c>
      <c r="I50" s="29"/>
      <c r="J50" s="34">
        <f>Inputs!Y61/12*52*Inputs!B8</f>
        <v>68640</v>
      </c>
      <c r="K50" s="29"/>
      <c r="L50" s="34">
        <f t="shared" si="1"/>
        <v>284700</v>
      </c>
    </row>
    <row r="51" spans="1:12" x14ac:dyDescent="0.2">
      <c r="A51" s="35" t="s">
        <v>112</v>
      </c>
      <c r="B51" s="34">
        <v>0</v>
      </c>
      <c r="C51" s="29"/>
      <c r="D51" s="34">
        <v>0</v>
      </c>
      <c r="E51" s="29"/>
      <c r="F51" s="34">
        <v>0</v>
      </c>
      <c r="G51" s="29"/>
      <c r="H51" s="34">
        <v>0</v>
      </c>
      <c r="I51" s="29"/>
      <c r="J51" s="34">
        <v>0</v>
      </c>
      <c r="K51" s="29"/>
      <c r="L51" s="34">
        <f t="shared" si="1"/>
        <v>0</v>
      </c>
    </row>
    <row r="52" spans="1:12" x14ac:dyDescent="0.2">
      <c r="A52" s="35" t="s">
        <v>113</v>
      </c>
      <c r="B52" s="34">
        <v>0</v>
      </c>
      <c r="C52" s="29"/>
      <c r="D52" s="34">
        <v>0</v>
      </c>
      <c r="E52" s="29"/>
      <c r="F52" s="34">
        <v>0</v>
      </c>
      <c r="G52" s="29"/>
      <c r="H52" s="34">
        <v>0</v>
      </c>
      <c r="I52" s="29"/>
      <c r="J52" s="34">
        <v>0</v>
      </c>
      <c r="K52" s="29"/>
      <c r="L52" s="34">
        <f t="shared" si="1"/>
        <v>0</v>
      </c>
    </row>
    <row r="53" spans="1:12" x14ac:dyDescent="0.2">
      <c r="A53" s="35" t="s">
        <v>114</v>
      </c>
      <c r="B53" s="34">
        <v>0</v>
      </c>
      <c r="C53" s="29"/>
      <c r="D53" s="34">
        <v>0</v>
      </c>
      <c r="E53" s="29"/>
      <c r="F53" s="34">
        <v>0</v>
      </c>
      <c r="G53" s="29"/>
      <c r="H53" s="34">
        <v>0</v>
      </c>
      <c r="I53" s="29"/>
      <c r="J53" s="34">
        <v>0</v>
      </c>
      <c r="K53" s="29"/>
      <c r="L53" s="34">
        <f t="shared" si="1"/>
        <v>0</v>
      </c>
    </row>
    <row r="54" spans="1:12" x14ac:dyDescent="0.2">
      <c r="A54" s="35" t="s">
        <v>115</v>
      </c>
      <c r="B54" s="34">
        <v>0</v>
      </c>
      <c r="C54" s="29"/>
      <c r="D54" s="34">
        <v>0</v>
      </c>
      <c r="E54" s="29"/>
      <c r="F54" s="34">
        <v>0</v>
      </c>
      <c r="G54" s="29"/>
      <c r="H54" s="34">
        <v>0</v>
      </c>
      <c r="I54" s="29"/>
      <c r="J54" s="34">
        <v>0</v>
      </c>
      <c r="K54" s="29"/>
      <c r="L54" s="34">
        <f t="shared" si="1"/>
        <v>0</v>
      </c>
    </row>
    <row r="55" spans="1:12" x14ac:dyDescent="0.2">
      <c r="A55" s="35" t="s">
        <v>116</v>
      </c>
      <c r="B55" s="34">
        <f>12*Inputs!B3</f>
        <v>12000</v>
      </c>
      <c r="C55" s="29"/>
      <c r="D55" s="34">
        <f>B55</f>
        <v>12000</v>
      </c>
      <c r="E55" s="29"/>
      <c r="F55" s="34">
        <f>D55</f>
        <v>12000</v>
      </c>
      <c r="G55" s="29"/>
      <c r="H55" s="34">
        <f>F55</f>
        <v>12000</v>
      </c>
      <c r="I55" s="29"/>
      <c r="J55" s="34">
        <f>H55</f>
        <v>12000</v>
      </c>
      <c r="K55" s="29"/>
      <c r="L55" s="34">
        <f t="shared" si="1"/>
        <v>60000</v>
      </c>
    </row>
    <row r="56" spans="1:12" x14ac:dyDescent="0.2">
      <c r="A56" s="35" t="s">
        <v>117</v>
      </c>
      <c r="B56" s="36">
        <f>Inputs!B7*12</f>
        <v>7800</v>
      </c>
      <c r="C56" s="29"/>
      <c r="D56" s="36">
        <f>650*12</f>
        <v>7800</v>
      </c>
      <c r="E56" s="29"/>
      <c r="F56" s="36">
        <f>650*12</f>
        <v>7800</v>
      </c>
      <c r="G56" s="29"/>
      <c r="H56" s="36">
        <f>650*12</f>
        <v>7800</v>
      </c>
      <c r="I56" s="29"/>
      <c r="J56" s="36">
        <f>650*12</f>
        <v>7800</v>
      </c>
      <c r="K56" s="29"/>
      <c r="L56" s="36">
        <f>+B56-J56</f>
        <v>0</v>
      </c>
    </row>
    <row r="57" spans="1:12" x14ac:dyDescent="0.2">
      <c r="A57" s="43" t="s">
        <v>118</v>
      </c>
      <c r="B57" s="41">
        <f>SUM(B30:B56)</f>
        <v>180396</v>
      </c>
      <c r="C57" s="29"/>
      <c r="D57" s="41">
        <f>SUM(D30:D56)</f>
        <v>212716.22875816992</v>
      </c>
      <c r="E57" s="29"/>
      <c r="F57" s="41">
        <f>SUM(F30:F56)</f>
        <v>242071</v>
      </c>
      <c r="G57" s="29"/>
      <c r="H57" s="41">
        <f>SUM(H30:H56)</f>
        <v>246184.26209150327</v>
      </c>
      <c r="I57" s="29"/>
      <c r="J57" s="41">
        <f>SUM(J30:J56)</f>
        <v>250259.03333333335</v>
      </c>
      <c r="K57" s="29"/>
      <c r="L57" s="41">
        <f>SUM(L30:L56)</f>
        <v>1092626.5241830065</v>
      </c>
    </row>
    <row r="58" spans="1:12" x14ac:dyDescent="0.2">
      <c r="A58" s="43"/>
      <c r="B58" s="34"/>
      <c r="C58" s="29"/>
      <c r="D58" s="34"/>
      <c r="E58" s="29"/>
      <c r="F58" s="34"/>
      <c r="G58" s="29"/>
      <c r="H58" s="34"/>
      <c r="I58" s="29"/>
      <c r="J58" s="34"/>
      <c r="K58" s="29"/>
      <c r="L58" s="34"/>
    </row>
    <row r="59" spans="1:12" ht="16" thickBot="1" x14ac:dyDescent="0.25">
      <c r="A59" s="43" t="s">
        <v>129</v>
      </c>
      <c r="B59" s="49">
        <f>B18-B57</f>
        <v>-65740.431998926899</v>
      </c>
      <c r="C59" s="29"/>
      <c r="D59" s="49">
        <f>D18-D57</f>
        <v>25327.68902080768</v>
      </c>
      <c r="E59" s="29"/>
      <c r="F59" s="49">
        <f>F18-F57</f>
        <v>103981.5611611089</v>
      </c>
      <c r="G59" s="29"/>
      <c r="H59" s="49">
        <f>H18-H57</f>
        <v>149013.27286077742</v>
      </c>
      <c r="I59" s="29"/>
      <c r="J59" s="49">
        <f>J18-J57</f>
        <v>154051.58043892201</v>
      </c>
      <c r="K59" s="29"/>
      <c r="L59" s="49">
        <f>L18-L57</f>
        <v>405633.67148268921</v>
      </c>
    </row>
    <row r="60" spans="1:12" x14ac:dyDescent="0.2">
      <c r="A60" s="43"/>
      <c r="B60" s="34"/>
      <c r="C60" s="29"/>
      <c r="D60" s="34"/>
      <c r="E60" s="29"/>
      <c r="F60" s="34"/>
      <c r="G60" s="29"/>
      <c r="H60" s="34"/>
      <c r="I60" s="29"/>
      <c r="J60" s="34"/>
      <c r="K60" s="29"/>
      <c r="L60" s="34"/>
    </row>
    <row r="61" spans="1:12" x14ac:dyDescent="0.2">
      <c r="A61" s="39" t="s">
        <v>119</v>
      </c>
      <c r="B61" s="34"/>
      <c r="C61" s="29"/>
      <c r="D61" s="34"/>
      <c r="E61" s="29"/>
      <c r="F61" s="34"/>
      <c r="G61" s="29"/>
      <c r="H61" s="34"/>
      <c r="I61" s="29"/>
      <c r="J61" s="34"/>
      <c r="K61" s="29"/>
      <c r="L61" s="34"/>
    </row>
    <row r="62" spans="1:12" x14ac:dyDescent="0.2">
      <c r="A62" s="35" t="s">
        <v>120</v>
      </c>
      <c r="B62" s="34">
        <v>0</v>
      </c>
      <c r="C62" s="29"/>
      <c r="D62" s="34">
        <v>0</v>
      </c>
      <c r="E62" s="29"/>
      <c r="F62" s="34">
        <v>0</v>
      </c>
      <c r="G62" s="29"/>
      <c r="H62" s="34">
        <v>0</v>
      </c>
      <c r="I62" s="29"/>
      <c r="J62" s="34">
        <v>0</v>
      </c>
      <c r="K62" s="29"/>
      <c r="L62" s="34">
        <f>+B62-J62</f>
        <v>0</v>
      </c>
    </row>
    <row r="63" spans="1:12" x14ac:dyDescent="0.2">
      <c r="A63" s="35" t="s">
        <v>121</v>
      </c>
      <c r="B63" s="44">
        <f>IF(B59&gt;0,B59*0.21,0)</f>
        <v>0</v>
      </c>
      <c r="C63" s="29"/>
      <c r="D63" s="44">
        <f>IF(D59&gt;0,D59*0.21,0)</f>
        <v>5318.8146943696129</v>
      </c>
      <c r="E63" s="29"/>
      <c r="F63" s="44">
        <f>IF(F59&gt;0,F59*0.21,0)</f>
        <v>21836.127843832866</v>
      </c>
      <c r="G63" s="29"/>
      <c r="H63" s="44">
        <f>IF(H59&gt;0,H59*0.21,0)</f>
        <v>31292.787300763255</v>
      </c>
      <c r="I63" s="29"/>
      <c r="J63" s="44">
        <f>IF(J59&gt;0,J59*0.21,0)</f>
        <v>32350.831892173621</v>
      </c>
      <c r="K63" s="29"/>
      <c r="L63" s="44">
        <f>IF(L59&gt;0,L59*0.21,0)</f>
        <v>85183.071011364736</v>
      </c>
    </row>
    <row r="64" spans="1:12" x14ac:dyDescent="0.2">
      <c r="A64" s="35" t="s">
        <v>122</v>
      </c>
      <c r="B64" s="36">
        <f>ABS(Inputs!$E$7*52*Inputs!$B$8-(Inputs!Y13/12*52*Inputs!$B$8))</f>
        <v>53040</v>
      </c>
      <c r="C64" s="29"/>
      <c r="D64" s="36">
        <f>ABS((Inputs!$E$7*52*Inputs!$B$8)-(Inputs!Y25/12*52*Inputs!$B$8))</f>
        <v>43680</v>
      </c>
      <c r="E64" s="29"/>
      <c r="F64" s="36">
        <f>ABS(Inputs!$E$7*52*Inputs!$B$8-(Inputs!Y37/12*52*Inputs!$B$8))</f>
        <v>27300</v>
      </c>
      <c r="G64" s="29"/>
      <c r="H64" s="36">
        <f>ABS(Inputs!$E$7*52*Inputs!$B$8-(Inputs!Y49/12*52*Inputs!$B$8))</f>
        <v>21840</v>
      </c>
      <c r="I64" s="29"/>
      <c r="J64" s="36">
        <f>ABS(Inputs!$E$7*52*Inputs!$B$8-(Inputs!Y61/12*52*Inputs!$B$8))</f>
        <v>21840</v>
      </c>
      <c r="K64" s="29"/>
      <c r="L64" s="36">
        <f>SUM(B64:J64)</f>
        <v>167700</v>
      </c>
    </row>
    <row r="65" spans="1:12" x14ac:dyDescent="0.2">
      <c r="A65" s="40" t="s">
        <v>123</v>
      </c>
      <c r="B65" s="41">
        <f>SUM(B62:B64)</f>
        <v>53040</v>
      </c>
      <c r="C65" s="29"/>
      <c r="D65" s="41">
        <f>SUM(D62:D64)</f>
        <v>48998.814694369612</v>
      </c>
      <c r="E65" s="29"/>
      <c r="F65" s="41">
        <f>SUM(F62:F64)</f>
        <v>49136.127843832866</v>
      </c>
      <c r="G65" s="29"/>
      <c r="H65" s="41">
        <f>SUM(H62:H64)</f>
        <v>53132.787300763259</v>
      </c>
      <c r="I65" s="29"/>
      <c r="J65" s="41">
        <f>SUM(J62:J64)</f>
        <v>54190.831892173621</v>
      </c>
      <c r="K65" s="29"/>
      <c r="L65" s="41">
        <f>SUM(L62:L64)</f>
        <v>252883.07101136475</v>
      </c>
    </row>
    <row r="66" spans="1:12" x14ac:dyDescent="0.2">
      <c r="A66" s="40"/>
      <c r="B66" s="41"/>
      <c r="C66" s="29"/>
      <c r="D66" s="41"/>
      <c r="E66" s="29"/>
      <c r="F66" s="41"/>
      <c r="G66" s="29"/>
      <c r="H66" s="41"/>
      <c r="I66" s="29"/>
      <c r="J66" s="41"/>
      <c r="K66" s="29"/>
      <c r="L66" s="41"/>
    </row>
    <row r="67" spans="1:12" x14ac:dyDescent="0.2">
      <c r="A67" s="45" t="s">
        <v>124</v>
      </c>
      <c r="B67" s="38">
        <f>+B65+B57+B27</f>
        <v>233436</v>
      </c>
      <c r="C67" s="29"/>
      <c r="D67" s="38">
        <f>+D65+D57+D27</f>
        <v>261715.04345253954</v>
      </c>
      <c r="E67" s="29"/>
      <c r="F67" s="38">
        <f>+F65+F57+F27</f>
        <v>291207.12784383289</v>
      </c>
      <c r="G67" s="29"/>
      <c r="H67" s="38">
        <f>+H65+H57+H27</f>
        <v>299317.04939226655</v>
      </c>
      <c r="I67" s="29"/>
      <c r="J67" s="38">
        <f>+J65+J57+J27</f>
        <v>304449.86522550695</v>
      </c>
      <c r="K67" s="29"/>
      <c r="L67" s="38">
        <f>+L65+L57+L27</f>
        <v>1345509.5951943712</v>
      </c>
    </row>
    <row r="68" spans="1:12" x14ac:dyDescent="0.2">
      <c r="A68" s="45"/>
      <c r="B68" s="46"/>
      <c r="C68" s="29"/>
      <c r="D68" s="46"/>
      <c r="E68" s="29"/>
      <c r="F68" s="46"/>
      <c r="G68" s="29"/>
      <c r="H68" s="46"/>
      <c r="I68" s="29"/>
      <c r="J68" s="46"/>
      <c r="K68" s="29"/>
      <c r="L68" s="46"/>
    </row>
    <row r="69" spans="1:12" x14ac:dyDescent="0.2">
      <c r="A69" s="45" t="s">
        <v>125</v>
      </c>
      <c r="B69" s="46">
        <f>+B18-B27-B57-B65</f>
        <v>-118780.4319989269</v>
      </c>
      <c r="C69" s="29"/>
      <c r="D69" s="46">
        <f>+D18-D27-D57-D65</f>
        <v>-23671.125673561932</v>
      </c>
      <c r="E69" s="29"/>
      <c r="F69" s="46">
        <f>+F18-F27-F57-F65</f>
        <v>54845.433317276031</v>
      </c>
      <c r="G69" s="29"/>
      <c r="H69" s="46">
        <f>+H18-H27-H57-H65</f>
        <v>95880.48556001416</v>
      </c>
      <c r="I69" s="29"/>
      <c r="J69" s="46">
        <f>+J18-J27-J57-J65</f>
        <v>99860.748546748393</v>
      </c>
      <c r="K69" s="29"/>
      <c r="L69" s="46">
        <f>+L18-L27-L57-L65</f>
        <v>152750.60047132446</v>
      </c>
    </row>
    <row r="70" spans="1:12" x14ac:dyDescent="0.2">
      <c r="A70" s="7"/>
      <c r="B70" s="34"/>
      <c r="C70" s="29"/>
      <c r="D70" s="34"/>
      <c r="E70" s="29"/>
      <c r="F70" s="34"/>
      <c r="G70" s="29"/>
      <c r="H70" s="34"/>
      <c r="I70" s="29"/>
      <c r="J70" s="34"/>
      <c r="K70" s="29"/>
      <c r="L70" s="34"/>
    </row>
    <row r="71" spans="1:12" ht="16" thickBot="1" x14ac:dyDescent="0.25">
      <c r="A71" s="33" t="s">
        <v>126</v>
      </c>
      <c r="B71" s="47">
        <f>+B9+B18-B67</f>
        <v>-18780.431998926913</v>
      </c>
      <c r="C71" s="29"/>
      <c r="D71" s="47">
        <f>+D9+D18-D67</f>
        <v>-42451.557672488852</v>
      </c>
      <c r="E71" s="29"/>
      <c r="F71" s="47">
        <f>+F9+F18-F67</f>
        <v>12393.875644787156</v>
      </c>
      <c r="G71" s="29"/>
      <c r="H71" s="47">
        <f>+H9+H18-H67</f>
        <v>108274.3612048013</v>
      </c>
      <c r="I71" s="29"/>
      <c r="J71" s="47">
        <f>+J9+J18-J67</f>
        <v>208135.10975154972</v>
      </c>
      <c r="K71" s="29"/>
      <c r="L71" s="47">
        <f>+L9+L18-L67</f>
        <v>360885.7102228743</v>
      </c>
    </row>
    <row r="72" spans="1:12" ht="16" thickTop="1" x14ac:dyDescent="0.2">
      <c r="B72" s="34"/>
      <c r="C72" s="29"/>
      <c r="D72" s="34"/>
      <c r="E72" s="29"/>
      <c r="F72" s="34"/>
      <c r="G72" s="29"/>
      <c r="H72" s="34"/>
      <c r="I72" s="29"/>
      <c r="J72" s="34"/>
      <c r="K72" s="29"/>
      <c r="L72" s="34"/>
    </row>
    <row r="73" spans="1:12" x14ac:dyDescent="0.2">
      <c r="B73" s="34"/>
      <c r="C73" s="29"/>
      <c r="D73" s="34"/>
      <c r="E73" s="29"/>
      <c r="F73" s="34"/>
      <c r="G73" s="29"/>
      <c r="H73" s="34"/>
      <c r="I73" s="29"/>
      <c r="J73" s="34"/>
      <c r="K73" s="29"/>
      <c r="L73" s="34"/>
    </row>
    <row r="74" spans="1:12" x14ac:dyDescent="0.2">
      <c r="B74" s="34"/>
      <c r="C74" s="29"/>
      <c r="D74" s="34"/>
      <c r="E74" s="29"/>
      <c r="F74" s="34"/>
      <c r="G74" s="29"/>
      <c r="H74" s="34"/>
      <c r="I74" s="29"/>
      <c r="J74" s="34"/>
      <c r="K74" s="29"/>
      <c r="L74" s="34"/>
    </row>
    <row r="75" spans="1:12" x14ac:dyDescent="0.2">
      <c r="B75" s="34"/>
      <c r="C75" s="29"/>
      <c r="D75" s="34"/>
      <c r="E75" s="29"/>
      <c r="F75" s="34"/>
      <c r="G75" s="29"/>
      <c r="H75" s="34"/>
      <c r="I75" s="29"/>
      <c r="J75" s="34"/>
      <c r="K75" s="29"/>
      <c r="L75" s="34"/>
    </row>
    <row r="76" spans="1:12" x14ac:dyDescent="0.2">
      <c r="B76" s="34"/>
      <c r="C76" s="29"/>
      <c r="D76" s="34"/>
      <c r="E76" s="29"/>
      <c r="F76" s="34"/>
      <c r="G76" s="29"/>
      <c r="H76" s="34"/>
      <c r="I76" s="29"/>
      <c r="J76" s="34"/>
      <c r="K76" s="29"/>
      <c r="L76" s="34"/>
    </row>
    <row r="77" spans="1:12" x14ac:dyDescent="0.2">
      <c r="B77" s="34"/>
      <c r="C77" s="29"/>
      <c r="D77" s="34"/>
      <c r="E77" s="29"/>
      <c r="F77" s="34"/>
      <c r="G77" s="29"/>
      <c r="H77" s="34"/>
      <c r="I77" s="29"/>
      <c r="J77" s="34"/>
      <c r="K77" s="29"/>
      <c r="L77" s="34"/>
    </row>
    <row r="78" spans="1:12" x14ac:dyDescent="0.2">
      <c r="B78" s="34"/>
      <c r="C78" s="29"/>
      <c r="D78" s="34"/>
      <c r="E78" s="29"/>
      <c r="F78" s="34"/>
      <c r="G78" s="29"/>
      <c r="H78" s="34"/>
      <c r="I78" s="29"/>
      <c r="J78" s="34"/>
      <c r="K78" s="29"/>
      <c r="L78" s="34"/>
    </row>
    <row r="79" spans="1:12" x14ac:dyDescent="0.2">
      <c r="B79" s="34"/>
      <c r="C79" s="29"/>
      <c r="D79" s="34"/>
      <c r="E79" s="29"/>
      <c r="F79" s="34"/>
      <c r="G79" s="29"/>
      <c r="H79" s="34"/>
      <c r="I79" s="29"/>
      <c r="J79" s="34"/>
      <c r="K79" s="29"/>
      <c r="L79" s="34"/>
    </row>
    <row r="80" spans="1:12" x14ac:dyDescent="0.2">
      <c r="B80" s="34"/>
      <c r="C80" s="29"/>
      <c r="D80" s="34"/>
      <c r="E80" s="29"/>
      <c r="F80" s="34"/>
      <c r="G80" s="29"/>
      <c r="H80" s="34"/>
      <c r="I80" s="29"/>
      <c r="J80" s="34"/>
      <c r="K80" s="29"/>
      <c r="L80" s="34"/>
    </row>
    <row r="81" spans="2:12" x14ac:dyDescent="0.2">
      <c r="B81" s="34"/>
      <c r="C81" s="29"/>
      <c r="D81" s="34"/>
      <c r="E81" s="29"/>
      <c r="F81" s="34"/>
      <c r="G81" s="29"/>
      <c r="H81" s="34"/>
      <c r="I81" s="29"/>
      <c r="J81" s="34"/>
      <c r="K81" s="29"/>
      <c r="L81" s="34"/>
    </row>
    <row r="82" spans="2:12" x14ac:dyDescent="0.2">
      <c r="B82" s="34"/>
      <c r="C82" s="29"/>
      <c r="D82" s="34"/>
      <c r="E82" s="29"/>
      <c r="F82" s="34"/>
      <c r="G82" s="29"/>
      <c r="H82" s="34"/>
      <c r="I82" s="29"/>
      <c r="J82" s="34"/>
      <c r="K82" s="29"/>
      <c r="L82" s="34"/>
    </row>
    <row r="83" spans="2:12" x14ac:dyDescent="0.2">
      <c r="B83" s="34"/>
      <c r="C83" s="29"/>
      <c r="D83" s="34"/>
      <c r="E83" s="29"/>
      <c r="F83" s="34"/>
      <c r="G83" s="29"/>
      <c r="H83" s="34"/>
      <c r="I83" s="29"/>
      <c r="J83" s="34"/>
      <c r="K83" s="29"/>
      <c r="L83" s="34"/>
    </row>
    <row r="84" spans="2:12" x14ac:dyDescent="0.2">
      <c r="B84" s="34"/>
      <c r="C84" s="29"/>
      <c r="D84" s="34"/>
      <c r="E84" s="29"/>
      <c r="F84" s="34"/>
      <c r="G84" s="29"/>
      <c r="H84" s="34"/>
      <c r="I84" s="29"/>
      <c r="J84" s="34"/>
      <c r="K84" s="29"/>
      <c r="L84" s="34"/>
    </row>
    <row r="85" spans="2:12" x14ac:dyDescent="0.2">
      <c r="B85" s="34"/>
      <c r="C85" s="29"/>
      <c r="D85" s="34"/>
      <c r="E85" s="34"/>
      <c r="F85" s="34"/>
      <c r="G85" s="34"/>
      <c r="H85" s="34"/>
      <c r="I85" s="34"/>
      <c r="J85" s="34"/>
      <c r="K85" s="34"/>
      <c r="L85" s="34"/>
    </row>
    <row r="86" spans="2:12" x14ac:dyDescent="0.2">
      <c r="B86" s="34"/>
      <c r="C86" s="29"/>
      <c r="D86" s="34"/>
      <c r="E86" s="34"/>
      <c r="F86" s="34"/>
      <c r="G86" s="34"/>
      <c r="H86" s="34"/>
      <c r="I86" s="34"/>
      <c r="J86" s="34"/>
      <c r="K86" s="34"/>
      <c r="L86" s="34"/>
    </row>
    <row r="87" spans="2:12" x14ac:dyDescent="0.2">
      <c r="B87" s="34"/>
      <c r="C87" s="29"/>
      <c r="D87" s="34"/>
      <c r="E87" s="34"/>
      <c r="F87" s="34"/>
      <c r="G87" s="34"/>
      <c r="H87" s="34"/>
      <c r="I87" s="34"/>
      <c r="J87" s="34"/>
      <c r="K87" s="34"/>
      <c r="L87" s="34"/>
    </row>
    <row r="88" spans="2:12" x14ac:dyDescent="0.2">
      <c r="C88" s="29"/>
    </row>
    <row r="89" spans="2:12" x14ac:dyDescent="0.2">
      <c r="C89" s="29"/>
    </row>
    <row r="90" spans="2:12" x14ac:dyDescent="0.2">
      <c r="C90" s="29"/>
    </row>
    <row r="91" spans="2:12" x14ac:dyDescent="0.2">
      <c r="C91" s="29"/>
    </row>
    <row r="92" spans="2:12" x14ac:dyDescent="0.2">
      <c r="C92" s="29"/>
    </row>
    <row r="93" spans="2:12" x14ac:dyDescent="0.2">
      <c r="C93" s="29"/>
    </row>
    <row r="94" spans="2:12" x14ac:dyDescent="0.2">
      <c r="C94" s="29"/>
    </row>
    <row r="96" spans="2:12" x14ac:dyDescent="0.2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</row>
  </sheetData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46BEAD6-C771-474A-B091-8A517ABACCA3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B59 D59 F59 H59 J59</xm:sqref>
        </x14:conditionalFormatting>
        <x14:conditionalFormatting xmlns:xm="http://schemas.microsoft.com/office/excel/2006/main">
          <x14:cfRule type="iconSet" priority="2" id="{96D3CFEF-FA40-064B-ADDA-5D0C18394333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B69 D69 F69 H69 J69</xm:sqref>
        </x14:conditionalFormatting>
        <x14:conditionalFormatting xmlns:xm="http://schemas.microsoft.com/office/excel/2006/main">
          <x14:cfRule type="iconSet" priority="1" id="{1B636E8F-51E1-554C-A1AF-8185D0F42308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L69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4F29-A284-4F41-8484-8EE019905D66}">
  <dimension ref="A1:F5"/>
  <sheetViews>
    <sheetView zoomScale="225" workbookViewId="0">
      <selection activeCell="D3" sqref="D3"/>
    </sheetView>
  </sheetViews>
  <sheetFormatPr baseColWidth="10" defaultRowHeight="15" x14ac:dyDescent="0.2"/>
  <cols>
    <col min="1" max="1" width="17" bestFit="1" customWidth="1"/>
    <col min="3" max="3" width="18.33203125" bestFit="1" customWidth="1"/>
    <col min="4" max="4" width="16.6640625" bestFit="1" customWidth="1"/>
    <col min="5" max="5" width="18.6640625" bestFit="1" customWidth="1"/>
    <col min="6" max="6" width="19.6640625" bestFit="1" customWidth="1"/>
  </cols>
  <sheetData>
    <row r="1" spans="1:6" x14ac:dyDescent="0.2">
      <c r="A1" s="1" t="s">
        <v>132</v>
      </c>
      <c r="D1" s="50" t="s">
        <v>134</v>
      </c>
      <c r="E1" s="50" t="s">
        <v>135</v>
      </c>
      <c r="F1" s="50" t="s">
        <v>136</v>
      </c>
    </row>
    <row r="2" spans="1:6" x14ac:dyDescent="0.2">
      <c r="A2" s="1">
        <f>Inputs!E8*Inputs!E7</f>
        <v>870</v>
      </c>
      <c r="C2" s="1" t="s">
        <v>133</v>
      </c>
      <c r="D2" s="1">
        <f>Inputs!H25</f>
        <v>90</v>
      </c>
      <c r="E2" s="1">
        <f>Inputs!H23</f>
        <v>60</v>
      </c>
      <c r="F2" s="1">
        <f>Inputs!H24</f>
        <v>100</v>
      </c>
    </row>
    <row r="3" spans="1:6" x14ac:dyDescent="0.2">
      <c r="C3" s="1" t="s">
        <v>130</v>
      </c>
      <c r="D3" s="1">
        <v>5.5</v>
      </c>
      <c r="E3" s="1">
        <v>3</v>
      </c>
      <c r="F3" s="1">
        <v>1.25</v>
      </c>
    </row>
    <row r="4" spans="1:6" x14ac:dyDescent="0.2">
      <c r="C4" s="1" t="s">
        <v>137</v>
      </c>
      <c r="D4" s="1">
        <f>D3*D2</f>
        <v>495</v>
      </c>
      <c r="E4" s="1">
        <f t="shared" ref="E4:F4" si="0">E3*E2</f>
        <v>180</v>
      </c>
      <c r="F4" s="1">
        <f t="shared" si="0"/>
        <v>125</v>
      </c>
    </row>
    <row r="5" spans="1:6" x14ac:dyDescent="0.2">
      <c r="C5" s="4" t="s">
        <v>138</v>
      </c>
      <c r="D5" s="51">
        <f>SUM(D4:F4)</f>
        <v>800</v>
      </c>
      <c r="E5" s="51"/>
      <c r="F5" s="51"/>
    </row>
  </sheetData>
  <mergeCells count="1"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5 Year Cash Flow</vt:lpstr>
      <vt:lpstr>Carrying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Cook, Richard</cp:lastModifiedBy>
  <dcterms:created xsi:type="dcterms:W3CDTF">2024-07-16T14:34:13Z</dcterms:created>
  <dcterms:modified xsi:type="dcterms:W3CDTF">2024-07-21T17:27:37Z</dcterms:modified>
</cp:coreProperties>
</file>